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BC for AGU JGR Biogeosciences" sheetId="1" r:id="rId4"/>
    <sheet state="visible" name="BPCA Calcs (all samples)" sheetId="2" r:id="rId5"/>
    <sheet state="visible" name="River, Stream, Melt PPL" sheetId="3" r:id="rId6"/>
    <sheet state="visible" name="River, Stream, Melt BPCA Calibr" sheetId="4" r:id="rId7"/>
    <sheet state="visible" name="River, Stream, Melt DBC Calcs" sheetId="5" r:id="rId8"/>
    <sheet state="visible" name="2022 Snow PPL" sheetId="6" r:id="rId9"/>
    <sheet state="visible" name="2022 Snow BPCA Calibr" sheetId="7" r:id="rId10"/>
    <sheet state="visible" name="2022 Snow DBC Calcs" sheetId="8" r:id="rId11"/>
    <sheet state="visible" name="2023 Snow PPL" sheetId="9" r:id="rId12"/>
    <sheet state="visible" name="2023 Snow BPCA Calibr" sheetId="10" r:id="rId13"/>
    <sheet state="visible" name="2023 Snow DBC Calcs" sheetId="11" r:id="rId14"/>
    <sheet state="visible" name="Auto Dilution Runs BPCA Calibr" sheetId="12" r:id="rId15"/>
    <sheet state="visible" name="Auto Dilution Runs DBC Calcs" sheetId="13" r:id="rId16"/>
  </sheets>
  <definedNames>
    <definedName hidden="1" localSheetId="0" name="_xlnm._FilterDatabase">'DBC for AGU JGR Biogeosciences'!$A$1:$AX$33</definedName>
  </definedNames>
  <calcPr/>
  <extLst>
    <ext uri="GoogleSheetsCustomDataVersion2">
      <go:sheetsCustomData xmlns:go="http://customooxmlschemas.google.com/" r:id="rId17" roundtripDataChecksum="Pi9wFz9Vu10T2C1ropqBVpGNCc1iVc16fMkMUnrsmVY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3">
      <text>
        <t xml:space="preserve">below LoD
======</t>
      </text>
    </comment>
    <comment authorId="0" ref="E3">
      <text>
        <t xml:space="preserve">below LoD
======</t>
      </text>
    </comment>
    <comment authorId="0" ref="E5">
      <text>
        <t xml:space="preserve">below LoD
======</t>
      </text>
    </comment>
    <comment authorId="0" ref="E6">
      <text>
        <t xml:space="preserve">below LoD
======</t>
      </text>
    </comment>
    <comment authorId="0" ref="E8">
      <text>
        <t xml:space="preserve">below LoD
======</t>
      </text>
    </comment>
    <comment authorId="0" ref="E9">
      <text>
        <t xml:space="preserve">below LoD
======</t>
      </text>
    </comment>
    <comment authorId="0" ref="D11">
      <text>
        <t xml:space="preserve">below LoD
======</t>
      </text>
    </comment>
    <comment authorId="0" ref="E11">
      <text>
        <t xml:space="preserve">below LoD
======</t>
      </text>
    </comment>
    <comment authorId="0" ref="F11">
      <text>
        <t xml:space="preserve">below LoD
======</t>
      </text>
    </comment>
    <comment authorId="0" ref="G11">
      <text>
        <t xml:space="preserve">below LoD
======</t>
      </text>
    </comment>
    <comment authorId="0" ref="H11">
      <text>
        <t xml:space="preserve">below LoD
======</t>
      </text>
    </comment>
    <comment authorId="0" ref="E13">
      <text>
        <t xml:space="preserve">below LoD
======</t>
      </text>
    </comment>
    <comment authorId="0" ref="B14">
      <text>
        <t xml:space="preserve">from autodil runs
======</t>
      </text>
    </comment>
    <comment authorId="0" ref="C14">
      <text>
        <t xml:space="preserve">from autodil runs
======</t>
      </text>
    </comment>
    <comment authorId="0" ref="E14">
      <text>
        <t xml:space="preserve">below LoD
======</t>
      </text>
    </comment>
    <comment authorId="0" ref="B15">
      <text>
        <t xml:space="preserve">below LoD
======</t>
      </text>
    </comment>
    <comment authorId="0" ref="D15">
      <text>
        <t xml:space="preserve">below LoD
======</t>
      </text>
    </comment>
    <comment authorId="0" ref="E15">
      <text>
        <t xml:space="preserve">below LoD
======</t>
      </text>
    </comment>
    <comment authorId="0" ref="F15">
      <text>
        <t xml:space="preserve">below LoD
======</t>
      </text>
    </comment>
    <comment authorId="0" ref="G15">
      <text>
        <t xml:space="preserve">below LoD
======</t>
      </text>
    </comment>
    <comment authorId="0" ref="H15">
      <text>
        <t xml:space="preserve">below LoD
======</t>
      </text>
    </comment>
    <comment authorId="0" ref="B16">
      <text>
        <t xml:space="preserve">from autodil runs
======</t>
      </text>
    </comment>
    <comment authorId="0" ref="C16">
      <text>
        <t xml:space="preserve">from autodil runs
======</t>
      </text>
    </comment>
    <comment authorId="0" ref="E16">
      <text>
        <t xml:space="preserve">below LoD
======</t>
      </text>
    </comment>
    <comment authorId="0" ref="B17">
      <text>
        <t xml:space="preserve">from autodil runs
======</t>
      </text>
    </comment>
    <comment authorId="0" ref="C17">
      <text>
        <t xml:space="preserve">from autodil runs
======</t>
      </text>
    </comment>
    <comment authorId="0" ref="E17">
      <text>
        <t xml:space="preserve">below LoD
======</t>
      </text>
    </comment>
    <comment authorId="0" ref="E19">
      <text>
        <t xml:space="preserve">below LoD
======</t>
      </text>
    </comment>
    <comment authorId="0" ref="E20">
      <text>
        <t xml:space="preserve">below LoD
======</t>
      </text>
    </comment>
    <comment authorId="0" ref="B21">
      <text>
        <t xml:space="preserve">from autodil runs
======</t>
      </text>
    </comment>
    <comment authorId="0" ref="C21">
      <text>
        <t xml:space="preserve">from autodil runs
======</t>
      </text>
    </comment>
    <comment authorId="0" ref="E23">
      <text>
        <t xml:space="preserve">below LoD
======</t>
      </text>
    </comment>
    <comment authorId="0" ref="G23">
      <text>
        <t xml:space="preserve">below LoD
======</t>
      </text>
    </comment>
    <comment authorId="0" ref="B24">
      <text>
        <t xml:space="preserve">from autodil runs
======</t>
      </text>
    </comment>
    <comment authorId="0" ref="C24">
      <text>
        <t xml:space="preserve">from autodil runs
======</t>
      </text>
    </comment>
    <comment authorId="0" ref="E24">
      <text>
        <t xml:space="preserve">below LoD
======</t>
      </text>
    </comment>
    <comment authorId="0" ref="G24">
      <text>
        <t xml:space="preserve">below LoD
======</t>
      </text>
    </comment>
    <comment authorId="0" ref="E25">
      <text>
        <t xml:space="preserve">below LoD
======</t>
      </text>
    </comment>
    <comment authorId="0" ref="E26">
      <text>
        <t xml:space="preserve">below LoD
======</t>
      </text>
    </comment>
    <comment authorId="0" ref="E27">
      <text>
        <t xml:space="preserve">below LoD
======</t>
      </text>
    </comment>
    <comment authorId="0" ref="F27">
      <text>
        <t xml:space="preserve">below LoD
======</t>
      </text>
    </comment>
    <comment authorId="0" ref="G27">
      <text>
        <t xml:space="preserve">below LoD
======</t>
      </text>
    </comment>
    <comment authorId="0" ref="H27">
      <text>
        <t xml:space="preserve">below LoD
======</t>
      </text>
    </comment>
    <comment authorId="0" ref="E28">
      <text>
        <t xml:space="preserve">below LoD
======</t>
      </text>
    </comment>
    <comment authorId="0" ref="F28">
      <text>
        <t xml:space="preserve">below LoD
======</t>
      </text>
    </comment>
    <comment authorId="0" ref="G28">
      <text>
        <t xml:space="preserve">below LoD
======</t>
      </text>
    </comment>
    <comment authorId="0" ref="H28">
      <text>
        <t xml:space="preserve">below LoD
======</t>
      </text>
    </comment>
    <comment authorId="0" ref="E30">
      <text>
        <t xml:space="preserve">below LoD
======</t>
      </text>
    </comment>
    <comment authorId="0" ref="G31">
      <text>
        <t xml:space="preserve">below LoD
======</t>
      </text>
    </comment>
    <comment authorId="0" ref="B32">
      <text>
        <t xml:space="preserve">from autodil runs
======</t>
      </text>
    </comment>
    <comment authorId="0" ref="C32">
      <text>
        <t xml:space="preserve">from autodil runs
======</t>
      </text>
    </comment>
    <comment authorId="0" ref="E32">
      <text>
        <t xml:space="preserve">below LoD
======</t>
      </text>
    </comment>
    <comment authorId="0" ref="E33">
      <text>
        <t xml:space="preserve">below LoD
======</t>
      </text>
    </comment>
    <comment authorId="0" ref="G33">
      <text>
        <t xml:space="preserve">below LoD
======</t>
      </text>
    </comment>
    <comment authorId="0" ref="E34">
      <text>
        <t xml:space="preserve">below LoD
======</t>
      </text>
    </comment>
    <comment authorId="0" ref="G34">
      <text>
        <t xml:space="preserve">below LoD
======</t>
      </text>
    </comment>
    <comment authorId="0" ref="E35">
      <text>
        <t xml:space="preserve">below LoD
======</t>
      </text>
    </comment>
    <comment authorId="0" ref="E36">
      <text>
        <t xml:space="preserve">below LoD
======</t>
      </text>
    </comment>
    <comment authorId="0" ref="G36">
      <text>
        <t xml:space="preserve">below LoD
======</t>
      </text>
    </comment>
    <comment authorId="0" ref="B37">
      <text>
        <t xml:space="preserve">from autodil runs
======</t>
      </text>
    </comment>
    <comment authorId="0" ref="C37">
      <text>
        <t xml:space="preserve">from autodil runs
======</t>
      </text>
    </comment>
    <comment authorId="0" ref="E37">
      <text>
        <t xml:space="preserve">below LoD
======</t>
      </text>
    </comment>
    <comment authorId="0" ref="G37">
      <text>
        <t xml:space="preserve">below LoD
======</t>
      </text>
    </comment>
    <comment authorId="0" ref="B38">
      <text>
        <t xml:space="preserve">from autodil runs
======</t>
      </text>
    </comment>
    <comment authorId="0" ref="C38">
      <text>
        <t xml:space="preserve">from autodil runs
======</t>
      </text>
    </comment>
    <comment authorId="0" ref="E38">
      <text>
        <t xml:space="preserve">below LoD
======</t>
      </text>
    </comment>
    <comment authorId="0" ref="F38">
      <text>
        <t xml:space="preserve">below LoD
======</t>
      </text>
    </comment>
    <comment authorId="0" ref="G38">
      <text>
        <t xml:space="preserve">below LoD
======</t>
      </text>
    </comment>
    <comment authorId="0" ref="H38">
      <text>
        <t xml:space="preserve">below LoD
======</t>
      </text>
    </comment>
    <comment authorId="0" ref="B39">
      <text>
        <t xml:space="preserve">from autodil runs
======</t>
      </text>
    </comment>
    <comment authorId="0" ref="C39">
      <text>
        <t xml:space="preserve">from autodil runs
======</t>
      </text>
    </comment>
    <comment authorId="0" ref="E39">
      <text>
        <t xml:space="preserve">below LoD
======</t>
      </text>
    </comment>
    <comment authorId="0" ref="G39">
      <text>
        <t xml:space="preserve">below LoD
======</t>
      </text>
    </comment>
    <comment authorId="0" ref="E40">
      <text>
        <t xml:space="preserve">below LoD
======</t>
      </text>
    </comment>
    <comment authorId="0" ref="B41">
      <text>
        <t xml:space="preserve">from autodil runs
======</t>
      </text>
    </comment>
    <comment authorId="0" ref="C41">
      <text>
        <t xml:space="preserve">from autodil runs
======</t>
      </text>
    </comment>
    <comment authorId="0" ref="E41">
      <text>
        <t xml:space="preserve">below LoD
======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4">
      <text>
        <t xml:space="preserve">val = 1881693.27 (removed to improve curve)
======</t>
      </text>
    </comment>
    <comment authorId="0" ref="G5">
      <text>
        <t xml:space="preserve">removed value ( = 12505272.11) to improve curve
======</t>
      </text>
    </comment>
    <comment authorId="0" ref="H5">
      <text>
        <t xml:space="preserve">val = 1866717.85 (removed to improve curve)
======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F13">
      <text>
        <t xml:space="preserve">averaged 062522 DOC values
======</t>
      </text>
    </comment>
    <comment authorId="0" ref="F14">
      <text>
        <t xml:space="preserve">averaged 062522 DOC values
======</t>
      </text>
    </comment>
    <comment authorId="0" ref="F15">
      <text>
        <t xml:space="preserve">averaged 062522 DOC values
======</t>
      </text>
    </comment>
    <comment authorId="0" ref="F16">
      <text>
        <t xml:space="preserve">averaged 070822 DOC values
======</t>
      </text>
    </comment>
    <comment authorId="0" ref="F17">
      <text>
        <t xml:space="preserve">averaged 070822 DOC values
======</t>
      </text>
    </comment>
    <comment authorId="0" ref="F18">
      <text>
        <t xml:space="preserve">averaged 070822 DOC values
======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4">
      <text>
        <t xml:space="preserve">removed value ( = 2665412.1) to improve curve
======</t>
      </text>
    </comment>
    <comment authorId="0" ref="H4">
      <text>
        <t xml:space="preserve">removed value ( = 1954199.28) to improve curve
======</t>
      </text>
    </comment>
    <comment authorId="0" ref="G5">
      <text>
        <t xml:space="preserve">removed value ( = 12170270.19) to improve curve
======</t>
      </text>
    </comment>
    <comment authorId="0" ref="H5">
      <text>
        <t xml:space="preserve">removed value ( = 1841269.07) to improve curve
======</t>
      </text>
    </comment>
    <comment authorId="0" ref="E6">
      <text>
        <t xml:space="preserve">removed value ( = 1078692.7) to improve curve
======</t>
      </text>
    </comment>
    <comment authorId="0" ref="F19">
      <text>
        <t xml:space="preserve">removed value ( = 185262.89) to improve curve
======</t>
      </text>
    </comment>
    <comment authorId="0" ref="G20">
      <text>
        <t xml:space="preserve">removed value ( = 13789438.7) to improve curve
======</t>
      </text>
    </comment>
    <comment authorId="0" ref="H20">
      <text>
        <t xml:space="preserve">removed value ( = 1848846.05) to improve curve
======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S23">
      <text>
        <t xml:space="preserve">calculated negative conc. - removed
======</t>
      </text>
    </comment>
    <comment authorId="0" ref="Z23">
      <text>
        <t xml:space="preserve">calculated negative conc. - removed
======</t>
      </text>
    </comment>
    <comment authorId="0" ref="AG23">
      <text>
        <t xml:space="preserve">calculated negative conc. - removed
======</t>
      </text>
    </comment>
    <comment authorId="0" ref="S24">
      <text>
        <t xml:space="preserve">calculated negative conc. - removed
======</t>
      </text>
    </comment>
    <comment authorId="0" ref="Z24">
      <text>
        <t xml:space="preserve">calculated negative conc. - removed
======</t>
      </text>
    </comment>
    <comment authorId="0" ref="AG24">
      <text>
        <t xml:space="preserve">calculated negative conc. - removed
======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5">
      <text>
        <t xml:space="preserve">removed value ( = 13518132.47) to improve curve
======</t>
      </text>
    </comment>
    <comment authorId="0" ref="H5">
      <text>
        <t xml:space="preserve">removed value ( = 1865280.33) to improve curve
======</t>
      </text>
    </comment>
    <comment authorId="0" ref="G20">
      <text>
        <t xml:space="preserve">removed value ( = 13424965.34) to improve curve
======</t>
      </text>
    </comment>
    <comment authorId="0" ref="H20">
      <text>
        <t xml:space="preserve">removed value ( = 1756737.32) to improve curve
======</t>
      </text>
    </comment>
    <comment authorId="0" ref="F21">
      <text>
        <t xml:space="preserve">removed value ( = 153461.05) to improve curve
======</t>
      </text>
    </comment>
  </commentList>
</comments>
</file>

<file path=xl/sharedStrings.xml><?xml version="1.0" encoding="utf-8"?>
<sst xmlns="http://schemas.openxmlformats.org/spreadsheetml/2006/main" count="1467" uniqueCount="368">
  <si>
    <t>Sample ID</t>
  </si>
  <si>
    <t>Axis Label</t>
  </si>
  <si>
    <t>Sample Collection Date</t>
  </si>
  <si>
    <t>Sample Location</t>
  </si>
  <si>
    <t>Sample Location Description</t>
  </si>
  <si>
    <t>Sample Collection Time (Local)</t>
  </si>
  <si>
    <t>Latitude (N)</t>
  </si>
  <si>
    <t>Longitude (E)</t>
  </si>
  <si>
    <t>Elevation (m asl)</t>
  </si>
  <si>
    <t>Sample Type</t>
  </si>
  <si>
    <t>Season</t>
  </si>
  <si>
    <t>Year</t>
  </si>
  <si>
    <t>Early vs. Late Season (March-July vs. August-October)</t>
  </si>
  <si>
    <t>Denisty (kg/m3)</t>
  </si>
  <si>
    <t>Grain Size Estimate (µm)</t>
  </si>
  <si>
    <t>Snow Thickness Estimate (m)</t>
  </si>
  <si>
    <t>Cosine of Solar Zenith Angle</t>
  </si>
  <si>
    <t>Spectral Irradiance (Broadband Surface-Incident Solar Flux)</t>
  </si>
  <si>
    <t>Albedo (Broadband)</t>
  </si>
  <si>
    <t>RF</t>
  </si>
  <si>
    <t>[DOC] mg/L</t>
  </si>
  <si>
    <t>[DOC-Efficiency] mg/L</t>
  </si>
  <si>
    <t>[B6CA] uM</t>
  </si>
  <si>
    <t>[B5CA] uM</t>
  </si>
  <si>
    <t>[B4CA] uM</t>
  </si>
  <si>
    <t>[1,2,3-B3CA] uM</t>
  </si>
  <si>
    <t>[1,2,4-B3CA] uM</t>
  </si>
  <si>
    <t>[1,3,5-B5CA] uM</t>
  </si>
  <si>
    <t>[B3CA] uM</t>
  </si>
  <si>
    <t>Dittmar [DBC] µM-C IJV</t>
  </si>
  <si>
    <t>Dittmar [DBC] mg-C/L</t>
  </si>
  <si>
    <t>Dittmar [DBC] µg-C/L</t>
  </si>
  <si>
    <t>DBC:DOC (%) - Dittmar (2008)</t>
  </si>
  <si>
    <t>Sum BPCAs</t>
  </si>
  <si>
    <t>B6CA</t>
  </si>
  <si>
    <t>B5CA</t>
  </si>
  <si>
    <t>B4CA</t>
  </si>
  <si>
    <t>B3CA</t>
  </si>
  <si>
    <t>(B3+B4)/B5 (Khan)</t>
  </si>
  <si>
    <t>Ratio B6CA:B5CA</t>
  </si>
  <si>
    <t>Ratio B4CA:B3CA</t>
  </si>
  <si>
    <t>[B6CA] + [B5CA] uM</t>
  </si>
  <si>
    <t>[B4CA] + [B3CA] uM</t>
  </si>
  <si>
    <t>Ratio B6+B5:B4+B3</t>
  </si>
  <si>
    <t>Ratio B3+B4:B5+B6</t>
  </si>
  <si>
    <t>Stubbins [B6CA+B5CA] nM</t>
  </si>
  <si>
    <t>Stubbins [DBC] µM-C</t>
  </si>
  <si>
    <t>Stubbins [DBC] mg-C/L</t>
  </si>
  <si>
    <t>Stubbins [DBC] µg-C/L</t>
  </si>
  <si>
    <t>DBC:DOC (%) - Stubbins et al. (2015)</t>
  </si>
  <si>
    <t>2023-5-20-AP-DBC</t>
  </si>
  <si>
    <t>20-May-2023 (AP)</t>
  </si>
  <si>
    <t>Artist Point</t>
  </si>
  <si>
    <t>class sample near snow pit</t>
  </si>
  <si>
    <t>snow</t>
  </si>
  <si>
    <t>MAM</t>
  </si>
  <si>
    <t>Early</t>
  </si>
  <si>
    <t>2023-7-24-AP-DBC</t>
  </si>
  <si>
    <t>JJA</t>
  </si>
  <si>
    <t>2023-3-2-BB-DBC</t>
  </si>
  <si>
    <t>Bagley Basin</t>
  </si>
  <si>
    <t>above Bagley Basin, about 15 min walk from parking lot</t>
  </si>
  <si>
    <t>2023-5-6-BB-DBC</t>
  </si>
  <si>
    <t>Class sample spot near terminal lake</t>
  </si>
  <si>
    <t>2023-5-20-BB-DBC</t>
  </si>
  <si>
    <t>20-May-2023 (BB)</t>
  </si>
  <si>
    <t>above Bagley Basin, near upper restroom/visitor center</t>
  </si>
  <si>
    <t>2023-6-8-BB-DBC</t>
  </si>
  <si>
    <t>above Bagley Basin along south wall</t>
  </si>
  <si>
    <t>2023-6-26-BB-DBC</t>
  </si>
  <si>
    <t>2023-7-10-BB-DBC</t>
  </si>
  <si>
    <t>2023-7-17-BB-DBC</t>
  </si>
  <si>
    <t>2022-5-16-BB-DBC</t>
  </si>
  <si>
    <t>Lower Bagley Basin (LB)</t>
  </si>
  <si>
    <t>2022-6-BB-DBC</t>
  </si>
  <si>
    <t>Jun-2022</t>
  </si>
  <si>
    <t>2022-7-BB-DBC</t>
  </si>
  <si>
    <t>Jul-2022</t>
  </si>
  <si>
    <t>2023-8-6-CK-DBC</t>
  </si>
  <si>
    <t>Camp Kiser</t>
  </si>
  <si>
    <t>snow patch with bright red algae near Camp Kiser, above the Sholes Glacier</t>
  </si>
  <si>
    <t>Late</t>
  </si>
  <si>
    <t>2023-8-23-CK-DBC</t>
  </si>
  <si>
    <t>2022-8-11-EASTON-1-DBC</t>
  </si>
  <si>
    <t>Easton Glacier</t>
  </si>
  <si>
    <t>in debris-covered area near Deming Overlook</t>
  </si>
  <si>
    <t>2022-8-11-EASTON-sup-melt</t>
  </si>
  <si>
    <t>11-Aug-2022 (Melt)</t>
  </si>
  <si>
    <t>exposed blue ice near/above terminus</t>
  </si>
  <si>
    <t>supraglacial melt</t>
  </si>
  <si>
    <t>2022-07-14-NF2A</t>
  </si>
  <si>
    <t>14-Jul-2022 (NF)</t>
  </si>
  <si>
    <t>Narada Falls (Paradise River)</t>
  </si>
  <si>
    <t>Paradise River at Narada Falls</t>
  </si>
  <si>
    <t>river</t>
  </si>
  <si>
    <t>2022-8-15-NARADA</t>
  </si>
  <si>
    <t>15-Aug-2022 (NF)</t>
  </si>
  <si>
    <t>Narada Falls</t>
  </si>
  <si>
    <t>creek sample just above Narada Falls</t>
  </si>
  <si>
    <t>2022-07-14-PC1A</t>
  </si>
  <si>
    <t>14-Jul-2022 (PC)</t>
  </si>
  <si>
    <t>Pebble Creek</t>
  </si>
  <si>
    <t>Pebble Creek stream (high elevation)</t>
  </si>
  <si>
    <t>stream</t>
  </si>
  <si>
    <t>2022-8-15-PC</t>
  </si>
  <si>
    <t>15-Aug-2022 (PC)</t>
  </si>
  <si>
    <t>Pebble Creek water sample</t>
  </si>
  <si>
    <t>2022-9-15-PR-SNOW</t>
  </si>
  <si>
    <t>15-Sept-2022 (PR)</t>
  </si>
  <si>
    <t>Ptarmigan Ridge</t>
  </si>
  <si>
    <t>small snow patch along Ptarmigan Ridge trail</t>
  </si>
  <si>
    <t>SON</t>
  </si>
  <si>
    <t>2022-8-6-RAINBOW-1-DBC</t>
  </si>
  <si>
    <t>Rainbow Glacier</t>
  </si>
  <si>
    <t>sampling in area below Dorr fumarole - lots of red algae spread over a snow slope</t>
  </si>
  <si>
    <t>2022-8-5-SHOLES-1-DBC</t>
  </si>
  <si>
    <t>Sholes Glacier</t>
  </si>
  <si>
    <t>flat area beneath portals</t>
  </si>
  <si>
    <t>2022-9-15-SHOLES-1-DBC</t>
  </si>
  <si>
    <t>15-Sept-2022 (SH)</t>
  </si>
  <si>
    <t>edge of glacier near walking entrance (east)</t>
  </si>
  <si>
    <t>2022-9-15-NF</t>
  </si>
  <si>
    <t>15-Sept-2022 (NF)</t>
  </si>
  <si>
    <t>Nooksack River- North Fork</t>
  </si>
  <si>
    <t>Khan Lab NF sampling location near Warnick Bridge</t>
  </si>
  <si>
    <t>2022-9-25-SHOLES-1-DBC</t>
  </si>
  <si>
    <t>25-Sept-2022</t>
  </si>
  <si>
    <t>2022-9-25-NFE</t>
  </si>
  <si>
    <t>25-Sept-2022 (NF)</t>
  </si>
  <si>
    <t>Nooksack River - North Fork</t>
  </si>
  <si>
    <t>east of regular Khan NF sampling location - located
near the Salmon Ridge Sno-Park</t>
  </si>
  <si>
    <t>2022-10-14-SHOLES-1-DBC</t>
  </si>
  <si>
    <t>2022-7-15-MUIR-A-DBC</t>
  </si>
  <si>
    <t>Muir Snowfield</t>
  </si>
  <si>
    <t>elevation gradient up snowfield</t>
  </si>
  <si>
    <t>2022-8-15-MUIR-1-DBC</t>
  </si>
  <si>
    <t>elev profile down Muir Snowfield - tried to sample away from where people were walking
snow was very dirty- tried to sample where there was less dust/dirt</t>
  </si>
  <si>
    <t>2022-10-14-NF</t>
  </si>
  <si>
    <t>14-Oct-2022 (NF)</t>
  </si>
  <si>
    <t>2022-11-19-NF-KHAN4-DBC</t>
  </si>
  <si>
    <t>19-Nov-2022 (NF)</t>
  </si>
  <si>
    <t>Nooksack River (NF)</t>
  </si>
  <si>
    <t>north fork</t>
  </si>
  <si>
    <t>in original sample</t>
  </si>
  <si>
    <t>FINAL [BPCA] USED - in original sample</t>
  </si>
  <si>
    <t>[BPCA] standard deviation</t>
  </si>
  <si>
    <t>[B6CA] stdev</t>
  </si>
  <si>
    <t>[B5CA] stdev</t>
  </si>
  <si>
    <t>[B4CA] stdev</t>
  </si>
  <si>
    <t>[B3CA] stdev</t>
  </si>
  <si>
    <t>2022-7-15-MUIR-A-DBC-a</t>
  </si>
  <si>
    <t>2022-7-15-MUIR-A-DBC-b</t>
  </si>
  <si>
    <t>2022-8-5-SHOLES-1-DBC-a</t>
  </si>
  <si>
    <t>2022-8-5-SHOLES-1-DBC-b</t>
  </si>
  <si>
    <t>2022-6-BB-DBC-a</t>
  </si>
  <si>
    <t>2022-6-BB-DBC-b</t>
  </si>
  <si>
    <t>2022-6-BB-DBC-c</t>
  </si>
  <si>
    <t>2022-7-BB-DBC-a</t>
  </si>
  <si>
    <t>2022-7-BB-DBC-b</t>
  </si>
  <si>
    <t>2022-7-BB-DBC-c</t>
  </si>
  <si>
    <t>2023-5-6-BB-DBC-a</t>
  </si>
  <si>
    <t>2023-5-6-BB-DBC-b</t>
  </si>
  <si>
    <t>Location</t>
  </si>
  <si>
    <t>Date SPE Start</t>
  </si>
  <si>
    <t>Date SPE Finish</t>
  </si>
  <si>
    <t>V-SPE (mL)</t>
  </si>
  <si>
    <t>DOC (mg/L)</t>
  </si>
  <si>
    <t>DOC-SPE (uM)</t>
  </si>
  <si>
    <t>Empty Vial (g)</t>
  </si>
  <si>
    <t>Full Vial (g)</t>
  </si>
  <si>
    <t>V-MeOH (mL) (scale)</t>
  </si>
  <si>
    <t>V-MeOH (mL) (pipette)</t>
  </si>
  <si>
    <t>DOC-PPL (uM)</t>
  </si>
  <si>
    <t>DOC-PPL (mM)</t>
  </si>
  <si>
    <t>DOC-MeOH (mg/L)</t>
  </si>
  <si>
    <t>mg-DOC ox (SPE-DOC (mg))</t>
  </si>
  <si>
    <t>V-MeOH to dry (ml)</t>
  </si>
  <si>
    <t xml:space="preserve">#1 V-MeOH added (mL) </t>
  </si>
  <si>
    <t>#2 V-MeOH added (mL)</t>
  </si>
  <si>
    <t>#3 V-MeOH added (mL)</t>
  </si>
  <si>
    <t>#4 V-MeOH added (mL)</t>
  </si>
  <si>
    <t>#5 V-MeOH added (mL)</t>
  </si>
  <si>
    <t>Final V-MeOH to dry (mL)</t>
  </si>
  <si>
    <t>Final mg-DOC ox (mg)</t>
  </si>
  <si>
    <t>V-Mobile (uL)</t>
  </si>
  <si>
    <t>Target DOC for BPCA injection (umol/mL)</t>
  </si>
  <si>
    <t>Notes</t>
  </si>
  <si>
    <t>&lt;-- this value must be 180 umol/mL or greater for BPCA detection</t>
  </si>
  <si>
    <t>0.09</t>
  </si>
  <si>
    <t>0.29</t>
  </si>
  <si>
    <t>2022-11-19-NF</t>
  </si>
  <si>
    <t>sample identifier</t>
  </si>
  <si>
    <t>Sample V (mL)</t>
  </si>
  <si>
    <t>volume of sample passed through SPE cartridge; volume of filtered water extracted (MEASURED)</t>
  </si>
  <si>
    <t>Sample DOC (uM)</t>
  </si>
  <si>
    <t>concentration of DOC in filtered sample water (MEASURED)</t>
  </si>
  <si>
    <t>V MeOH (mL)</t>
  </si>
  <si>
    <t>volume of methanol used to elute DOC from SPE cartridge (MEASURED)</t>
  </si>
  <si>
    <t>concentration of DOC in methanol eluate (CALCULATED) Assumes 60% recovery (40% loss) this may need to be adjusted depending on sample type. Riverine samples can have 60-80% recovery whereas highly photodegraded samples or oceanic samples can have ~45% recovery. For unknown samples, we recommend estimating a 50% SPE recovery.</t>
  </si>
  <si>
    <t>mg-DOC ox</t>
  </si>
  <si>
    <t>target amount of DOC that needs to be oxidized for BPCA analysis (USUALLY 0.5 mg-C; can be modified based on expected sample composition; best practice is to keep this mass as consistent as possible throughout a given sample set)</t>
  </si>
  <si>
    <t>V MeOH to dry</t>
  </si>
  <si>
    <t>volume of methanol eluate that needs to be transferred to glass ampule; based on DOC-PPL concentration (CALCULATED)</t>
  </si>
  <si>
    <t>V mobile (uL)</t>
  </si>
  <si>
    <t>volume of mobile phase used to re-dissolve BPCAs in vial for HPLC analysis (USUALLY 200uL; volume can be decreased if C concentration is low or increased if C concentration is extremely high)</t>
  </si>
  <si>
    <t>Est. Extraction Efficiency</t>
  </si>
  <si>
    <r>
      <rPr>
        <rFont val="Calibri"/>
        <b/>
        <color theme="1"/>
        <sz val="11.0"/>
      </rPr>
      <t>r</t>
    </r>
    <r>
      <rPr>
        <rFont val="Calibri"/>
        <b/>
        <color theme="1"/>
        <sz val="11.0"/>
      </rPr>
      <t>MeOH (g/mL)</t>
    </r>
  </si>
  <si>
    <t>this value must be 180 umol/mL or greater for BPCA detection</t>
  </si>
  <si>
    <t>Fill in with your own values</t>
  </si>
  <si>
    <t>Highlighted for emphasis</t>
  </si>
  <si>
    <t>Peak Areas</t>
  </si>
  <si>
    <t>Retention Time (min)</t>
  </si>
  <si>
    <t>*for all samples other than 11/19/22 NF</t>
  </si>
  <si>
    <t>Std Conc. (uM-C)</t>
  </si>
  <si>
    <t>B6CA (area)</t>
  </si>
  <si>
    <t>B5CA (area)</t>
  </si>
  <si>
    <t>B4CA (area)</t>
  </si>
  <si>
    <t>1,2,3-B3CA (area)</t>
  </si>
  <si>
    <t>1,2,4-B3CA (area)</t>
  </si>
  <si>
    <t>1,3,5-B5CA (area)</t>
  </si>
  <si>
    <t>B6CA (rt)</t>
  </si>
  <si>
    <t>B5CA (rt)</t>
  </si>
  <si>
    <t>B4CA (rt)</t>
  </si>
  <si>
    <t>1,2,3-B3CA (rt)</t>
  </si>
  <si>
    <t>1,2,4-B3CA (rt)</t>
  </si>
  <si>
    <t>1,3,5-B5CA (rt)</t>
  </si>
  <si>
    <t>concentration of BPCA-C standard solution (this concentration is a CARBON concentration, see Wagner et al., 2017)</t>
  </si>
  <si>
    <t>BPCA (area)</t>
  </si>
  <si>
    <t>area of BPCA peak integrated from chromatogram (MEASURED)</t>
  </si>
  <si>
    <t>BPCA (rt)</t>
  </si>
  <si>
    <t>retention time of BPCA peak (MEASURED)</t>
  </si>
  <si>
    <t>BPCA (mass)</t>
  </si>
  <si>
    <t>mass of BPCA used to make 5000 uM BPCA-C stock solution using 100 mL of solute (MEASURED)</t>
  </si>
  <si>
    <t>[BPCA] uM</t>
  </si>
  <si>
    <t>concentration of individual BPCA in standard solutions (CALCULATED)</t>
  </si>
  <si>
    <t>volume (mL) of solute (0.6M phosphoric acid) used to creat 5000 uM-C BPCA stock solution</t>
  </si>
  <si>
    <t>B6CA (mass)</t>
  </si>
  <si>
    <t>B5CA (mass)</t>
  </si>
  <si>
    <t>B4CA (mass)</t>
  </si>
  <si>
    <t>1,2,3-B3CA (mass)</t>
  </si>
  <si>
    <t>1,2,4-B5CA (mass)</t>
  </si>
  <si>
    <t>1,3,5-B5CA (mass)</t>
  </si>
  <si>
    <t>mass for 5000 uM BPCA-C (mg)</t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</si>
  <si>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</si>
  <si>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t>14 mg B6CA</t>
  </si>
  <si>
    <t>1 g BPCA</t>
  </si>
  <si>
    <t>1 mol</t>
  </si>
  <si>
    <t>1000 mmol</t>
  </si>
  <si>
    <t>1000 umol</t>
  </si>
  <si>
    <t>1000 mL</t>
  </si>
  <si>
    <t>=</t>
  </si>
  <si>
    <t>409 uM</t>
  </si>
  <si>
    <t>[1,2,4-B5CA] uM</t>
  </si>
  <si>
    <t>in 100 mL</t>
  </si>
  <si>
    <t>1000 mg BPCA</t>
  </si>
  <si>
    <t>342.17 g B6CA</t>
  </si>
  <si>
    <t>1 mmol</t>
  </si>
  <si>
    <t>1 L</t>
  </si>
  <si>
    <t>Calibration Equations are highlighted for emphasis</t>
  </si>
  <si>
    <t>Note: calibration equations for B6CA and B5CA are used for DBC calculations</t>
  </si>
  <si>
    <t xml:space="preserve"> </t>
  </si>
  <si>
    <t>1,2,3-B3CA</t>
  </si>
  <si>
    <t>1,2,4-B5CA</t>
  </si>
  <si>
    <t>1,3,5-B5CA</t>
  </si>
  <si>
    <t>slope</t>
  </si>
  <si>
    <t>intercept</t>
  </si>
  <si>
    <t>r^2</t>
  </si>
  <si>
    <t>BPCA formula</t>
  </si>
  <si>
    <t>molar mass (g/mol)</t>
  </si>
  <si>
    <t># C atoms</t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</si>
  <si>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</si>
  <si>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t>1st LC run 2/22/2024</t>
  </si>
  <si>
    <t>*for 11/19/24 NF sample only</t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</si>
  <si>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</si>
  <si>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</si>
  <si>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t>below LoD</t>
  </si>
  <si>
    <t>Slope</t>
  </si>
  <si>
    <t>Intercept</t>
  </si>
  <si>
    <t>Areas and Retention Times from HPLC + QTOF</t>
  </si>
  <si>
    <t>in HPLC vial</t>
  </si>
  <si>
    <t>in MeOH eluate</t>
  </si>
  <si>
    <t>Values necessary for calculations (Cascades 2022 River/Stream/Melt PPL tab)</t>
  </si>
  <si>
    <t>B6CA Peak A</t>
  </si>
  <si>
    <t>B5CA Peak A</t>
  </si>
  <si>
    <t>B4CA Peak A</t>
  </si>
  <si>
    <t>1,2,3-B3CA Peak A</t>
  </si>
  <si>
    <t>1,2,4-B3CA Peak A</t>
  </si>
  <si>
    <t>1,3,5-B5CA Peak A</t>
  </si>
  <si>
    <t>B6CA rt (min)</t>
  </si>
  <si>
    <t>B5CA rt (min)</t>
  </si>
  <si>
    <t>B4CA rt (min)</t>
  </si>
  <si>
    <t>1,2,3-B3CA rt (min)</t>
  </si>
  <si>
    <t>1,2,4-B3CA rt (min)</t>
  </si>
  <si>
    <t>1,3,5-B5CA rt (min)</t>
  </si>
  <si>
    <t>[DOC] uM-C</t>
  </si>
  <si>
    <t>[DOC] mg-C/L</t>
  </si>
  <si>
    <t>V Mobile (mL)</t>
  </si>
  <si>
    <t>V MeOH dried (mL)</t>
  </si>
  <si>
    <t>Integration Notes:</t>
  </si>
  <si>
    <t>Valley to Valley</t>
  </si>
  <si>
    <t>BPCA Peak A</t>
  </si>
  <si>
    <t>peak area from the HPLC (MEASURED)</t>
  </si>
  <si>
    <t>Minimum Area (0.5)</t>
  </si>
  <si>
    <t>rt (min)</t>
  </si>
  <si>
    <t>retention time of peak from the HPLC (MEASURED)</t>
  </si>
  <si>
    <t>Did not integrate shoulder on B5CA, no other shoulders seen</t>
  </si>
  <si>
    <t>[BPCA] uM in HPLC vial</t>
  </si>
  <si>
    <t>concentration of BPCA in the HPLC vial determined from peak area calibration (CALCULATED)</t>
  </si>
  <si>
    <t>[BPCA] uM in original sample</t>
  </si>
  <si>
    <t>concentration of B6CA scaled up to the original sample volume; note there are no BPCAs in the methanol eluate, rather this is useful for placing black carbon tracers "back into the original sample" (CALCULATED)</t>
  </si>
  <si>
    <t>[B6CA+B5CA]</t>
  </si>
  <si>
    <t>the sum of B6CA and B5CA concentrations to be used to calculate DBC concentration using Stubbins et al. (2015) Supplement (CALCULATED)</t>
  </si>
  <si>
    <t>[DBC]</t>
  </si>
  <si>
    <t>the concentration of dissolved black carbon using Stubbins et al. 2015 eqn (CALCULATED)</t>
  </si>
  <si>
    <t>DBC:DOC (%)</t>
  </si>
  <si>
    <t>the ratio between DBC and DOC (CALCULATED)</t>
  </si>
  <si>
    <t>[DOC]</t>
  </si>
  <si>
    <t>V mobile (mL)</t>
  </si>
  <si>
    <t>volume of mobile phase used to re-dissolve BPCAs in vial for HPLC analysis</t>
  </si>
  <si>
    <t>V MeOH dried</t>
  </si>
  <si>
    <t>volume of methanol eluate that was transferred to glass ampule and dried; based on DOC-PPL concentration (CALCULATED) this value may be different than the V MeOH to dry (see PPL tab) depending on procedure</t>
  </si>
  <si>
    <t>Important results are highlighted for emphasis</t>
  </si>
  <si>
    <t>Values should have carried over from BPCA Calculation sheet</t>
  </si>
  <si>
    <t>Important Notes:</t>
  </si>
  <si>
    <t>V mobile had a change of units from PPL tab</t>
  </si>
  <si>
    <t>[DOC] uM-C calculated from [DOC] mg-C/L</t>
  </si>
  <si>
    <t>V-MeOH to dry (mL)</t>
  </si>
  <si>
    <t>#5 V-MeOH added (ml)</t>
  </si>
  <si>
    <t>extremely slow. Took &gt; 3 weeks to process.</t>
  </si>
  <si>
    <t>extremely slow. Took &gt; 3 weeks to process. V (SPE) is likely under reported due to a spill.</t>
  </si>
  <si>
    <t>ampule tip broke when adding methanol</t>
  </si>
  <si>
    <t>3/4 bottle (1) from 5-16-22, averaged class DOC values from 5-16-22</t>
  </si>
  <si>
    <t>combined (2) full bottles from 6-25-22 and 6-30-22, used 6-25-22 A DOC value</t>
  </si>
  <si>
    <t>combined (1) bottle from 7-8-22 and (2) bottles from 7-25-22, averaged 7-25-22 1 and 2 and 7-8-22 1 DOC values</t>
  </si>
  <si>
    <r>
      <rPr>
        <rFont val="Calibri"/>
        <b/>
        <color theme="1"/>
        <sz val="11.0"/>
      </rPr>
      <t>r</t>
    </r>
    <r>
      <rPr>
        <rFont val="Calibri"/>
        <b/>
        <color theme="1"/>
        <sz val="11.0"/>
      </rPr>
      <t>MeOH (g/mL)</t>
    </r>
  </si>
  <si>
    <t>V MeOH to dry is highlighted for emphasis</t>
  </si>
  <si>
    <t>1st QTOF run 3/27/24</t>
  </si>
  <si>
    <t>2nd QTOF run 3/28/24</t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</si>
  <si>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</si>
  <si>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</si>
  <si>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t>above LoD</t>
  </si>
  <si>
    <t>Values necessary for calculations (Cascades Snow 2022 PPL tab)</t>
  </si>
  <si>
    <t>QTOF run 2</t>
  </si>
  <si>
    <t>vial empty after oxidation</t>
  </si>
  <si>
    <r>
      <rPr>
        <rFont val="Calibri"/>
        <b/>
        <color theme="1"/>
        <sz val="11.0"/>
      </rPr>
      <t>r</t>
    </r>
    <r>
      <rPr>
        <rFont val="Calibri"/>
        <b/>
        <color theme="1"/>
        <sz val="11.0"/>
      </rPr>
      <t>MeOH (g/mL)</t>
    </r>
  </si>
  <si>
    <t>1st QTOF run 3/21/24</t>
  </si>
  <si>
    <t>2nd QTOF run 3/22/24</t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</si>
  <si>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</si>
  <si>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</si>
  <si>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t>1,2,4-B3CA</t>
  </si>
  <si>
    <t xml:space="preserve">1,2,4-B3CA </t>
  </si>
  <si>
    <t>Values necessary for calculations (Baker 2023 PPL tab)</t>
  </si>
  <si>
    <t>1st QTOF run</t>
  </si>
  <si>
    <t>2nd QTOF run</t>
  </si>
  <si>
    <t>254 nm on LC</t>
  </si>
  <si>
    <t>1st LC run 5/6/2024</t>
  </si>
  <si>
    <t xml:space="preserve">2nd LC run </t>
  </si>
  <si>
    <t>3rd LC run 3/26/2024</t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</si>
  <si>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</si>
  <si>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t>2nd LC run</t>
  </si>
  <si>
    <t>3rd LC run</t>
  </si>
  <si>
    <r>
      <rPr>
        <rFont val="Calibri"/>
        <sz val="11.0"/>
      </rPr>
      <t xml:space="preserve">(copied from </t>
    </r>
    <r>
      <rPr>
        <rFont val="Calibri"/>
        <color rgb="FF1155CC"/>
        <sz val="11.0"/>
        <u/>
      </rPr>
      <t>standards spreadsheet</t>
    </r>
    <r>
      <rPr>
        <rFont val="Calibri"/>
        <sz val="11.0"/>
      </rPr>
      <t>)</t>
    </r>
  </si>
  <si>
    <t>re-run 1</t>
  </si>
  <si>
    <t>re-run 2</t>
  </si>
  <si>
    <t>re-run 3</t>
  </si>
  <si>
    <t>Values necessary for calculations (from PPL tabs)</t>
  </si>
  <si>
    <t>2022-11-19-MF-KHAN5-DBC</t>
  </si>
  <si>
    <t>2022-12-17-MF-KHAN5-DBC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</si>
</sst>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yyyy&quot;-&quot;mm&quot;-&quot;dd"/>
    <numFmt numFmtId="165" formatCode="h&quot;:&quot;mm"/>
    <numFmt numFmtId="166" formatCode="yyyy"/>
    <numFmt numFmtId="167" formatCode="dd&quot;-&quot;mmm&quot;-&quot;yyyy"/>
    <numFmt numFmtId="168" formatCode="0.0000"/>
    <numFmt numFmtId="169" formatCode="0.000"/>
    <numFmt numFmtId="170" formatCode="0.0"/>
    <numFmt numFmtId="171" formatCode="m/d/yyyy"/>
  </numFmts>
  <fonts count="9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/>
    <font>
      <b/>
      <sz val="11.0"/>
      <color rgb="FF000000"/>
      <name val="Calibri"/>
    </font>
    <font>
      <i/>
      <sz val="11.0"/>
      <color theme="1"/>
      <name val="Calibri"/>
    </font>
    <font>
      <u/>
      <sz val="11.0"/>
      <color rgb="FF0000FF"/>
      <name val="Calibri"/>
    </font>
    <font>
      <b/>
      <sz val="11.0"/>
      <color rgb="FFC0504D"/>
      <name val="Calibri"/>
    </font>
    <font>
      <sz val="11.0"/>
      <color rgb="FF000000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EAF1DD"/>
        <bgColor rgb="FFEAF1DD"/>
      </patternFill>
    </fill>
    <fill>
      <patternFill patternType="solid">
        <fgColor rgb="FFE5DFEC"/>
        <bgColor rgb="FFE5DFEC"/>
      </patternFill>
    </fill>
    <fill>
      <patternFill patternType="solid">
        <fgColor rgb="FFF4CCCC"/>
        <bgColor rgb="FFF4CCCC"/>
      </patternFill>
    </fill>
    <fill>
      <patternFill patternType="solid">
        <fgColor rgb="FFFDE9D9"/>
        <bgColor rgb="FFFDE9D9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</fills>
  <borders count="32">
    <border/>
    <border>
      <top style="medium">
        <color rgb="FF000000"/>
      </top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</border>
    <border>
      <left style="thin">
        <color rgb="FF000000"/>
      </left>
      <right/>
      <top/>
      <bottom/>
    </border>
    <border>
      <left style="thin">
        <color rgb="FF000000"/>
      </left>
      <right/>
      <top/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/>
      <right style="thin">
        <color rgb="FF000000"/>
      </right>
      <top/>
      <bottom/>
    </border>
    <border>
      <left/>
      <right style="thin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21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0" fillId="0" fontId="1" numFmtId="2" xfId="0" applyAlignment="1" applyFont="1" applyNumberFormat="1">
      <alignment horizontal="center"/>
    </xf>
    <xf borderId="0" fillId="0" fontId="2" numFmtId="0" xfId="0" applyFont="1"/>
    <xf borderId="0" fillId="0" fontId="2" numFmtId="164" xfId="0" applyAlignment="1" applyFont="1" applyNumberFormat="1">
      <alignment horizontal="right"/>
    </xf>
    <xf borderId="0" fillId="0" fontId="2" numFmtId="165" xfId="0" applyAlignment="1" applyFont="1" applyNumberFormat="1">
      <alignment horizontal="right"/>
    </xf>
    <xf borderId="0" fillId="0" fontId="2" numFmtId="0" xfId="0" applyAlignment="1" applyFont="1">
      <alignment horizontal="right"/>
    </xf>
    <xf borderId="0" fillId="0" fontId="2" numFmtId="166" xfId="0" applyAlignment="1" applyFont="1" applyNumberFormat="1">
      <alignment horizontal="right"/>
    </xf>
    <xf borderId="0" fillId="0" fontId="2" numFmtId="0" xfId="0" applyAlignment="1" applyFont="1">
      <alignment horizontal="left"/>
    </xf>
    <xf borderId="0" fillId="0" fontId="2" numFmtId="167" xfId="0" applyAlignment="1" applyFont="1" applyNumberFormat="1">
      <alignment horizontal="right"/>
    </xf>
    <xf borderId="0" fillId="0" fontId="2" numFmtId="165" xfId="0" applyFont="1" applyNumberFormat="1"/>
    <xf borderId="2" fillId="0" fontId="2" numFmtId="0" xfId="0" applyAlignment="1" applyBorder="1" applyFont="1">
      <alignment horizontal="right"/>
    </xf>
    <xf borderId="0" fillId="0" fontId="2" numFmtId="49" xfId="0" applyFont="1" applyNumberFormat="1"/>
    <xf borderId="0" fillId="0" fontId="2" numFmtId="167" xfId="0" applyFont="1" applyNumberFormat="1"/>
    <xf borderId="0" fillId="0" fontId="2" numFmtId="0" xfId="0" applyFont="1"/>
    <xf borderId="3" fillId="0" fontId="1" numFmtId="0" xfId="0" applyAlignment="1" applyBorder="1" applyFon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4" fillId="0" fontId="1" numFmtId="0" xfId="0" applyAlignment="1" applyBorder="1" applyFont="1">
      <alignment horizontal="center" vertical="center"/>
    </xf>
    <xf borderId="6" fillId="0" fontId="1" numFmtId="0" xfId="0" applyBorder="1" applyFont="1"/>
    <xf borderId="7" fillId="0" fontId="1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8" fillId="0" fontId="1" numFmtId="0" xfId="0" applyAlignment="1" applyBorder="1" applyFont="1">
      <alignment horizontal="center"/>
    </xf>
    <xf borderId="7" fillId="0" fontId="2" numFmtId="2" xfId="0" applyBorder="1" applyFont="1" applyNumberFormat="1"/>
    <xf borderId="7" fillId="0" fontId="2" numFmtId="168" xfId="0" applyBorder="1" applyFont="1" applyNumberFormat="1"/>
    <xf borderId="1" fillId="0" fontId="2" numFmtId="168" xfId="0" applyBorder="1" applyFont="1" applyNumberFormat="1"/>
    <xf borderId="8" fillId="0" fontId="2" numFmtId="168" xfId="0" applyBorder="1" applyFont="1" applyNumberFormat="1"/>
    <xf borderId="0" fillId="0" fontId="2" numFmtId="4" xfId="0" applyFont="1" applyNumberFormat="1"/>
    <xf borderId="9" fillId="0" fontId="2" numFmtId="2" xfId="0" applyBorder="1" applyFont="1" applyNumberFormat="1"/>
    <xf borderId="9" fillId="0" fontId="2" numFmtId="168" xfId="0" applyBorder="1" applyFont="1" applyNumberFormat="1"/>
    <xf borderId="0" fillId="0" fontId="2" numFmtId="168" xfId="0" applyFont="1" applyNumberFormat="1"/>
    <xf borderId="10" fillId="0" fontId="2" numFmtId="168" xfId="0" applyBorder="1" applyFont="1" applyNumberFormat="1"/>
    <xf borderId="9" fillId="0" fontId="2" numFmtId="0" xfId="0" applyBorder="1" applyFont="1"/>
    <xf borderId="11" fillId="0" fontId="2" numFmtId="0" xfId="0" applyBorder="1" applyFont="1"/>
    <xf borderId="11" fillId="0" fontId="2" numFmtId="168" xfId="0" applyBorder="1" applyFont="1" applyNumberFormat="1"/>
    <xf borderId="12" fillId="0" fontId="2" numFmtId="168" xfId="0" applyBorder="1" applyFont="1" applyNumberFormat="1"/>
    <xf borderId="13" fillId="0" fontId="2" numFmtId="168" xfId="0" applyBorder="1" applyFont="1" applyNumberFormat="1"/>
    <xf borderId="14" fillId="0" fontId="2" numFmtId="0" xfId="0" applyBorder="1" applyFont="1"/>
    <xf borderId="14" fillId="0" fontId="2" numFmtId="2" xfId="0" applyBorder="1" applyFont="1" applyNumberFormat="1"/>
    <xf borderId="15" fillId="0" fontId="2" numFmtId="0" xfId="0" applyBorder="1" applyFont="1"/>
    <xf borderId="0" fillId="0" fontId="1" numFmtId="1" xfId="0" applyFont="1" applyNumberFormat="1"/>
    <xf borderId="0" fillId="0" fontId="1" numFmtId="2" xfId="0" applyFont="1" applyNumberFormat="1"/>
    <xf borderId="0" fillId="0" fontId="1" numFmtId="1" xfId="0" applyAlignment="1" applyFont="1" applyNumberFormat="1">
      <alignment shrinkToFit="0" wrapText="1"/>
    </xf>
    <xf borderId="0" fillId="0" fontId="1" numFmtId="169" xfId="0" applyFont="1" applyNumberFormat="1"/>
    <xf borderId="0" fillId="0" fontId="1" numFmtId="170" xfId="0" applyFont="1" applyNumberFormat="1"/>
    <xf borderId="16" fillId="2" fontId="2" numFmtId="0" xfId="0" applyBorder="1" applyFill="1" applyFont="1"/>
    <xf borderId="16" fillId="2" fontId="2" numFmtId="2" xfId="0" applyBorder="1" applyFont="1" applyNumberFormat="1"/>
    <xf borderId="16" fillId="3" fontId="2" numFmtId="171" xfId="0" applyAlignment="1" applyBorder="1" applyFill="1" applyFont="1" applyNumberFormat="1">
      <alignment horizontal="right"/>
    </xf>
    <xf borderId="16" fillId="3" fontId="2" numFmtId="0" xfId="0" applyAlignment="1" applyBorder="1" applyFont="1">
      <alignment horizontal="right"/>
    </xf>
    <xf borderId="16" fillId="3" fontId="2" numFmtId="168" xfId="0" applyAlignment="1" applyBorder="1" applyFont="1" applyNumberFormat="1">
      <alignment horizontal="right"/>
    </xf>
    <xf borderId="0" fillId="0" fontId="2" numFmtId="1" xfId="0" applyAlignment="1" applyFont="1" applyNumberFormat="1">
      <alignment horizontal="right"/>
    </xf>
    <xf borderId="16" fillId="3" fontId="2" numFmtId="0" xfId="0" applyBorder="1" applyFont="1"/>
    <xf borderId="0" fillId="0" fontId="2" numFmtId="168" xfId="0" applyAlignment="1" applyFont="1" applyNumberFormat="1">
      <alignment horizontal="right"/>
    </xf>
    <xf borderId="0" fillId="0" fontId="2" numFmtId="169" xfId="0" applyAlignment="1" applyFont="1" applyNumberFormat="1">
      <alignment horizontal="right"/>
    </xf>
    <xf borderId="16" fillId="2" fontId="1" numFmtId="170" xfId="0" applyAlignment="1" applyBorder="1" applyFont="1" applyNumberFormat="1">
      <alignment horizontal="right"/>
    </xf>
    <xf borderId="16" fillId="2" fontId="2" numFmtId="0" xfId="0" applyAlignment="1" applyBorder="1" applyFont="1">
      <alignment horizontal="right"/>
    </xf>
    <xf borderId="16" fillId="2" fontId="1" numFmtId="0" xfId="0" applyAlignment="1" applyBorder="1" applyFont="1">
      <alignment horizontal="right"/>
    </xf>
    <xf borderId="16" fillId="2" fontId="4" numFmtId="1" xfId="0" applyAlignment="1" applyBorder="1" applyFont="1" applyNumberFormat="1">
      <alignment horizontal="right"/>
    </xf>
    <xf borderId="16" fillId="3" fontId="2" numFmtId="170" xfId="0" applyAlignment="1" applyBorder="1" applyFont="1" applyNumberFormat="1">
      <alignment horizontal="right"/>
    </xf>
    <xf borderId="16" fillId="2" fontId="2" numFmtId="4" xfId="0" applyAlignment="1" applyBorder="1" applyFont="1" applyNumberFormat="1">
      <alignment horizontal="right"/>
    </xf>
    <xf borderId="16" fillId="2" fontId="2" numFmtId="1" xfId="0" applyAlignment="1" applyBorder="1" applyFont="1" applyNumberFormat="1">
      <alignment horizontal="right"/>
    </xf>
    <xf borderId="0" fillId="0" fontId="1" numFmtId="0" xfId="0" applyAlignment="1" applyFont="1">
      <alignment shrinkToFit="0" wrapText="1"/>
    </xf>
    <xf borderId="0" fillId="0" fontId="5" numFmtId="0" xfId="0" applyFont="1"/>
    <xf borderId="0" fillId="0" fontId="1" numFmtId="170" xfId="0" applyAlignment="1" applyFont="1" applyNumberFormat="1">
      <alignment shrinkToFit="0" wrapText="1"/>
    </xf>
    <xf borderId="0" fillId="0" fontId="5" numFmtId="9" xfId="0" applyAlignment="1" applyFont="1" applyNumberFormat="1">
      <alignment horizontal="right"/>
    </xf>
    <xf borderId="0" fillId="0" fontId="4" numFmtId="0" xfId="0" applyFont="1"/>
    <xf borderId="0" fillId="0" fontId="5" numFmtId="0" xfId="0" applyAlignment="1" applyFont="1">
      <alignment horizontal="right"/>
    </xf>
    <xf borderId="16" fillId="3" fontId="5" numFmtId="0" xfId="0" applyBorder="1" applyFont="1"/>
    <xf borderId="16" fillId="2" fontId="5" numFmtId="0" xfId="0" applyBorder="1" applyFont="1"/>
    <xf borderId="12" fillId="0" fontId="2" numFmtId="0" xfId="0" applyBorder="1" applyFont="1"/>
    <xf borderId="10" fillId="0" fontId="2" numFmtId="0" xfId="0" applyBorder="1" applyFont="1"/>
    <xf borderId="1" fillId="0" fontId="3" numFmtId="0" xfId="0" applyBorder="1" applyFont="1"/>
    <xf borderId="8" fillId="0" fontId="3" numFmtId="0" xfId="0" applyBorder="1" applyFont="1"/>
    <xf borderId="9" fillId="0" fontId="1" numFmtId="0" xfId="0" applyBorder="1" applyFont="1"/>
    <xf borderId="10" fillId="0" fontId="1" numFmtId="0" xfId="0" applyBorder="1" applyFont="1"/>
    <xf borderId="17" fillId="4" fontId="2" numFmtId="0" xfId="0" applyAlignment="1" applyBorder="1" applyFill="1" applyFont="1">
      <alignment horizontal="right"/>
    </xf>
    <xf borderId="16" fillId="4" fontId="2" numFmtId="0" xfId="0" applyAlignment="1" applyBorder="1" applyFont="1">
      <alignment horizontal="right"/>
    </xf>
    <xf borderId="18" fillId="4" fontId="2" numFmtId="0" xfId="0" applyAlignment="1" applyBorder="1" applyFont="1">
      <alignment horizontal="right"/>
    </xf>
    <xf borderId="16" fillId="4" fontId="2" numFmtId="0" xfId="0" applyBorder="1" applyFont="1"/>
    <xf borderId="18" fillId="4" fontId="2" numFmtId="0" xfId="0" applyBorder="1" applyFont="1"/>
    <xf borderId="16" fillId="4" fontId="2" numFmtId="0" xfId="0" applyAlignment="1" applyBorder="1" applyFont="1">
      <alignment horizontal="right" shrinkToFit="0" wrapText="1"/>
    </xf>
    <xf borderId="16" fillId="4" fontId="1" numFmtId="0" xfId="0" applyAlignment="1" applyBorder="1" applyFont="1">
      <alignment horizontal="right"/>
    </xf>
    <xf borderId="17" fillId="4" fontId="2" numFmtId="169" xfId="0" applyAlignment="1" applyBorder="1" applyFont="1" applyNumberFormat="1">
      <alignment horizontal="right"/>
    </xf>
    <xf borderId="0" fillId="0" fontId="1" numFmtId="0" xfId="0" applyAlignment="1" applyFont="1">
      <alignment horizontal="right"/>
    </xf>
    <xf borderId="18" fillId="4" fontId="2" numFmtId="0" xfId="0" applyAlignment="1" applyBorder="1" applyFont="1">
      <alignment horizontal="right" shrinkToFit="0" wrapText="1"/>
    </xf>
    <xf borderId="16" fillId="4" fontId="2" numFmtId="169" xfId="0" applyAlignment="1" applyBorder="1" applyFont="1" applyNumberFormat="1">
      <alignment horizontal="right"/>
    </xf>
    <xf borderId="12" fillId="0" fontId="2" numFmtId="0" xfId="0" applyAlignment="1" applyBorder="1" applyFont="1">
      <alignment horizontal="right"/>
    </xf>
    <xf borderId="19" fillId="4" fontId="2" numFmtId="0" xfId="0" applyAlignment="1" applyBorder="1" applyFont="1">
      <alignment horizontal="right"/>
    </xf>
    <xf borderId="20" fillId="4" fontId="2" numFmtId="0" xfId="0" applyAlignment="1" applyBorder="1" applyFont="1">
      <alignment horizontal="right"/>
    </xf>
    <xf borderId="20" fillId="4" fontId="2" numFmtId="0" xfId="0" applyBorder="1" applyFont="1"/>
    <xf borderId="21" fillId="4" fontId="2" numFmtId="0" xfId="0" applyAlignment="1" applyBorder="1" applyFont="1">
      <alignment horizontal="right"/>
    </xf>
    <xf borderId="20" fillId="4" fontId="2" numFmtId="169" xfId="0" applyAlignment="1" applyBorder="1" applyFont="1" applyNumberFormat="1">
      <alignment horizontal="right"/>
    </xf>
    <xf borderId="21" fillId="4" fontId="2" numFmtId="0" xfId="0" applyBorder="1" applyFont="1"/>
    <xf borderId="7" fillId="0" fontId="2" numFmtId="0" xfId="0" applyBorder="1" applyFont="1"/>
    <xf borderId="1" fillId="0" fontId="1" numFmtId="0" xfId="0" applyBorder="1" applyFont="1"/>
    <xf borderId="8" fillId="0" fontId="1" numFmtId="0" xfId="0" applyBorder="1" applyFont="1"/>
    <xf borderId="11" fillId="0" fontId="2" numFmtId="0" xfId="0" applyAlignment="1" applyBorder="1" applyFont="1">
      <alignment shrinkToFit="0" wrapText="1"/>
    </xf>
    <xf borderId="0" fillId="0" fontId="6" numFmtId="0" xfId="0" applyFont="1"/>
    <xf borderId="22" fillId="0" fontId="2" numFmtId="0" xfId="0" applyAlignment="1" applyBorder="1" applyFont="1">
      <alignment horizontal="center"/>
    </xf>
    <xf borderId="23" fillId="0" fontId="2" numFmtId="0" xfId="0" applyAlignment="1" applyBorder="1" applyFont="1">
      <alignment horizontal="center"/>
    </xf>
    <xf borderId="8" fillId="0" fontId="2" numFmtId="1" xfId="0" applyAlignment="1" applyBorder="1" applyFont="1" applyNumberFormat="1">
      <alignment horizontal="center"/>
    </xf>
    <xf borderId="7" fillId="0" fontId="1" numFmtId="0" xfId="0" applyBorder="1" applyFont="1"/>
    <xf borderId="24" fillId="0" fontId="2" numFmtId="0" xfId="0" applyAlignment="1" applyBorder="1" applyFont="1">
      <alignment horizontal="center"/>
    </xf>
    <xf borderId="25" fillId="0" fontId="2" numFmtId="0" xfId="0" applyAlignment="1" applyBorder="1" applyFont="1">
      <alignment horizontal="center"/>
    </xf>
    <xf borderId="12" fillId="0" fontId="3" numFmtId="0" xfId="0" applyBorder="1" applyFont="1"/>
    <xf borderId="13" fillId="0" fontId="3" numFmtId="0" xfId="0" applyBorder="1" applyFont="1"/>
    <xf borderId="9" fillId="0" fontId="2" numFmtId="0" xfId="0" applyAlignment="1" applyBorder="1" applyFont="1">
      <alignment horizontal="right"/>
    </xf>
    <xf borderId="16" fillId="5" fontId="2" numFmtId="0" xfId="0" applyBorder="1" applyFill="1" applyFont="1"/>
    <xf borderId="11" fillId="0" fontId="2" numFmtId="0" xfId="0" applyAlignment="1" applyBorder="1" applyFont="1">
      <alignment horizontal="right"/>
    </xf>
    <xf borderId="12" fillId="0" fontId="2" numFmtId="169" xfId="0" applyAlignment="1" applyBorder="1" applyFont="1" applyNumberFormat="1">
      <alignment horizontal="right"/>
    </xf>
    <xf borderId="13" fillId="0" fontId="2" numFmtId="0" xfId="0" applyBorder="1" applyFont="1"/>
    <xf borderId="16" fillId="5" fontId="2" numFmtId="169" xfId="0" applyAlignment="1" applyBorder="1" applyFont="1" applyNumberFormat="1">
      <alignment horizontal="right"/>
    </xf>
    <xf borderId="16" fillId="5" fontId="2" numFmtId="0" xfId="0" applyAlignment="1" applyBorder="1" applyFont="1">
      <alignment horizontal="right"/>
    </xf>
    <xf borderId="18" fillId="5" fontId="2" numFmtId="0" xfId="0" applyAlignment="1" applyBorder="1" applyFont="1">
      <alignment horizontal="right"/>
    </xf>
    <xf borderId="18" fillId="5" fontId="2" numFmtId="169" xfId="0" applyAlignment="1" applyBorder="1" applyFont="1" applyNumberFormat="1">
      <alignment horizontal="right"/>
    </xf>
    <xf borderId="11" fillId="0" fontId="1" numFmtId="0" xfId="0" applyBorder="1" applyFont="1"/>
    <xf borderId="20" fillId="5" fontId="2" numFmtId="0" xfId="0" applyAlignment="1" applyBorder="1" applyFont="1">
      <alignment horizontal="right"/>
    </xf>
    <xf borderId="21" fillId="5" fontId="2" numFmtId="0" xfId="0" applyAlignment="1" applyBorder="1" applyFont="1">
      <alignment horizontal="right"/>
    </xf>
    <xf borderId="10" fillId="0" fontId="2" numFmtId="0" xfId="0" applyAlignment="1" applyBorder="1" applyFont="1">
      <alignment horizontal="right"/>
    </xf>
    <xf borderId="13" fillId="0" fontId="2" numFmtId="0" xfId="0" applyAlignment="1" applyBorder="1" applyFont="1">
      <alignment horizontal="right"/>
    </xf>
    <xf borderId="17" fillId="4" fontId="2" numFmtId="0" xfId="0" applyBorder="1" applyFont="1"/>
    <xf borderId="17" fillId="4" fontId="2" numFmtId="169" xfId="0" applyBorder="1" applyFont="1" applyNumberFormat="1"/>
    <xf borderId="16" fillId="4" fontId="2" numFmtId="169" xfId="0" applyBorder="1" applyFont="1" applyNumberFormat="1"/>
    <xf borderId="19" fillId="4" fontId="2" numFmtId="0" xfId="0" applyBorder="1" applyFont="1"/>
    <xf borderId="20" fillId="4" fontId="2" numFmtId="169" xfId="0" applyBorder="1" applyFont="1" applyNumberFormat="1"/>
    <xf borderId="10" fillId="0" fontId="2" numFmtId="169" xfId="0" applyAlignment="1" applyBorder="1" applyFont="1" applyNumberFormat="1">
      <alignment horizontal="right"/>
    </xf>
    <xf borderId="13" fillId="0" fontId="2" numFmtId="169" xfId="0" applyAlignment="1" applyBorder="1" applyFont="1" applyNumberFormat="1">
      <alignment horizontal="right"/>
    </xf>
    <xf borderId="16" fillId="6" fontId="2" numFmtId="0" xfId="0" applyAlignment="1" applyBorder="1" applyFill="1" applyFont="1">
      <alignment readingOrder="0"/>
    </xf>
    <xf borderId="0" fillId="0" fontId="2" numFmtId="170" xfId="0" applyFont="1" applyNumberFormat="1"/>
    <xf borderId="1" fillId="0" fontId="2" numFmtId="0" xfId="0" applyBorder="1" applyFont="1"/>
    <xf borderId="1" fillId="0" fontId="2" numFmtId="0" xfId="0" applyAlignment="1" applyBorder="1" applyFont="1">
      <alignment horizontal="left"/>
    </xf>
    <xf borderId="8" fillId="0" fontId="2" numFmtId="0" xfId="0" applyAlignment="1" applyBorder="1" applyFont="1">
      <alignment horizontal="left"/>
    </xf>
    <xf borderId="16" fillId="7" fontId="2" numFmtId="169" xfId="0" applyAlignment="1" applyBorder="1" applyFill="1" applyFont="1" applyNumberFormat="1">
      <alignment horizontal="right"/>
    </xf>
    <xf borderId="16" fillId="7" fontId="2" numFmtId="0" xfId="0" applyAlignment="1" applyBorder="1" applyFont="1">
      <alignment horizontal="right"/>
    </xf>
    <xf borderId="18" fillId="7" fontId="2" numFmtId="0" xfId="0" applyAlignment="1" applyBorder="1" applyFont="1">
      <alignment horizontal="right"/>
    </xf>
    <xf borderId="18" fillId="7" fontId="2" numFmtId="169" xfId="0" applyAlignment="1" applyBorder="1" applyFont="1" applyNumberFormat="1">
      <alignment horizontal="right"/>
    </xf>
    <xf borderId="20" fillId="7" fontId="2" numFmtId="169" xfId="0" applyAlignment="1" applyBorder="1" applyFont="1" applyNumberFormat="1">
      <alignment horizontal="right"/>
    </xf>
    <xf borderId="21" fillId="7" fontId="2" numFmtId="169" xfId="0" applyAlignment="1" applyBorder="1" applyFont="1" applyNumberFormat="1">
      <alignment horizontal="right"/>
    </xf>
    <xf borderId="12" fillId="0" fontId="2" numFmtId="170" xfId="0" applyBorder="1" applyFont="1" applyNumberFormat="1"/>
    <xf borderId="4" fillId="0" fontId="1" numFmtId="0" xfId="0" applyAlignment="1" applyBorder="1" applyFont="1">
      <alignment horizontal="center"/>
    </xf>
    <xf borderId="6" fillId="0" fontId="2" numFmtId="4" xfId="0" applyBorder="1" applyFont="1" applyNumberFormat="1"/>
    <xf borderId="7" fillId="0" fontId="1" numFmtId="4" xfId="0" applyAlignment="1" applyBorder="1" applyFont="1" applyNumberFormat="1">
      <alignment horizontal="center"/>
    </xf>
    <xf borderId="26" fillId="0" fontId="1" numFmtId="0" xfId="0" applyAlignment="1" applyBorder="1" applyFont="1">
      <alignment horizontal="center"/>
    </xf>
    <xf borderId="0" fillId="0" fontId="1" numFmtId="170" xfId="0" applyAlignment="1" applyFont="1" applyNumberFormat="1">
      <alignment horizontal="center"/>
    </xf>
    <xf borderId="1" fillId="0" fontId="1" numFmtId="2" xfId="0" applyBorder="1" applyFont="1" applyNumberFormat="1"/>
    <xf borderId="1" fillId="0" fontId="1" numFmtId="170" xfId="0" applyBorder="1" applyFont="1" applyNumberFormat="1"/>
    <xf borderId="27" fillId="4" fontId="2" numFmtId="0" xfId="0" applyAlignment="1" applyBorder="1" applyFont="1">
      <alignment horizontal="right"/>
    </xf>
    <xf borderId="9" fillId="0" fontId="2" numFmtId="168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/>
    </xf>
    <xf borderId="10" fillId="0" fontId="2" numFmtId="168" xfId="0" applyAlignment="1" applyBorder="1" applyFont="1" applyNumberFormat="1">
      <alignment horizontal="center"/>
    </xf>
    <xf borderId="16" fillId="4" fontId="2" numFmtId="168" xfId="0" applyAlignment="1" applyBorder="1" applyFont="1" applyNumberFormat="1">
      <alignment horizontal="center"/>
    </xf>
    <xf borderId="16" fillId="4" fontId="2" numFmtId="0" xfId="0" applyAlignment="1" applyBorder="1" applyFont="1">
      <alignment horizontal="center"/>
    </xf>
    <xf borderId="18" fillId="4" fontId="2" numFmtId="0" xfId="0" applyAlignment="1" applyBorder="1" applyFont="1">
      <alignment horizontal="center"/>
    </xf>
    <xf borderId="20" fillId="6" fontId="2" numFmtId="0" xfId="0" applyAlignment="1" applyBorder="1" applyFont="1">
      <alignment horizontal="right"/>
    </xf>
    <xf borderId="20" fillId="6" fontId="2" numFmtId="169" xfId="0" applyAlignment="1" applyBorder="1" applyFont="1" applyNumberFormat="1">
      <alignment horizontal="right"/>
    </xf>
    <xf borderId="28" fillId="4" fontId="2" numFmtId="0" xfId="0" applyAlignment="1" applyBorder="1" applyFont="1">
      <alignment horizontal="right"/>
    </xf>
    <xf borderId="11" fillId="0" fontId="2" numFmtId="169" xfId="0" applyAlignment="1" applyBorder="1" applyFont="1" applyNumberFormat="1">
      <alignment horizontal="center"/>
    </xf>
    <xf borderId="12" fillId="0" fontId="2" numFmtId="169" xfId="0" applyAlignment="1" applyBorder="1" applyFont="1" applyNumberFormat="1">
      <alignment horizontal="center"/>
    </xf>
    <xf borderId="11" fillId="0" fontId="2" numFmtId="168" xfId="0" applyAlignment="1" applyBorder="1" applyFont="1" applyNumberFormat="1">
      <alignment horizontal="center"/>
    </xf>
    <xf borderId="12" fillId="0" fontId="2" numFmtId="168" xfId="0" applyAlignment="1" applyBorder="1" applyFont="1" applyNumberFormat="1">
      <alignment horizontal="center"/>
    </xf>
    <xf borderId="13" fillId="0" fontId="2" numFmtId="168" xfId="0" applyAlignment="1" applyBorder="1" applyFont="1" applyNumberFormat="1">
      <alignment horizontal="center"/>
    </xf>
    <xf borderId="20" fillId="4" fontId="2" numFmtId="168" xfId="0" applyAlignment="1" applyBorder="1" applyFont="1" applyNumberFormat="1">
      <alignment horizontal="center"/>
    </xf>
    <xf borderId="20" fillId="4" fontId="2" numFmtId="170" xfId="0" applyAlignment="1" applyBorder="1" applyFont="1" applyNumberFormat="1">
      <alignment horizontal="center"/>
    </xf>
    <xf borderId="20" fillId="4" fontId="2" numFmtId="4" xfId="0" applyAlignment="1" applyBorder="1" applyFont="1" applyNumberFormat="1">
      <alignment horizontal="center"/>
    </xf>
    <xf borderId="21" fillId="4" fontId="2" numFmtId="0" xfId="0" applyAlignment="1" applyBorder="1" applyFont="1">
      <alignment horizontal="center"/>
    </xf>
    <xf borderId="0" fillId="0" fontId="2" numFmtId="2" xfId="0" applyFont="1" applyNumberFormat="1"/>
    <xf borderId="16" fillId="7" fontId="2" numFmtId="0" xfId="0" applyBorder="1" applyFont="1"/>
    <xf borderId="0" fillId="0" fontId="7" numFmtId="0" xfId="0" applyFont="1"/>
    <xf borderId="16" fillId="8" fontId="8" numFmtId="168" xfId="0" applyBorder="1" applyFill="1" applyFont="1" applyNumberFormat="1"/>
    <xf borderId="16" fillId="3" fontId="2" numFmtId="4" xfId="0" applyAlignment="1" applyBorder="1" applyFont="1" applyNumberFormat="1">
      <alignment horizontal="right"/>
    </xf>
    <xf borderId="16" fillId="2" fontId="2" numFmtId="170" xfId="0" applyAlignment="1" applyBorder="1" applyFont="1" applyNumberFormat="1">
      <alignment horizontal="right"/>
    </xf>
    <xf borderId="16" fillId="2" fontId="8" numFmtId="1" xfId="0" applyAlignment="1" applyBorder="1" applyFont="1" applyNumberFormat="1">
      <alignment horizontal="right"/>
    </xf>
    <xf borderId="16" fillId="2" fontId="1" numFmtId="4" xfId="0" applyAlignment="1" applyBorder="1" applyFont="1" applyNumberFormat="1">
      <alignment horizontal="right"/>
    </xf>
    <xf borderId="0" fillId="0" fontId="2" numFmtId="1" xfId="0" applyFont="1" applyNumberFormat="1"/>
    <xf borderId="0" fillId="0" fontId="2" numFmtId="169" xfId="0" applyFont="1" applyNumberFormat="1"/>
    <xf borderId="14" fillId="0" fontId="1" numFmtId="0" xfId="0" applyBorder="1" applyFont="1"/>
    <xf borderId="14" fillId="0" fontId="2" numFmtId="0" xfId="0" applyAlignment="1" applyBorder="1" applyFont="1">
      <alignment horizontal="right"/>
    </xf>
    <xf borderId="15" fillId="0" fontId="2" numFmtId="0" xfId="0" applyAlignment="1" applyBorder="1" applyFont="1">
      <alignment horizontal="right"/>
    </xf>
    <xf borderId="15" fillId="0" fontId="1" numFmtId="0" xfId="0" applyBorder="1" applyFont="1"/>
    <xf borderId="0" fillId="9" fontId="2" numFmtId="0" xfId="0" applyAlignment="1" applyFill="1" applyFont="1">
      <alignment readingOrder="0"/>
    </xf>
    <xf borderId="0" fillId="6" fontId="2" numFmtId="0" xfId="0" applyAlignment="1" applyFont="1">
      <alignment readingOrder="0"/>
    </xf>
    <xf borderId="10" fillId="0" fontId="3" numFmtId="0" xfId="0" applyBorder="1" applyFont="1"/>
    <xf borderId="3" fillId="0" fontId="1" numFmtId="0" xfId="0" applyAlignment="1" applyBorder="1" applyFont="1">
      <alignment horizontal="center"/>
    </xf>
    <xf borderId="10" fillId="0" fontId="2" numFmtId="4" xfId="0" applyBorder="1" applyFont="1" applyNumberFormat="1"/>
    <xf borderId="13" fillId="0" fontId="2" numFmtId="4" xfId="0" applyBorder="1" applyFont="1" applyNumberFormat="1"/>
    <xf borderId="0" fillId="0" fontId="1" numFmtId="4" xfId="0" applyAlignment="1" applyFont="1" applyNumberFormat="1">
      <alignment horizontal="center"/>
    </xf>
    <xf borderId="29" fillId="0" fontId="1" numFmtId="0" xfId="0" applyBorder="1" applyFont="1"/>
    <xf borderId="30" fillId="4" fontId="2" numFmtId="169" xfId="0" applyBorder="1" applyFont="1" applyNumberFormat="1"/>
    <xf borderId="16" fillId="4" fontId="2" numFmtId="4" xfId="0" applyAlignment="1" applyBorder="1" applyFont="1" applyNumberFormat="1">
      <alignment horizontal="center"/>
    </xf>
    <xf borderId="30" fillId="4" fontId="2" numFmtId="169" xfId="0" applyAlignment="1" applyBorder="1" applyFont="1" applyNumberFormat="1">
      <alignment horizontal="right"/>
    </xf>
    <xf borderId="16" fillId="9" fontId="2" numFmtId="0" xfId="0" applyAlignment="1" applyBorder="1" applyFont="1">
      <alignment horizontal="right"/>
    </xf>
    <xf borderId="16" fillId="9" fontId="2" numFmtId="168" xfId="0" applyAlignment="1" applyBorder="1" applyFont="1" applyNumberFormat="1">
      <alignment horizontal="center"/>
    </xf>
    <xf borderId="31" fillId="4" fontId="2" numFmtId="169" xfId="0" applyAlignment="1" applyBorder="1" applyFont="1" applyNumberFormat="1">
      <alignment horizontal="right"/>
    </xf>
    <xf borderId="20" fillId="4" fontId="2" numFmtId="0" xfId="0" applyAlignment="1" applyBorder="1" applyFont="1">
      <alignment horizontal="center"/>
    </xf>
    <xf borderId="0" fillId="0" fontId="2" numFmtId="169" xfId="0" applyAlignment="1" applyFont="1" applyNumberFormat="1">
      <alignment horizontal="center"/>
    </xf>
    <xf borderId="16" fillId="10" fontId="2" numFmtId="0" xfId="0" applyBorder="1" applyFill="1" applyFont="1"/>
    <xf borderId="16" fillId="3" fontId="8" numFmtId="4" xfId="0" applyAlignment="1" applyBorder="1" applyFont="1" applyNumberFormat="1">
      <alignment horizontal="right"/>
    </xf>
    <xf borderId="16" fillId="3" fontId="8" numFmtId="170" xfId="0" applyAlignment="1" applyBorder="1" applyFont="1" applyNumberFormat="1">
      <alignment horizontal="right"/>
    </xf>
    <xf borderId="6" fillId="0" fontId="2" numFmtId="0" xfId="0" applyBorder="1" applyFont="1"/>
    <xf borderId="20" fillId="9" fontId="2" numFmtId="168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vertical="center"/>
    </xf>
    <xf borderId="8" fillId="0" fontId="2" numFmtId="1" xfId="0" applyAlignment="1" applyBorder="1" applyFont="1" applyNumberFormat="1">
      <alignment horizontal="center" vertical="center"/>
    </xf>
    <xf borderId="0" fillId="0" fontId="2" numFmtId="1" xfId="0" applyAlignment="1" applyFont="1" applyNumberFormat="1">
      <alignment horizontal="center"/>
    </xf>
    <xf borderId="18" fillId="4" fontId="2" numFmtId="169" xfId="0" applyAlignment="1" applyBorder="1" applyFont="1" applyNumberFormat="1">
      <alignment horizontal="right"/>
    </xf>
    <xf borderId="21" fillId="4" fontId="2" numFmtId="169" xfId="0" applyAlignment="1" applyBorder="1" applyFont="1" applyNumberFormat="1">
      <alignment horizontal="right"/>
    </xf>
    <xf borderId="17" fillId="4" fontId="2" numFmtId="0" xfId="0" applyAlignment="1" applyBorder="1" applyFont="1">
      <alignment horizontal="right" shrinkToFit="0" wrapText="1"/>
    </xf>
    <xf borderId="8" fillId="0" fontId="2" numFmtId="0" xfId="0" applyBorder="1" applyFont="1"/>
    <xf borderId="9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9" fillId="0" fontId="2" numFmtId="169" xfId="0" applyBorder="1" applyFont="1" applyNumberFormat="1"/>
    <xf borderId="10" fillId="0" fontId="2" numFmtId="169" xfId="0" applyBorder="1" applyFont="1" applyNumberFormat="1"/>
    <xf borderId="7" fillId="0" fontId="2" numFmtId="169" xfId="0" applyBorder="1" applyFont="1" applyNumberFormat="1"/>
    <xf borderId="8" fillId="0" fontId="2" numFmtId="169" xfId="0" applyBorder="1" applyFont="1" applyNumberFormat="1"/>
    <xf borderId="11" fillId="0" fontId="2" numFmtId="169" xfId="0" applyBorder="1" applyFont="1" applyNumberFormat="1"/>
    <xf borderId="13" fillId="0" fontId="2" numFmtId="169" xfId="0" applyBorder="1" applyFont="1" applyNumberFormat="1"/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AD1DC"/>
          <bgColor rgb="FFEAD1DC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ocs.google.com/spreadsheets/d/1Q0861UC0WbA_v-o_F1VHQ7MimuyELrEX/edit" TargetMode="External"/><Relationship Id="rId3" Type="http://schemas.openxmlformats.org/officeDocument/2006/relationships/hyperlink" Target="https://docs.google.com/spreadsheets/d/1Q0861UC0WbA_v-o_F1VHQ7MimuyELrEX/edit" TargetMode="External"/><Relationship Id="rId4" Type="http://schemas.openxmlformats.org/officeDocument/2006/relationships/hyperlink" Target="https://docs.google.com/spreadsheets/d/1Q0861UC0WbA_v-o_F1VHQ7MimuyELrEX/edit" TargetMode="External"/><Relationship Id="rId5" Type="http://schemas.openxmlformats.org/officeDocument/2006/relationships/hyperlink" Target="https://docs.google.com/spreadsheets/d/1Q0861UC0WbA_v-o_F1VHQ7MimuyELrEX/edit" TargetMode="External"/><Relationship Id="rId6" Type="http://schemas.openxmlformats.org/officeDocument/2006/relationships/drawing" Target="../drawings/drawing4.xml"/><Relationship Id="rId7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s://docs.google.com/spreadsheets/d/1Q0861UC0WbA_v-o_F1VHQ7MimuyELrEX/edit" TargetMode="External"/><Relationship Id="rId3" Type="http://schemas.openxmlformats.org/officeDocument/2006/relationships/hyperlink" Target="https://docs.google.com/spreadsheets/d/1Q0861UC0WbA_v-o_F1VHQ7MimuyELrEX/edit" TargetMode="External"/><Relationship Id="rId4" Type="http://schemas.openxmlformats.org/officeDocument/2006/relationships/drawing" Target="../drawings/drawing7.xml"/><Relationship Id="rId5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docs.google.com/spreadsheets/d/1Q0861UC0WbA_v-o_F1VHQ7MimuyELrEX/edit" TargetMode="External"/><Relationship Id="rId3" Type="http://schemas.openxmlformats.org/officeDocument/2006/relationships/hyperlink" Target="https://docs.google.com/spreadsheets/d/1Q0861UC0WbA_v-o_F1VHQ7MimuyELrEX/edit" TargetMode="External"/><Relationship Id="rId4" Type="http://schemas.openxmlformats.org/officeDocument/2006/relationships/drawing" Target="../drawings/drawing10.xml"/><Relationship Id="rId5" Type="http://schemas.openxmlformats.org/officeDocument/2006/relationships/vmlDrawing" Target="../drawings/vmlDrawing6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Q0861UC0WbA_v-o_F1VHQ7MimuyELrEX/edit" TargetMode="External"/><Relationship Id="rId2" Type="http://schemas.openxmlformats.org/officeDocument/2006/relationships/hyperlink" Target="https://docs.google.com/spreadsheets/d/1Q0861UC0WbA_v-o_F1VHQ7MimuyELrEX/edit" TargetMode="External"/><Relationship Id="rId3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3.5"/>
    <col customWidth="1" min="2" max="3" width="19.38"/>
    <col customWidth="1" min="4" max="4" width="22.5"/>
    <col customWidth="1" min="5" max="5" width="59.13"/>
    <col customWidth="1" min="6" max="6" width="26.88"/>
    <col customWidth="1" min="7" max="7" width="14.63"/>
    <col customWidth="1" min="8" max="8" width="14.13"/>
    <col customWidth="1" min="9" max="9" width="16.0"/>
    <col customWidth="1" min="10" max="10" width="13.63"/>
    <col customWidth="1" min="11" max="11" width="13.88"/>
    <col customWidth="1" min="12" max="12" width="14.38"/>
    <col customWidth="1" min="13" max="13" width="42.13"/>
    <col customWidth="1" min="14" max="14" width="18.0"/>
    <col customWidth="1" min="15" max="15" width="21.38"/>
    <col customWidth="1" min="16" max="16" width="25.13"/>
    <col customWidth="1" min="17" max="17" width="24.13"/>
    <col customWidth="1" min="18" max="18" width="26.5"/>
    <col customWidth="1" min="19" max="19" width="20.13"/>
    <col customWidth="1" min="21" max="21" width="21.63"/>
    <col customWidth="1" min="22" max="22" width="21.5"/>
    <col customWidth="1" min="23" max="25" width="12.38"/>
    <col customWidth="1" min="26" max="26" width="16.38"/>
    <col customWidth="1" min="27" max="27" width="17.13"/>
    <col customWidth="1" min="28" max="28" width="16.13"/>
    <col customWidth="1" min="29" max="29" width="12.38"/>
    <col customWidth="1" min="30" max="30" width="18.0"/>
    <col customWidth="1" min="31" max="31" width="18.63"/>
    <col customWidth="1" min="32" max="32" width="19.13"/>
    <col customWidth="1" min="33" max="33" width="26.5"/>
    <col customWidth="1" min="34" max="35" width="17.13"/>
    <col customWidth="1" min="36" max="36" width="14.88"/>
    <col customWidth="1" min="37" max="37" width="15.5"/>
    <col customWidth="1" min="38" max="38" width="15.13"/>
    <col customWidth="1" min="39" max="39" width="18.13"/>
    <col customWidth="1" min="40" max="40" width="16.5"/>
    <col customWidth="1" min="41" max="41" width="18.13"/>
    <col customWidth="1" min="42" max="42" width="19.63"/>
    <col customWidth="1" min="43" max="43" width="20.13"/>
    <col customWidth="1" min="44" max="44" width="19.63"/>
    <col customWidth="1" min="45" max="45" width="20.0"/>
    <col customWidth="1" min="46" max="46" width="22.13"/>
    <col customWidth="1" min="47" max="47" width="17.88"/>
    <col customWidth="1" min="48" max="48" width="19.38"/>
    <col customWidth="1" min="49" max="49" width="20.38"/>
    <col customWidth="1" min="50" max="50" width="30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5" t="s">
        <v>41</v>
      </c>
      <c r="AQ1" s="3" t="s">
        <v>42</v>
      </c>
      <c r="AR1" s="3" t="s">
        <v>43</v>
      </c>
      <c r="AS1" s="6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3" t="s">
        <v>49</v>
      </c>
    </row>
    <row r="2" ht="15.75" customHeight="1">
      <c r="A2" s="7" t="s">
        <v>50</v>
      </c>
      <c r="B2" s="7" t="s">
        <v>51</v>
      </c>
      <c r="C2" s="8">
        <v>45066.0</v>
      </c>
      <c r="D2" s="7" t="s">
        <v>52</v>
      </c>
      <c r="E2" s="7" t="s">
        <v>53</v>
      </c>
      <c r="F2" s="9">
        <v>0.5486111111111112</v>
      </c>
      <c r="G2" s="10">
        <v>48.84724</v>
      </c>
      <c r="H2" s="10">
        <v>-121.69417</v>
      </c>
      <c r="I2" s="10">
        <v>1560.881</v>
      </c>
      <c r="J2" s="7" t="s">
        <v>54</v>
      </c>
      <c r="K2" s="7" t="s">
        <v>55</v>
      </c>
      <c r="L2" s="11">
        <v>45066.0</v>
      </c>
      <c r="M2" s="7" t="s">
        <v>56</v>
      </c>
      <c r="N2" s="10">
        <v>529.0</v>
      </c>
      <c r="O2" s="7">
        <v>1250.0</v>
      </c>
      <c r="P2" s="7">
        <v>2.166831666582</v>
      </c>
      <c r="Q2" s="10">
        <v>0.8529</v>
      </c>
      <c r="R2" s="10">
        <v>1041.4</v>
      </c>
      <c r="S2" s="7">
        <v>0.6761541944731022</v>
      </c>
      <c r="T2" s="7">
        <v>6.570228059476549</v>
      </c>
      <c r="U2" s="12"/>
      <c r="V2" s="10">
        <v>0.3</v>
      </c>
      <c r="W2" s="10">
        <v>0.0011</v>
      </c>
      <c r="X2" s="10">
        <v>0.0068</v>
      </c>
      <c r="Y2" s="10">
        <v>7.0E-4</v>
      </c>
      <c r="Z2" s="7"/>
      <c r="AA2" s="10">
        <v>0.0121</v>
      </c>
      <c r="AB2" s="7"/>
      <c r="AC2" s="10">
        <v>0.0121</v>
      </c>
      <c r="AD2" s="7">
        <f t="shared" ref="AD2:AD33" si="1">33.4*(W2+X2+0.5*Y2+0.5*AC2)</f>
        <v>0.47762</v>
      </c>
      <c r="AE2" s="7">
        <f t="shared" ref="AE2:AE33" si="2">AD2*12/1000</f>
        <v>0.00573144</v>
      </c>
      <c r="AF2" s="7">
        <f t="shared" ref="AF2:AF33" si="3">AE2*1000</f>
        <v>5.73144</v>
      </c>
      <c r="AG2" s="7"/>
      <c r="AH2" s="7">
        <f t="shared" ref="AH2:AH33" si="4">SUM(W2,X2,Y2,AC2)</f>
        <v>0.0207</v>
      </c>
      <c r="AI2" s="7">
        <f t="shared" ref="AI2:AI33" si="5">W2/AH2*100</f>
        <v>5.314009662</v>
      </c>
      <c r="AJ2" s="7">
        <f t="shared" ref="AJ2:AJ33" si="6">X2/AH2*100</f>
        <v>32.85024155</v>
      </c>
      <c r="AK2" s="7">
        <f t="shared" ref="AK2:AK19" si="7">Y2/AH2*100</f>
        <v>3.381642512</v>
      </c>
      <c r="AL2" s="7">
        <f t="shared" ref="AL2:AL9" si="8">AC2/AH2*100</f>
        <v>58.45410628</v>
      </c>
      <c r="AM2" s="7">
        <f t="shared" ref="AM2:AM32" si="9">(Y2+AC2)/X2</f>
        <v>1.882352941</v>
      </c>
      <c r="AN2" s="7">
        <f t="shared" ref="AN2:AN33" si="10">W2/X2</f>
        <v>0.1617647059</v>
      </c>
      <c r="AO2" s="7">
        <f t="shared" ref="AO2:AO9" si="11">Y2/AC2</f>
        <v>0.05785123967</v>
      </c>
      <c r="AP2" s="7">
        <f t="shared" ref="AP2:AP33" si="12">W2+X2</f>
        <v>0.0079</v>
      </c>
      <c r="AQ2" s="7">
        <f t="shared" ref="AQ2:AQ32" si="13">Y2+AC2</f>
        <v>0.0128</v>
      </c>
      <c r="AR2" s="7">
        <f t="shared" ref="AR2:AR32" si="14">AP2/AQ2</f>
        <v>0.6171875</v>
      </c>
      <c r="AS2" s="7">
        <f t="shared" ref="AS2:AS32" si="15">AQ2/AP2</f>
        <v>1.620253165</v>
      </c>
      <c r="AT2" s="7">
        <f t="shared" ref="AT2:AT33" si="16">(W2+X2)*1000</f>
        <v>7.9</v>
      </c>
      <c r="AU2" s="7">
        <f t="shared" ref="AU2:AU33" si="17">0.0891*(AT2)^0.9175</f>
        <v>0.5935407762</v>
      </c>
      <c r="AV2" s="7">
        <f t="shared" ref="AV2:AV33" si="18">AU2*12/1000</f>
        <v>0.007122489314</v>
      </c>
      <c r="AW2" s="7">
        <f t="shared" ref="AW2:AW33" si="19">AV2*1000</f>
        <v>7.122489314</v>
      </c>
      <c r="AX2" s="7"/>
    </row>
    <row r="3" ht="15.75" customHeight="1">
      <c r="A3" s="7" t="s">
        <v>57</v>
      </c>
      <c r="B3" s="13">
        <v>45131.0</v>
      </c>
      <c r="C3" s="8">
        <v>45131.0</v>
      </c>
      <c r="D3" s="7" t="s">
        <v>52</v>
      </c>
      <c r="E3" s="7"/>
      <c r="F3" s="14">
        <v>0.5</v>
      </c>
      <c r="G3" s="10">
        <v>48.5038</v>
      </c>
      <c r="H3" s="10">
        <v>-121.4116</v>
      </c>
      <c r="I3" s="7"/>
      <c r="J3" s="7" t="s">
        <v>54</v>
      </c>
      <c r="K3" s="7" t="s">
        <v>58</v>
      </c>
      <c r="L3" s="11">
        <v>45131.0</v>
      </c>
      <c r="M3" s="7" t="s">
        <v>56</v>
      </c>
      <c r="N3" s="7">
        <v>573.6</v>
      </c>
      <c r="O3" s="7">
        <v>1250.0</v>
      </c>
      <c r="P3" s="10">
        <v>0.3</v>
      </c>
      <c r="Q3" s="10">
        <v>0.8464</v>
      </c>
      <c r="R3" s="10">
        <v>1031.8</v>
      </c>
      <c r="S3" s="7">
        <v>0.6619041648040684</v>
      </c>
      <c r="T3" s="7">
        <v>15.57760691501136</v>
      </c>
      <c r="U3" s="10">
        <f>AVERAGE(0.3281,0.3139)</f>
        <v>0.321</v>
      </c>
      <c r="V3" s="10">
        <v>0.1</v>
      </c>
      <c r="W3" s="10">
        <v>0.0025</v>
      </c>
      <c r="X3" s="10">
        <v>0.0136</v>
      </c>
      <c r="Y3" s="10">
        <v>0.0012</v>
      </c>
      <c r="Z3" s="7"/>
      <c r="AA3" s="10">
        <v>0.0632</v>
      </c>
      <c r="AB3" s="7"/>
      <c r="AC3" s="10">
        <v>0.0632</v>
      </c>
      <c r="AD3" s="7">
        <f t="shared" si="1"/>
        <v>1.61322</v>
      </c>
      <c r="AE3" s="7">
        <f t="shared" si="2"/>
        <v>0.01935864</v>
      </c>
      <c r="AF3" s="7">
        <f t="shared" si="3"/>
        <v>19.35864</v>
      </c>
      <c r="AG3" s="7">
        <f>AE3/U3*100</f>
        <v>6.030728972</v>
      </c>
      <c r="AH3" s="7">
        <f t="shared" si="4"/>
        <v>0.0805</v>
      </c>
      <c r="AI3" s="7">
        <f t="shared" si="5"/>
        <v>3.105590062</v>
      </c>
      <c r="AJ3" s="7">
        <f t="shared" si="6"/>
        <v>16.89440994</v>
      </c>
      <c r="AK3" s="7">
        <f t="shared" si="7"/>
        <v>1.49068323</v>
      </c>
      <c r="AL3" s="7">
        <f t="shared" si="8"/>
        <v>78.50931677</v>
      </c>
      <c r="AM3" s="7">
        <f t="shared" si="9"/>
        <v>4.735294118</v>
      </c>
      <c r="AN3" s="7">
        <f t="shared" si="10"/>
        <v>0.1838235294</v>
      </c>
      <c r="AO3" s="7">
        <f t="shared" si="11"/>
        <v>0.01898734177</v>
      </c>
      <c r="AP3" s="7">
        <f t="shared" si="12"/>
        <v>0.0161</v>
      </c>
      <c r="AQ3" s="7">
        <f t="shared" si="13"/>
        <v>0.0644</v>
      </c>
      <c r="AR3" s="7">
        <f t="shared" si="14"/>
        <v>0.25</v>
      </c>
      <c r="AS3" s="7">
        <f t="shared" si="15"/>
        <v>4</v>
      </c>
      <c r="AT3" s="7">
        <f t="shared" si="16"/>
        <v>16.1</v>
      </c>
      <c r="AU3" s="7">
        <f t="shared" si="17"/>
        <v>1.140618589</v>
      </c>
      <c r="AV3" s="7">
        <f t="shared" si="18"/>
        <v>0.01368742307</v>
      </c>
      <c r="AW3" s="7">
        <f t="shared" si="19"/>
        <v>13.68742307</v>
      </c>
      <c r="AX3" s="7">
        <f>AV3/U3*100</f>
        <v>4.263994727</v>
      </c>
    </row>
    <row r="4" ht="15.75" customHeight="1">
      <c r="A4" s="7" t="s">
        <v>59</v>
      </c>
      <c r="B4" s="13">
        <v>44987.0</v>
      </c>
      <c r="C4" s="8">
        <v>44987.0</v>
      </c>
      <c r="D4" s="7" t="s">
        <v>60</v>
      </c>
      <c r="E4" s="7" t="s">
        <v>61</v>
      </c>
      <c r="F4" s="9">
        <v>0.4326388888888889</v>
      </c>
      <c r="G4" s="10">
        <v>48.85989</v>
      </c>
      <c r="H4" s="10">
        <v>-121.68254</v>
      </c>
      <c r="I4" s="10">
        <v>1313.383</v>
      </c>
      <c r="J4" s="7" t="s">
        <v>54</v>
      </c>
      <c r="K4" s="7" t="s">
        <v>55</v>
      </c>
      <c r="L4" s="11">
        <v>44987.0</v>
      </c>
      <c r="M4" s="7" t="s">
        <v>56</v>
      </c>
      <c r="N4" s="7">
        <v>200.0</v>
      </c>
      <c r="O4" s="7">
        <v>200.0</v>
      </c>
      <c r="P4" s="7">
        <v>3.85169833418</v>
      </c>
      <c r="Q4" s="10">
        <v>0.5221</v>
      </c>
      <c r="R4" s="10">
        <v>967.7</v>
      </c>
      <c r="S4" s="7">
        <v>0.7907246265695763</v>
      </c>
      <c r="T4" s="7">
        <v>3.2415628138336032</v>
      </c>
      <c r="U4" s="12"/>
      <c r="V4" s="10">
        <v>0.6953</v>
      </c>
      <c r="W4" s="10">
        <v>0.0044</v>
      </c>
      <c r="X4" s="10">
        <v>0.0188</v>
      </c>
      <c r="Y4" s="10">
        <v>0.0021</v>
      </c>
      <c r="Z4" s="7"/>
      <c r="AA4" s="10">
        <v>0.0014</v>
      </c>
      <c r="AB4" s="10">
        <v>0.0044</v>
      </c>
      <c r="AC4" s="10">
        <v>0.0058</v>
      </c>
      <c r="AD4" s="7">
        <f t="shared" si="1"/>
        <v>0.90681</v>
      </c>
      <c r="AE4" s="7">
        <f t="shared" si="2"/>
        <v>0.01088172</v>
      </c>
      <c r="AF4" s="7">
        <f t="shared" si="3"/>
        <v>10.88172</v>
      </c>
      <c r="AG4" s="7"/>
      <c r="AH4" s="7">
        <f t="shared" si="4"/>
        <v>0.0311</v>
      </c>
      <c r="AI4" s="7">
        <f t="shared" si="5"/>
        <v>14.14790997</v>
      </c>
      <c r="AJ4" s="7">
        <f t="shared" si="6"/>
        <v>60.45016077</v>
      </c>
      <c r="AK4" s="7">
        <f t="shared" si="7"/>
        <v>6.752411576</v>
      </c>
      <c r="AL4" s="7">
        <f t="shared" si="8"/>
        <v>18.64951768</v>
      </c>
      <c r="AM4" s="7">
        <f t="shared" si="9"/>
        <v>0.420212766</v>
      </c>
      <c r="AN4" s="7">
        <f t="shared" si="10"/>
        <v>0.2340425532</v>
      </c>
      <c r="AO4" s="7">
        <f t="shared" si="11"/>
        <v>0.3620689655</v>
      </c>
      <c r="AP4" s="7">
        <f t="shared" si="12"/>
        <v>0.0232</v>
      </c>
      <c r="AQ4" s="7">
        <f t="shared" si="13"/>
        <v>0.0079</v>
      </c>
      <c r="AR4" s="7">
        <f t="shared" si="14"/>
        <v>2.936708861</v>
      </c>
      <c r="AS4" s="7">
        <f t="shared" si="15"/>
        <v>0.3405172414</v>
      </c>
      <c r="AT4" s="7">
        <f t="shared" si="16"/>
        <v>23.2</v>
      </c>
      <c r="AU4" s="7">
        <f t="shared" si="17"/>
        <v>1.594824615</v>
      </c>
      <c r="AV4" s="7">
        <f t="shared" si="18"/>
        <v>0.01913789538</v>
      </c>
      <c r="AW4" s="7">
        <f t="shared" si="19"/>
        <v>19.13789538</v>
      </c>
      <c r="AX4" s="7"/>
    </row>
    <row r="5" ht="15.75" customHeight="1">
      <c r="A5" s="7" t="s">
        <v>62</v>
      </c>
      <c r="B5" s="13">
        <v>45052.0</v>
      </c>
      <c r="C5" s="8">
        <v>45052.0</v>
      </c>
      <c r="D5" s="7" t="s">
        <v>60</v>
      </c>
      <c r="E5" s="7" t="s">
        <v>63</v>
      </c>
      <c r="F5" s="9">
        <v>0.5833333333333334</v>
      </c>
      <c r="G5" s="10">
        <v>48.85309297</v>
      </c>
      <c r="H5" s="10">
        <v>-121.68912235</v>
      </c>
      <c r="I5" s="10">
        <v>1316.843</v>
      </c>
      <c r="J5" s="7" t="s">
        <v>54</v>
      </c>
      <c r="K5" s="7" t="s">
        <v>55</v>
      </c>
      <c r="L5" s="11">
        <v>45052.0</v>
      </c>
      <c r="M5" s="7" t="s">
        <v>56</v>
      </c>
      <c r="N5" s="7">
        <v>559.0</v>
      </c>
      <c r="O5" s="7">
        <v>1250.0</v>
      </c>
      <c r="P5" s="7">
        <v>4.392295</v>
      </c>
      <c r="Q5" s="10">
        <v>0.822</v>
      </c>
      <c r="R5" s="10">
        <v>1040.3</v>
      </c>
      <c r="S5" s="7">
        <v>0.6670647685418184</v>
      </c>
      <c r="T5" s="7">
        <v>15.561143921265607</v>
      </c>
      <c r="U5" s="10">
        <f>AVERAGE(0.7326,0.3938)</f>
        <v>0.5632</v>
      </c>
      <c r="V5" s="12"/>
      <c r="W5" s="10">
        <v>0.00275</v>
      </c>
      <c r="X5" s="10">
        <v>0.02475</v>
      </c>
      <c r="Y5" s="10">
        <v>6.5E-4</v>
      </c>
      <c r="Z5" s="10">
        <v>0.002</v>
      </c>
      <c r="AA5" s="10">
        <v>0.016550000000000002</v>
      </c>
      <c r="AB5" s="10">
        <v>0.0225</v>
      </c>
      <c r="AC5" s="10">
        <v>0.0288</v>
      </c>
      <c r="AD5" s="7">
        <f t="shared" si="1"/>
        <v>1.410315</v>
      </c>
      <c r="AE5" s="7">
        <f t="shared" si="2"/>
        <v>0.01692378</v>
      </c>
      <c r="AF5" s="7">
        <f t="shared" si="3"/>
        <v>16.92378</v>
      </c>
      <c r="AG5" s="7">
        <f t="shared" ref="AG5:AG6" si="20">AE5/U5*100</f>
        <v>3.004932528</v>
      </c>
      <c r="AH5" s="7">
        <f t="shared" si="4"/>
        <v>0.05695</v>
      </c>
      <c r="AI5" s="7">
        <f t="shared" si="5"/>
        <v>4.828797191</v>
      </c>
      <c r="AJ5" s="7">
        <f t="shared" si="6"/>
        <v>43.45917471</v>
      </c>
      <c r="AK5" s="7">
        <f t="shared" si="7"/>
        <v>1.141352063</v>
      </c>
      <c r="AL5" s="7">
        <f t="shared" si="8"/>
        <v>50.57067603</v>
      </c>
      <c r="AM5" s="7">
        <f t="shared" si="9"/>
        <v>1.18989899</v>
      </c>
      <c r="AN5" s="7">
        <f t="shared" si="10"/>
        <v>0.1111111111</v>
      </c>
      <c r="AO5" s="7">
        <f t="shared" si="11"/>
        <v>0.02256944444</v>
      </c>
      <c r="AP5" s="7">
        <f t="shared" si="12"/>
        <v>0.0275</v>
      </c>
      <c r="AQ5" s="7">
        <f t="shared" si="13"/>
        <v>0.02945</v>
      </c>
      <c r="AR5" s="7">
        <f t="shared" si="14"/>
        <v>0.9337860781</v>
      </c>
      <c r="AS5" s="7">
        <f t="shared" si="15"/>
        <v>1.070909091</v>
      </c>
      <c r="AT5" s="7">
        <f t="shared" si="16"/>
        <v>27.5</v>
      </c>
      <c r="AU5" s="7">
        <f t="shared" si="17"/>
        <v>1.864083879</v>
      </c>
      <c r="AV5" s="7">
        <f t="shared" si="18"/>
        <v>0.02236900655</v>
      </c>
      <c r="AW5" s="7">
        <f t="shared" si="19"/>
        <v>22.36900655</v>
      </c>
      <c r="AX5" s="7">
        <f t="shared" ref="AX5:AX6" si="21">AV5/U5*100</f>
        <v>3.971769629</v>
      </c>
    </row>
    <row r="6" ht="15.75" customHeight="1">
      <c r="A6" s="7" t="s">
        <v>64</v>
      </c>
      <c r="B6" s="7" t="s">
        <v>65</v>
      </c>
      <c r="C6" s="8">
        <v>45066.0</v>
      </c>
      <c r="D6" s="7" t="s">
        <v>60</v>
      </c>
      <c r="E6" s="7" t="s">
        <v>66</v>
      </c>
      <c r="F6" s="9">
        <v>0.6034722222222222</v>
      </c>
      <c r="G6" s="10">
        <v>48.85421</v>
      </c>
      <c r="H6" s="10">
        <v>-121.68651</v>
      </c>
      <c r="I6" s="10">
        <v>1342.034</v>
      </c>
      <c r="J6" s="7" t="s">
        <v>54</v>
      </c>
      <c r="K6" s="7" t="s">
        <v>55</v>
      </c>
      <c r="L6" s="11">
        <v>45066.0</v>
      </c>
      <c r="M6" s="7" t="s">
        <v>56</v>
      </c>
      <c r="N6" s="10">
        <v>529.0</v>
      </c>
      <c r="O6" s="7">
        <v>1250.0</v>
      </c>
      <c r="P6" s="7">
        <v>2.166831666582</v>
      </c>
      <c r="Q6" s="10">
        <v>0.8528</v>
      </c>
      <c r="R6" s="10">
        <v>1041.4</v>
      </c>
      <c r="S6" s="7">
        <v>0.6781157094620315</v>
      </c>
      <c r="T6" s="7">
        <v>5.124638620749975</v>
      </c>
      <c r="U6" s="10">
        <v>0.2008</v>
      </c>
      <c r="V6" s="10">
        <v>0.2</v>
      </c>
      <c r="W6" s="10">
        <v>0.001</v>
      </c>
      <c r="X6" s="10">
        <v>0.0039</v>
      </c>
      <c r="Y6" s="10">
        <v>8.0E-4</v>
      </c>
      <c r="Z6" s="7"/>
      <c r="AA6" s="10">
        <v>0.0109</v>
      </c>
      <c r="AB6" s="7"/>
      <c r="AC6" s="10">
        <v>0.0109</v>
      </c>
      <c r="AD6" s="7">
        <f t="shared" si="1"/>
        <v>0.35905</v>
      </c>
      <c r="AE6" s="7">
        <f t="shared" si="2"/>
        <v>0.0043086</v>
      </c>
      <c r="AF6" s="7">
        <f t="shared" si="3"/>
        <v>4.3086</v>
      </c>
      <c r="AG6" s="7">
        <f t="shared" si="20"/>
        <v>2.145717131</v>
      </c>
      <c r="AH6" s="7">
        <f t="shared" si="4"/>
        <v>0.0166</v>
      </c>
      <c r="AI6" s="7">
        <f t="shared" si="5"/>
        <v>6.024096386</v>
      </c>
      <c r="AJ6" s="7">
        <f t="shared" si="6"/>
        <v>23.4939759</v>
      </c>
      <c r="AK6" s="7">
        <f t="shared" si="7"/>
        <v>4.819277108</v>
      </c>
      <c r="AL6" s="7">
        <f t="shared" si="8"/>
        <v>65.6626506</v>
      </c>
      <c r="AM6" s="7">
        <f t="shared" si="9"/>
        <v>3</v>
      </c>
      <c r="AN6" s="7">
        <f t="shared" si="10"/>
        <v>0.2564102564</v>
      </c>
      <c r="AO6" s="7">
        <f t="shared" si="11"/>
        <v>0.07339449541</v>
      </c>
      <c r="AP6" s="7">
        <f t="shared" si="12"/>
        <v>0.0049</v>
      </c>
      <c r="AQ6" s="7">
        <f t="shared" si="13"/>
        <v>0.0117</v>
      </c>
      <c r="AR6" s="7">
        <f t="shared" si="14"/>
        <v>0.4188034188</v>
      </c>
      <c r="AS6" s="7">
        <f t="shared" si="15"/>
        <v>2.387755102</v>
      </c>
      <c r="AT6" s="7">
        <f t="shared" si="16"/>
        <v>4.9</v>
      </c>
      <c r="AU6" s="7">
        <f t="shared" si="17"/>
        <v>0.3829416529</v>
      </c>
      <c r="AV6" s="7">
        <f t="shared" si="18"/>
        <v>0.004595299834</v>
      </c>
      <c r="AW6" s="7">
        <f t="shared" si="19"/>
        <v>4.595299834</v>
      </c>
      <c r="AX6" s="7">
        <f t="shared" si="21"/>
        <v>2.288495933</v>
      </c>
    </row>
    <row r="7" ht="15.75" customHeight="1">
      <c r="A7" s="7" t="s">
        <v>67</v>
      </c>
      <c r="B7" s="13">
        <v>45085.0</v>
      </c>
      <c r="C7" s="8">
        <v>45085.0</v>
      </c>
      <c r="D7" s="7" t="s">
        <v>60</v>
      </c>
      <c r="E7" s="7" t="s">
        <v>68</v>
      </c>
      <c r="F7" s="9">
        <v>0.7152777777777778</v>
      </c>
      <c r="G7" s="10">
        <v>48.85249526</v>
      </c>
      <c r="H7" s="10">
        <v>-121.69254481</v>
      </c>
      <c r="I7" s="10">
        <v>1303.73</v>
      </c>
      <c r="J7" s="7" t="s">
        <v>54</v>
      </c>
      <c r="K7" s="7" t="s">
        <v>58</v>
      </c>
      <c r="L7" s="11">
        <v>45085.0</v>
      </c>
      <c r="M7" s="7" t="s">
        <v>56</v>
      </c>
      <c r="N7" s="7">
        <v>564.0</v>
      </c>
      <c r="O7" s="7">
        <v>1250.0</v>
      </c>
      <c r="P7" s="7">
        <v>0.783388916582</v>
      </c>
      <c r="Q7" s="10">
        <v>0.8742</v>
      </c>
      <c r="R7" s="10">
        <v>1040.0</v>
      </c>
      <c r="S7" s="7">
        <v>0.6740322815031782</v>
      </c>
      <c r="T7" s="7">
        <v>6.122584769699424</v>
      </c>
      <c r="U7" s="12"/>
      <c r="V7" s="12"/>
      <c r="W7" s="10">
        <v>0.0016</v>
      </c>
      <c r="X7" s="10">
        <v>0.0063</v>
      </c>
      <c r="Y7" s="10">
        <v>3.0E-4</v>
      </c>
      <c r="Z7" s="7"/>
      <c r="AA7" s="10">
        <v>0.0016</v>
      </c>
      <c r="AB7" s="10">
        <v>0.0103</v>
      </c>
      <c r="AC7" s="10">
        <v>0.0119</v>
      </c>
      <c r="AD7" s="7">
        <f t="shared" si="1"/>
        <v>0.4676</v>
      </c>
      <c r="AE7" s="7">
        <f t="shared" si="2"/>
        <v>0.0056112</v>
      </c>
      <c r="AF7" s="7">
        <f t="shared" si="3"/>
        <v>5.6112</v>
      </c>
      <c r="AG7" s="7"/>
      <c r="AH7" s="7">
        <f t="shared" si="4"/>
        <v>0.0201</v>
      </c>
      <c r="AI7" s="7">
        <f t="shared" si="5"/>
        <v>7.960199005</v>
      </c>
      <c r="AJ7" s="7">
        <f t="shared" si="6"/>
        <v>31.34328358</v>
      </c>
      <c r="AK7" s="7">
        <f t="shared" si="7"/>
        <v>1.492537313</v>
      </c>
      <c r="AL7" s="7">
        <f t="shared" si="8"/>
        <v>59.2039801</v>
      </c>
      <c r="AM7" s="7">
        <f t="shared" si="9"/>
        <v>1.936507937</v>
      </c>
      <c r="AN7" s="7">
        <f t="shared" si="10"/>
        <v>0.253968254</v>
      </c>
      <c r="AO7" s="7">
        <f t="shared" si="11"/>
        <v>0.02521008403</v>
      </c>
      <c r="AP7" s="7">
        <f t="shared" si="12"/>
        <v>0.0079</v>
      </c>
      <c r="AQ7" s="7">
        <f t="shared" si="13"/>
        <v>0.0122</v>
      </c>
      <c r="AR7" s="7">
        <f t="shared" si="14"/>
        <v>0.6475409836</v>
      </c>
      <c r="AS7" s="7">
        <f t="shared" si="15"/>
        <v>1.544303797</v>
      </c>
      <c r="AT7" s="7">
        <f t="shared" si="16"/>
        <v>7.9</v>
      </c>
      <c r="AU7" s="7">
        <f t="shared" si="17"/>
        <v>0.5935407762</v>
      </c>
      <c r="AV7" s="7">
        <f t="shared" si="18"/>
        <v>0.007122489314</v>
      </c>
      <c r="AW7" s="7">
        <f t="shared" si="19"/>
        <v>7.122489314</v>
      </c>
      <c r="AX7" s="7"/>
    </row>
    <row r="8" ht="15.75" customHeight="1">
      <c r="A8" s="7" t="s">
        <v>69</v>
      </c>
      <c r="B8" s="13">
        <v>45103.0</v>
      </c>
      <c r="C8" s="8">
        <v>45103.0</v>
      </c>
      <c r="D8" s="7" t="s">
        <v>60</v>
      </c>
      <c r="E8" s="7" t="s">
        <v>68</v>
      </c>
      <c r="F8" s="9">
        <v>0.6256944444444444</v>
      </c>
      <c r="G8" s="10">
        <v>48.85262107</v>
      </c>
      <c r="H8" s="10">
        <v>-121.6943556</v>
      </c>
      <c r="I8" s="10">
        <v>1317.07</v>
      </c>
      <c r="J8" s="7" t="s">
        <v>54</v>
      </c>
      <c r="K8" s="7" t="s">
        <v>58</v>
      </c>
      <c r="L8" s="11">
        <v>45103.0</v>
      </c>
      <c r="M8" s="7" t="s">
        <v>56</v>
      </c>
      <c r="N8" s="7">
        <v>606.0</v>
      </c>
      <c r="O8" s="7">
        <v>1250.0</v>
      </c>
      <c r="P8" s="10">
        <v>0.3</v>
      </c>
      <c r="Q8" s="10">
        <v>0.8749</v>
      </c>
      <c r="R8" s="10">
        <v>1037.4</v>
      </c>
      <c r="S8" s="7">
        <v>0.6672848155700745</v>
      </c>
      <c r="T8" s="7">
        <v>9.833619605189769</v>
      </c>
      <c r="U8" s="12"/>
      <c r="V8" s="10">
        <v>0.4192</v>
      </c>
      <c r="W8" s="10">
        <v>0.0019</v>
      </c>
      <c r="X8" s="10">
        <v>0.0197</v>
      </c>
      <c r="Y8" s="10">
        <v>7.0E-4</v>
      </c>
      <c r="Z8" s="7"/>
      <c r="AA8" s="10">
        <v>0.0098</v>
      </c>
      <c r="AB8" s="7"/>
      <c r="AC8" s="10">
        <v>0.0098</v>
      </c>
      <c r="AD8" s="7">
        <f t="shared" si="1"/>
        <v>0.89679</v>
      </c>
      <c r="AE8" s="7">
        <f t="shared" si="2"/>
        <v>0.01076148</v>
      </c>
      <c r="AF8" s="7">
        <f t="shared" si="3"/>
        <v>10.76148</v>
      </c>
      <c r="AG8" s="7"/>
      <c r="AH8" s="7">
        <f t="shared" si="4"/>
        <v>0.0321</v>
      </c>
      <c r="AI8" s="7">
        <f t="shared" si="5"/>
        <v>5.919003115</v>
      </c>
      <c r="AJ8" s="7">
        <f t="shared" si="6"/>
        <v>61.37071651</v>
      </c>
      <c r="AK8" s="7">
        <f t="shared" si="7"/>
        <v>2.180685358</v>
      </c>
      <c r="AL8" s="7">
        <f t="shared" si="8"/>
        <v>30.52959502</v>
      </c>
      <c r="AM8" s="7">
        <f t="shared" si="9"/>
        <v>0.5329949239</v>
      </c>
      <c r="AN8" s="7">
        <f t="shared" si="10"/>
        <v>0.09644670051</v>
      </c>
      <c r="AO8" s="7">
        <f t="shared" si="11"/>
        <v>0.07142857143</v>
      </c>
      <c r="AP8" s="7">
        <f t="shared" si="12"/>
        <v>0.0216</v>
      </c>
      <c r="AQ8" s="7">
        <f t="shared" si="13"/>
        <v>0.0105</v>
      </c>
      <c r="AR8" s="7">
        <f t="shared" si="14"/>
        <v>2.057142857</v>
      </c>
      <c r="AS8" s="7">
        <f t="shared" si="15"/>
        <v>0.4861111111</v>
      </c>
      <c r="AT8" s="7">
        <f t="shared" si="16"/>
        <v>21.6</v>
      </c>
      <c r="AU8" s="7">
        <f t="shared" si="17"/>
        <v>1.493616218</v>
      </c>
      <c r="AV8" s="7">
        <f t="shared" si="18"/>
        <v>0.01792339462</v>
      </c>
      <c r="AW8" s="7">
        <f t="shared" si="19"/>
        <v>17.92339462</v>
      </c>
      <c r="AX8" s="7"/>
    </row>
    <row r="9" ht="15.75" customHeight="1">
      <c r="A9" s="7" t="s">
        <v>70</v>
      </c>
      <c r="B9" s="13">
        <v>45117.0</v>
      </c>
      <c r="C9" s="8">
        <v>45117.0</v>
      </c>
      <c r="D9" s="7" t="s">
        <v>60</v>
      </c>
      <c r="E9" s="7" t="s">
        <v>68</v>
      </c>
      <c r="F9" s="9">
        <v>0.5993055555555555</v>
      </c>
      <c r="G9" s="10">
        <v>48.85262268</v>
      </c>
      <c r="H9" s="10">
        <v>-121.6942997</v>
      </c>
      <c r="I9" s="10">
        <v>1315.91</v>
      </c>
      <c r="J9" s="7" t="s">
        <v>54</v>
      </c>
      <c r="K9" s="7" t="s">
        <v>58</v>
      </c>
      <c r="L9" s="11">
        <v>45117.0</v>
      </c>
      <c r="M9" s="7" t="s">
        <v>56</v>
      </c>
      <c r="N9" s="7">
        <v>630.0</v>
      </c>
      <c r="O9" s="7">
        <v>1250.0</v>
      </c>
      <c r="P9" s="10">
        <v>0.3</v>
      </c>
      <c r="Q9" s="10">
        <v>0.8637</v>
      </c>
      <c r="R9" s="10">
        <v>1034.7</v>
      </c>
      <c r="S9" s="7">
        <v>0.6715718961359439</v>
      </c>
      <c r="T9" s="7">
        <v>7.554394406532569</v>
      </c>
      <c r="U9" s="10">
        <v>0.2722</v>
      </c>
      <c r="V9" s="10">
        <v>0.4</v>
      </c>
      <c r="W9" s="10">
        <v>0.0019</v>
      </c>
      <c r="X9" s="10">
        <v>0.0143</v>
      </c>
      <c r="Y9" s="10">
        <v>4.0E-4</v>
      </c>
      <c r="Z9" s="7"/>
      <c r="AA9" s="10">
        <v>0.007</v>
      </c>
      <c r="AB9" s="7"/>
      <c r="AC9" s="10">
        <v>0.007</v>
      </c>
      <c r="AD9" s="7">
        <f t="shared" si="1"/>
        <v>0.66466</v>
      </c>
      <c r="AE9" s="7">
        <f t="shared" si="2"/>
        <v>0.00797592</v>
      </c>
      <c r="AF9" s="7">
        <f t="shared" si="3"/>
        <v>7.97592</v>
      </c>
      <c r="AG9" s="7">
        <f>AE9/U9*100</f>
        <v>2.930168993</v>
      </c>
      <c r="AH9" s="7">
        <f t="shared" si="4"/>
        <v>0.0236</v>
      </c>
      <c r="AI9" s="7">
        <f t="shared" si="5"/>
        <v>8.050847458</v>
      </c>
      <c r="AJ9" s="7">
        <f t="shared" si="6"/>
        <v>60.59322034</v>
      </c>
      <c r="AK9" s="7">
        <f t="shared" si="7"/>
        <v>1.694915254</v>
      </c>
      <c r="AL9" s="7">
        <f t="shared" si="8"/>
        <v>29.66101695</v>
      </c>
      <c r="AM9" s="7">
        <f t="shared" si="9"/>
        <v>0.5174825175</v>
      </c>
      <c r="AN9" s="7">
        <f t="shared" si="10"/>
        <v>0.1328671329</v>
      </c>
      <c r="AO9" s="7">
        <f t="shared" si="11"/>
        <v>0.05714285714</v>
      </c>
      <c r="AP9" s="7">
        <f t="shared" si="12"/>
        <v>0.0162</v>
      </c>
      <c r="AQ9" s="7">
        <f t="shared" si="13"/>
        <v>0.0074</v>
      </c>
      <c r="AR9" s="7">
        <f t="shared" si="14"/>
        <v>2.189189189</v>
      </c>
      <c r="AS9" s="7">
        <f t="shared" si="15"/>
        <v>0.4567901235</v>
      </c>
      <c r="AT9" s="7">
        <f t="shared" si="16"/>
        <v>16.2</v>
      </c>
      <c r="AU9" s="7">
        <f t="shared" si="17"/>
        <v>1.147117037</v>
      </c>
      <c r="AV9" s="7">
        <f t="shared" si="18"/>
        <v>0.01376540444</v>
      </c>
      <c r="AW9" s="7">
        <f t="shared" si="19"/>
        <v>13.76540444</v>
      </c>
      <c r="AX9" s="7">
        <f>AV9/U9*100</f>
        <v>5.057092006</v>
      </c>
    </row>
    <row r="10" ht="15.75" customHeight="1">
      <c r="A10" s="7" t="s">
        <v>71</v>
      </c>
      <c r="B10" s="13">
        <v>45124.0</v>
      </c>
      <c r="C10" s="8">
        <v>45124.0</v>
      </c>
      <c r="D10" s="7" t="s">
        <v>60</v>
      </c>
      <c r="E10" s="7"/>
      <c r="F10" s="9">
        <v>0.5659722222222222</v>
      </c>
      <c r="G10" s="10">
        <v>48.8515224</v>
      </c>
      <c r="H10" s="10">
        <v>-121.69152</v>
      </c>
      <c r="I10" s="10">
        <v>1342.39</v>
      </c>
      <c r="J10" s="7" t="s">
        <v>54</v>
      </c>
      <c r="K10" s="7" t="s">
        <v>58</v>
      </c>
      <c r="L10" s="11">
        <v>45124.0</v>
      </c>
      <c r="M10" s="7" t="s">
        <v>56</v>
      </c>
      <c r="N10" s="7">
        <v>524.0</v>
      </c>
      <c r="O10" s="7">
        <v>1250.0</v>
      </c>
      <c r="P10" s="10">
        <v>0.3</v>
      </c>
      <c r="Q10" s="10">
        <v>0.8545</v>
      </c>
      <c r="R10" s="10">
        <v>1033.0</v>
      </c>
      <c r="S10" s="7">
        <v>0.6733569917135671</v>
      </c>
      <c r="T10" s="7">
        <v>5.789625785164829</v>
      </c>
      <c r="U10" s="12"/>
      <c r="V10" s="10">
        <v>0.1</v>
      </c>
      <c r="W10" s="10">
        <v>0.0021</v>
      </c>
      <c r="X10" s="10">
        <v>0.0139</v>
      </c>
      <c r="Y10" s="10">
        <v>5.0E-4</v>
      </c>
      <c r="Z10" s="7"/>
      <c r="AA10" s="7"/>
      <c r="AB10" s="7"/>
      <c r="AC10" s="7"/>
      <c r="AD10" s="7">
        <f t="shared" si="1"/>
        <v>0.54275</v>
      </c>
      <c r="AE10" s="7">
        <f t="shared" si="2"/>
        <v>0.006513</v>
      </c>
      <c r="AF10" s="7">
        <f t="shared" si="3"/>
        <v>6.513</v>
      </c>
      <c r="AG10" s="7"/>
      <c r="AH10" s="7">
        <f t="shared" si="4"/>
        <v>0.0165</v>
      </c>
      <c r="AI10" s="7">
        <f t="shared" si="5"/>
        <v>12.72727273</v>
      </c>
      <c r="AJ10" s="7">
        <f t="shared" si="6"/>
        <v>84.24242424</v>
      </c>
      <c r="AK10" s="7">
        <f t="shared" si="7"/>
        <v>3.03030303</v>
      </c>
      <c r="AL10" s="7"/>
      <c r="AM10" s="7">
        <f t="shared" si="9"/>
        <v>0.03597122302</v>
      </c>
      <c r="AN10" s="7">
        <f t="shared" si="10"/>
        <v>0.1510791367</v>
      </c>
      <c r="AO10" s="7"/>
      <c r="AP10" s="7">
        <f t="shared" si="12"/>
        <v>0.016</v>
      </c>
      <c r="AQ10" s="7">
        <f t="shared" si="13"/>
        <v>0.0005</v>
      </c>
      <c r="AR10" s="7">
        <f t="shared" si="14"/>
        <v>32</v>
      </c>
      <c r="AS10" s="7">
        <f t="shared" si="15"/>
        <v>0.03125</v>
      </c>
      <c r="AT10" s="7">
        <f t="shared" si="16"/>
        <v>16</v>
      </c>
      <c r="AU10" s="7">
        <f t="shared" si="17"/>
        <v>1.134116811</v>
      </c>
      <c r="AV10" s="7">
        <f t="shared" si="18"/>
        <v>0.01360940173</v>
      </c>
      <c r="AW10" s="7">
        <f t="shared" si="19"/>
        <v>13.60940173</v>
      </c>
      <c r="AX10" s="7"/>
    </row>
    <row r="11" ht="15.75" customHeight="1">
      <c r="A11" s="7" t="s">
        <v>72</v>
      </c>
      <c r="B11" s="13">
        <v>44697.0</v>
      </c>
      <c r="C11" s="8">
        <v>44697.0</v>
      </c>
      <c r="D11" s="7" t="s">
        <v>60</v>
      </c>
      <c r="E11" s="7" t="s">
        <v>73</v>
      </c>
      <c r="F11" s="7">
        <v>0.5</v>
      </c>
      <c r="G11" s="10">
        <v>48.860592</v>
      </c>
      <c r="H11" s="15">
        <v>-121.683827</v>
      </c>
      <c r="I11" s="7"/>
      <c r="J11" s="7" t="s">
        <v>54</v>
      </c>
      <c r="K11" s="7" t="s">
        <v>55</v>
      </c>
      <c r="L11" s="11">
        <v>44697.0</v>
      </c>
      <c r="M11" s="7" t="s">
        <v>56</v>
      </c>
      <c r="N11" s="7">
        <v>559.3833333333333</v>
      </c>
      <c r="O11" s="7">
        <v>1250.0</v>
      </c>
      <c r="P11" s="7">
        <v>3.64987332</v>
      </c>
      <c r="Q11" s="10">
        <v>0.8458</v>
      </c>
      <c r="R11" s="10">
        <v>1041.3</v>
      </c>
      <c r="S11" s="7">
        <v>0.6715258100255774</v>
      </c>
      <c r="T11" s="7">
        <v>10.528106527609786</v>
      </c>
      <c r="U11" s="10">
        <f>AVERAGE(0.7409,0.6334,0.8957)</f>
        <v>0.7566666667</v>
      </c>
      <c r="V11" s="12"/>
      <c r="W11" s="10">
        <v>0.0066</v>
      </c>
      <c r="X11" s="10">
        <v>0.0128</v>
      </c>
      <c r="Y11" s="10">
        <v>0.0029</v>
      </c>
      <c r="Z11" s="10">
        <v>0.0024</v>
      </c>
      <c r="AA11" s="10">
        <v>0.0023</v>
      </c>
      <c r="AB11" s="10">
        <v>0.0041</v>
      </c>
      <c r="AC11" s="10">
        <v>0.0088</v>
      </c>
      <c r="AD11" s="7">
        <f t="shared" si="1"/>
        <v>0.84335</v>
      </c>
      <c r="AE11" s="7">
        <f t="shared" si="2"/>
        <v>0.0101202</v>
      </c>
      <c r="AF11" s="7">
        <f t="shared" si="3"/>
        <v>10.1202</v>
      </c>
      <c r="AG11" s="7">
        <f t="shared" ref="AG11:AG33" si="22">AE11/U11*100</f>
        <v>1.337471366</v>
      </c>
      <c r="AH11" s="7">
        <f t="shared" si="4"/>
        <v>0.0311</v>
      </c>
      <c r="AI11" s="7">
        <f t="shared" si="5"/>
        <v>21.22186495</v>
      </c>
      <c r="AJ11" s="7">
        <f t="shared" si="6"/>
        <v>41.15755627</v>
      </c>
      <c r="AK11" s="7">
        <f t="shared" si="7"/>
        <v>9.324758842</v>
      </c>
      <c r="AL11" s="7">
        <f t="shared" ref="AL11:AL32" si="23">AC11/AH11*100</f>
        <v>28.29581994</v>
      </c>
      <c r="AM11" s="7">
        <f t="shared" si="9"/>
        <v>0.9140625</v>
      </c>
      <c r="AN11" s="7">
        <f t="shared" si="10"/>
        <v>0.515625</v>
      </c>
      <c r="AO11" s="7">
        <f t="shared" ref="AO11:AO32" si="24">Y11/AC11</f>
        <v>0.3295454545</v>
      </c>
      <c r="AP11" s="7">
        <f t="shared" si="12"/>
        <v>0.0194</v>
      </c>
      <c r="AQ11" s="7">
        <f t="shared" si="13"/>
        <v>0.0117</v>
      </c>
      <c r="AR11" s="7">
        <f t="shared" si="14"/>
        <v>1.658119658</v>
      </c>
      <c r="AS11" s="7">
        <f t="shared" si="15"/>
        <v>0.6030927835</v>
      </c>
      <c r="AT11" s="7">
        <f t="shared" si="16"/>
        <v>19.4</v>
      </c>
      <c r="AU11" s="7">
        <f t="shared" si="17"/>
        <v>1.353429977</v>
      </c>
      <c r="AV11" s="7">
        <f t="shared" si="18"/>
        <v>0.01624115972</v>
      </c>
      <c r="AW11" s="7">
        <f t="shared" si="19"/>
        <v>16.24115972</v>
      </c>
      <c r="AX11" s="7">
        <f t="shared" ref="AX11:AX33" si="25">AV11/U11*100</f>
        <v>2.146408773</v>
      </c>
    </row>
    <row r="12" ht="15.75" customHeight="1">
      <c r="A12" s="7" t="s">
        <v>74</v>
      </c>
      <c r="B12" s="16" t="s">
        <v>75</v>
      </c>
      <c r="C12" s="8">
        <v>44742.0</v>
      </c>
      <c r="D12" s="7" t="s">
        <v>60</v>
      </c>
      <c r="E12" s="7" t="s">
        <v>73</v>
      </c>
      <c r="F12" s="7">
        <v>0.5</v>
      </c>
      <c r="G12" s="10">
        <v>48.860592</v>
      </c>
      <c r="H12" s="15">
        <v>-121.683827</v>
      </c>
      <c r="I12" s="7"/>
      <c r="J12" s="7" t="s">
        <v>54</v>
      </c>
      <c r="K12" s="7" t="s">
        <v>58</v>
      </c>
      <c r="L12" s="11">
        <v>44742.0</v>
      </c>
      <c r="M12" s="7" t="s">
        <v>56</v>
      </c>
      <c r="N12" s="7">
        <v>559.3833333333333</v>
      </c>
      <c r="O12" s="7">
        <v>1250.0</v>
      </c>
      <c r="P12" s="7">
        <v>1.976791688776</v>
      </c>
      <c r="Q12" s="10">
        <v>0.8725</v>
      </c>
      <c r="R12" s="10">
        <v>1036.7</v>
      </c>
      <c r="S12" s="7">
        <v>0.6388477267306265</v>
      </c>
      <c r="T12" s="7">
        <v>33.66256725302492</v>
      </c>
      <c r="U12" s="10">
        <f>AVERAGE(2.15,1.318,2.18)</f>
        <v>1.882666667</v>
      </c>
      <c r="V12" s="12"/>
      <c r="W12" s="10">
        <v>0.0053</v>
      </c>
      <c r="X12" s="10">
        <v>0.0739</v>
      </c>
      <c r="Y12" s="10">
        <v>0.0036</v>
      </c>
      <c r="Z12" s="7"/>
      <c r="AA12" s="10">
        <v>0.0581</v>
      </c>
      <c r="AB12" s="10">
        <v>0.0347</v>
      </c>
      <c r="AC12" s="10">
        <v>0.0697</v>
      </c>
      <c r="AD12" s="7">
        <f t="shared" si="1"/>
        <v>3.86939</v>
      </c>
      <c r="AE12" s="7">
        <f t="shared" si="2"/>
        <v>0.04643268</v>
      </c>
      <c r="AF12" s="7">
        <f t="shared" si="3"/>
        <v>46.43268</v>
      </c>
      <c r="AG12" s="7">
        <f t="shared" si="22"/>
        <v>2.466325071</v>
      </c>
      <c r="AH12" s="7">
        <f t="shared" si="4"/>
        <v>0.1525</v>
      </c>
      <c r="AI12" s="7">
        <f t="shared" si="5"/>
        <v>3.475409836</v>
      </c>
      <c r="AJ12" s="7">
        <f t="shared" si="6"/>
        <v>48.45901639</v>
      </c>
      <c r="AK12" s="7">
        <f t="shared" si="7"/>
        <v>2.360655738</v>
      </c>
      <c r="AL12" s="7">
        <f t="shared" si="23"/>
        <v>45.70491803</v>
      </c>
      <c r="AM12" s="7">
        <f t="shared" si="9"/>
        <v>0.9918809202</v>
      </c>
      <c r="AN12" s="7">
        <f t="shared" si="10"/>
        <v>0.07171853857</v>
      </c>
      <c r="AO12" s="7">
        <f t="shared" si="24"/>
        <v>0.05164992826</v>
      </c>
      <c r="AP12" s="7">
        <f t="shared" si="12"/>
        <v>0.0792</v>
      </c>
      <c r="AQ12" s="7">
        <f t="shared" si="13"/>
        <v>0.0733</v>
      </c>
      <c r="AR12" s="7">
        <f t="shared" si="14"/>
        <v>1.080491132</v>
      </c>
      <c r="AS12" s="7">
        <f t="shared" si="15"/>
        <v>0.9255050505</v>
      </c>
      <c r="AT12" s="7">
        <f t="shared" si="16"/>
        <v>79.2</v>
      </c>
      <c r="AU12" s="7">
        <f t="shared" si="17"/>
        <v>4.919920194</v>
      </c>
      <c r="AV12" s="7">
        <f t="shared" si="18"/>
        <v>0.05903904233</v>
      </c>
      <c r="AW12" s="7">
        <f t="shared" si="19"/>
        <v>59.03904233</v>
      </c>
      <c r="AX12" s="7">
        <f t="shared" si="25"/>
        <v>3.135926469</v>
      </c>
    </row>
    <row r="13" ht="15.75" customHeight="1">
      <c r="A13" s="7" t="s">
        <v>76</v>
      </c>
      <c r="B13" s="16" t="s">
        <v>77</v>
      </c>
      <c r="C13" s="8">
        <v>44773.0</v>
      </c>
      <c r="D13" s="7" t="s">
        <v>60</v>
      </c>
      <c r="E13" s="7" t="s">
        <v>73</v>
      </c>
      <c r="F13" s="7">
        <v>0.5</v>
      </c>
      <c r="G13" s="10">
        <v>48.860592</v>
      </c>
      <c r="H13" s="15">
        <v>-121.683827</v>
      </c>
      <c r="I13" s="7"/>
      <c r="J13" s="7" t="s">
        <v>54</v>
      </c>
      <c r="K13" s="7" t="s">
        <v>58</v>
      </c>
      <c r="L13" s="11">
        <v>44773.0</v>
      </c>
      <c r="M13" s="7" t="s">
        <v>56</v>
      </c>
      <c r="N13" s="7">
        <v>559.3833333333333</v>
      </c>
      <c r="O13" s="7">
        <v>1250.0</v>
      </c>
      <c r="P13" s="7">
        <v>0.1446009709702</v>
      </c>
      <c r="Q13" s="10">
        <v>0.828</v>
      </c>
      <c r="R13" s="10">
        <v>1028.7</v>
      </c>
      <c r="S13" s="7">
        <v>0.6313737450520127</v>
      </c>
      <c r="T13" s="7">
        <v>17.212589051943283</v>
      </c>
      <c r="U13" s="10">
        <f>AVERAGE(4.5,3.62,4.21)</f>
        <v>4.11</v>
      </c>
      <c r="V13" s="10">
        <v>0.8</v>
      </c>
      <c r="W13" s="10">
        <v>0.0089</v>
      </c>
      <c r="X13" s="10">
        <v>0.0683</v>
      </c>
      <c r="Y13" s="10">
        <v>0.0039</v>
      </c>
      <c r="Z13" s="7"/>
      <c r="AA13" s="10">
        <v>0.0437</v>
      </c>
      <c r="AB13" s="10">
        <v>0.0329</v>
      </c>
      <c r="AC13" s="10">
        <v>0.0766</v>
      </c>
      <c r="AD13" s="7">
        <f t="shared" si="1"/>
        <v>3.92283</v>
      </c>
      <c r="AE13" s="7">
        <f t="shared" si="2"/>
        <v>0.04707396</v>
      </c>
      <c r="AF13" s="7">
        <f t="shared" si="3"/>
        <v>47.07396</v>
      </c>
      <c r="AG13" s="7">
        <f t="shared" si="22"/>
        <v>1.145351825</v>
      </c>
      <c r="AH13" s="7">
        <f t="shared" si="4"/>
        <v>0.1577</v>
      </c>
      <c r="AI13" s="7">
        <f t="shared" si="5"/>
        <v>5.64362714</v>
      </c>
      <c r="AJ13" s="7">
        <f t="shared" si="6"/>
        <v>43.31008244</v>
      </c>
      <c r="AK13" s="7">
        <f t="shared" si="7"/>
        <v>2.473050095</v>
      </c>
      <c r="AL13" s="7">
        <f t="shared" si="23"/>
        <v>48.57324033</v>
      </c>
      <c r="AM13" s="7">
        <f t="shared" si="9"/>
        <v>1.178623719</v>
      </c>
      <c r="AN13" s="7">
        <f t="shared" si="10"/>
        <v>0.1303074671</v>
      </c>
      <c r="AO13" s="7">
        <f t="shared" si="24"/>
        <v>0.05091383812</v>
      </c>
      <c r="AP13" s="7">
        <f t="shared" si="12"/>
        <v>0.0772</v>
      </c>
      <c r="AQ13" s="7">
        <f t="shared" si="13"/>
        <v>0.0805</v>
      </c>
      <c r="AR13" s="7">
        <f t="shared" si="14"/>
        <v>0.9590062112</v>
      </c>
      <c r="AS13" s="7">
        <f t="shared" si="15"/>
        <v>1.042746114</v>
      </c>
      <c r="AT13" s="7">
        <f t="shared" si="16"/>
        <v>77.2</v>
      </c>
      <c r="AU13" s="7">
        <f t="shared" si="17"/>
        <v>4.805809782</v>
      </c>
      <c r="AV13" s="7">
        <f t="shared" si="18"/>
        <v>0.05766971739</v>
      </c>
      <c r="AW13" s="7">
        <f t="shared" si="19"/>
        <v>57.66971739</v>
      </c>
      <c r="AX13" s="7">
        <f t="shared" si="25"/>
        <v>1.403156141</v>
      </c>
    </row>
    <row r="14" ht="15.75" customHeight="1">
      <c r="A14" s="7" t="s">
        <v>78</v>
      </c>
      <c r="B14" s="13">
        <v>45144.0</v>
      </c>
      <c r="C14" s="8">
        <v>45144.0</v>
      </c>
      <c r="D14" s="7" t="s">
        <v>79</v>
      </c>
      <c r="E14" s="7" t="s">
        <v>80</v>
      </c>
      <c r="F14" s="9">
        <v>0.5</v>
      </c>
      <c r="G14" s="10">
        <v>48.81615</v>
      </c>
      <c r="H14" s="10">
        <v>-121.75976</v>
      </c>
      <c r="I14" s="10">
        <v>1843.735</v>
      </c>
      <c r="J14" s="7" t="s">
        <v>54</v>
      </c>
      <c r="K14" s="7" t="s">
        <v>58</v>
      </c>
      <c r="L14" s="11">
        <v>45144.0</v>
      </c>
      <c r="M14" s="7" t="s">
        <v>81</v>
      </c>
      <c r="N14" s="7">
        <v>564.8</v>
      </c>
      <c r="O14" s="7">
        <v>1250.0</v>
      </c>
      <c r="P14" s="10">
        <v>0.3</v>
      </c>
      <c r="Q14" s="10">
        <v>0.8145</v>
      </c>
      <c r="R14" s="10">
        <v>1026.8</v>
      </c>
      <c r="S14" s="7">
        <v>0.6798062615817624</v>
      </c>
      <c r="T14" s="7">
        <v>4.267353446421749</v>
      </c>
      <c r="U14" s="10">
        <v>0.2863</v>
      </c>
      <c r="V14" s="10">
        <v>0.3</v>
      </c>
      <c r="W14" s="10">
        <v>0.0017</v>
      </c>
      <c r="X14" s="10">
        <v>0.0065</v>
      </c>
      <c r="Y14" s="10">
        <v>7.0E-4</v>
      </c>
      <c r="Z14" s="7"/>
      <c r="AA14" s="10">
        <v>0.0023</v>
      </c>
      <c r="AB14" s="10">
        <v>0.0041</v>
      </c>
      <c r="AC14" s="10">
        <v>0.0064</v>
      </c>
      <c r="AD14" s="7">
        <f t="shared" si="1"/>
        <v>0.39245</v>
      </c>
      <c r="AE14" s="7">
        <f t="shared" si="2"/>
        <v>0.0047094</v>
      </c>
      <c r="AF14" s="7">
        <f t="shared" si="3"/>
        <v>4.7094</v>
      </c>
      <c r="AG14" s="7">
        <f t="shared" si="22"/>
        <v>1.644917918</v>
      </c>
      <c r="AH14" s="7">
        <f t="shared" si="4"/>
        <v>0.0153</v>
      </c>
      <c r="AI14" s="7">
        <f t="shared" si="5"/>
        <v>11.11111111</v>
      </c>
      <c r="AJ14" s="7">
        <f t="shared" si="6"/>
        <v>42.48366013</v>
      </c>
      <c r="AK14" s="7">
        <f t="shared" si="7"/>
        <v>4.575163399</v>
      </c>
      <c r="AL14" s="7">
        <f t="shared" si="23"/>
        <v>41.83006536</v>
      </c>
      <c r="AM14" s="7">
        <f t="shared" si="9"/>
        <v>1.092307692</v>
      </c>
      <c r="AN14" s="7">
        <f t="shared" si="10"/>
        <v>0.2615384615</v>
      </c>
      <c r="AO14" s="7">
        <f t="shared" si="24"/>
        <v>0.109375</v>
      </c>
      <c r="AP14" s="7">
        <f t="shared" si="12"/>
        <v>0.0082</v>
      </c>
      <c r="AQ14" s="7">
        <f t="shared" si="13"/>
        <v>0.0071</v>
      </c>
      <c r="AR14" s="7">
        <f t="shared" si="14"/>
        <v>1.154929577</v>
      </c>
      <c r="AS14" s="7">
        <f t="shared" si="15"/>
        <v>0.8658536585</v>
      </c>
      <c r="AT14" s="7">
        <f t="shared" si="16"/>
        <v>8.2</v>
      </c>
      <c r="AU14" s="7">
        <f t="shared" si="17"/>
        <v>0.6141888297</v>
      </c>
      <c r="AV14" s="7">
        <f t="shared" si="18"/>
        <v>0.007370265956</v>
      </c>
      <c r="AW14" s="7">
        <f t="shared" si="19"/>
        <v>7.370265956</v>
      </c>
      <c r="AX14" s="7">
        <f t="shared" si="25"/>
        <v>2.574315737</v>
      </c>
    </row>
    <row r="15" ht="15.75" customHeight="1">
      <c r="A15" s="7" t="s">
        <v>82</v>
      </c>
      <c r="B15" s="13">
        <v>45161.0</v>
      </c>
      <c r="C15" s="8">
        <v>45161.0</v>
      </c>
      <c r="D15" s="7" t="s">
        <v>79</v>
      </c>
      <c r="E15" s="7" t="s">
        <v>80</v>
      </c>
      <c r="F15" s="9">
        <v>0.5451388888888888</v>
      </c>
      <c r="G15" s="10">
        <v>48.81603</v>
      </c>
      <c r="H15" s="10">
        <v>-121.75972</v>
      </c>
      <c r="I15" s="10">
        <v>1845.9</v>
      </c>
      <c r="J15" s="7" t="s">
        <v>54</v>
      </c>
      <c r="K15" s="7" t="s">
        <v>58</v>
      </c>
      <c r="L15" s="11">
        <v>45161.0</v>
      </c>
      <c r="M15" s="7" t="s">
        <v>81</v>
      </c>
      <c r="N15" s="7">
        <v>575.2</v>
      </c>
      <c r="O15" s="7">
        <v>1250.0</v>
      </c>
      <c r="P15" s="10">
        <v>0.3</v>
      </c>
      <c r="Q15" s="10">
        <v>0.764</v>
      </c>
      <c r="R15" s="10">
        <v>1017.3</v>
      </c>
      <c r="S15" s="7">
        <v>0.6790327569638143</v>
      </c>
      <c r="T15" s="7">
        <v>8.448983151783857</v>
      </c>
      <c r="U15" s="10">
        <v>0.2298</v>
      </c>
      <c r="V15" s="10">
        <v>0.3</v>
      </c>
      <c r="W15" s="10">
        <v>0.0026</v>
      </c>
      <c r="X15" s="10">
        <v>0.019</v>
      </c>
      <c r="Y15" s="10">
        <v>4.0E-4</v>
      </c>
      <c r="Z15" s="7"/>
      <c r="AA15" s="10">
        <v>0.0038</v>
      </c>
      <c r="AB15" s="10">
        <v>0.0043</v>
      </c>
      <c r="AC15" s="10">
        <v>0.0081</v>
      </c>
      <c r="AD15" s="7">
        <f t="shared" si="1"/>
        <v>0.86339</v>
      </c>
      <c r="AE15" s="7">
        <f t="shared" si="2"/>
        <v>0.01036068</v>
      </c>
      <c r="AF15" s="7">
        <f t="shared" si="3"/>
        <v>10.36068</v>
      </c>
      <c r="AG15" s="7">
        <f t="shared" si="22"/>
        <v>4.508563969</v>
      </c>
      <c r="AH15" s="7">
        <f t="shared" si="4"/>
        <v>0.0301</v>
      </c>
      <c r="AI15" s="7">
        <f t="shared" si="5"/>
        <v>8.637873754</v>
      </c>
      <c r="AJ15" s="7">
        <f t="shared" si="6"/>
        <v>63.12292359</v>
      </c>
      <c r="AK15" s="7">
        <f t="shared" si="7"/>
        <v>1.328903654</v>
      </c>
      <c r="AL15" s="7">
        <f t="shared" si="23"/>
        <v>26.910299</v>
      </c>
      <c r="AM15" s="7">
        <f t="shared" si="9"/>
        <v>0.4473684211</v>
      </c>
      <c r="AN15" s="7">
        <f t="shared" si="10"/>
        <v>0.1368421053</v>
      </c>
      <c r="AO15" s="7">
        <f t="shared" si="24"/>
        <v>0.04938271605</v>
      </c>
      <c r="AP15" s="7">
        <f t="shared" si="12"/>
        <v>0.0216</v>
      </c>
      <c r="AQ15" s="7">
        <f t="shared" si="13"/>
        <v>0.0085</v>
      </c>
      <c r="AR15" s="7">
        <f t="shared" si="14"/>
        <v>2.541176471</v>
      </c>
      <c r="AS15" s="7">
        <f t="shared" si="15"/>
        <v>0.3935185185</v>
      </c>
      <c r="AT15" s="7">
        <f t="shared" si="16"/>
        <v>21.6</v>
      </c>
      <c r="AU15" s="7">
        <f t="shared" si="17"/>
        <v>1.493616218</v>
      </c>
      <c r="AV15" s="7">
        <f t="shared" si="18"/>
        <v>0.01792339462</v>
      </c>
      <c r="AW15" s="7">
        <f t="shared" si="19"/>
        <v>17.92339462</v>
      </c>
      <c r="AX15" s="7">
        <f t="shared" si="25"/>
        <v>7.799562498</v>
      </c>
    </row>
    <row r="16" ht="15.75" customHeight="1">
      <c r="A16" s="7" t="s">
        <v>83</v>
      </c>
      <c r="B16" s="13">
        <v>44784.0</v>
      </c>
      <c r="C16" s="8">
        <v>44784.0</v>
      </c>
      <c r="D16" s="7" t="s">
        <v>84</v>
      </c>
      <c r="E16" s="7" t="s">
        <v>85</v>
      </c>
      <c r="F16" s="7">
        <v>0.5833333333333334</v>
      </c>
      <c r="G16" s="10">
        <v>48.75280092</v>
      </c>
      <c r="H16" s="10">
        <v>-121.8384252</v>
      </c>
      <c r="I16" s="10">
        <v>2161.46</v>
      </c>
      <c r="J16" s="7" t="s">
        <v>54</v>
      </c>
      <c r="K16" s="7" t="s">
        <v>58</v>
      </c>
      <c r="L16" s="11">
        <v>44784.0</v>
      </c>
      <c r="M16" s="7" t="s">
        <v>81</v>
      </c>
      <c r="N16" s="7">
        <v>559.3833333333333</v>
      </c>
      <c r="O16" s="7">
        <v>1250.0</v>
      </c>
      <c r="P16" s="10">
        <v>0.3</v>
      </c>
      <c r="Q16" s="10">
        <v>0.8009</v>
      </c>
      <c r="R16" s="10">
        <v>1024.7</v>
      </c>
      <c r="S16" s="7">
        <v>0.6776101724516882</v>
      </c>
      <c r="T16" s="7">
        <v>6.798714160054335</v>
      </c>
      <c r="U16" s="10">
        <f>AVERAGE(0.5186,0.3317,0.2807,0.3071)</f>
        <v>0.359525</v>
      </c>
      <c r="V16" s="12"/>
      <c r="W16" s="10">
        <v>0.0011</v>
      </c>
      <c r="X16" s="10">
        <v>0.0145</v>
      </c>
      <c r="Y16" s="10">
        <v>0.0011</v>
      </c>
      <c r="Z16" s="7"/>
      <c r="AA16" s="10">
        <v>0.0045</v>
      </c>
      <c r="AB16" s="10">
        <v>0.0027</v>
      </c>
      <c r="AC16" s="10">
        <v>0.0072</v>
      </c>
      <c r="AD16" s="7">
        <f t="shared" si="1"/>
        <v>0.65965</v>
      </c>
      <c r="AE16" s="7">
        <f t="shared" si="2"/>
        <v>0.0079158</v>
      </c>
      <c r="AF16" s="7">
        <f t="shared" si="3"/>
        <v>7.9158</v>
      </c>
      <c r="AG16" s="7">
        <f t="shared" si="22"/>
        <v>2.201738405</v>
      </c>
      <c r="AH16" s="7">
        <f t="shared" si="4"/>
        <v>0.0239</v>
      </c>
      <c r="AI16" s="7">
        <f t="shared" si="5"/>
        <v>4.60251046</v>
      </c>
      <c r="AJ16" s="7">
        <f t="shared" si="6"/>
        <v>60.66945607</v>
      </c>
      <c r="AK16" s="7">
        <f t="shared" si="7"/>
        <v>4.60251046</v>
      </c>
      <c r="AL16" s="7">
        <f t="shared" si="23"/>
        <v>30.12552301</v>
      </c>
      <c r="AM16" s="7">
        <f t="shared" si="9"/>
        <v>0.5724137931</v>
      </c>
      <c r="AN16" s="7">
        <f t="shared" si="10"/>
        <v>0.07586206897</v>
      </c>
      <c r="AO16" s="7">
        <f t="shared" si="24"/>
        <v>0.1527777778</v>
      </c>
      <c r="AP16" s="7">
        <f t="shared" si="12"/>
        <v>0.0156</v>
      </c>
      <c r="AQ16" s="7">
        <f t="shared" si="13"/>
        <v>0.0083</v>
      </c>
      <c r="AR16" s="7">
        <f t="shared" si="14"/>
        <v>1.879518072</v>
      </c>
      <c r="AS16" s="7">
        <f t="shared" si="15"/>
        <v>0.5320512821</v>
      </c>
      <c r="AT16" s="7">
        <f t="shared" si="16"/>
        <v>15.6</v>
      </c>
      <c r="AU16" s="7">
        <f t="shared" si="17"/>
        <v>1.108075935</v>
      </c>
      <c r="AV16" s="7">
        <f t="shared" si="18"/>
        <v>0.01329691122</v>
      </c>
      <c r="AW16" s="7">
        <f t="shared" si="19"/>
        <v>13.29691122</v>
      </c>
      <c r="AX16" s="7">
        <f t="shared" si="25"/>
        <v>3.698466371</v>
      </c>
    </row>
    <row r="17" ht="15.75" customHeight="1">
      <c r="A17" s="7" t="s">
        <v>86</v>
      </c>
      <c r="B17" s="7" t="s">
        <v>87</v>
      </c>
      <c r="C17" s="8">
        <v>44784.0</v>
      </c>
      <c r="D17" s="7" t="s">
        <v>84</v>
      </c>
      <c r="E17" s="7" t="s">
        <v>88</v>
      </c>
      <c r="F17" s="7">
        <v>0.6326388888888889</v>
      </c>
      <c r="G17" s="10">
        <v>48.81576831</v>
      </c>
      <c r="H17" s="10">
        <v>-121.7705379</v>
      </c>
      <c r="I17" s="10">
        <v>1721.74</v>
      </c>
      <c r="J17" s="7" t="s">
        <v>89</v>
      </c>
      <c r="K17" s="7" t="s">
        <v>58</v>
      </c>
      <c r="L17" s="11">
        <v>44784.0</v>
      </c>
      <c r="M17" s="7" t="s">
        <v>81</v>
      </c>
      <c r="N17" s="7"/>
      <c r="O17" s="7"/>
      <c r="P17" s="7"/>
      <c r="Q17" s="7"/>
      <c r="R17" s="7"/>
      <c r="S17" s="7"/>
      <c r="T17" s="7"/>
      <c r="U17" s="10">
        <v>0.1869</v>
      </c>
      <c r="V17" s="10">
        <v>0.3117</v>
      </c>
      <c r="W17" s="10">
        <v>0.0042</v>
      </c>
      <c r="X17" s="10">
        <v>0.0121</v>
      </c>
      <c r="Y17" s="10">
        <v>0.0016</v>
      </c>
      <c r="Z17" s="7"/>
      <c r="AA17" s="10">
        <v>0.0015</v>
      </c>
      <c r="AB17" s="10">
        <v>0.0018</v>
      </c>
      <c r="AC17" s="10">
        <v>0.0033</v>
      </c>
      <c r="AD17" s="7">
        <f t="shared" si="1"/>
        <v>0.62625</v>
      </c>
      <c r="AE17" s="7">
        <f t="shared" si="2"/>
        <v>0.007515</v>
      </c>
      <c r="AF17" s="7">
        <f t="shared" si="3"/>
        <v>7.515</v>
      </c>
      <c r="AG17" s="7">
        <f t="shared" si="22"/>
        <v>4.020866774</v>
      </c>
      <c r="AH17" s="7">
        <f t="shared" si="4"/>
        <v>0.0212</v>
      </c>
      <c r="AI17" s="7">
        <f t="shared" si="5"/>
        <v>19.81132075</v>
      </c>
      <c r="AJ17" s="7">
        <f t="shared" si="6"/>
        <v>57.0754717</v>
      </c>
      <c r="AK17" s="7">
        <f t="shared" si="7"/>
        <v>7.547169811</v>
      </c>
      <c r="AL17" s="7">
        <f t="shared" si="23"/>
        <v>15.56603774</v>
      </c>
      <c r="AM17" s="7">
        <f t="shared" si="9"/>
        <v>0.4049586777</v>
      </c>
      <c r="AN17" s="7">
        <f t="shared" si="10"/>
        <v>0.347107438</v>
      </c>
      <c r="AO17" s="7">
        <f t="shared" si="24"/>
        <v>0.4848484848</v>
      </c>
      <c r="AP17" s="7">
        <f t="shared" si="12"/>
        <v>0.0163</v>
      </c>
      <c r="AQ17" s="7">
        <f t="shared" si="13"/>
        <v>0.0049</v>
      </c>
      <c r="AR17" s="7">
        <f t="shared" si="14"/>
        <v>3.326530612</v>
      </c>
      <c r="AS17" s="7">
        <f t="shared" si="15"/>
        <v>0.3006134969</v>
      </c>
      <c r="AT17" s="7">
        <f t="shared" si="16"/>
        <v>16.3</v>
      </c>
      <c r="AU17" s="7">
        <f t="shared" si="17"/>
        <v>1.153612176</v>
      </c>
      <c r="AV17" s="7">
        <f t="shared" si="18"/>
        <v>0.01384334611</v>
      </c>
      <c r="AW17" s="7">
        <f t="shared" si="19"/>
        <v>13.84334611</v>
      </c>
      <c r="AX17" s="7">
        <f t="shared" si="25"/>
        <v>7.406819747</v>
      </c>
    </row>
    <row r="18" ht="15.75" customHeight="1">
      <c r="A18" s="7" t="s">
        <v>90</v>
      </c>
      <c r="B18" s="7" t="s">
        <v>91</v>
      </c>
      <c r="C18" s="8">
        <v>44756.0</v>
      </c>
      <c r="D18" s="7" t="s">
        <v>92</v>
      </c>
      <c r="E18" s="7" t="s">
        <v>93</v>
      </c>
      <c r="F18" s="7">
        <v>0.75</v>
      </c>
      <c r="G18" s="10">
        <v>46.7754086</v>
      </c>
      <c r="H18" s="10">
        <v>-121.7462035</v>
      </c>
      <c r="I18" s="10">
        <v>1417.32</v>
      </c>
      <c r="J18" s="7" t="s">
        <v>94</v>
      </c>
      <c r="K18" s="7" t="s">
        <v>58</v>
      </c>
      <c r="L18" s="11">
        <v>44756.0</v>
      </c>
      <c r="M18" s="7" t="s">
        <v>56</v>
      </c>
      <c r="N18" s="7"/>
      <c r="O18" s="7"/>
      <c r="P18" s="7"/>
      <c r="Q18" s="7"/>
      <c r="R18" s="7"/>
      <c r="S18" s="7"/>
      <c r="T18" s="7"/>
      <c r="U18" s="10">
        <v>0.5446</v>
      </c>
      <c r="V18" s="7"/>
      <c r="W18" s="10">
        <v>0.0043</v>
      </c>
      <c r="X18" s="10">
        <v>0.0052</v>
      </c>
      <c r="Y18" s="10">
        <v>0.004</v>
      </c>
      <c r="Z18" s="10">
        <v>0.0021</v>
      </c>
      <c r="AA18" s="10">
        <v>0.0047</v>
      </c>
      <c r="AB18" s="10">
        <v>0.0199</v>
      </c>
      <c r="AC18" s="10">
        <v>0.0267</v>
      </c>
      <c r="AD18" s="7">
        <f t="shared" si="1"/>
        <v>0.82999</v>
      </c>
      <c r="AE18" s="7">
        <f t="shared" si="2"/>
        <v>0.00995988</v>
      </c>
      <c r="AF18" s="7">
        <f t="shared" si="3"/>
        <v>9.95988</v>
      </c>
      <c r="AG18" s="7">
        <f t="shared" si="22"/>
        <v>1.828843188</v>
      </c>
      <c r="AH18" s="7">
        <f t="shared" si="4"/>
        <v>0.0402</v>
      </c>
      <c r="AI18" s="7">
        <f t="shared" si="5"/>
        <v>10.69651741</v>
      </c>
      <c r="AJ18" s="7">
        <f t="shared" si="6"/>
        <v>12.93532338</v>
      </c>
      <c r="AK18" s="7">
        <f t="shared" si="7"/>
        <v>9.950248756</v>
      </c>
      <c r="AL18" s="7">
        <f t="shared" si="23"/>
        <v>66.41791045</v>
      </c>
      <c r="AM18" s="7">
        <f t="shared" si="9"/>
        <v>5.903846154</v>
      </c>
      <c r="AN18" s="7">
        <f t="shared" si="10"/>
        <v>0.8269230769</v>
      </c>
      <c r="AO18" s="7">
        <f t="shared" si="24"/>
        <v>0.1498127341</v>
      </c>
      <c r="AP18" s="7">
        <f t="shared" si="12"/>
        <v>0.0095</v>
      </c>
      <c r="AQ18" s="7">
        <f t="shared" si="13"/>
        <v>0.0307</v>
      </c>
      <c r="AR18" s="7">
        <f t="shared" si="14"/>
        <v>0.3094462541</v>
      </c>
      <c r="AS18" s="7">
        <f t="shared" si="15"/>
        <v>3.231578947</v>
      </c>
      <c r="AT18" s="7">
        <f t="shared" si="16"/>
        <v>9.5</v>
      </c>
      <c r="AU18" s="7">
        <f t="shared" si="17"/>
        <v>0.702973756</v>
      </c>
      <c r="AV18" s="7">
        <f t="shared" si="18"/>
        <v>0.008435685072</v>
      </c>
      <c r="AW18" s="7">
        <f t="shared" si="19"/>
        <v>8.435685072</v>
      </c>
      <c r="AX18" s="7">
        <f t="shared" si="25"/>
        <v>1.548968981</v>
      </c>
    </row>
    <row r="19" ht="15.75" customHeight="1">
      <c r="A19" s="7" t="s">
        <v>95</v>
      </c>
      <c r="B19" s="7" t="s">
        <v>96</v>
      </c>
      <c r="C19" s="8">
        <v>44788.0</v>
      </c>
      <c r="D19" s="7" t="s">
        <v>97</v>
      </c>
      <c r="E19" s="7" t="s">
        <v>98</v>
      </c>
      <c r="F19" s="7">
        <v>0.6513888888888889</v>
      </c>
      <c r="G19" s="10">
        <v>46.77529</v>
      </c>
      <c r="H19" s="10">
        <v>-121.74629</v>
      </c>
      <c r="I19" s="10">
        <v>1407.871</v>
      </c>
      <c r="J19" s="7" t="s">
        <v>94</v>
      </c>
      <c r="K19" s="7" t="s">
        <v>58</v>
      </c>
      <c r="L19" s="11">
        <v>44788.0</v>
      </c>
      <c r="M19" s="7" t="s">
        <v>81</v>
      </c>
      <c r="N19" s="7"/>
      <c r="O19" s="7"/>
      <c r="P19" s="7"/>
      <c r="Q19" s="7"/>
      <c r="R19" s="7"/>
      <c r="S19" s="7"/>
      <c r="T19" s="7"/>
      <c r="U19" s="10">
        <v>0.29</v>
      </c>
      <c r="V19" s="10">
        <v>0.5993</v>
      </c>
      <c r="W19" s="10">
        <v>0.0097</v>
      </c>
      <c r="X19" s="10">
        <v>0.0111</v>
      </c>
      <c r="Y19" s="10">
        <v>0.0026</v>
      </c>
      <c r="Z19" s="10">
        <v>0.0019</v>
      </c>
      <c r="AA19" s="10">
        <v>0.0018</v>
      </c>
      <c r="AB19" s="10">
        <v>0.0145</v>
      </c>
      <c r="AC19" s="10">
        <v>0.0182</v>
      </c>
      <c r="AD19" s="7">
        <f t="shared" si="1"/>
        <v>1.04208</v>
      </c>
      <c r="AE19" s="7">
        <f t="shared" si="2"/>
        <v>0.01250496</v>
      </c>
      <c r="AF19" s="7">
        <f t="shared" si="3"/>
        <v>12.50496</v>
      </c>
      <c r="AG19" s="7">
        <f t="shared" si="22"/>
        <v>4.312055172</v>
      </c>
      <c r="AH19" s="7">
        <f t="shared" si="4"/>
        <v>0.0416</v>
      </c>
      <c r="AI19" s="7">
        <f t="shared" si="5"/>
        <v>23.31730769</v>
      </c>
      <c r="AJ19" s="7">
        <f t="shared" si="6"/>
        <v>26.68269231</v>
      </c>
      <c r="AK19" s="7">
        <f t="shared" si="7"/>
        <v>6.25</v>
      </c>
      <c r="AL19" s="7">
        <f t="shared" si="23"/>
        <v>43.75</v>
      </c>
      <c r="AM19" s="7">
        <f t="shared" si="9"/>
        <v>1.873873874</v>
      </c>
      <c r="AN19" s="7">
        <f t="shared" si="10"/>
        <v>0.8738738739</v>
      </c>
      <c r="AO19" s="7">
        <f t="shared" si="24"/>
        <v>0.1428571429</v>
      </c>
      <c r="AP19" s="7">
        <f t="shared" si="12"/>
        <v>0.0208</v>
      </c>
      <c r="AQ19" s="7">
        <f t="shared" si="13"/>
        <v>0.0208</v>
      </c>
      <c r="AR19" s="7">
        <f t="shared" si="14"/>
        <v>1</v>
      </c>
      <c r="AS19" s="7">
        <f t="shared" si="15"/>
        <v>1</v>
      </c>
      <c r="AT19" s="7">
        <f t="shared" si="16"/>
        <v>20.8</v>
      </c>
      <c r="AU19" s="7">
        <f t="shared" si="17"/>
        <v>1.442782327</v>
      </c>
      <c r="AV19" s="7">
        <f t="shared" si="18"/>
        <v>0.01731338792</v>
      </c>
      <c r="AW19" s="7">
        <f t="shared" si="19"/>
        <v>17.31338792</v>
      </c>
      <c r="AX19" s="7">
        <f t="shared" si="25"/>
        <v>5.970133766</v>
      </c>
    </row>
    <row r="20" ht="15.75" customHeight="1">
      <c r="A20" s="7" t="s">
        <v>99</v>
      </c>
      <c r="B20" s="7" t="s">
        <v>100</v>
      </c>
      <c r="C20" s="8">
        <v>44756.0</v>
      </c>
      <c r="D20" s="7" t="s">
        <v>101</v>
      </c>
      <c r="E20" s="7" t="s">
        <v>102</v>
      </c>
      <c r="F20" s="7">
        <v>0.7020833333333333</v>
      </c>
      <c r="G20" s="10">
        <v>46.80893</v>
      </c>
      <c r="H20" s="10">
        <v>-121.72632</v>
      </c>
      <c r="I20" s="10">
        <v>2182.673</v>
      </c>
      <c r="J20" s="7" t="s">
        <v>103</v>
      </c>
      <c r="K20" s="7" t="s">
        <v>58</v>
      </c>
      <c r="L20" s="11">
        <v>44756.0</v>
      </c>
      <c r="M20" s="7" t="s">
        <v>56</v>
      </c>
      <c r="N20" s="7"/>
      <c r="O20" s="7"/>
      <c r="P20" s="7"/>
      <c r="Q20" s="7"/>
      <c r="R20" s="7"/>
      <c r="S20" s="7"/>
      <c r="T20" s="7"/>
      <c r="U20" s="10">
        <v>0.5434</v>
      </c>
      <c r="V20" s="7"/>
      <c r="W20" s="10">
        <v>0.0026</v>
      </c>
      <c r="X20" s="10">
        <v>0.0016</v>
      </c>
      <c r="Y20" s="7"/>
      <c r="Z20" s="7"/>
      <c r="AA20" s="10">
        <v>5.0E-4</v>
      </c>
      <c r="AB20" s="10">
        <v>0.0064</v>
      </c>
      <c r="AC20" s="10">
        <v>0.0068</v>
      </c>
      <c r="AD20" s="7">
        <f t="shared" si="1"/>
        <v>0.25384</v>
      </c>
      <c r="AE20" s="7">
        <f t="shared" si="2"/>
        <v>0.00304608</v>
      </c>
      <c r="AF20" s="7">
        <f t="shared" si="3"/>
        <v>3.04608</v>
      </c>
      <c r="AG20" s="7">
        <f t="shared" si="22"/>
        <v>0.5605594406</v>
      </c>
      <c r="AH20" s="7">
        <f t="shared" si="4"/>
        <v>0.011</v>
      </c>
      <c r="AI20" s="7">
        <f t="shared" si="5"/>
        <v>23.63636364</v>
      </c>
      <c r="AJ20" s="7">
        <f t="shared" si="6"/>
        <v>14.54545455</v>
      </c>
      <c r="AK20" s="7"/>
      <c r="AL20" s="7">
        <f t="shared" si="23"/>
        <v>61.81818182</v>
      </c>
      <c r="AM20" s="7">
        <f t="shared" si="9"/>
        <v>4.25</v>
      </c>
      <c r="AN20" s="7">
        <f t="shared" si="10"/>
        <v>1.625</v>
      </c>
      <c r="AO20" s="7">
        <f t="shared" si="24"/>
        <v>0</v>
      </c>
      <c r="AP20" s="7">
        <f t="shared" si="12"/>
        <v>0.0042</v>
      </c>
      <c r="AQ20" s="7">
        <f t="shared" si="13"/>
        <v>0.0068</v>
      </c>
      <c r="AR20" s="7">
        <f t="shared" si="14"/>
        <v>0.6176470588</v>
      </c>
      <c r="AS20" s="7">
        <f t="shared" si="15"/>
        <v>1.619047619</v>
      </c>
      <c r="AT20" s="7">
        <f t="shared" si="16"/>
        <v>4.2</v>
      </c>
      <c r="AU20" s="7">
        <f t="shared" si="17"/>
        <v>0.3324366735</v>
      </c>
      <c r="AV20" s="7">
        <f t="shared" si="18"/>
        <v>0.003989240082</v>
      </c>
      <c r="AW20" s="7">
        <f t="shared" si="19"/>
        <v>3.989240082</v>
      </c>
      <c r="AX20" s="7">
        <f t="shared" si="25"/>
        <v>0.7341258893</v>
      </c>
    </row>
    <row r="21" ht="15.75" customHeight="1">
      <c r="A21" s="7" t="s">
        <v>104</v>
      </c>
      <c r="B21" s="7" t="s">
        <v>105</v>
      </c>
      <c r="C21" s="8">
        <v>44788.0</v>
      </c>
      <c r="D21" s="7" t="s">
        <v>101</v>
      </c>
      <c r="E21" s="7" t="s">
        <v>106</v>
      </c>
      <c r="F21" s="7">
        <v>0.4583333333333333</v>
      </c>
      <c r="G21" s="10">
        <v>46.80940629</v>
      </c>
      <c r="H21" s="10">
        <v>-121.72594106</v>
      </c>
      <c r="I21" s="10">
        <v>2192.84</v>
      </c>
      <c r="J21" s="7" t="s">
        <v>103</v>
      </c>
      <c r="K21" s="7" t="s">
        <v>58</v>
      </c>
      <c r="L21" s="11">
        <v>44788.0</v>
      </c>
      <c r="M21" s="7" t="s">
        <v>81</v>
      </c>
      <c r="N21" s="7"/>
      <c r="O21" s="7"/>
      <c r="P21" s="7"/>
      <c r="Q21" s="7"/>
      <c r="R21" s="7"/>
      <c r="S21" s="7"/>
      <c r="T21" s="7"/>
      <c r="U21" s="10">
        <v>0.09</v>
      </c>
      <c r="V21" s="12"/>
      <c r="W21" s="10">
        <v>0.0032</v>
      </c>
      <c r="X21" s="10">
        <v>0.0096</v>
      </c>
      <c r="Y21" s="10">
        <v>0.0014</v>
      </c>
      <c r="Z21" s="7"/>
      <c r="AA21" s="10">
        <v>0.0011</v>
      </c>
      <c r="AB21" s="10">
        <v>0.0016</v>
      </c>
      <c r="AC21" s="10">
        <v>0.0028</v>
      </c>
      <c r="AD21" s="7">
        <f t="shared" si="1"/>
        <v>0.49766</v>
      </c>
      <c r="AE21" s="7">
        <f t="shared" si="2"/>
        <v>0.00597192</v>
      </c>
      <c r="AF21" s="7">
        <f t="shared" si="3"/>
        <v>5.97192</v>
      </c>
      <c r="AG21" s="7">
        <f t="shared" si="22"/>
        <v>6.635466667</v>
      </c>
      <c r="AH21" s="7">
        <f t="shared" si="4"/>
        <v>0.017</v>
      </c>
      <c r="AI21" s="7">
        <f t="shared" si="5"/>
        <v>18.82352941</v>
      </c>
      <c r="AJ21" s="7">
        <f t="shared" si="6"/>
        <v>56.47058824</v>
      </c>
      <c r="AK21" s="7">
        <f t="shared" ref="AK21:AK32" si="26">Y21/AH21*100</f>
        <v>8.235294118</v>
      </c>
      <c r="AL21" s="7">
        <f t="shared" si="23"/>
        <v>16.47058824</v>
      </c>
      <c r="AM21" s="7">
        <f t="shared" si="9"/>
        <v>0.4375</v>
      </c>
      <c r="AN21" s="7">
        <f t="shared" si="10"/>
        <v>0.3333333333</v>
      </c>
      <c r="AO21" s="7">
        <f t="shared" si="24"/>
        <v>0.5</v>
      </c>
      <c r="AP21" s="7">
        <f t="shared" si="12"/>
        <v>0.0128</v>
      </c>
      <c r="AQ21" s="7">
        <f t="shared" si="13"/>
        <v>0.0042</v>
      </c>
      <c r="AR21" s="7">
        <f t="shared" si="14"/>
        <v>3.047619048</v>
      </c>
      <c r="AS21" s="7">
        <f t="shared" si="15"/>
        <v>0.328125</v>
      </c>
      <c r="AT21" s="7">
        <f t="shared" si="16"/>
        <v>12.8</v>
      </c>
      <c r="AU21" s="7">
        <f t="shared" si="17"/>
        <v>0.9241508157</v>
      </c>
      <c r="AV21" s="7">
        <f t="shared" si="18"/>
        <v>0.01108980979</v>
      </c>
      <c r="AW21" s="7">
        <f t="shared" si="19"/>
        <v>11.08980979</v>
      </c>
      <c r="AX21" s="7">
        <f t="shared" si="25"/>
        <v>12.32201088</v>
      </c>
    </row>
    <row r="22" ht="15.75" customHeight="1">
      <c r="A22" s="7" t="s">
        <v>107</v>
      </c>
      <c r="B22" s="7" t="s">
        <v>108</v>
      </c>
      <c r="C22" s="8">
        <v>44819.0</v>
      </c>
      <c r="D22" s="7" t="s">
        <v>109</v>
      </c>
      <c r="E22" s="7" t="s">
        <v>110</v>
      </c>
      <c r="F22" s="7">
        <v>0.6020833333333333</v>
      </c>
      <c r="G22" s="10">
        <v>48.32472</v>
      </c>
      <c r="H22" s="10">
        <v>-121.69221</v>
      </c>
      <c r="I22" s="10">
        <v>1756.867</v>
      </c>
      <c r="J22" s="7" t="s">
        <v>54</v>
      </c>
      <c r="K22" s="7" t="s">
        <v>111</v>
      </c>
      <c r="L22" s="11">
        <v>44819.0</v>
      </c>
      <c r="M22" s="7" t="s">
        <v>81</v>
      </c>
      <c r="N22" s="7">
        <v>559.3833333333333</v>
      </c>
      <c r="O22" s="7">
        <v>1250.0</v>
      </c>
      <c r="P22" s="10">
        <v>0.3</v>
      </c>
      <c r="Q22" s="10">
        <v>0.6768</v>
      </c>
      <c r="R22" s="10">
        <v>997.1</v>
      </c>
      <c r="S22" s="7">
        <v>0.6905585034839835</v>
      </c>
      <c r="T22" s="7">
        <v>5.931793631507553</v>
      </c>
      <c r="U22" s="10">
        <f>AVERAGE(0.2396,0.3164,0.2872)</f>
        <v>0.2810666667</v>
      </c>
      <c r="V22" s="10">
        <v>0.9665</v>
      </c>
      <c r="W22" s="10">
        <v>0.003</v>
      </c>
      <c r="X22" s="10">
        <v>0.0107</v>
      </c>
      <c r="Y22" s="10">
        <v>0.0021</v>
      </c>
      <c r="Z22" s="10">
        <v>0.0029</v>
      </c>
      <c r="AA22" s="10">
        <v>0.003</v>
      </c>
      <c r="AB22" s="10">
        <v>0.0037</v>
      </c>
      <c r="AC22" s="10">
        <v>0.0096</v>
      </c>
      <c r="AD22" s="7">
        <f t="shared" si="1"/>
        <v>0.65297</v>
      </c>
      <c r="AE22" s="7">
        <f t="shared" si="2"/>
        <v>0.00783564</v>
      </c>
      <c r="AF22" s="7">
        <f t="shared" si="3"/>
        <v>7.83564</v>
      </c>
      <c r="AG22" s="7">
        <f t="shared" si="22"/>
        <v>2.787822581</v>
      </c>
      <c r="AH22" s="7">
        <f t="shared" si="4"/>
        <v>0.0254</v>
      </c>
      <c r="AI22" s="7">
        <f t="shared" si="5"/>
        <v>11.81102362</v>
      </c>
      <c r="AJ22" s="7">
        <f t="shared" si="6"/>
        <v>42.12598425</v>
      </c>
      <c r="AK22" s="7">
        <f t="shared" si="26"/>
        <v>8.267716535</v>
      </c>
      <c r="AL22" s="7">
        <f t="shared" si="23"/>
        <v>37.79527559</v>
      </c>
      <c r="AM22" s="7">
        <f t="shared" si="9"/>
        <v>1.093457944</v>
      </c>
      <c r="AN22" s="7">
        <f t="shared" si="10"/>
        <v>0.2803738318</v>
      </c>
      <c r="AO22" s="7">
        <f t="shared" si="24"/>
        <v>0.21875</v>
      </c>
      <c r="AP22" s="7">
        <f t="shared" si="12"/>
        <v>0.0137</v>
      </c>
      <c r="AQ22" s="7">
        <f t="shared" si="13"/>
        <v>0.0117</v>
      </c>
      <c r="AR22" s="7">
        <f t="shared" si="14"/>
        <v>1.170940171</v>
      </c>
      <c r="AS22" s="7">
        <f t="shared" si="15"/>
        <v>0.8540145985</v>
      </c>
      <c r="AT22" s="7">
        <f t="shared" si="16"/>
        <v>13.7</v>
      </c>
      <c r="AU22" s="7">
        <f t="shared" si="17"/>
        <v>0.9836006893</v>
      </c>
      <c r="AV22" s="7">
        <f t="shared" si="18"/>
        <v>0.01180320827</v>
      </c>
      <c r="AW22" s="7">
        <f t="shared" si="19"/>
        <v>11.80320827</v>
      </c>
      <c r="AX22" s="7">
        <f t="shared" si="25"/>
        <v>4.199433683</v>
      </c>
    </row>
    <row r="23" ht="15.75" customHeight="1">
      <c r="A23" s="7" t="s">
        <v>112</v>
      </c>
      <c r="B23" s="13">
        <v>44779.0</v>
      </c>
      <c r="C23" s="8">
        <v>44779.0</v>
      </c>
      <c r="D23" s="7" t="s">
        <v>113</v>
      </c>
      <c r="E23" s="7" t="s">
        <v>114</v>
      </c>
      <c r="F23" s="7">
        <v>0.5833333333333334</v>
      </c>
      <c r="G23" s="10">
        <v>48.79468412</v>
      </c>
      <c r="H23" s="10">
        <v>-121.79464989</v>
      </c>
      <c r="I23" s="10">
        <v>2108.76</v>
      </c>
      <c r="J23" s="7" t="s">
        <v>54</v>
      </c>
      <c r="K23" s="7" t="s">
        <v>58</v>
      </c>
      <c r="L23" s="11">
        <v>44779.0</v>
      </c>
      <c r="M23" s="7" t="s">
        <v>81</v>
      </c>
      <c r="N23" s="7">
        <v>559.3833333333333</v>
      </c>
      <c r="O23" s="7">
        <v>1250.0</v>
      </c>
      <c r="P23" s="10">
        <v>0.3</v>
      </c>
      <c r="Q23" s="10">
        <v>0.8139</v>
      </c>
      <c r="R23" s="10">
        <v>1026.8</v>
      </c>
      <c r="S23" s="7">
        <v>0.6750225276306177</v>
      </c>
      <c r="T23" s="7">
        <v>7.820129474203382</v>
      </c>
      <c r="U23" s="10">
        <f>AVERAGE(0.39,0.35,0.58,0.42)</f>
        <v>0.435</v>
      </c>
      <c r="V23" s="10">
        <v>0.8141</v>
      </c>
      <c r="W23" s="10">
        <v>0.0019</v>
      </c>
      <c r="X23" s="10">
        <v>0.0137</v>
      </c>
      <c r="Y23" s="10">
        <v>0.0013</v>
      </c>
      <c r="Z23" s="7"/>
      <c r="AA23" s="10">
        <v>0.0093</v>
      </c>
      <c r="AB23" s="10">
        <v>0.0037</v>
      </c>
      <c r="AC23" s="10">
        <v>0.013</v>
      </c>
      <c r="AD23" s="7">
        <f t="shared" si="1"/>
        <v>0.75985</v>
      </c>
      <c r="AE23" s="7">
        <f t="shared" si="2"/>
        <v>0.0091182</v>
      </c>
      <c r="AF23" s="7">
        <f t="shared" si="3"/>
        <v>9.1182</v>
      </c>
      <c r="AG23" s="7">
        <f t="shared" si="22"/>
        <v>2.096137931</v>
      </c>
      <c r="AH23" s="7">
        <f t="shared" si="4"/>
        <v>0.0299</v>
      </c>
      <c r="AI23" s="7">
        <f t="shared" si="5"/>
        <v>6.35451505</v>
      </c>
      <c r="AJ23" s="7">
        <f t="shared" si="6"/>
        <v>45.81939799</v>
      </c>
      <c r="AK23" s="7">
        <f t="shared" si="26"/>
        <v>4.347826087</v>
      </c>
      <c r="AL23" s="7">
        <f t="shared" si="23"/>
        <v>43.47826087</v>
      </c>
      <c r="AM23" s="7">
        <f t="shared" si="9"/>
        <v>1.04379562</v>
      </c>
      <c r="AN23" s="7">
        <f t="shared" si="10"/>
        <v>0.1386861314</v>
      </c>
      <c r="AO23" s="7">
        <f t="shared" si="24"/>
        <v>0.1</v>
      </c>
      <c r="AP23" s="7">
        <f t="shared" si="12"/>
        <v>0.0156</v>
      </c>
      <c r="AQ23" s="7">
        <f t="shared" si="13"/>
        <v>0.0143</v>
      </c>
      <c r="AR23" s="7">
        <f t="shared" si="14"/>
        <v>1.090909091</v>
      </c>
      <c r="AS23" s="7">
        <f t="shared" si="15"/>
        <v>0.9166666667</v>
      </c>
      <c r="AT23" s="7">
        <f t="shared" si="16"/>
        <v>15.6</v>
      </c>
      <c r="AU23" s="7">
        <f t="shared" si="17"/>
        <v>1.108075935</v>
      </c>
      <c r="AV23" s="7">
        <f t="shared" si="18"/>
        <v>0.01329691122</v>
      </c>
      <c r="AW23" s="7">
        <f t="shared" si="19"/>
        <v>13.29691122</v>
      </c>
      <c r="AX23" s="7">
        <f t="shared" si="25"/>
        <v>3.0567612</v>
      </c>
    </row>
    <row r="24" ht="15.75" customHeight="1">
      <c r="A24" s="7" t="s">
        <v>115</v>
      </c>
      <c r="B24" s="13">
        <v>44778.0</v>
      </c>
      <c r="C24" s="8">
        <v>44778.0</v>
      </c>
      <c r="D24" s="7" t="s">
        <v>116</v>
      </c>
      <c r="E24" s="7" t="s">
        <v>117</v>
      </c>
      <c r="F24" s="7">
        <v>0.7430555555555556</v>
      </c>
      <c r="G24" s="10">
        <v>48.80976877</v>
      </c>
      <c r="H24" s="10">
        <v>-121.77060956</v>
      </c>
      <c r="I24" s="10">
        <v>1890.28</v>
      </c>
      <c r="J24" s="7" t="s">
        <v>54</v>
      </c>
      <c r="K24" s="7" t="s">
        <v>58</v>
      </c>
      <c r="L24" s="11">
        <v>44778.0</v>
      </c>
      <c r="M24" s="7" t="s">
        <v>81</v>
      </c>
      <c r="N24" s="7">
        <v>559.3833333333333</v>
      </c>
      <c r="O24" s="7">
        <v>1250.0</v>
      </c>
      <c r="P24" s="10">
        <v>0.3</v>
      </c>
      <c r="Q24" s="10">
        <v>0.8164</v>
      </c>
      <c r="R24" s="10">
        <v>1027.2</v>
      </c>
      <c r="S24" s="7">
        <v>0.6766200061340598</v>
      </c>
      <c r="T24" s="7">
        <v>6.445927392186187</v>
      </c>
      <c r="U24" s="10">
        <f>AVERAGE(1.039,0.235,0.4158,0.3246,0.3356)</f>
        <v>0.47</v>
      </c>
      <c r="V24" s="12"/>
      <c r="W24" s="10">
        <v>0.0014</v>
      </c>
      <c r="X24" s="10">
        <v>0.0075</v>
      </c>
      <c r="Y24" s="10">
        <v>0.0014</v>
      </c>
      <c r="Z24" s="7"/>
      <c r="AA24" s="10">
        <v>0.0103</v>
      </c>
      <c r="AB24" s="10">
        <v>0.0072</v>
      </c>
      <c r="AC24" s="10">
        <v>0.0175</v>
      </c>
      <c r="AD24" s="7">
        <f t="shared" si="1"/>
        <v>0.61289</v>
      </c>
      <c r="AE24" s="7">
        <f t="shared" si="2"/>
        <v>0.00735468</v>
      </c>
      <c r="AF24" s="7">
        <f t="shared" si="3"/>
        <v>7.35468</v>
      </c>
      <c r="AG24" s="7">
        <f t="shared" si="22"/>
        <v>1.564825532</v>
      </c>
      <c r="AH24" s="7">
        <f t="shared" si="4"/>
        <v>0.0278</v>
      </c>
      <c r="AI24" s="7">
        <f t="shared" si="5"/>
        <v>5.035971223</v>
      </c>
      <c r="AJ24" s="7">
        <f t="shared" si="6"/>
        <v>26.97841727</v>
      </c>
      <c r="AK24" s="7">
        <f t="shared" si="26"/>
        <v>5.035971223</v>
      </c>
      <c r="AL24" s="7">
        <f t="shared" si="23"/>
        <v>62.94964029</v>
      </c>
      <c r="AM24" s="7">
        <f t="shared" si="9"/>
        <v>2.52</v>
      </c>
      <c r="AN24" s="7">
        <f t="shared" si="10"/>
        <v>0.1866666667</v>
      </c>
      <c r="AO24" s="7">
        <f t="shared" si="24"/>
        <v>0.08</v>
      </c>
      <c r="AP24" s="7">
        <f t="shared" si="12"/>
        <v>0.0089</v>
      </c>
      <c r="AQ24" s="7">
        <f t="shared" si="13"/>
        <v>0.0189</v>
      </c>
      <c r="AR24" s="7">
        <f t="shared" si="14"/>
        <v>0.4708994709</v>
      </c>
      <c r="AS24" s="7">
        <f t="shared" si="15"/>
        <v>2.123595506</v>
      </c>
      <c r="AT24" s="7">
        <f t="shared" si="16"/>
        <v>8.9</v>
      </c>
      <c r="AU24" s="7">
        <f t="shared" si="17"/>
        <v>0.6621296488</v>
      </c>
      <c r="AV24" s="7">
        <f t="shared" si="18"/>
        <v>0.007945555786</v>
      </c>
      <c r="AW24" s="7">
        <f t="shared" si="19"/>
        <v>7.945555786</v>
      </c>
      <c r="AX24" s="7">
        <f t="shared" si="25"/>
        <v>1.690543784</v>
      </c>
    </row>
    <row r="25" ht="15.75" customHeight="1">
      <c r="A25" s="7" t="s">
        <v>118</v>
      </c>
      <c r="B25" s="7" t="s">
        <v>119</v>
      </c>
      <c r="C25" s="8">
        <v>44819.0</v>
      </c>
      <c r="D25" s="7" t="s">
        <v>116</v>
      </c>
      <c r="E25" s="7" t="s">
        <v>120</v>
      </c>
      <c r="F25" s="7">
        <v>0.5590277777777778</v>
      </c>
      <c r="G25" s="10">
        <v>48.81881</v>
      </c>
      <c r="H25" s="10">
        <v>-121.75544</v>
      </c>
      <c r="I25" s="10">
        <v>1812.95</v>
      </c>
      <c r="J25" s="7" t="s">
        <v>54</v>
      </c>
      <c r="K25" s="7" t="s">
        <v>111</v>
      </c>
      <c r="L25" s="11">
        <v>44819.0</v>
      </c>
      <c r="M25" s="7" t="s">
        <v>81</v>
      </c>
      <c r="N25" s="7">
        <v>559.3833333333333</v>
      </c>
      <c r="O25" s="7">
        <v>1250.0</v>
      </c>
      <c r="P25" s="10">
        <v>0.3</v>
      </c>
      <c r="Q25" s="10">
        <v>0.6707</v>
      </c>
      <c r="R25" s="10">
        <v>994.7</v>
      </c>
      <c r="S25" s="7">
        <v>0.6956022713881863</v>
      </c>
      <c r="T25" s="10">
        <v>2.7703001295864205</v>
      </c>
      <c r="U25" s="10">
        <f>AVERAGE(0.1546,0.194)</f>
        <v>0.1743</v>
      </c>
      <c r="V25" s="12"/>
      <c r="W25" s="10">
        <v>0.0014</v>
      </c>
      <c r="X25" s="10">
        <v>0.006</v>
      </c>
      <c r="Y25" s="10">
        <v>8.0E-4</v>
      </c>
      <c r="Z25" s="7"/>
      <c r="AA25" s="10">
        <v>5.0E-4</v>
      </c>
      <c r="AB25" s="10">
        <v>0.0014</v>
      </c>
      <c r="AC25" s="10">
        <v>0.0019</v>
      </c>
      <c r="AD25" s="7">
        <f t="shared" si="1"/>
        <v>0.29225</v>
      </c>
      <c r="AE25" s="7">
        <f t="shared" si="2"/>
        <v>0.003507</v>
      </c>
      <c r="AF25" s="7">
        <f t="shared" si="3"/>
        <v>3.507</v>
      </c>
      <c r="AG25" s="7">
        <f t="shared" si="22"/>
        <v>2.012048193</v>
      </c>
      <c r="AH25" s="7">
        <f t="shared" si="4"/>
        <v>0.0101</v>
      </c>
      <c r="AI25" s="7">
        <f t="shared" si="5"/>
        <v>13.86138614</v>
      </c>
      <c r="AJ25" s="7">
        <f t="shared" si="6"/>
        <v>59.40594059</v>
      </c>
      <c r="AK25" s="7">
        <f t="shared" si="26"/>
        <v>7.920792079</v>
      </c>
      <c r="AL25" s="7">
        <f t="shared" si="23"/>
        <v>18.81188119</v>
      </c>
      <c r="AM25" s="7">
        <f t="shared" si="9"/>
        <v>0.45</v>
      </c>
      <c r="AN25" s="7">
        <f t="shared" si="10"/>
        <v>0.2333333333</v>
      </c>
      <c r="AO25" s="7">
        <f t="shared" si="24"/>
        <v>0.4210526316</v>
      </c>
      <c r="AP25" s="7">
        <f t="shared" si="12"/>
        <v>0.0074</v>
      </c>
      <c r="AQ25" s="7">
        <f t="shared" si="13"/>
        <v>0.0027</v>
      </c>
      <c r="AR25" s="7">
        <f t="shared" si="14"/>
        <v>2.740740741</v>
      </c>
      <c r="AS25" s="7">
        <f t="shared" si="15"/>
        <v>0.3648648649</v>
      </c>
      <c r="AT25" s="7">
        <f t="shared" si="16"/>
        <v>7.4</v>
      </c>
      <c r="AU25" s="7">
        <f t="shared" si="17"/>
        <v>0.558981979</v>
      </c>
      <c r="AV25" s="7">
        <f t="shared" si="18"/>
        <v>0.006707783748</v>
      </c>
      <c r="AW25" s="7">
        <f t="shared" si="19"/>
        <v>6.707783748</v>
      </c>
      <c r="AX25" s="7">
        <f t="shared" si="25"/>
        <v>3.848412936</v>
      </c>
    </row>
    <row r="26" ht="15.75" customHeight="1">
      <c r="A26" s="7" t="s">
        <v>121</v>
      </c>
      <c r="B26" s="7" t="s">
        <v>122</v>
      </c>
      <c r="C26" s="8">
        <v>44819.0</v>
      </c>
      <c r="D26" s="7" t="s">
        <v>123</v>
      </c>
      <c r="E26" s="7" t="s">
        <v>124</v>
      </c>
      <c r="F26" s="7">
        <v>0.7243055555555555</v>
      </c>
      <c r="G26" s="10">
        <v>48.90451</v>
      </c>
      <c r="H26" s="10">
        <v>-121.99273</v>
      </c>
      <c r="I26" s="10">
        <v>218.846</v>
      </c>
      <c r="J26" s="7" t="s">
        <v>94</v>
      </c>
      <c r="K26" s="7" t="s">
        <v>111</v>
      </c>
      <c r="L26" s="11">
        <v>44819.0</v>
      </c>
      <c r="M26" s="7" t="s">
        <v>81</v>
      </c>
      <c r="N26" s="7"/>
      <c r="O26" s="7"/>
      <c r="P26" s="7"/>
      <c r="Q26" s="7"/>
      <c r="R26" s="7"/>
      <c r="S26" s="7"/>
      <c r="T26" s="10"/>
      <c r="U26" s="10">
        <v>0.2754</v>
      </c>
      <c r="V26" s="10">
        <v>0.3294</v>
      </c>
      <c r="W26" s="10">
        <v>0.0041</v>
      </c>
      <c r="X26" s="10">
        <v>0.0035</v>
      </c>
      <c r="Y26" s="10">
        <v>0.0016</v>
      </c>
      <c r="Z26" s="7"/>
      <c r="AA26" s="10">
        <v>0.0015</v>
      </c>
      <c r="AB26" s="10">
        <v>0.0191</v>
      </c>
      <c r="AC26" s="10">
        <v>0.0206</v>
      </c>
      <c r="AD26" s="7">
        <f t="shared" si="1"/>
        <v>0.62458</v>
      </c>
      <c r="AE26" s="7">
        <f t="shared" si="2"/>
        <v>0.00749496</v>
      </c>
      <c r="AF26" s="7">
        <f t="shared" si="3"/>
        <v>7.49496</v>
      </c>
      <c r="AG26" s="7">
        <f t="shared" si="22"/>
        <v>2.721481481</v>
      </c>
      <c r="AH26" s="7">
        <f t="shared" si="4"/>
        <v>0.0298</v>
      </c>
      <c r="AI26" s="7">
        <f t="shared" si="5"/>
        <v>13.75838926</v>
      </c>
      <c r="AJ26" s="7">
        <f t="shared" si="6"/>
        <v>11.74496644</v>
      </c>
      <c r="AK26" s="7">
        <f t="shared" si="26"/>
        <v>5.369127517</v>
      </c>
      <c r="AL26" s="7">
        <f t="shared" si="23"/>
        <v>69.12751678</v>
      </c>
      <c r="AM26" s="7">
        <f t="shared" si="9"/>
        <v>6.342857143</v>
      </c>
      <c r="AN26" s="7">
        <f t="shared" si="10"/>
        <v>1.171428571</v>
      </c>
      <c r="AO26" s="7">
        <f t="shared" si="24"/>
        <v>0.07766990291</v>
      </c>
      <c r="AP26" s="7">
        <f t="shared" si="12"/>
        <v>0.0076</v>
      </c>
      <c r="AQ26" s="7">
        <f t="shared" si="13"/>
        <v>0.0222</v>
      </c>
      <c r="AR26" s="7">
        <f t="shared" si="14"/>
        <v>0.3423423423</v>
      </c>
      <c r="AS26" s="7">
        <f t="shared" si="15"/>
        <v>2.921052632</v>
      </c>
      <c r="AT26" s="7">
        <f t="shared" si="16"/>
        <v>7.6</v>
      </c>
      <c r="AU26" s="7">
        <f t="shared" si="17"/>
        <v>0.5728279165</v>
      </c>
      <c r="AV26" s="7">
        <f t="shared" si="18"/>
        <v>0.006873934998</v>
      </c>
      <c r="AW26" s="7">
        <f t="shared" si="19"/>
        <v>6.873934998</v>
      </c>
      <c r="AX26" s="7">
        <f t="shared" si="25"/>
        <v>2.495982207</v>
      </c>
    </row>
    <row r="27" ht="15.75" customHeight="1">
      <c r="A27" s="7" t="s">
        <v>125</v>
      </c>
      <c r="B27" s="10" t="s">
        <v>126</v>
      </c>
      <c r="C27" s="8">
        <v>44829.0</v>
      </c>
      <c r="D27" s="7" t="s">
        <v>116</v>
      </c>
      <c r="E27" s="7" t="s">
        <v>120</v>
      </c>
      <c r="F27" s="7">
        <v>0.5833333333333334</v>
      </c>
      <c r="G27" s="10">
        <v>48.34717</v>
      </c>
      <c r="H27" s="10">
        <v>-121.69097</v>
      </c>
      <c r="I27" s="10">
        <v>1719.986</v>
      </c>
      <c r="J27" s="7" t="s">
        <v>54</v>
      </c>
      <c r="K27" s="7" t="s">
        <v>111</v>
      </c>
      <c r="L27" s="11">
        <v>44829.0</v>
      </c>
      <c r="M27" s="7" t="s">
        <v>81</v>
      </c>
      <c r="N27" s="7">
        <v>559.3833333333333</v>
      </c>
      <c r="O27" s="7">
        <v>1250.0</v>
      </c>
      <c r="P27" s="10">
        <v>0.3</v>
      </c>
      <c r="Q27" s="10">
        <v>0.6293</v>
      </c>
      <c r="R27" s="10">
        <v>981.8</v>
      </c>
      <c r="S27" s="7">
        <v>0.6955176124057054</v>
      </c>
      <c r="T27" s="10">
        <v>5.609135501232183</v>
      </c>
      <c r="U27" s="10">
        <f>AVERAGE(0.27,0.25,0.29,0.34)</f>
        <v>0.2875</v>
      </c>
      <c r="V27" s="10">
        <v>1.492</v>
      </c>
      <c r="W27" s="10">
        <v>0.0017</v>
      </c>
      <c r="X27" s="10">
        <v>0.0077</v>
      </c>
      <c r="Y27" s="10">
        <v>0.001</v>
      </c>
      <c r="Z27" s="7"/>
      <c r="AA27" s="10">
        <v>0.0145</v>
      </c>
      <c r="AB27" s="10">
        <v>0.0049</v>
      </c>
      <c r="AC27" s="10">
        <v>0.0194</v>
      </c>
      <c r="AD27" s="7">
        <f t="shared" si="1"/>
        <v>0.65464</v>
      </c>
      <c r="AE27" s="7">
        <f t="shared" si="2"/>
        <v>0.00785568</v>
      </c>
      <c r="AF27" s="7">
        <f t="shared" si="3"/>
        <v>7.85568</v>
      </c>
      <c r="AG27" s="7">
        <f t="shared" si="22"/>
        <v>2.732410435</v>
      </c>
      <c r="AH27" s="7">
        <f t="shared" si="4"/>
        <v>0.0298</v>
      </c>
      <c r="AI27" s="7">
        <f t="shared" si="5"/>
        <v>5.704697987</v>
      </c>
      <c r="AJ27" s="7">
        <f t="shared" si="6"/>
        <v>25.83892617</v>
      </c>
      <c r="AK27" s="7">
        <f t="shared" si="26"/>
        <v>3.355704698</v>
      </c>
      <c r="AL27" s="7">
        <f t="shared" si="23"/>
        <v>65.10067114</v>
      </c>
      <c r="AM27" s="7">
        <f t="shared" si="9"/>
        <v>2.649350649</v>
      </c>
      <c r="AN27" s="7">
        <f t="shared" si="10"/>
        <v>0.2207792208</v>
      </c>
      <c r="AO27" s="7">
        <f t="shared" si="24"/>
        <v>0.05154639175</v>
      </c>
      <c r="AP27" s="7">
        <f t="shared" si="12"/>
        <v>0.0094</v>
      </c>
      <c r="AQ27" s="7">
        <f t="shared" si="13"/>
        <v>0.0204</v>
      </c>
      <c r="AR27" s="7">
        <f t="shared" si="14"/>
        <v>0.4607843137</v>
      </c>
      <c r="AS27" s="7">
        <f t="shared" si="15"/>
        <v>2.170212766</v>
      </c>
      <c r="AT27" s="7">
        <f t="shared" si="16"/>
        <v>9.4</v>
      </c>
      <c r="AU27" s="7">
        <f t="shared" si="17"/>
        <v>0.6961815503</v>
      </c>
      <c r="AV27" s="7">
        <f t="shared" si="18"/>
        <v>0.008354178603</v>
      </c>
      <c r="AW27" s="7">
        <f t="shared" si="19"/>
        <v>8.354178603</v>
      </c>
      <c r="AX27" s="7">
        <f t="shared" si="25"/>
        <v>2.905801253</v>
      </c>
    </row>
    <row r="28" ht="15.75" customHeight="1">
      <c r="A28" s="7" t="s">
        <v>127</v>
      </c>
      <c r="B28" s="7" t="s">
        <v>128</v>
      </c>
      <c r="C28" s="8">
        <v>44829.0</v>
      </c>
      <c r="D28" s="7" t="s">
        <v>129</v>
      </c>
      <c r="E28" s="7" t="s">
        <v>130</v>
      </c>
      <c r="F28" s="7">
        <v>0.45208333333333334</v>
      </c>
      <c r="G28" s="10">
        <v>48.90551</v>
      </c>
      <c r="H28" s="10">
        <v>-121.69286</v>
      </c>
      <c r="I28" s="10">
        <v>621.4872</v>
      </c>
      <c r="J28" s="7" t="s">
        <v>94</v>
      </c>
      <c r="K28" s="7" t="s">
        <v>111</v>
      </c>
      <c r="L28" s="11">
        <v>44829.0</v>
      </c>
      <c r="M28" s="7" t="s">
        <v>81</v>
      </c>
      <c r="N28" s="7"/>
      <c r="O28" s="7"/>
      <c r="P28" s="7"/>
      <c r="Q28" s="7"/>
      <c r="R28" s="7"/>
      <c r="S28" s="7"/>
      <c r="T28" s="7"/>
      <c r="U28" s="10">
        <v>0.2549</v>
      </c>
      <c r="V28" s="10">
        <v>0.2312</v>
      </c>
      <c r="W28" s="10">
        <v>0.0047</v>
      </c>
      <c r="X28" s="10">
        <v>0.0037</v>
      </c>
      <c r="Y28" s="10">
        <v>0.0013</v>
      </c>
      <c r="Z28" s="7"/>
      <c r="AA28" s="10">
        <v>9.0E-4</v>
      </c>
      <c r="AB28" s="10">
        <v>0.0103</v>
      </c>
      <c r="AC28" s="10">
        <v>0.0112</v>
      </c>
      <c r="AD28" s="7">
        <f t="shared" si="1"/>
        <v>0.48931</v>
      </c>
      <c r="AE28" s="7">
        <f t="shared" si="2"/>
        <v>0.00587172</v>
      </c>
      <c r="AF28" s="7">
        <f t="shared" si="3"/>
        <v>5.87172</v>
      </c>
      <c r="AG28" s="7">
        <f t="shared" si="22"/>
        <v>2.303538643</v>
      </c>
      <c r="AH28" s="7">
        <f t="shared" si="4"/>
        <v>0.0209</v>
      </c>
      <c r="AI28" s="7">
        <f t="shared" si="5"/>
        <v>22.48803828</v>
      </c>
      <c r="AJ28" s="7">
        <f t="shared" si="6"/>
        <v>17.70334928</v>
      </c>
      <c r="AK28" s="7">
        <f t="shared" si="26"/>
        <v>6.220095694</v>
      </c>
      <c r="AL28" s="7">
        <f t="shared" si="23"/>
        <v>53.58851675</v>
      </c>
      <c r="AM28" s="7">
        <f t="shared" si="9"/>
        <v>3.378378378</v>
      </c>
      <c r="AN28" s="7">
        <f t="shared" si="10"/>
        <v>1.27027027</v>
      </c>
      <c r="AO28" s="7">
        <f t="shared" si="24"/>
        <v>0.1160714286</v>
      </c>
      <c r="AP28" s="7">
        <f t="shared" si="12"/>
        <v>0.0084</v>
      </c>
      <c r="AQ28" s="7">
        <f t="shared" si="13"/>
        <v>0.0125</v>
      </c>
      <c r="AR28" s="7">
        <f t="shared" si="14"/>
        <v>0.672</v>
      </c>
      <c r="AS28" s="7">
        <f t="shared" si="15"/>
        <v>1.488095238</v>
      </c>
      <c r="AT28" s="7">
        <f t="shared" si="16"/>
        <v>8.4</v>
      </c>
      <c r="AU28" s="7">
        <f t="shared" si="17"/>
        <v>0.6279194693</v>
      </c>
      <c r="AV28" s="7">
        <f t="shared" si="18"/>
        <v>0.007535033631</v>
      </c>
      <c r="AW28" s="7">
        <f t="shared" si="19"/>
        <v>7.535033631</v>
      </c>
      <c r="AX28" s="7">
        <f t="shared" si="25"/>
        <v>2.956074394</v>
      </c>
    </row>
    <row r="29" ht="15.75" customHeight="1">
      <c r="A29" s="7" t="s">
        <v>131</v>
      </c>
      <c r="B29" s="17">
        <v>44848.0</v>
      </c>
      <c r="C29" s="8">
        <v>44848.0</v>
      </c>
      <c r="D29" s="7" t="s">
        <v>116</v>
      </c>
      <c r="E29" s="7" t="s">
        <v>120</v>
      </c>
      <c r="F29" s="7">
        <v>0.6208333333333333</v>
      </c>
      <c r="G29" s="10">
        <v>48.81874</v>
      </c>
      <c r="H29" s="10">
        <v>-121.73954</v>
      </c>
      <c r="I29" s="10">
        <v>1778.203</v>
      </c>
      <c r="J29" s="7" t="s">
        <v>54</v>
      </c>
      <c r="K29" s="7" t="s">
        <v>111</v>
      </c>
      <c r="L29" s="11">
        <v>44848.0</v>
      </c>
      <c r="M29" s="7" t="s">
        <v>81</v>
      </c>
      <c r="N29" s="7">
        <v>559.3833333333333</v>
      </c>
      <c r="O29" s="7">
        <v>1250.0</v>
      </c>
      <c r="P29" s="10">
        <v>0.3</v>
      </c>
      <c r="Q29" s="10">
        <v>0.5253</v>
      </c>
      <c r="R29" s="10">
        <v>936.1</v>
      </c>
      <c r="S29" s="7">
        <v>0.7012316213342865</v>
      </c>
      <c r="T29" s="10">
        <v>8.254494353871959</v>
      </c>
      <c r="U29" s="10">
        <v>0.3721</v>
      </c>
      <c r="V29" s="10">
        <v>0.2588</v>
      </c>
      <c r="W29" s="10">
        <v>0.0017</v>
      </c>
      <c r="X29" s="10">
        <v>0.0199</v>
      </c>
      <c r="Y29" s="10">
        <v>0.001</v>
      </c>
      <c r="Z29" s="10">
        <v>0.0078</v>
      </c>
      <c r="AA29" s="10">
        <v>0.0148</v>
      </c>
      <c r="AB29" s="10">
        <v>0.0049</v>
      </c>
      <c r="AC29" s="10">
        <v>0.0275</v>
      </c>
      <c r="AD29" s="7">
        <f t="shared" si="1"/>
        <v>1.19739</v>
      </c>
      <c r="AE29" s="7">
        <f t="shared" si="2"/>
        <v>0.01436868</v>
      </c>
      <c r="AF29" s="7">
        <f t="shared" si="3"/>
        <v>14.36868</v>
      </c>
      <c r="AG29" s="7">
        <f t="shared" si="22"/>
        <v>3.861510347</v>
      </c>
      <c r="AH29" s="7">
        <f t="shared" si="4"/>
        <v>0.0501</v>
      </c>
      <c r="AI29" s="7">
        <f t="shared" si="5"/>
        <v>3.393213573</v>
      </c>
      <c r="AJ29" s="7">
        <f t="shared" si="6"/>
        <v>39.72055888</v>
      </c>
      <c r="AK29" s="7">
        <f t="shared" si="26"/>
        <v>1.996007984</v>
      </c>
      <c r="AL29" s="7">
        <f t="shared" si="23"/>
        <v>54.89021956</v>
      </c>
      <c r="AM29" s="7">
        <f t="shared" si="9"/>
        <v>1.432160804</v>
      </c>
      <c r="AN29" s="7">
        <f t="shared" si="10"/>
        <v>0.08542713568</v>
      </c>
      <c r="AO29" s="7">
        <f t="shared" si="24"/>
        <v>0.03636363636</v>
      </c>
      <c r="AP29" s="7">
        <f t="shared" si="12"/>
        <v>0.0216</v>
      </c>
      <c r="AQ29" s="7">
        <f t="shared" si="13"/>
        <v>0.0285</v>
      </c>
      <c r="AR29" s="7">
        <f t="shared" si="14"/>
        <v>0.7578947368</v>
      </c>
      <c r="AS29" s="7">
        <f t="shared" si="15"/>
        <v>1.319444444</v>
      </c>
      <c r="AT29" s="7">
        <f t="shared" si="16"/>
        <v>21.6</v>
      </c>
      <c r="AU29" s="7">
        <f t="shared" si="17"/>
        <v>1.493616218</v>
      </c>
      <c r="AV29" s="7">
        <f t="shared" si="18"/>
        <v>0.01792339462</v>
      </c>
      <c r="AW29" s="7">
        <f t="shared" si="19"/>
        <v>17.92339462</v>
      </c>
      <c r="AX29" s="7">
        <f t="shared" si="25"/>
        <v>4.816821989</v>
      </c>
    </row>
    <row r="30" ht="15.75" customHeight="1">
      <c r="A30" s="7" t="s">
        <v>132</v>
      </c>
      <c r="B30" s="17">
        <v>44757.0</v>
      </c>
      <c r="C30" s="8">
        <v>44757.0</v>
      </c>
      <c r="D30" s="7" t="s">
        <v>133</v>
      </c>
      <c r="E30" s="7" t="s">
        <v>134</v>
      </c>
      <c r="F30" s="7">
        <v>0.46944444444444444</v>
      </c>
      <c r="G30" s="10">
        <v>46.81071839</v>
      </c>
      <c r="H30" s="10">
        <v>-121.7254678</v>
      </c>
      <c r="I30" s="10">
        <v>2232.83</v>
      </c>
      <c r="J30" s="7" t="s">
        <v>54</v>
      </c>
      <c r="K30" s="7" t="s">
        <v>58</v>
      </c>
      <c r="L30" s="11">
        <v>44757.0</v>
      </c>
      <c r="M30" s="7" t="s">
        <v>56</v>
      </c>
      <c r="N30" s="7">
        <v>559.3833333333333</v>
      </c>
      <c r="O30" s="7">
        <v>1250.0</v>
      </c>
      <c r="P30" s="7">
        <v>0.702437</v>
      </c>
      <c r="Q30" s="10">
        <v>0.8715</v>
      </c>
      <c r="R30" s="10">
        <v>1037.4</v>
      </c>
      <c r="S30" s="7">
        <v>0.6710759213031969</v>
      </c>
      <c r="T30" s="7">
        <v>8.220959437564938</v>
      </c>
      <c r="U30" s="10">
        <v>0.7114</v>
      </c>
      <c r="V30" s="10">
        <v>9.761</v>
      </c>
      <c r="W30" s="10">
        <v>0.0016</v>
      </c>
      <c r="X30" s="10">
        <v>0.0035</v>
      </c>
      <c r="Y30" s="10">
        <v>0.0012</v>
      </c>
      <c r="Z30" s="10">
        <v>0.0074</v>
      </c>
      <c r="AA30" s="10">
        <v>0.0168</v>
      </c>
      <c r="AB30" s="10">
        <v>0.0085</v>
      </c>
      <c r="AC30" s="10">
        <v>0.029</v>
      </c>
      <c r="AD30" s="7">
        <f t="shared" si="1"/>
        <v>0.67468</v>
      </c>
      <c r="AE30" s="7">
        <f t="shared" si="2"/>
        <v>0.00809616</v>
      </c>
      <c r="AF30" s="7">
        <f t="shared" si="3"/>
        <v>8.09616</v>
      </c>
      <c r="AG30" s="7">
        <f t="shared" si="22"/>
        <v>1.138060163</v>
      </c>
      <c r="AH30" s="7">
        <f t="shared" si="4"/>
        <v>0.0353</v>
      </c>
      <c r="AI30" s="7">
        <f t="shared" si="5"/>
        <v>4.532577904</v>
      </c>
      <c r="AJ30" s="7">
        <f t="shared" si="6"/>
        <v>9.915014164</v>
      </c>
      <c r="AK30" s="7">
        <f t="shared" si="26"/>
        <v>3.399433428</v>
      </c>
      <c r="AL30" s="7">
        <f t="shared" si="23"/>
        <v>82.1529745</v>
      </c>
      <c r="AM30" s="7">
        <f t="shared" si="9"/>
        <v>8.628571429</v>
      </c>
      <c r="AN30" s="7">
        <f t="shared" si="10"/>
        <v>0.4571428571</v>
      </c>
      <c r="AO30" s="7">
        <f t="shared" si="24"/>
        <v>0.04137931034</v>
      </c>
      <c r="AP30" s="7">
        <f t="shared" si="12"/>
        <v>0.0051</v>
      </c>
      <c r="AQ30" s="7">
        <f t="shared" si="13"/>
        <v>0.0302</v>
      </c>
      <c r="AR30" s="7">
        <f t="shared" si="14"/>
        <v>0.1688741722</v>
      </c>
      <c r="AS30" s="7">
        <f t="shared" si="15"/>
        <v>5.921568627</v>
      </c>
      <c r="AT30" s="7">
        <f t="shared" si="16"/>
        <v>5.1</v>
      </c>
      <c r="AU30" s="7">
        <f t="shared" si="17"/>
        <v>0.3972586301</v>
      </c>
      <c r="AV30" s="7">
        <f t="shared" si="18"/>
        <v>0.004767103561</v>
      </c>
      <c r="AW30" s="7">
        <f t="shared" si="19"/>
        <v>4.767103561</v>
      </c>
      <c r="AX30" s="7">
        <f t="shared" si="25"/>
        <v>0.6701017094</v>
      </c>
    </row>
    <row r="31" ht="15.75" customHeight="1">
      <c r="A31" s="7" t="s">
        <v>135</v>
      </c>
      <c r="B31" s="17">
        <v>44788.0</v>
      </c>
      <c r="C31" s="8">
        <v>44788.0</v>
      </c>
      <c r="D31" s="7" t="s">
        <v>133</v>
      </c>
      <c r="E31" s="7" t="s">
        <v>136</v>
      </c>
      <c r="F31" s="7">
        <v>0.5</v>
      </c>
      <c r="G31" s="10">
        <v>46.81561304</v>
      </c>
      <c r="H31" s="10">
        <v>-121.72434925</v>
      </c>
      <c r="I31" s="10">
        <v>2379.88</v>
      </c>
      <c r="J31" s="7" t="s">
        <v>54</v>
      </c>
      <c r="K31" s="7" t="s">
        <v>58</v>
      </c>
      <c r="L31" s="11">
        <v>44788.0</v>
      </c>
      <c r="M31" s="7" t="s">
        <v>81</v>
      </c>
      <c r="N31" s="7">
        <v>559.3833333333333</v>
      </c>
      <c r="O31" s="7">
        <v>1250.0</v>
      </c>
      <c r="P31" s="7">
        <v>1.59947113049</v>
      </c>
      <c r="Q31" s="10">
        <v>0.8074</v>
      </c>
      <c r="R31" s="10">
        <v>1028.0</v>
      </c>
      <c r="S31" s="7">
        <v>0.6803704231367951</v>
      </c>
      <c r="T31" s="7">
        <v>6.4806934203985245</v>
      </c>
      <c r="U31" s="10">
        <f>AVERAGE(0.42,0.32,0.23,0.26)</f>
        <v>0.3075</v>
      </c>
      <c r="V31" s="12"/>
      <c r="W31" s="10">
        <v>0.0014</v>
      </c>
      <c r="X31" s="10">
        <v>0.0023</v>
      </c>
      <c r="Y31" s="10">
        <v>4.0E-4</v>
      </c>
      <c r="Z31" s="10">
        <v>0.0048</v>
      </c>
      <c r="AA31" s="10">
        <v>0.0031</v>
      </c>
      <c r="AB31" s="10">
        <v>0.0141</v>
      </c>
      <c r="AC31" s="10">
        <v>0.022</v>
      </c>
      <c r="AD31" s="7">
        <f t="shared" si="1"/>
        <v>0.49766</v>
      </c>
      <c r="AE31" s="7">
        <f t="shared" si="2"/>
        <v>0.00597192</v>
      </c>
      <c r="AF31" s="7">
        <f t="shared" si="3"/>
        <v>5.97192</v>
      </c>
      <c r="AG31" s="7">
        <f t="shared" si="22"/>
        <v>1.942087805</v>
      </c>
      <c r="AH31" s="7">
        <f t="shared" si="4"/>
        <v>0.0261</v>
      </c>
      <c r="AI31" s="7">
        <f t="shared" si="5"/>
        <v>5.363984674</v>
      </c>
      <c r="AJ31" s="7">
        <f t="shared" si="6"/>
        <v>8.812260536</v>
      </c>
      <c r="AK31" s="7">
        <f t="shared" si="26"/>
        <v>1.53256705</v>
      </c>
      <c r="AL31" s="7">
        <f t="shared" si="23"/>
        <v>84.29118774</v>
      </c>
      <c r="AM31" s="7">
        <f t="shared" si="9"/>
        <v>9.739130435</v>
      </c>
      <c r="AN31" s="7">
        <f t="shared" si="10"/>
        <v>0.6086956522</v>
      </c>
      <c r="AO31" s="7">
        <f t="shared" si="24"/>
        <v>0.01818181818</v>
      </c>
      <c r="AP31" s="7">
        <f t="shared" si="12"/>
        <v>0.0037</v>
      </c>
      <c r="AQ31" s="7">
        <f t="shared" si="13"/>
        <v>0.0224</v>
      </c>
      <c r="AR31" s="7">
        <f t="shared" si="14"/>
        <v>0.1651785714</v>
      </c>
      <c r="AS31" s="7">
        <f t="shared" si="15"/>
        <v>6.054054054</v>
      </c>
      <c r="AT31" s="7">
        <f t="shared" si="16"/>
        <v>3.7</v>
      </c>
      <c r="AU31" s="7">
        <f t="shared" si="17"/>
        <v>0.2959393979</v>
      </c>
      <c r="AV31" s="7">
        <f t="shared" si="18"/>
        <v>0.003551272775</v>
      </c>
      <c r="AW31" s="7">
        <f t="shared" si="19"/>
        <v>3.551272775</v>
      </c>
      <c r="AX31" s="7">
        <f t="shared" si="25"/>
        <v>1.154885455</v>
      </c>
    </row>
    <row r="32" ht="15.75" customHeight="1">
      <c r="A32" s="7" t="s">
        <v>137</v>
      </c>
      <c r="B32" s="7" t="s">
        <v>138</v>
      </c>
      <c r="C32" s="8">
        <v>44848.0</v>
      </c>
      <c r="D32" s="7" t="s">
        <v>123</v>
      </c>
      <c r="E32" s="7" t="s">
        <v>124</v>
      </c>
      <c r="F32" s="7">
        <v>0.47638888888888886</v>
      </c>
      <c r="G32" s="10">
        <v>48.90463</v>
      </c>
      <c r="H32" s="10">
        <v>-121.99281</v>
      </c>
      <c r="I32" s="10">
        <v>217.627</v>
      </c>
      <c r="J32" s="7" t="s">
        <v>94</v>
      </c>
      <c r="K32" s="7" t="s">
        <v>111</v>
      </c>
      <c r="L32" s="11">
        <v>44848.0</v>
      </c>
      <c r="M32" s="7" t="s">
        <v>81</v>
      </c>
      <c r="N32" s="7"/>
      <c r="O32" s="7"/>
      <c r="P32" s="7"/>
      <c r="Q32" s="7"/>
      <c r="R32" s="7"/>
      <c r="S32" s="7"/>
      <c r="T32" s="7"/>
      <c r="U32" s="10">
        <v>0.27</v>
      </c>
      <c r="V32" s="10">
        <v>0.245</v>
      </c>
      <c r="W32" s="10">
        <v>0.0105</v>
      </c>
      <c r="X32" s="10">
        <v>0.0189</v>
      </c>
      <c r="Y32" s="10">
        <v>0.0042</v>
      </c>
      <c r="Z32" s="10">
        <v>0.0013</v>
      </c>
      <c r="AA32" s="10">
        <v>0.0032</v>
      </c>
      <c r="AB32" s="10">
        <v>0.0016</v>
      </c>
      <c r="AC32" s="10">
        <v>0.0061</v>
      </c>
      <c r="AD32" s="7">
        <f t="shared" si="1"/>
        <v>1.15397</v>
      </c>
      <c r="AE32" s="7">
        <f t="shared" si="2"/>
        <v>0.01384764</v>
      </c>
      <c r="AF32" s="7">
        <f t="shared" si="3"/>
        <v>13.84764</v>
      </c>
      <c r="AG32" s="7">
        <f t="shared" si="22"/>
        <v>5.128755556</v>
      </c>
      <c r="AH32" s="7">
        <f t="shared" si="4"/>
        <v>0.0397</v>
      </c>
      <c r="AI32" s="7">
        <f t="shared" si="5"/>
        <v>26.44836272</v>
      </c>
      <c r="AJ32" s="7">
        <f t="shared" si="6"/>
        <v>47.6070529</v>
      </c>
      <c r="AK32" s="7">
        <f t="shared" si="26"/>
        <v>10.57934509</v>
      </c>
      <c r="AL32" s="7">
        <f t="shared" si="23"/>
        <v>15.36523929</v>
      </c>
      <c r="AM32" s="7">
        <f t="shared" si="9"/>
        <v>0.544973545</v>
      </c>
      <c r="AN32" s="7">
        <f t="shared" si="10"/>
        <v>0.5555555556</v>
      </c>
      <c r="AO32" s="7">
        <f t="shared" si="24"/>
        <v>0.6885245902</v>
      </c>
      <c r="AP32" s="7">
        <f t="shared" si="12"/>
        <v>0.0294</v>
      </c>
      <c r="AQ32" s="7">
        <f t="shared" si="13"/>
        <v>0.0103</v>
      </c>
      <c r="AR32" s="7">
        <f t="shared" si="14"/>
        <v>2.854368932</v>
      </c>
      <c r="AS32" s="7">
        <f t="shared" si="15"/>
        <v>0.3503401361</v>
      </c>
      <c r="AT32" s="7">
        <f t="shared" si="16"/>
        <v>29.4</v>
      </c>
      <c r="AU32" s="7">
        <f t="shared" si="17"/>
        <v>1.981921184</v>
      </c>
      <c r="AV32" s="7">
        <f t="shared" si="18"/>
        <v>0.02378305421</v>
      </c>
      <c r="AW32" s="7">
        <f t="shared" si="19"/>
        <v>23.78305421</v>
      </c>
      <c r="AX32" s="7">
        <f t="shared" si="25"/>
        <v>8.808538595</v>
      </c>
    </row>
    <row r="33" ht="15.75" customHeight="1">
      <c r="A33" s="7" t="s">
        <v>139</v>
      </c>
      <c r="B33" s="7" t="s">
        <v>140</v>
      </c>
      <c r="C33" s="8">
        <v>44884.0</v>
      </c>
      <c r="D33" s="7" t="s">
        <v>141</v>
      </c>
      <c r="E33" s="7" t="s">
        <v>142</v>
      </c>
      <c r="F33" s="7"/>
      <c r="G33" s="10">
        <v>48.90461</v>
      </c>
      <c r="H33" s="10">
        <v>-121.99265</v>
      </c>
      <c r="I33" s="10">
        <v>217.018</v>
      </c>
      <c r="J33" s="7" t="s">
        <v>94</v>
      </c>
      <c r="K33" s="7" t="s">
        <v>111</v>
      </c>
      <c r="L33" s="11">
        <v>44848.0</v>
      </c>
      <c r="M33" s="7" t="s">
        <v>81</v>
      </c>
      <c r="N33" s="7"/>
      <c r="O33" s="7"/>
      <c r="P33" s="7"/>
      <c r="Q33" s="7"/>
      <c r="R33" s="7"/>
      <c r="S33" s="18"/>
      <c r="T33" s="18"/>
      <c r="U33" s="10">
        <v>0.5391</v>
      </c>
      <c r="V33" s="7"/>
      <c r="W33" s="10">
        <v>0.0194</v>
      </c>
      <c r="X33" s="10">
        <v>0.0369</v>
      </c>
      <c r="Y33" s="7"/>
      <c r="Z33" s="7"/>
      <c r="AA33" s="7"/>
      <c r="AB33" s="7"/>
      <c r="AC33" s="10"/>
      <c r="AD33" s="7">
        <f t="shared" si="1"/>
        <v>1.88042</v>
      </c>
      <c r="AE33" s="10">
        <f t="shared" si="2"/>
        <v>0.02256504</v>
      </c>
      <c r="AF33" s="10">
        <f t="shared" si="3"/>
        <v>22.56504</v>
      </c>
      <c r="AG33" s="10">
        <f t="shared" si="22"/>
        <v>4.185687257</v>
      </c>
      <c r="AH33" s="10">
        <f t="shared" si="4"/>
        <v>0.0563</v>
      </c>
      <c r="AI33" s="10">
        <f t="shared" si="5"/>
        <v>34.45825933</v>
      </c>
      <c r="AJ33" s="10">
        <f t="shared" si="6"/>
        <v>65.54174067</v>
      </c>
      <c r="AK33" s="10"/>
      <c r="AL33" s="10"/>
      <c r="AM33" s="10">
        <f>SUM(Y33+AC33)/X33</f>
        <v>0</v>
      </c>
      <c r="AN33" s="10">
        <f t="shared" si="10"/>
        <v>0.5257452575</v>
      </c>
      <c r="AO33" s="10"/>
      <c r="AP33" s="10">
        <f t="shared" si="12"/>
        <v>0.0563</v>
      </c>
      <c r="AQ33" s="10"/>
      <c r="AR33" s="10"/>
      <c r="AS33" s="10"/>
      <c r="AT33" s="10">
        <f t="shared" si="16"/>
        <v>56.3</v>
      </c>
      <c r="AU33" s="10">
        <f t="shared" si="17"/>
        <v>3.597237866</v>
      </c>
      <c r="AV33" s="10">
        <f t="shared" si="18"/>
        <v>0.04316685439</v>
      </c>
      <c r="AW33" s="10">
        <f t="shared" si="19"/>
        <v>43.16685439</v>
      </c>
      <c r="AX33" s="10">
        <f t="shared" si="25"/>
        <v>8.00720727</v>
      </c>
    </row>
    <row r="34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</row>
    <row r="35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</row>
    <row r="3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</row>
    <row r="37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</row>
    <row r="38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</row>
    <row r="39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</row>
    <row r="40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</row>
    <row r="41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</row>
    <row r="42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</row>
    <row r="43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</row>
    <row r="44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</row>
    <row r="4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</row>
    <row r="47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</row>
    <row r="52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</row>
    <row r="53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</row>
    <row r="54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</row>
    <row r="55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</row>
    <row r="5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</row>
    <row r="57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</row>
    <row r="58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</row>
    <row r="59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</row>
    <row r="60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</row>
    <row r="61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</row>
    <row r="62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</row>
    <row r="63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</row>
    <row r="64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</row>
    <row r="65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</row>
    <row r="6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</row>
    <row r="67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</row>
    <row r="68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</row>
    <row r="69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</row>
    <row r="70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</row>
    <row r="71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</row>
    <row r="72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</row>
    <row r="73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</row>
    <row r="74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</row>
    <row r="75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</row>
    <row r="7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</row>
    <row r="77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</row>
    <row r="78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</row>
    <row r="79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</row>
    <row r="80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</row>
    <row r="81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</row>
    <row r="82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</row>
    <row r="83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</row>
    <row r="84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</row>
    <row r="85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</row>
    <row r="8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</row>
    <row r="87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</row>
    <row r="88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</row>
    <row r="89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</row>
    <row r="90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</row>
    <row r="91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</row>
    <row r="92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</row>
    <row r="93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</row>
    <row r="94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</row>
    <row r="95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</row>
    <row r="9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</row>
    <row r="97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</row>
    <row r="98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</row>
    <row r="99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</row>
    <row r="100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</row>
    <row r="101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</row>
    <row r="102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</row>
    <row r="103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</row>
    <row r="104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</row>
    <row r="105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</row>
    <row r="10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</row>
    <row r="107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</row>
    <row r="108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</row>
    <row r="109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</row>
    <row r="110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</row>
    <row r="111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</row>
    <row r="112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</row>
    <row r="113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</row>
    <row r="114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</row>
    <row r="115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</row>
    <row r="11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</row>
    <row r="117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</row>
    <row r="118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</row>
    <row r="119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</row>
    <row r="120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</row>
    <row r="121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</row>
    <row r="122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</row>
    <row r="123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</row>
    <row r="124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</row>
    <row r="125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</row>
    <row r="1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</row>
    <row r="127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</row>
    <row r="128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</row>
    <row r="129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</row>
    <row r="130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</row>
    <row r="131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</row>
    <row r="132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</row>
    <row r="133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</row>
    <row r="134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</row>
    <row r="135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</row>
    <row r="13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</row>
    <row r="137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</row>
    <row r="138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</row>
    <row r="139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</row>
    <row r="140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</row>
    <row r="141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</row>
    <row r="142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</row>
    <row r="143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</row>
    <row r="144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</row>
    <row r="145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</row>
    <row r="14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</row>
    <row r="147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</row>
    <row r="148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</row>
    <row r="149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</row>
    <row r="150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</row>
    <row r="151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</row>
    <row r="152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</row>
    <row r="153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</row>
    <row r="154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</row>
    <row r="155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</row>
    <row r="15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</row>
    <row r="157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</row>
    <row r="158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</row>
    <row r="159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</row>
    <row r="160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</row>
    <row r="161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</row>
    <row r="162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</row>
    <row r="163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</row>
    <row r="164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</row>
    <row r="165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</row>
    <row r="16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</row>
    <row r="167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</row>
    <row r="168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</row>
    <row r="169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</row>
    <row r="170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</row>
    <row r="171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</row>
    <row r="172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</row>
    <row r="173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</row>
    <row r="174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</row>
    <row r="175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</row>
    <row r="17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</row>
    <row r="177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</row>
    <row r="178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</row>
    <row r="179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</row>
    <row r="180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</row>
    <row r="181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</row>
    <row r="182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</row>
    <row r="183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</row>
    <row r="184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</row>
    <row r="185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</row>
    <row r="18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</row>
    <row r="187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</row>
    <row r="188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</row>
    <row r="189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</row>
    <row r="190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</row>
    <row r="191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</row>
    <row r="192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</row>
    <row r="193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</row>
    <row r="194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</row>
    <row r="195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</row>
    <row r="19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</row>
    <row r="197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</row>
    <row r="198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</row>
    <row r="199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</row>
    <row r="200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</row>
    <row r="201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</row>
    <row r="202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</row>
    <row r="203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</row>
    <row r="204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</row>
    <row r="205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</row>
    <row r="20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</row>
    <row r="207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</row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</row>
  </sheetData>
  <autoFilter ref="$A$1:$AX$3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5.38"/>
    <col customWidth="1" min="2" max="4" width="12.63"/>
    <col customWidth="1" min="5" max="5" width="13.13"/>
    <col customWidth="1" min="6" max="6" width="13.63"/>
    <col customWidth="1" min="7" max="7" width="14.5"/>
    <col customWidth="1" min="12" max="12" width="13.13"/>
    <col customWidth="1" min="13" max="13" width="13.63"/>
    <col customWidth="1" min="14" max="14" width="14.5"/>
    <col customWidth="1" min="18" max="18" width="13.13"/>
  </cols>
  <sheetData>
    <row r="1" ht="15.75" customHeight="1">
      <c r="A1" s="7"/>
      <c r="B1" s="19" t="s">
        <v>143</v>
      </c>
      <c r="C1" s="20"/>
      <c r="D1" s="20"/>
      <c r="E1" s="20"/>
      <c r="F1" s="20"/>
      <c r="G1" s="20"/>
      <c r="H1" s="21"/>
      <c r="I1" s="19" t="s">
        <v>144</v>
      </c>
      <c r="J1" s="20"/>
      <c r="K1" s="20"/>
      <c r="L1" s="20"/>
      <c r="M1" s="20"/>
      <c r="N1" s="20"/>
      <c r="O1" s="21"/>
      <c r="P1" s="22" t="s">
        <v>145</v>
      </c>
      <c r="Q1" s="20"/>
      <c r="R1" s="20"/>
      <c r="S1" s="21"/>
      <c r="T1" s="3"/>
      <c r="U1" s="3"/>
      <c r="V1" s="3"/>
      <c r="W1" s="18"/>
      <c r="X1" s="18"/>
      <c r="Y1" s="18"/>
      <c r="Z1" s="18"/>
    </row>
    <row r="2" ht="15.75" customHeight="1">
      <c r="A2" s="23" t="s">
        <v>0</v>
      </c>
      <c r="B2" s="24" t="s">
        <v>22</v>
      </c>
      <c r="C2" s="5" t="s">
        <v>23</v>
      </c>
      <c r="D2" s="5" t="s">
        <v>24</v>
      </c>
      <c r="E2" s="25" t="s">
        <v>25</v>
      </c>
      <c r="F2" s="25" t="s">
        <v>26</v>
      </c>
      <c r="G2" s="25" t="s">
        <v>27</v>
      </c>
      <c r="H2" s="26" t="s">
        <v>28</v>
      </c>
      <c r="I2" s="24" t="s">
        <v>22</v>
      </c>
      <c r="J2" s="5" t="s">
        <v>23</v>
      </c>
      <c r="K2" s="5" t="s">
        <v>24</v>
      </c>
      <c r="L2" s="25" t="s">
        <v>25</v>
      </c>
      <c r="M2" s="25" t="s">
        <v>26</v>
      </c>
      <c r="N2" s="25" t="s">
        <v>27</v>
      </c>
      <c r="O2" s="26" t="s">
        <v>28</v>
      </c>
      <c r="P2" s="24" t="s">
        <v>146</v>
      </c>
      <c r="Q2" s="5" t="s">
        <v>147</v>
      </c>
      <c r="R2" s="5" t="s">
        <v>148</v>
      </c>
      <c r="S2" s="26" t="s">
        <v>149</v>
      </c>
      <c r="T2" s="3"/>
      <c r="U2" s="3"/>
      <c r="V2" s="3"/>
      <c r="W2" s="18"/>
      <c r="X2" s="18"/>
      <c r="Y2" s="18"/>
      <c r="Z2" s="18"/>
    </row>
    <row r="3" ht="15.75" customHeight="1">
      <c r="A3" s="27" t="s">
        <v>99</v>
      </c>
      <c r="B3" s="28">
        <v>0.0026</v>
      </c>
      <c r="C3" s="29">
        <v>0.0016</v>
      </c>
      <c r="D3" s="29"/>
      <c r="E3" s="29"/>
      <c r="F3" s="29">
        <v>5.0E-4</v>
      </c>
      <c r="G3" s="29">
        <v>0.0064</v>
      </c>
      <c r="H3" s="30">
        <v>0.0068</v>
      </c>
      <c r="I3" s="28">
        <f t="shared" ref="I3:O3" si="1">B3</f>
        <v>0.0026</v>
      </c>
      <c r="J3" s="29">
        <f t="shared" si="1"/>
        <v>0.0016</v>
      </c>
      <c r="K3" s="29" t="str">
        <f t="shared" si="1"/>
        <v/>
      </c>
      <c r="L3" s="29" t="str">
        <f t="shared" si="1"/>
        <v/>
      </c>
      <c r="M3" s="29">
        <f t="shared" si="1"/>
        <v>0.0005</v>
      </c>
      <c r="N3" s="29">
        <f t="shared" si="1"/>
        <v>0.0064</v>
      </c>
      <c r="O3" s="30">
        <f t="shared" si="1"/>
        <v>0.0068</v>
      </c>
      <c r="P3" s="29"/>
      <c r="Q3" s="29"/>
      <c r="R3" s="29"/>
      <c r="S3" s="30"/>
      <c r="T3" s="31"/>
      <c r="U3" s="31"/>
      <c r="V3" s="31"/>
      <c r="W3" s="18"/>
      <c r="X3" s="18"/>
      <c r="Y3" s="18"/>
      <c r="Z3" s="18"/>
    </row>
    <row r="4" ht="15.75" customHeight="1">
      <c r="A4" s="32" t="s">
        <v>90</v>
      </c>
      <c r="B4" s="33">
        <v>0.0043</v>
      </c>
      <c r="C4" s="34">
        <v>0.0052</v>
      </c>
      <c r="D4" s="34">
        <v>0.004</v>
      </c>
      <c r="E4" s="34">
        <v>0.0021</v>
      </c>
      <c r="F4" s="34">
        <v>0.0047</v>
      </c>
      <c r="G4" s="34">
        <v>0.0199</v>
      </c>
      <c r="H4" s="35">
        <v>0.0267</v>
      </c>
      <c r="I4" s="33">
        <f t="shared" ref="I4:O4" si="2">B4</f>
        <v>0.0043</v>
      </c>
      <c r="J4" s="34">
        <f t="shared" si="2"/>
        <v>0.0052</v>
      </c>
      <c r="K4" s="34">
        <f t="shared" si="2"/>
        <v>0.004</v>
      </c>
      <c r="L4" s="34">
        <f t="shared" si="2"/>
        <v>0.0021</v>
      </c>
      <c r="M4" s="34">
        <f t="shared" si="2"/>
        <v>0.0047</v>
      </c>
      <c r="N4" s="34">
        <f t="shared" si="2"/>
        <v>0.0199</v>
      </c>
      <c r="O4" s="35">
        <f t="shared" si="2"/>
        <v>0.0267</v>
      </c>
      <c r="P4" s="34"/>
      <c r="Q4" s="34"/>
      <c r="R4" s="34"/>
      <c r="S4" s="35"/>
      <c r="T4" s="31"/>
      <c r="U4" s="31"/>
      <c r="V4" s="31"/>
      <c r="W4" s="18"/>
      <c r="X4" s="18"/>
      <c r="Y4" s="18"/>
      <c r="Z4" s="18"/>
    </row>
    <row r="5" ht="15.75" customHeight="1">
      <c r="A5" s="32" t="s">
        <v>86</v>
      </c>
      <c r="B5" s="33">
        <v>0.0042</v>
      </c>
      <c r="C5" s="34">
        <v>0.0121</v>
      </c>
      <c r="D5" s="34">
        <v>0.0016</v>
      </c>
      <c r="E5" s="34"/>
      <c r="F5" s="34">
        <v>0.0015</v>
      </c>
      <c r="G5" s="34">
        <v>0.0018</v>
      </c>
      <c r="H5" s="35">
        <v>0.0033</v>
      </c>
      <c r="I5" s="33">
        <f t="shared" ref="I5:O5" si="3">B5</f>
        <v>0.0042</v>
      </c>
      <c r="J5" s="34">
        <f t="shared" si="3"/>
        <v>0.0121</v>
      </c>
      <c r="K5" s="34">
        <f t="shared" si="3"/>
        <v>0.0016</v>
      </c>
      <c r="L5" s="34" t="str">
        <f t="shared" si="3"/>
        <v/>
      </c>
      <c r="M5" s="34">
        <f t="shared" si="3"/>
        <v>0.0015</v>
      </c>
      <c r="N5" s="34">
        <f t="shared" si="3"/>
        <v>0.0018</v>
      </c>
      <c r="O5" s="35">
        <f t="shared" si="3"/>
        <v>0.0033</v>
      </c>
      <c r="P5" s="34"/>
      <c r="Q5" s="34"/>
      <c r="R5" s="34"/>
      <c r="S5" s="35"/>
      <c r="T5" s="31"/>
      <c r="U5" s="31"/>
      <c r="V5" s="31"/>
      <c r="W5" s="18"/>
      <c r="X5" s="18"/>
      <c r="Y5" s="18"/>
      <c r="Z5" s="18"/>
    </row>
    <row r="6" ht="15.75" customHeight="1">
      <c r="A6" s="32" t="s">
        <v>104</v>
      </c>
      <c r="B6" s="33">
        <v>0.0032</v>
      </c>
      <c r="C6" s="34">
        <v>0.0096</v>
      </c>
      <c r="D6" s="34">
        <v>0.0014</v>
      </c>
      <c r="E6" s="34"/>
      <c r="F6" s="34">
        <v>0.0011</v>
      </c>
      <c r="G6" s="34">
        <v>0.0016</v>
      </c>
      <c r="H6" s="35">
        <v>0.0028</v>
      </c>
      <c r="I6" s="33">
        <f t="shared" ref="I6:O6" si="4">B6</f>
        <v>0.0032</v>
      </c>
      <c r="J6" s="34">
        <f t="shared" si="4"/>
        <v>0.0096</v>
      </c>
      <c r="K6" s="34">
        <f t="shared" si="4"/>
        <v>0.0014</v>
      </c>
      <c r="L6" s="34" t="str">
        <f t="shared" si="4"/>
        <v/>
      </c>
      <c r="M6" s="34">
        <f t="shared" si="4"/>
        <v>0.0011</v>
      </c>
      <c r="N6" s="34">
        <f t="shared" si="4"/>
        <v>0.0016</v>
      </c>
      <c r="O6" s="35">
        <f t="shared" si="4"/>
        <v>0.0028</v>
      </c>
      <c r="P6" s="34"/>
      <c r="Q6" s="34"/>
      <c r="R6" s="34"/>
      <c r="S6" s="35"/>
      <c r="T6" s="31"/>
      <c r="U6" s="31"/>
      <c r="V6" s="31"/>
      <c r="W6" s="18"/>
      <c r="X6" s="18"/>
      <c r="Y6" s="18"/>
      <c r="Z6" s="18"/>
    </row>
    <row r="7" ht="15.75" customHeight="1">
      <c r="A7" s="32" t="s">
        <v>95</v>
      </c>
      <c r="B7" s="33">
        <v>0.0097</v>
      </c>
      <c r="C7" s="34">
        <v>0.0111</v>
      </c>
      <c r="D7" s="34">
        <v>0.0026</v>
      </c>
      <c r="E7" s="34">
        <v>0.0019</v>
      </c>
      <c r="F7" s="34">
        <v>0.0018</v>
      </c>
      <c r="G7" s="34">
        <v>0.0145</v>
      </c>
      <c r="H7" s="35">
        <v>0.0182</v>
      </c>
      <c r="I7" s="33">
        <f t="shared" ref="I7:O7" si="5">B7</f>
        <v>0.0097</v>
      </c>
      <c r="J7" s="34">
        <f t="shared" si="5"/>
        <v>0.0111</v>
      </c>
      <c r="K7" s="34">
        <f t="shared" si="5"/>
        <v>0.0026</v>
      </c>
      <c r="L7" s="34">
        <f t="shared" si="5"/>
        <v>0.0019</v>
      </c>
      <c r="M7" s="34">
        <f t="shared" si="5"/>
        <v>0.0018</v>
      </c>
      <c r="N7" s="34">
        <f t="shared" si="5"/>
        <v>0.0145</v>
      </c>
      <c r="O7" s="35">
        <f t="shared" si="5"/>
        <v>0.0182</v>
      </c>
      <c r="P7" s="34"/>
      <c r="Q7" s="34"/>
      <c r="R7" s="34"/>
      <c r="S7" s="35"/>
      <c r="T7" s="31"/>
      <c r="U7" s="31"/>
      <c r="V7" s="31"/>
      <c r="W7" s="18"/>
      <c r="X7" s="18"/>
      <c r="Y7" s="18"/>
      <c r="Z7" s="18"/>
    </row>
    <row r="8" ht="15.75" customHeight="1">
      <c r="A8" s="36" t="s">
        <v>121</v>
      </c>
      <c r="B8" s="33">
        <v>0.0041</v>
      </c>
      <c r="C8" s="34">
        <v>0.0035</v>
      </c>
      <c r="D8" s="34">
        <v>0.0016</v>
      </c>
      <c r="E8" s="34"/>
      <c r="F8" s="34">
        <v>0.0015</v>
      </c>
      <c r="G8" s="34">
        <v>0.0191</v>
      </c>
      <c r="H8" s="35">
        <v>0.0206</v>
      </c>
      <c r="I8" s="33">
        <f t="shared" ref="I8:O8" si="6">B8</f>
        <v>0.0041</v>
      </c>
      <c r="J8" s="34">
        <f t="shared" si="6"/>
        <v>0.0035</v>
      </c>
      <c r="K8" s="34">
        <f t="shared" si="6"/>
        <v>0.0016</v>
      </c>
      <c r="L8" s="34" t="str">
        <f t="shared" si="6"/>
        <v/>
      </c>
      <c r="M8" s="34">
        <f t="shared" si="6"/>
        <v>0.0015</v>
      </c>
      <c r="N8" s="34">
        <f t="shared" si="6"/>
        <v>0.0191</v>
      </c>
      <c r="O8" s="35">
        <f t="shared" si="6"/>
        <v>0.0206</v>
      </c>
      <c r="P8" s="34"/>
      <c r="Q8" s="34"/>
      <c r="R8" s="34"/>
      <c r="S8" s="35"/>
      <c r="T8" s="31"/>
      <c r="U8" s="31"/>
      <c r="V8" s="31"/>
      <c r="W8" s="18"/>
      <c r="X8" s="18"/>
      <c r="Y8" s="18"/>
      <c r="Z8" s="18"/>
    </row>
    <row r="9" ht="15.75" customHeight="1">
      <c r="A9" s="36" t="s">
        <v>127</v>
      </c>
      <c r="B9" s="33">
        <v>0.0047</v>
      </c>
      <c r="C9" s="34">
        <v>0.0037</v>
      </c>
      <c r="D9" s="34">
        <v>0.0013</v>
      </c>
      <c r="E9" s="34"/>
      <c r="F9" s="34">
        <v>9.0E-4</v>
      </c>
      <c r="G9" s="34">
        <v>0.0103</v>
      </c>
      <c r="H9" s="35">
        <v>0.0112</v>
      </c>
      <c r="I9" s="33">
        <f t="shared" ref="I9:O9" si="7">B9</f>
        <v>0.0047</v>
      </c>
      <c r="J9" s="34">
        <f t="shared" si="7"/>
        <v>0.0037</v>
      </c>
      <c r="K9" s="34">
        <f t="shared" si="7"/>
        <v>0.0013</v>
      </c>
      <c r="L9" s="34" t="str">
        <f t="shared" si="7"/>
        <v/>
      </c>
      <c r="M9" s="34">
        <f t="shared" si="7"/>
        <v>0.0009</v>
      </c>
      <c r="N9" s="34">
        <f t="shared" si="7"/>
        <v>0.0103</v>
      </c>
      <c r="O9" s="35">
        <f t="shared" si="7"/>
        <v>0.0112</v>
      </c>
      <c r="P9" s="34"/>
      <c r="Q9" s="34"/>
      <c r="R9" s="34"/>
      <c r="S9" s="35"/>
      <c r="T9" s="31"/>
      <c r="U9" s="31"/>
      <c r="V9" s="31"/>
      <c r="W9" s="18"/>
      <c r="X9" s="18"/>
      <c r="Y9" s="18"/>
      <c r="Z9" s="18"/>
    </row>
    <row r="10" ht="15.75" customHeight="1">
      <c r="A10" s="36" t="s">
        <v>137</v>
      </c>
      <c r="B10" s="33">
        <v>0.0105</v>
      </c>
      <c r="C10" s="34">
        <v>0.0189</v>
      </c>
      <c r="D10" s="34">
        <v>0.0042</v>
      </c>
      <c r="E10" s="34">
        <v>0.0013</v>
      </c>
      <c r="F10" s="34">
        <v>0.0032</v>
      </c>
      <c r="G10" s="34">
        <v>0.0016</v>
      </c>
      <c r="H10" s="35">
        <v>0.0061</v>
      </c>
      <c r="I10" s="33">
        <f t="shared" ref="I10:O10" si="8">B10</f>
        <v>0.0105</v>
      </c>
      <c r="J10" s="34">
        <f t="shared" si="8"/>
        <v>0.0189</v>
      </c>
      <c r="K10" s="34">
        <f t="shared" si="8"/>
        <v>0.0042</v>
      </c>
      <c r="L10" s="34">
        <f t="shared" si="8"/>
        <v>0.0013</v>
      </c>
      <c r="M10" s="34">
        <f t="shared" si="8"/>
        <v>0.0032</v>
      </c>
      <c r="N10" s="34">
        <f t="shared" si="8"/>
        <v>0.0016</v>
      </c>
      <c r="O10" s="35">
        <f t="shared" si="8"/>
        <v>0.0061</v>
      </c>
      <c r="P10" s="34"/>
      <c r="Q10" s="34"/>
      <c r="R10" s="34"/>
      <c r="S10" s="35"/>
      <c r="T10" s="31"/>
      <c r="U10" s="31"/>
      <c r="V10" s="31"/>
      <c r="W10" s="18"/>
      <c r="X10" s="18"/>
      <c r="Y10" s="18"/>
      <c r="Z10" s="18"/>
    </row>
    <row r="11" ht="15.75" customHeight="1">
      <c r="A11" s="37" t="s">
        <v>139</v>
      </c>
      <c r="B11" s="38">
        <v>0.0194</v>
      </c>
      <c r="C11" s="39">
        <v>0.0369</v>
      </c>
      <c r="D11" s="39"/>
      <c r="E11" s="39"/>
      <c r="F11" s="39"/>
      <c r="G11" s="39"/>
      <c r="H11" s="40"/>
      <c r="I11" s="38">
        <f t="shared" ref="I11:N11" si="9">B11</f>
        <v>0.0194</v>
      </c>
      <c r="J11" s="39">
        <f t="shared" si="9"/>
        <v>0.0369</v>
      </c>
      <c r="K11" s="39" t="str">
        <f t="shared" si="9"/>
        <v/>
      </c>
      <c r="L11" s="39" t="str">
        <f t="shared" si="9"/>
        <v/>
      </c>
      <c r="M11" s="39" t="str">
        <f t="shared" si="9"/>
        <v/>
      </c>
      <c r="N11" s="39" t="str">
        <f t="shared" si="9"/>
        <v/>
      </c>
      <c r="O11" s="40"/>
      <c r="P11" s="39"/>
      <c r="Q11" s="39"/>
      <c r="R11" s="39"/>
      <c r="S11" s="40"/>
      <c r="T11" s="31"/>
      <c r="U11" s="31"/>
      <c r="V11" s="31"/>
      <c r="W11" s="18"/>
      <c r="X11" s="18"/>
      <c r="Y11" s="18"/>
      <c r="Z11" s="18"/>
    </row>
    <row r="12" ht="15.75" customHeight="1">
      <c r="A12" s="41" t="s">
        <v>150</v>
      </c>
      <c r="B12" s="33">
        <v>0.0011</v>
      </c>
      <c r="C12" s="34">
        <v>0.0016</v>
      </c>
      <c r="D12" s="34">
        <v>0.0011</v>
      </c>
      <c r="E12" s="34">
        <v>0.0074</v>
      </c>
      <c r="F12" s="34">
        <v>0.0132</v>
      </c>
      <c r="G12" s="34">
        <v>0.0076</v>
      </c>
      <c r="H12" s="35">
        <f t="shared" ref="H12:H14" si="12">SUM(E12:G12)</f>
        <v>0.0282</v>
      </c>
      <c r="I12" s="33">
        <f t="shared" ref="I12:O12" si="10">AVERAGE(B12:B13)</f>
        <v>0.00155</v>
      </c>
      <c r="J12" s="34">
        <f t="shared" si="10"/>
        <v>0.00345</v>
      </c>
      <c r="K12" s="34">
        <f t="shared" si="10"/>
        <v>0.0012</v>
      </c>
      <c r="L12" s="34">
        <f t="shared" si="10"/>
        <v>0.0074</v>
      </c>
      <c r="M12" s="34">
        <f t="shared" si="10"/>
        <v>0.0168</v>
      </c>
      <c r="N12" s="34">
        <f t="shared" si="10"/>
        <v>0.0085</v>
      </c>
      <c r="O12" s="35">
        <f t="shared" si="10"/>
        <v>0.029</v>
      </c>
      <c r="P12" s="34">
        <f t="shared" ref="P12:R12" si="11">STDEV(B12:B13)</f>
        <v>0.0006363961031</v>
      </c>
      <c r="Q12" s="34">
        <f t="shared" si="11"/>
        <v>0.00261629509</v>
      </c>
      <c r="R12" s="34">
        <f t="shared" si="11"/>
        <v>0.0001414213562</v>
      </c>
      <c r="S12" s="35">
        <f>STDEV(H12:H13)</f>
        <v>0.00113137085</v>
      </c>
      <c r="T12" s="31"/>
      <c r="U12" s="31"/>
      <c r="V12" s="31"/>
      <c r="W12" s="18"/>
      <c r="X12" s="18"/>
      <c r="Y12" s="18"/>
      <c r="Z12" s="18"/>
    </row>
    <row r="13" ht="15.75" customHeight="1">
      <c r="A13" s="41" t="s">
        <v>151</v>
      </c>
      <c r="B13" s="33">
        <v>0.002</v>
      </c>
      <c r="C13" s="34">
        <v>0.0053</v>
      </c>
      <c r="D13" s="34">
        <v>0.0013</v>
      </c>
      <c r="E13" s="34"/>
      <c r="F13" s="34">
        <v>0.0204</v>
      </c>
      <c r="G13" s="34">
        <v>0.0094</v>
      </c>
      <c r="H13" s="35">
        <f t="shared" si="12"/>
        <v>0.0298</v>
      </c>
      <c r="I13" s="33"/>
      <c r="J13" s="34"/>
      <c r="K13" s="34"/>
      <c r="L13" s="34"/>
      <c r="M13" s="34"/>
      <c r="N13" s="34"/>
      <c r="O13" s="35"/>
      <c r="P13" s="34"/>
      <c r="Q13" s="34"/>
      <c r="R13" s="34"/>
      <c r="S13" s="35"/>
      <c r="T13" s="31"/>
      <c r="U13" s="31"/>
      <c r="V13" s="31"/>
      <c r="W13" s="18"/>
      <c r="X13" s="18"/>
      <c r="Y13" s="18"/>
      <c r="Z13" s="18"/>
    </row>
    <row r="14" ht="15.75" customHeight="1">
      <c r="A14" s="42" t="s">
        <v>152</v>
      </c>
      <c r="B14" s="33">
        <v>0.0028</v>
      </c>
      <c r="C14" s="34">
        <v>0.0146</v>
      </c>
      <c r="D14" s="34">
        <v>0.0014</v>
      </c>
      <c r="E14" s="34"/>
      <c r="F14" s="34">
        <v>0.0103</v>
      </c>
      <c r="G14" s="34">
        <v>0.0072</v>
      </c>
      <c r="H14" s="35">
        <f t="shared" si="12"/>
        <v>0.0175</v>
      </c>
      <c r="I14" s="33">
        <f t="shared" ref="I14:K14" si="13">AVERAGE(B14:B15)</f>
        <v>0.0028</v>
      </c>
      <c r="J14" s="34">
        <f t="shared" si="13"/>
        <v>0.0075</v>
      </c>
      <c r="K14" s="34">
        <f t="shared" si="13"/>
        <v>0.0014</v>
      </c>
      <c r="L14" s="34"/>
      <c r="M14" s="34">
        <f t="shared" ref="M14:N14" si="14">AVERAGE(F14:F15)</f>
        <v>0.0103</v>
      </c>
      <c r="N14" s="34">
        <f t="shared" si="14"/>
        <v>0.0072</v>
      </c>
      <c r="O14" s="35">
        <f>SUM(L14:N14)</f>
        <v>0.0175</v>
      </c>
      <c r="P14" s="34"/>
      <c r="Q14" s="34">
        <f>STDEV(C14:C15)</f>
        <v>0.01004091629</v>
      </c>
      <c r="R14" s="34"/>
      <c r="S14" s="35"/>
      <c r="T14" s="31"/>
      <c r="U14" s="31"/>
      <c r="V14" s="31"/>
      <c r="W14" s="18"/>
      <c r="X14" s="18"/>
      <c r="Y14" s="18"/>
      <c r="Z14" s="18"/>
    </row>
    <row r="15" ht="15.75" customHeight="1">
      <c r="A15" s="42" t="s">
        <v>153</v>
      </c>
      <c r="B15" s="33"/>
      <c r="C15" s="34">
        <v>4.0E-4</v>
      </c>
      <c r="D15" s="34"/>
      <c r="E15" s="34"/>
      <c r="F15" s="34"/>
      <c r="G15" s="34"/>
      <c r="H15" s="35"/>
      <c r="I15" s="33"/>
      <c r="J15" s="34"/>
      <c r="K15" s="34"/>
      <c r="L15" s="34"/>
      <c r="M15" s="34"/>
      <c r="N15" s="34"/>
      <c r="O15" s="35"/>
      <c r="P15" s="34"/>
      <c r="Q15" s="34"/>
      <c r="R15" s="34"/>
      <c r="S15" s="35"/>
      <c r="T15" s="31"/>
      <c r="U15" s="31"/>
      <c r="V15" s="31"/>
      <c r="W15" s="18"/>
      <c r="X15" s="18"/>
      <c r="Y15" s="18"/>
      <c r="Z15" s="18"/>
    </row>
    <row r="16" ht="15.75" customHeight="1">
      <c r="A16" s="42" t="s">
        <v>112</v>
      </c>
      <c r="B16" s="33">
        <v>0.0019</v>
      </c>
      <c r="C16" s="34">
        <v>0.0137</v>
      </c>
      <c r="D16" s="34">
        <v>0.0013</v>
      </c>
      <c r="E16" s="34"/>
      <c r="F16" s="34">
        <v>0.0093</v>
      </c>
      <c r="G16" s="34">
        <v>0.0037</v>
      </c>
      <c r="H16" s="35">
        <f t="shared" ref="H16:H26" si="17">SUM(E16:G16)</f>
        <v>0.013</v>
      </c>
      <c r="I16" s="33">
        <f t="shared" ref="I16:K16" si="15">B16</f>
        <v>0.0019</v>
      </c>
      <c r="J16" s="34">
        <f t="shared" si="15"/>
        <v>0.0137</v>
      </c>
      <c r="K16" s="34">
        <f t="shared" si="15"/>
        <v>0.0013</v>
      </c>
      <c r="L16" s="34"/>
      <c r="M16" s="34">
        <f t="shared" ref="M16:N16" si="16">F16</f>
        <v>0.0093</v>
      </c>
      <c r="N16" s="34">
        <f t="shared" si="16"/>
        <v>0.0037</v>
      </c>
      <c r="O16" s="35">
        <f t="shared" ref="O16:O22" si="20">SUM(L16:N16)</f>
        <v>0.013</v>
      </c>
      <c r="P16" s="34"/>
      <c r="Q16" s="34"/>
      <c r="R16" s="34"/>
      <c r="S16" s="35"/>
      <c r="T16" s="31"/>
      <c r="U16" s="31"/>
      <c r="V16" s="31"/>
      <c r="W16" s="18"/>
      <c r="X16" s="18"/>
      <c r="Y16" s="18"/>
      <c r="Z16" s="18"/>
    </row>
    <row r="17" ht="15.75" customHeight="1">
      <c r="A17" s="42" t="s">
        <v>83</v>
      </c>
      <c r="B17" s="33">
        <v>0.0011</v>
      </c>
      <c r="C17" s="34">
        <v>0.0145</v>
      </c>
      <c r="D17" s="34">
        <v>0.0011</v>
      </c>
      <c r="E17" s="34"/>
      <c r="F17" s="34">
        <v>0.0045</v>
      </c>
      <c r="G17" s="34">
        <v>0.0027</v>
      </c>
      <c r="H17" s="35">
        <f t="shared" si="17"/>
        <v>0.0072</v>
      </c>
      <c r="I17" s="33">
        <f t="shared" ref="I17:K17" si="18">B17</f>
        <v>0.0011</v>
      </c>
      <c r="J17" s="34">
        <f t="shared" si="18"/>
        <v>0.0145</v>
      </c>
      <c r="K17" s="34">
        <f t="shared" si="18"/>
        <v>0.0011</v>
      </c>
      <c r="L17" s="34"/>
      <c r="M17" s="34">
        <f t="shared" ref="M17:N17" si="19">F17</f>
        <v>0.0045</v>
      </c>
      <c r="N17" s="34">
        <f t="shared" si="19"/>
        <v>0.0027</v>
      </c>
      <c r="O17" s="35">
        <f t="shared" si="20"/>
        <v>0.0072</v>
      </c>
      <c r="P17" s="34"/>
      <c r="Q17" s="34"/>
      <c r="R17" s="34"/>
      <c r="S17" s="35"/>
      <c r="T17" s="31"/>
      <c r="U17" s="31"/>
      <c r="V17" s="31"/>
      <c r="W17" s="18"/>
      <c r="X17" s="18"/>
      <c r="Y17" s="18"/>
      <c r="Z17" s="18"/>
    </row>
    <row r="18" ht="15.75" customHeight="1">
      <c r="A18" s="42" t="s">
        <v>135</v>
      </c>
      <c r="B18" s="33">
        <v>0.001</v>
      </c>
      <c r="C18" s="34">
        <v>0.0023</v>
      </c>
      <c r="D18" s="34">
        <v>4.0E-4</v>
      </c>
      <c r="E18" s="34">
        <v>0.0048</v>
      </c>
      <c r="F18" s="34">
        <v>0.0031</v>
      </c>
      <c r="G18" s="34">
        <v>0.0141</v>
      </c>
      <c r="H18" s="35">
        <f t="shared" si="17"/>
        <v>0.022</v>
      </c>
      <c r="I18" s="33">
        <f t="shared" ref="I18:N18" si="21">B18</f>
        <v>0.001</v>
      </c>
      <c r="J18" s="34">
        <f t="shared" si="21"/>
        <v>0.0023</v>
      </c>
      <c r="K18" s="34">
        <f t="shared" si="21"/>
        <v>0.0004</v>
      </c>
      <c r="L18" s="34">
        <f t="shared" si="21"/>
        <v>0.0048</v>
      </c>
      <c r="M18" s="34">
        <f t="shared" si="21"/>
        <v>0.0031</v>
      </c>
      <c r="N18" s="34">
        <f t="shared" si="21"/>
        <v>0.0141</v>
      </c>
      <c r="O18" s="35">
        <f t="shared" si="20"/>
        <v>0.022</v>
      </c>
      <c r="P18" s="34"/>
      <c r="Q18" s="34"/>
      <c r="R18" s="34"/>
      <c r="S18" s="35"/>
      <c r="T18" s="31"/>
      <c r="U18" s="31"/>
      <c r="V18" s="31"/>
      <c r="W18" s="18"/>
      <c r="X18" s="18"/>
      <c r="Y18" s="18"/>
      <c r="Z18" s="18"/>
    </row>
    <row r="19" ht="15.75" customHeight="1">
      <c r="A19" s="41" t="s">
        <v>118</v>
      </c>
      <c r="B19" s="33">
        <v>0.0014</v>
      </c>
      <c r="C19" s="34">
        <v>0.006</v>
      </c>
      <c r="D19" s="34">
        <v>8.0E-4</v>
      </c>
      <c r="E19" s="34"/>
      <c r="F19" s="34">
        <v>5.0E-4</v>
      </c>
      <c r="G19" s="34">
        <v>0.0014</v>
      </c>
      <c r="H19" s="35">
        <f t="shared" si="17"/>
        <v>0.0019</v>
      </c>
      <c r="I19" s="33">
        <f t="shared" ref="I19:K19" si="22">B19</f>
        <v>0.0014</v>
      </c>
      <c r="J19" s="34">
        <f t="shared" si="22"/>
        <v>0.006</v>
      </c>
      <c r="K19" s="34">
        <f t="shared" si="22"/>
        <v>0.0008</v>
      </c>
      <c r="L19" s="34"/>
      <c r="M19" s="34">
        <f t="shared" ref="M19:N19" si="23">F19</f>
        <v>0.0005</v>
      </c>
      <c r="N19" s="34">
        <f t="shared" si="23"/>
        <v>0.0014</v>
      </c>
      <c r="O19" s="35">
        <f t="shared" si="20"/>
        <v>0.0019</v>
      </c>
      <c r="P19" s="34"/>
      <c r="Q19" s="34"/>
      <c r="R19" s="34"/>
      <c r="S19" s="35"/>
      <c r="T19" s="31"/>
      <c r="U19" s="31"/>
      <c r="V19" s="31"/>
      <c r="W19" s="18"/>
      <c r="X19" s="18"/>
      <c r="Y19" s="18"/>
      <c r="Z19" s="18"/>
    </row>
    <row r="20" ht="15.75" customHeight="1">
      <c r="A20" s="41" t="s">
        <v>125</v>
      </c>
      <c r="B20" s="33">
        <v>0.0017</v>
      </c>
      <c r="C20" s="34">
        <v>0.0077</v>
      </c>
      <c r="D20" s="34">
        <v>0.001</v>
      </c>
      <c r="E20" s="34"/>
      <c r="F20" s="34">
        <v>0.0145</v>
      </c>
      <c r="G20" s="34">
        <v>0.0049</v>
      </c>
      <c r="H20" s="35">
        <f t="shared" si="17"/>
        <v>0.0194</v>
      </c>
      <c r="I20" s="33">
        <f t="shared" ref="I20:K20" si="24">B20</f>
        <v>0.0017</v>
      </c>
      <c r="J20" s="34">
        <f t="shared" si="24"/>
        <v>0.0077</v>
      </c>
      <c r="K20" s="34">
        <f t="shared" si="24"/>
        <v>0.001</v>
      </c>
      <c r="L20" s="34"/>
      <c r="M20" s="34">
        <f t="shared" ref="M20:N20" si="25">F20</f>
        <v>0.0145</v>
      </c>
      <c r="N20" s="34">
        <f t="shared" si="25"/>
        <v>0.0049</v>
      </c>
      <c r="O20" s="35">
        <f t="shared" si="20"/>
        <v>0.0194</v>
      </c>
      <c r="P20" s="34"/>
      <c r="Q20" s="34"/>
      <c r="R20" s="34"/>
      <c r="S20" s="35"/>
      <c r="T20" s="31"/>
      <c r="U20" s="31"/>
      <c r="V20" s="31"/>
      <c r="W20" s="18"/>
      <c r="X20" s="18"/>
      <c r="Y20" s="18"/>
      <c r="Z20" s="18"/>
    </row>
    <row r="21" ht="15.75" customHeight="1">
      <c r="A21" s="41" t="s">
        <v>131</v>
      </c>
      <c r="B21" s="33">
        <v>0.0017</v>
      </c>
      <c r="C21" s="34">
        <v>0.0199</v>
      </c>
      <c r="D21" s="34">
        <v>0.001</v>
      </c>
      <c r="E21" s="34">
        <v>0.0078</v>
      </c>
      <c r="F21" s="34">
        <v>0.0148</v>
      </c>
      <c r="G21" s="34">
        <v>0.0049</v>
      </c>
      <c r="H21" s="35">
        <f t="shared" si="17"/>
        <v>0.0275</v>
      </c>
      <c r="I21" s="33">
        <f t="shared" ref="I21:N21" si="26">B21</f>
        <v>0.0017</v>
      </c>
      <c r="J21" s="34">
        <f t="shared" si="26"/>
        <v>0.0199</v>
      </c>
      <c r="K21" s="34">
        <f t="shared" si="26"/>
        <v>0.001</v>
      </c>
      <c r="L21" s="34">
        <f t="shared" si="26"/>
        <v>0.0078</v>
      </c>
      <c r="M21" s="34">
        <f t="shared" si="26"/>
        <v>0.0148</v>
      </c>
      <c r="N21" s="34">
        <f t="shared" si="26"/>
        <v>0.0049</v>
      </c>
      <c r="O21" s="35">
        <f t="shared" si="20"/>
        <v>0.0275</v>
      </c>
      <c r="P21" s="34"/>
      <c r="Q21" s="34"/>
      <c r="R21" s="34"/>
      <c r="S21" s="35"/>
      <c r="T21" s="31"/>
      <c r="U21" s="31"/>
      <c r="V21" s="31"/>
      <c r="W21" s="18"/>
      <c r="X21" s="18"/>
      <c r="Y21" s="18"/>
      <c r="Z21" s="18"/>
    </row>
    <row r="22" ht="15.75" customHeight="1">
      <c r="A22" s="41" t="s">
        <v>72</v>
      </c>
      <c r="B22" s="33">
        <v>0.0066</v>
      </c>
      <c r="C22" s="34">
        <v>0.0128</v>
      </c>
      <c r="D22" s="34">
        <v>0.0029</v>
      </c>
      <c r="E22" s="34">
        <v>0.0024</v>
      </c>
      <c r="F22" s="34">
        <v>0.0023</v>
      </c>
      <c r="G22" s="34">
        <v>0.0041</v>
      </c>
      <c r="H22" s="35">
        <f t="shared" si="17"/>
        <v>0.0088</v>
      </c>
      <c r="I22" s="33">
        <f t="shared" ref="I22:N22" si="27">B22</f>
        <v>0.0066</v>
      </c>
      <c r="J22" s="34">
        <f t="shared" si="27"/>
        <v>0.0128</v>
      </c>
      <c r="K22" s="34">
        <f t="shared" si="27"/>
        <v>0.0029</v>
      </c>
      <c r="L22" s="34">
        <f t="shared" si="27"/>
        <v>0.0024</v>
      </c>
      <c r="M22" s="34">
        <f t="shared" si="27"/>
        <v>0.0023</v>
      </c>
      <c r="N22" s="34">
        <f t="shared" si="27"/>
        <v>0.0041</v>
      </c>
      <c r="O22" s="35">
        <f t="shared" si="20"/>
        <v>0.0088</v>
      </c>
      <c r="P22" s="34"/>
      <c r="Q22" s="34"/>
      <c r="R22" s="34"/>
      <c r="S22" s="35"/>
      <c r="T22" s="31"/>
      <c r="U22" s="31"/>
      <c r="V22" s="31"/>
      <c r="W22" s="18"/>
      <c r="X22" s="18"/>
      <c r="Y22" s="18"/>
      <c r="Z22" s="18"/>
    </row>
    <row r="23" ht="15.75" customHeight="1">
      <c r="A23" s="41" t="s">
        <v>154</v>
      </c>
      <c r="B23" s="33">
        <v>0.0045</v>
      </c>
      <c r="C23" s="34">
        <v>0.0427</v>
      </c>
      <c r="D23" s="34">
        <v>0.0028</v>
      </c>
      <c r="E23" s="34"/>
      <c r="F23" s="34">
        <v>0.0393</v>
      </c>
      <c r="G23" s="34"/>
      <c r="H23" s="35">
        <f t="shared" si="17"/>
        <v>0.0393</v>
      </c>
      <c r="I23" s="33">
        <f t="shared" ref="I23:K23" si="28">AVERAGE(B23:B25)</f>
        <v>0.005333333333</v>
      </c>
      <c r="J23" s="34">
        <f t="shared" si="28"/>
        <v>0.07386666667</v>
      </c>
      <c r="K23" s="34">
        <f t="shared" si="28"/>
        <v>0.003566666667</v>
      </c>
      <c r="L23" s="34"/>
      <c r="M23" s="34">
        <f t="shared" ref="M23:O23" si="29">AVERAGE(F23:F25)</f>
        <v>0.05813333333</v>
      </c>
      <c r="N23" s="34">
        <f t="shared" si="29"/>
        <v>0.0347</v>
      </c>
      <c r="O23" s="35">
        <f t="shared" si="29"/>
        <v>0.0697</v>
      </c>
      <c r="P23" s="34">
        <f t="shared" ref="P23:R23" si="30">STDEV(B23:B25)</f>
        <v>0.00127410099</v>
      </c>
      <c r="Q23" s="34">
        <f t="shared" si="30"/>
        <v>0.03071063876</v>
      </c>
      <c r="R23" s="34">
        <f t="shared" si="30"/>
        <v>0.0007505553499</v>
      </c>
      <c r="S23" s="35">
        <f>STDEV(H23:H25)</f>
        <v>0.029016547</v>
      </c>
      <c r="T23" s="31"/>
      <c r="U23" s="31"/>
      <c r="V23" s="31"/>
      <c r="W23" s="18"/>
      <c r="X23" s="18"/>
      <c r="Y23" s="18"/>
      <c r="Z23" s="18"/>
    </row>
    <row r="24" ht="15.75" customHeight="1">
      <c r="A24" s="41" t="s">
        <v>155</v>
      </c>
      <c r="B24" s="33">
        <v>0.0068</v>
      </c>
      <c r="C24" s="34">
        <v>0.1041</v>
      </c>
      <c r="D24" s="34">
        <v>0.0043</v>
      </c>
      <c r="E24" s="34"/>
      <c r="F24" s="34">
        <v>0.0727</v>
      </c>
      <c r="G24" s="34"/>
      <c r="H24" s="35">
        <f t="shared" si="17"/>
        <v>0.0727</v>
      </c>
      <c r="I24" s="33"/>
      <c r="J24" s="34"/>
      <c r="K24" s="34"/>
      <c r="L24" s="34"/>
      <c r="M24" s="34"/>
      <c r="N24" s="34"/>
      <c r="O24" s="35"/>
      <c r="P24" s="34"/>
      <c r="Q24" s="34"/>
      <c r="R24" s="34"/>
      <c r="S24" s="35"/>
      <c r="T24" s="31"/>
      <c r="U24" s="31"/>
      <c r="V24" s="31"/>
      <c r="W24" s="18"/>
      <c r="X24" s="18"/>
      <c r="Y24" s="18"/>
      <c r="Z24" s="18"/>
    </row>
    <row r="25" ht="15.75" customHeight="1">
      <c r="A25" s="41" t="s">
        <v>156</v>
      </c>
      <c r="B25" s="33">
        <v>0.0047</v>
      </c>
      <c r="C25" s="34">
        <v>0.0748</v>
      </c>
      <c r="D25" s="34">
        <v>0.0036</v>
      </c>
      <c r="E25" s="34"/>
      <c r="F25" s="34">
        <v>0.0624</v>
      </c>
      <c r="G25" s="34">
        <v>0.0347</v>
      </c>
      <c r="H25" s="35">
        <f t="shared" si="17"/>
        <v>0.0971</v>
      </c>
      <c r="I25" s="33"/>
      <c r="J25" s="34"/>
      <c r="K25" s="34"/>
      <c r="L25" s="34"/>
      <c r="M25" s="34"/>
      <c r="N25" s="34"/>
      <c r="O25" s="35"/>
      <c r="P25" s="34"/>
      <c r="Q25" s="34"/>
      <c r="R25" s="34"/>
      <c r="S25" s="35"/>
      <c r="T25" s="31"/>
      <c r="U25" s="31"/>
      <c r="V25" s="31"/>
      <c r="W25" s="18"/>
      <c r="X25" s="18"/>
      <c r="Y25" s="18"/>
      <c r="Z25" s="18"/>
    </row>
    <row r="26" ht="15.75" customHeight="1">
      <c r="A26" s="41" t="s">
        <v>157</v>
      </c>
      <c r="B26" s="33">
        <v>0.0101</v>
      </c>
      <c r="C26" s="34">
        <v>0.0866</v>
      </c>
      <c r="D26" s="34">
        <v>0.0066</v>
      </c>
      <c r="E26" s="34"/>
      <c r="F26" s="34">
        <v>0.0437</v>
      </c>
      <c r="G26" s="34">
        <v>0.0329</v>
      </c>
      <c r="H26" s="35">
        <f t="shared" si="17"/>
        <v>0.0766</v>
      </c>
      <c r="I26" s="33">
        <f t="shared" ref="I26:K26" si="31">AVERAGE(B26:B28)</f>
        <v>0.008866666667</v>
      </c>
      <c r="J26" s="34">
        <f t="shared" si="31"/>
        <v>0.0683</v>
      </c>
      <c r="K26" s="34">
        <f t="shared" si="31"/>
        <v>0.0039</v>
      </c>
      <c r="L26" s="34"/>
      <c r="M26" s="34">
        <f t="shared" ref="M26:N26" si="32">AVERAGE(F26:F28)</f>
        <v>0.0437</v>
      </c>
      <c r="N26" s="34">
        <f t="shared" si="32"/>
        <v>0.0329</v>
      </c>
      <c r="O26" s="35">
        <f>SUM(L26:N26)</f>
        <v>0.0766</v>
      </c>
      <c r="P26" s="34">
        <f t="shared" ref="P26:R26" si="33">STDEV(B26:B28)</f>
        <v>0.002136195996</v>
      </c>
      <c r="Q26" s="34">
        <f t="shared" si="33"/>
        <v>0.03361978584</v>
      </c>
      <c r="R26" s="34">
        <f t="shared" si="33"/>
        <v>0.002338803113</v>
      </c>
      <c r="S26" s="35"/>
      <c r="T26" s="31"/>
      <c r="U26" s="31"/>
      <c r="V26" s="31"/>
      <c r="W26" s="18"/>
      <c r="X26" s="18"/>
      <c r="Y26" s="18"/>
      <c r="Z26" s="18"/>
    </row>
    <row r="27" ht="15.75" customHeight="1">
      <c r="A27" s="41" t="s">
        <v>158</v>
      </c>
      <c r="B27" s="33">
        <v>0.0064</v>
      </c>
      <c r="C27" s="34">
        <v>0.0295</v>
      </c>
      <c r="D27" s="34">
        <v>0.0026</v>
      </c>
      <c r="E27" s="34"/>
      <c r="F27" s="34"/>
      <c r="G27" s="34"/>
      <c r="H27" s="35"/>
      <c r="I27" s="33"/>
      <c r="J27" s="34"/>
      <c r="K27" s="34"/>
      <c r="L27" s="34"/>
      <c r="M27" s="34"/>
      <c r="N27" s="34"/>
      <c r="O27" s="35"/>
      <c r="P27" s="34"/>
      <c r="Q27" s="34"/>
      <c r="R27" s="34"/>
      <c r="S27" s="35"/>
      <c r="T27" s="31"/>
      <c r="U27" s="31"/>
      <c r="V27" s="31"/>
      <c r="W27" s="18"/>
      <c r="X27" s="18"/>
      <c r="Y27" s="18"/>
      <c r="Z27" s="18"/>
    </row>
    <row r="28" ht="15.75" customHeight="1">
      <c r="A28" s="41" t="s">
        <v>159</v>
      </c>
      <c r="B28" s="33">
        <v>0.0101</v>
      </c>
      <c r="C28" s="34">
        <v>0.0888</v>
      </c>
      <c r="D28" s="34">
        <v>0.0025</v>
      </c>
      <c r="E28" s="34"/>
      <c r="F28" s="34"/>
      <c r="G28" s="34"/>
      <c r="H28" s="35"/>
      <c r="I28" s="33"/>
      <c r="J28" s="34"/>
      <c r="K28" s="34"/>
      <c r="L28" s="34"/>
      <c r="M28" s="34"/>
      <c r="N28" s="34"/>
      <c r="O28" s="35"/>
      <c r="P28" s="34"/>
      <c r="Q28" s="34"/>
      <c r="R28" s="34"/>
      <c r="S28" s="35"/>
      <c r="T28" s="31"/>
      <c r="U28" s="31"/>
      <c r="V28" s="31"/>
      <c r="W28" s="18"/>
      <c r="X28" s="18"/>
      <c r="Y28" s="18"/>
      <c r="Z28" s="18"/>
    </row>
    <row r="29" ht="15.75" customHeight="1">
      <c r="A29" s="43" t="s">
        <v>107</v>
      </c>
      <c r="B29" s="38">
        <v>0.003</v>
      </c>
      <c r="C29" s="39">
        <v>0.0107</v>
      </c>
      <c r="D29" s="39">
        <v>0.0021</v>
      </c>
      <c r="E29" s="39">
        <v>0.0029</v>
      </c>
      <c r="F29" s="39">
        <v>0.003</v>
      </c>
      <c r="G29" s="39">
        <v>0.0037</v>
      </c>
      <c r="H29" s="40">
        <f t="shared" ref="H29:H37" si="35">SUM(E29:G29)</f>
        <v>0.0096</v>
      </c>
      <c r="I29" s="38">
        <f t="shared" ref="I29:N29" si="34">B29</f>
        <v>0.003</v>
      </c>
      <c r="J29" s="39">
        <f t="shared" si="34"/>
        <v>0.0107</v>
      </c>
      <c r="K29" s="39">
        <f t="shared" si="34"/>
        <v>0.0021</v>
      </c>
      <c r="L29" s="39">
        <f t="shared" si="34"/>
        <v>0.0029</v>
      </c>
      <c r="M29" s="39">
        <f t="shared" si="34"/>
        <v>0.003</v>
      </c>
      <c r="N29" s="39">
        <f t="shared" si="34"/>
        <v>0.0037</v>
      </c>
      <c r="O29" s="40">
        <f t="shared" ref="O29:O30" si="38">SUM(L29:N29)</f>
        <v>0.0096</v>
      </c>
      <c r="P29" s="39"/>
      <c r="Q29" s="39"/>
      <c r="R29" s="39"/>
      <c r="S29" s="35"/>
      <c r="T29" s="31"/>
      <c r="U29" s="31"/>
      <c r="V29" s="31"/>
      <c r="W29" s="18"/>
      <c r="X29" s="18"/>
      <c r="Y29" s="18"/>
      <c r="Z29" s="18"/>
    </row>
    <row r="30" ht="15.75" customHeight="1">
      <c r="A30" s="41" t="s">
        <v>59</v>
      </c>
      <c r="B30" s="28">
        <v>0.0044</v>
      </c>
      <c r="C30" s="29">
        <v>0.0188</v>
      </c>
      <c r="D30" s="29">
        <v>0.0021</v>
      </c>
      <c r="E30" s="29"/>
      <c r="F30" s="29">
        <v>0.0014</v>
      </c>
      <c r="G30" s="29">
        <v>0.0044</v>
      </c>
      <c r="H30" s="30">
        <f t="shared" si="35"/>
        <v>0.0058</v>
      </c>
      <c r="I30" s="28">
        <f t="shared" ref="I30:K30" si="36">B30</f>
        <v>0.0044</v>
      </c>
      <c r="J30" s="29">
        <f t="shared" si="36"/>
        <v>0.0188</v>
      </c>
      <c r="K30" s="29">
        <f t="shared" si="36"/>
        <v>0.0021</v>
      </c>
      <c r="L30" s="29"/>
      <c r="M30" s="29">
        <f t="shared" ref="M30:N30" si="37">F30</f>
        <v>0.0014</v>
      </c>
      <c r="N30" s="29">
        <f t="shared" si="37"/>
        <v>0.0044</v>
      </c>
      <c r="O30" s="30">
        <f t="shared" si="38"/>
        <v>0.0058</v>
      </c>
      <c r="P30" s="29"/>
      <c r="Q30" s="29"/>
      <c r="R30" s="29"/>
      <c r="S30" s="30"/>
      <c r="T30" s="31"/>
      <c r="U30" s="31"/>
      <c r="V30" s="31"/>
      <c r="W30" s="18"/>
      <c r="X30" s="18"/>
      <c r="Y30" s="18"/>
      <c r="Z30" s="18"/>
    </row>
    <row r="31" ht="15.75" customHeight="1">
      <c r="A31" s="41" t="s">
        <v>160</v>
      </c>
      <c r="B31" s="33">
        <v>0.0024</v>
      </c>
      <c r="C31" s="34">
        <v>0.007</v>
      </c>
      <c r="D31" s="34">
        <v>6.0E-4</v>
      </c>
      <c r="E31" s="34">
        <v>0.002</v>
      </c>
      <c r="F31" s="34">
        <v>0.015</v>
      </c>
      <c r="G31" s="34"/>
      <c r="H31" s="35">
        <f t="shared" si="35"/>
        <v>0.017</v>
      </c>
      <c r="I31" s="33">
        <f t="shared" ref="I31:O31" si="39">AVERAGE(B31:B32)</f>
        <v>0.00275</v>
      </c>
      <c r="J31" s="34">
        <f t="shared" si="39"/>
        <v>0.02475</v>
      </c>
      <c r="K31" s="34">
        <f t="shared" si="39"/>
        <v>0.00065</v>
      </c>
      <c r="L31" s="34">
        <f t="shared" si="39"/>
        <v>0.002</v>
      </c>
      <c r="M31" s="34">
        <f t="shared" si="39"/>
        <v>0.01655</v>
      </c>
      <c r="N31" s="34">
        <f t="shared" si="39"/>
        <v>0.0225</v>
      </c>
      <c r="O31" s="35">
        <f t="shared" si="39"/>
        <v>0.0288</v>
      </c>
      <c r="P31" s="34">
        <f t="shared" ref="P31:R31" si="40">STDEV(B31:B32)</f>
        <v>0.0004949747468</v>
      </c>
      <c r="Q31" s="34">
        <f t="shared" si="40"/>
        <v>0.02510229073</v>
      </c>
      <c r="R31" s="34">
        <f t="shared" si="40"/>
        <v>0.00007071067812</v>
      </c>
      <c r="S31" s="35">
        <f>STDEV(H31:H32)</f>
        <v>0.01668772004</v>
      </c>
      <c r="T31" s="31"/>
      <c r="U31" s="31"/>
      <c r="V31" s="31"/>
      <c r="W31" s="18"/>
      <c r="X31" s="18"/>
      <c r="Y31" s="18"/>
      <c r="Z31" s="18"/>
    </row>
    <row r="32" ht="15.75" customHeight="1">
      <c r="A32" s="42" t="s">
        <v>161</v>
      </c>
      <c r="B32" s="33">
        <v>0.0031</v>
      </c>
      <c r="C32" s="34">
        <v>0.0425</v>
      </c>
      <c r="D32" s="34">
        <v>7.0E-4</v>
      </c>
      <c r="E32" s="34"/>
      <c r="F32" s="34">
        <v>0.0181</v>
      </c>
      <c r="G32" s="34">
        <v>0.0225</v>
      </c>
      <c r="H32" s="35">
        <f t="shared" si="35"/>
        <v>0.0406</v>
      </c>
      <c r="I32" s="33"/>
      <c r="J32" s="34"/>
      <c r="K32" s="34"/>
      <c r="L32" s="34"/>
      <c r="M32" s="34"/>
      <c r="N32" s="34"/>
      <c r="O32" s="35"/>
      <c r="P32" s="34"/>
      <c r="Q32" s="34"/>
      <c r="R32" s="34"/>
      <c r="S32" s="35"/>
      <c r="T32" s="31"/>
      <c r="U32" s="31"/>
      <c r="V32" s="31"/>
      <c r="W32" s="18"/>
      <c r="X32" s="18"/>
      <c r="Y32" s="18"/>
      <c r="Z32" s="18"/>
    </row>
    <row r="33" ht="15.75" customHeight="1">
      <c r="A33" s="42" t="s">
        <v>50</v>
      </c>
      <c r="B33" s="33">
        <v>0.0011</v>
      </c>
      <c r="C33" s="34">
        <v>0.0068</v>
      </c>
      <c r="D33" s="34">
        <v>7.0E-4</v>
      </c>
      <c r="E33" s="34"/>
      <c r="F33" s="34">
        <v>0.0121</v>
      </c>
      <c r="G33" s="34"/>
      <c r="H33" s="35">
        <f t="shared" si="35"/>
        <v>0.0121</v>
      </c>
      <c r="I33" s="33">
        <f t="shared" ref="I33:K33" si="41">B33</f>
        <v>0.0011</v>
      </c>
      <c r="J33" s="34">
        <f t="shared" si="41"/>
        <v>0.0068</v>
      </c>
      <c r="K33" s="34">
        <f t="shared" si="41"/>
        <v>0.0007</v>
      </c>
      <c r="L33" s="34"/>
      <c r="M33" s="34">
        <f t="shared" ref="M33:M37" si="43">F33</f>
        <v>0.0121</v>
      </c>
      <c r="N33" s="34"/>
      <c r="O33" s="35">
        <f t="shared" ref="O33:O37" si="44">SUM(L33:N33)</f>
        <v>0.0121</v>
      </c>
      <c r="P33" s="34"/>
      <c r="Q33" s="34"/>
      <c r="R33" s="34"/>
      <c r="S33" s="35"/>
      <c r="T33" s="31"/>
      <c r="U33" s="31"/>
      <c r="V33" s="31"/>
      <c r="W33" s="18"/>
      <c r="X33" s="18"/>
      <c r="Y33" s="18"/>
      <c r="Z33" s="18"/>
    </row>
    <row r="34" ht="15.75" customHeight="1">
      <c r="A34" s="42" t="s">
        <v>64</v>
      </c>
      <c r="B34" s="33">
        <v>0.001</v>
      </c>
      <c r="C34" s="34">
        <v>0.0039</v>
      </c>
      <c r="D34" s="34">
        <v>8.0E-4</v>
      </c>
      <c r="E34" s="34"/>
      <c r="F34" s="34">
        <v>0.0109</v>
      </c>
      <c r="G34" s="34"/>
      <c r="H34" s="35">
        <f t="shared" si="35"/>
        <v>0.0109</v>
      </c>
      <c r="I34" s="33">
        <f t="shared" ref="I34:K34" si="42">B34</f>
        <v>0.001</v>
      </c>
      <c r="J34" s="34">
        <f t="shared" si="42"/>
        <v>0.0039</v>
      </c>
      <c r="K34" s="34">
        <f t="shared" si="42"/>
        <v>0.0008</v>
      </c>
      <c r="L34" s="34"/>
      <c r="M34" s="34">
        <f t="shared" si="43"/>
        <v>0.0109</v>
      </c>
      <c r="N34" s="34"/>
      <c r="O34" s="35">
        <f t="shared" si="44"/>
        <v>0.0109</v>
      </c>
      <c r="P34" s="34"/>
      <c r="Q34" s="34"/>
      <c r="R34" s="34"/>
      <c r="S34" s="35"/>
      <c r="T34" s="31"/>
      <c r="U34" s="31"/>
      <c r="V34" s="31"/>
      <c r="W34" s="18"/>
      <c r="X34" s="18"/>
      <c r="Y34" s="18"/>
      <c r="Z34" s="18"/>
    </row>
    <row r="35" ht="15.75" customHeight="1">
      <c r="A35" s="41" t="s">
        <v>67</v>
      </c>
      <c r="B35" s="33">
        <v>0.0016</v>
      </c>
      <c r="C35" s="34">
        <v>0.0063</v>
      </c>
      <c r="D35" s="34">
        <v>3.0E-4</v>
      </c>
      <c r="E35" s="34"/>
      <c r="F35" s="34">
        <v>0.0016</v>
      </c>
      <c r="G35" s="34">
        <v>0.0103</v>
      </c>
      <c r="H35" s="35">
        <f t="shared" si="35"/>
        <v>0.0119</v>
      </c>
      <c r="I35" s="33">
        <f t="shared" ref="I35:K35" si="45">B35</f>
        <v>0.0016</v>
      </c>
      <c r="J35" s="34">
        <f t="shared" si="45"/>
        <v>0.0063</v>
      </c>
      <c r="K35" s="34">
        <f t="shared" si="45"/>
        <v>0.0003</v>
      </c>
      <c r="L35" s="34"/>
      <c r="M35" s="34">
        <f t="shared" si="43"/>
        <v>0.0016</v>
      </c>
      <c r="N35" s="34">
        <f>G35</f>
        <v>0.0103</v>
      </c>
      <c r="O35" s="35">
        <f t="shared" si="44"/>
        <v>0.0119</v>
      </c>
      <c r="P35" s="34"/>
      <c r="Q35" s="34"/>
      <c r="R35" s="34"/>
      <c r="S35" s="35"/>
      <c r="T35" s="31"/>
      <c r="U35" s="31"/>
      <c r="V35" s="31"/>
      <c r="W35" s="18"/>
      <c r="X35" s="18"/>
      <c r="Y35" s="18"/>
      <c r="Z35" s="18"/>
    </row>
    <row r="36" ht="15.75" customHeight="1">
      <c r="A36" s="41" t="s">
        <v>69</v>
      </c>
      <c r="B36" s="33">
        <v>0.0019</v>
      </c>
      <c r="C36" s="34">
        <v>0.0197</v>
      </c>
      <c r="D36" s="34">
        <v>7.0E-4</v>
      </c>
      <c r="E36" s="34"/>
      <c r="F36" s="34">
        <v>0.0098</v>
      </c>
      <c r="G36" s="34"/>
      <c r="H36" s="35">
        <f t="shared" si="35"/>
        <v>0.0098</v>
      </c>
      <c r="I36" s="33">
        <f t="shared" ref="I36:K36" si="46">B36</f>
        <v>0.0019</v>
      </c>
      <c r="J36" s="34">
        <f t="shared" si="46"/>
        <v>0.0197</v>
      </c>
      <c r="K36" s="34">
        <f t="shared" si="46"/>
        <v>0.0007</v>
      </c>
      <c r="L36" s="34"/>
      <c r="M36" s="34">
        <f t="shared" si="43"/>
        <v>0.0098</v>
      </c>
      <c r="N36" s="34"/>
      <c r="O36" s="35">
        <f t="shared" si="44"/>
        <v>0.0098</v>
      </c>
      <c r="P36" s="34"/>
      <c r="Q36" s="34"/>
      <c r="R36" s="34"/>
      <c r="S36" s="35"/>
      <c r="T36" s="31"/>
      <c r="U36" s="31"/>
      <c r="V36" s="31"/>
      <c r="W36" s="18"/>
      <c r="X36" s="18"/>
      <c r="Y36" s="18"/>
      <c r="Z36" s="18"/>
    </row>
    <row r="37" ht="15.75" customHeight="1">
      <c r="A37" s="41" t="s">
        <v>70</v>
      </c>
      <c r="B37" s="33">
        <v>0.0019</v>
      </c>
      <c r="C37" s="34">
        <v>0.0143</v>
      </c>
      <c r="D37" s="34">
        <v>4.0E-4</v>
      </c>
      <c r="E37" s="34"/>
      <c r="F37" s="34">
        <v>0.007</v>
      </c>
      <c r="G37" s="34"/>
      <c r="H37" s="35">
        <f t="shared" si="35"/>
        <v>0.007</v>
      </c>
      <c r="I37" s="33">
        <f t="shared" ref="I37:K37" si="47">B37</f>
        <v>0.0019</v>
      </c>
      <c r="J37" s="34">
        <f t="shared" si="47"/>
        <v>0.0143</v>
      </c>
      <c r="K37" s="34">
        <f t="shared" si="47"/>
        <v>0.0004</v>
      </c>
      <c r="L37" s="34"/>
      <c r="M37" s="34">
        <f t="shared" si="43"/>
        <v>0.007</v>
      </c>
      <c r="N37" s="34"/>
      <c r="O37" s="35">
        <f t="shared" si="44"/>
        <v>0.007</v>
      </c>
      <c r="P37" s="34"/>
      <c r="Q37" s="34"/>
      <c r="R37" s="34"/>
      <c r="S37" s="35"/>
      <c r="T37" s="31"/>
      <c r="U37" s="31"/>
      <c r="V37" s="31"/>
      <c r="W37" s="18"/>
      <c r="X37" s="18"/>
      <c r="Y37" s="18"/>
      <c r="Z37" s="18"/>
    </row>
    <row r="38" ht="15.75" customHeight="1">
      <c r="A38" s="41" t="s">
        <v>71</v>
      </c>
      <c r="B38" s="33">
        <v>0.0021</v>
      </c>
      <c r="C38" s="34">
        <v>0.0139</v>
      </c>
      <c r="D38" s="34">
        <v>5.0E-4</v>
      </c>
      <c r="E38" s="34"/>
      <c r="F38" s="34"/>
      <c r="G38" s="34"/>
      <c r="H38" s="35"/>
      <c r="I38" s="33">
        <f t="shared" ref="I38:K38" si="48">B38</f>
        <v>0.0021</v>
      </c>
      <c r="J38" s="34">
        <f t="shared" si="48"/>
        <v>0.0139</v>
      </c>
      <c r="K38" s="34">
        <f t="shared" si="48"/>
        <v>0.0005</v>
      </c>
      <c r="L38" s="34"/>
      <c r="M38" s="34"/>
      <c r="N38" s="34"/>
      <c r="O38" s="35"/>
      <c r="P38" s="34"/>
      <c r="Q38" s="34"/>
      <c r="R38" s="34"/>
      <c r="S38" s="35"/>
      <c r="T38" s="31"/>
      <c r="U38" s="31"/>
      <c r="V38" s="31"/>
      <c r="W38" s="18"/>
      <c r="X38" s="18"/>
      <c r="Y38" s="18"/>
      <c r="Z38" s="18"/>
    </row>
    <row r="39" ht="15.75" customHeight="1">
      <c r="A39" s="41" t="s">
        <v>57</v>
      </c>
      <c r="B39" s="33">
        <v>0.0025</v>
      </c>
      <c r="C39" s="34">
        <v>0.0136</v>
      </c>
      <c r="D39" s="34">
        <v>0.0012</v>
      </c>
      <c r="E39" s="34"/>
      <c r="F39" s="34">
        <v>0.0632</v>
      </c>
      <c r="G39" s="34"/>
      <c r="H39" s="35">
        <f t="shared" ref="H39:H41" si="50">SUM(E39:G39)</f>
        <v>0.0632</v>
      </c>
      <c r="I39" s="33">
        <f t="shared" ref="I39:K39" si="49">B39</f>
        <v>0.0025</v>
      </c>
      <c r="J39" s="34">
        <f t="shared" si="49"/>
        <v>0.0136</v>
      </c>
      <c r="K39" s="34">
        <f t="shared" si="49"/>
        <v>0.0012</v>
      </c>
      <c r="L39" s="34"/>
      <c r="M39" s="34">
        <f t="shared" ref="M39:M41" si="52">F39</f>
        <v>0.0632</v>
      </c>
      <c r="N39" s="34"/>
      <c r="O39" s="35">
        <f t="shared" ref="O39:O41" si="53">SUM(L39:N39)</f>
        <v>0.0632</v>
      </c>
      <c r="P39" s="34"/>
      <c r="Q39" s="34"/>
      <c r="R39" s="34"/>
      <c r="S39" s="35"/>
      <c r="T39" s="31"/>
      <c r="U39" s="31"/>
      <c r="V39" s="31"/>
      <c r="W39" s="18"/>
      <c r="X39" s="18"/>
      <c r="Y39" s="18"/>
      <c r="Z39" s="18"/>
    </row>
    <row r="40" ht="15.75" customHeight="1">
      <c r="A40" s="41" t="s">
        <v>78</v>
      </c>
      <c r="B40" s="33">
        <v>0.0017</v>
      </c>
      <c r="C40" s="34">
        <v>0.0065</v>
      </c>
      <c r="D40" s="34">
        <v>7.0E-4</v>
      </c>
      <c r="E40" s="34"/>
      <c r="F40" s="34">
        <v>0.0023</v>
      </c>
      <c r="G40" s="34">
        <v>0.0041</v>
      </c>
      <c r="H40" s="35">
        <f t="shared" si="50"/>
        <v>0.0064</v>
      </c>
      <c r="I40" s="33">
        <f t="shared" ref="I40:K40" si="51">B40</f>
        <v>0.0017</v>
      </c>
      <c r="J40" s="34">
        <f t="shared" si="51"/>
        <v>0.0065</v>
      </c>
      <c r="K40" s="34">
        <f t="shared" si="51"/>
        <v>0.0007</v>
      </c>
      <c r="L40" s="34"/>
      <c r="M40" s="34">
        <f t="shared" si="52"/>
        <v>0.0023</v>
      </c>
      <c r="N40" s="34">
        <f t="shared" ref="N40:N41" si="55">G40</f>
        <v>0.0041</v>
      </c>
      <c r="O40" s="35">
        <f t="shared" si="53"/>
        <v>0.0064</v>
      </c>
      <c r="P40" s="34"/>
      <c r="Q40" s="34"/>
      <c r="R40" s="34"/>
      <c r="S40" s="35"/>
      <c r="T40" s="31"/>
      <c r="U40" s="31"/>
      <c r="V40" s="31"/>
      <c r="W40" s="18"/>
      <c r="X40" s="18"/>
      <c r="Y40" s="18"/>
      <c r="Z40" s="18"/>
    </row>
    <row r="41" ht="15.75" customHeight="1">
      <c r="A41" s="43" t="s">
        <v>82</v>
      </c>
      <c r="B41" s="38">
        <v>0.0026</v>
      </c>
      <c r="C41" s="39">
        <v>0.019</v>
      </c>
      <c r="D41" s="39">
        <v>4.0E-4</v>
      </c>
      <c r="E41" s="39"/>
      <c r="F41" s="39">
        <v>0.0038</v>
      </c>
      <c r="G41" s="39">
        <v>0.0043</v>
      </c>
      <c r="H41" s="40">
        <f t="shared" si="50"/>
        <v>0.0081</v>
      </c>
      <c r="I41" s="38">
        <f t="shared" ref="I41:K41" si="54">B41</f>
        <v>0.0026</v>
      </c>
      <c r="J41" s="39">
        <f t="shared" si="54"/>
        <v>0.019</v>
      </c>
      <c r="K41" s="39">
        <f t="shared" si="54"/>
        <v>0.0004</v>
      </c>
      <c r="L41" s="39"/>
      <c r="M41" s="39">
        <f t="shared" si="52"/>
        <v>0.0038</v>
      </c>
      <c r="N41" s="39">
        <f t="shared" si="55"/>
        <v>0.0043</v>
      </c>
      <c r="O41" s="40">
        <f t="shared" si="53"/>
        <v>0.0081</v>
      </c>
      <c r="P41" s="39"/>
      <c r="Q41" s="39"/>
      <c r="R41" s="39"/>
      <c r="S41" s="40"/>
      <c r="T41" s="31"/>
      <c r="U41" s="31"/>
      <c r="V41" s="31"/>
      <c r="W41" s="18"/>
      <c r="X41" s="18"/>
      <c r="Y41" s="18"/>
      <c r="Z41" s="18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18"/>
      <c r="X42" s="18"/>
      <c r="Y42" s="18"/>
      <c r="Z42" s="18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18"/>
      <c r="X43" s="18"/>
      <c r="Y43" s="18"/>
      <c r="Z43" s="18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18"/>
      <c r="X44" s="18"/>
      <c r="Y44" s="18"/>
      <c r="Z44" s="18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18"/>
      <c r="X45" s="18"/>
      <c r="Y45" s="18"/>
      <c r="Z45" s="18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18"/>
      <c r="X46" s="18"/>
      <c r="Y46" s="18"/>
      <c r="Z46" s="18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18"/>
      <c r="X47" s="18"/>
      <c r="Y47" s="18"/>
      <c r="Z47" s="18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18"/>
      <c r="X48" s="18"/>
      <c r="Y48" s="18"/>
      <c r="Z48" s="18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18"/>
      <c r="X49" s="18"/>
      <c r="Y49" s="18"/>
      <c r="Z49" s="18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18"/>
      <c r="X50" s="18"/>
      <c r="Y50" s="18"/>
      <c r="Z50" s="18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18"/>
      <c r="X51" s="18"/>
      <c r="Y51" s="18"/>
      <c r="Z51" s="18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18"/>
      <c r="X52" s="18"/>
      <c r="Y52" s="18"/>
      <c r="Z52" s="18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18"/>
      <c r="X53" s="18"/>
      <c r="Y53" s="18"/>
      <c r="Z53" s="18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18"/>
      <c r="X54" s="18"/>
      <c r="Y54" s="18"/>
      <c r="Z54" s="18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18"/>
      <c r="X55" s="18"/>
      <c r="Y55" s="18"/>
      <c r="Z55" s="18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18"/>
      <c r="X56" s="18"/>
      <c r="Y56" s="18"/>
      <c r="Z56" s="18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18"/>
      <c r="X57" s="18"/>
      <c r="Y57" s="18"/>
      <c r="Z57" s="18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18"/>
      <c r="X58" s="18"/>
      <c r="Y58" s="18"/>
      <c r="Z58" s="18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18"/>
      <c r="X59" s="18"/>
      <c r="Y59" s="18"/>
      <c r="Z59" s="18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18"/>
      <c r="X60" s="18"/>
      <c r="Y60" s="18"/>
      <c r="Z60" s="18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18"/>
      <c r="X61" s="18"/>
      <c r="Y61" s="18"/>
      <c r="Z61" s="18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18"/>
      <c r="X62" s="18"/>
      <c r="Y62" s="18"/>
      <c r="Z62" s="18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18"/>
      <c r="X63" s="18"/>
      <c r="Y63" s="18"/>
      <c r="Z63" s="18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18"/>
      <c r="X64" s="18"/>
      <c r="Y64" s="18"/>
      <c r="Z64" s="18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18"/>
      <c r="X65" s="18"/>
      <c r="Y65" s="18"/>
      <c r="Z65" s="18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18"/>
      <c r="X66" s="18"/>
      <c r="Y66" s="18"/>
      <c r="Z66" s="18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18"/>
      <c r="X67" s="18"/>
      <c r="Y67" s="18"/>
      <c r="Z67" s="18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18"/>
      <c r="X68" s="18"/>
      <c r="Y68" s="18"/>
      <c r="Z68" s="18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18"/>
      <c r="X69" s="18"/>
      <c r="Y69" s="18"/>
      <c r="Z69" s="18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18"/>
      <c r="X70" s="18"/>
      <c r="Y70" s="18"/>
      <c r="Z70" s="18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18"/>
      <c r="X71" s="18"/>
      <c r="Y71" s="18"/>
      <c r="Z71" s="18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18"/>
      <c r="X72" s="18"/>
      <c r="Y72" s="18"/>
      <c r="Z72" s="18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18"/>
      <c r="X73" s="18"/>
      <c r="Y73" s="18"/>
      <c r="Z73" s="18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18"/>
      <c r="X74" s="18"/>
      <c r="Y74" s="18"/>
      <c r="Z74" s="18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18"/>
      <c r="X75" s="18"/>
      <c r="Y75" s="18"/>
      <c r="Z75" s="18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18"/>
      <c r="X76" s="18"/>
      <c r="Y76" s="18"/>
      <c r="Z76" s="18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18"/>
      <c r="X77" s="18"/>
      <c r="Y77" s="18"/>
      <c r="Z77" s="18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18"/>
      <c r="X78" s="18"/>
      <c r="Y78" s="18"/>
      <c r="Z78" s="18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18"/>
      <c r="X79" s="18"/>
      <c r="Y79" s="18"/>
      <c r="Z79" s="18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18"/>
      <c r="X80" s="18"/>
      <c r="Y80" s="18"/>
      <c r="Z80" s="18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18"/>
      <c r="X81" s="18"/>
      <c r="Y81" s="18"/>
      <c r="Z81" s="18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18"/>
      <c r="X82" s="18"/>
      <c r="Y82" s="18"/>
      <c r="Z82" s="18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18"/>
      <c r="X83" s="18"/>
      <c r="Y83" s="18"/>
      <c r="Z83" s="18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18"/>
      <c r="X84" s="18"/>
      <c r="Y84" s="18"/>
      <c r="Z84" s="18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18"/>
      <c r="X85" s="18"/>
      <c r="Y85" s="18"/>
      <c r="Z85" s="18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18"/>
      <c r="X86" s="18"/>
      <c r="Y86" s="18"/>
      <c r="Z86" s="18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18"/>
      <c r="X87" s="18"/>
      <c r="Y87" s="18"/>
      <c r="Z87" s="18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18"/>
      <c r="X88" s="18"/>
      <c r="Y88" s="18"/>
      <c r="Z88" s="18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18"/>
      <c r="X89" s="18"/>
      <c r="Y89" s="18"/>
      <c r="Z89" s="18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18"/>
      <c r="X90" s="18"/>
      <c r="Y90" s="18"/>
      <c r="Z90" s="18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18"/>
      <c r="X91" s="18"/>
      <c r="Y91" s="18"/>
      <c r="Z91" s="18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18"/>
      <c r="X92" s="18"/>
      <c r="Y92" s="18"/>
      <c r="Z92" s="18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18"/>
      <c r="X93" s="18"/>
      <c r="Y93" s="18"/>
      <c r="Z93" s="18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18"/>
      <c r="X94" s="18"/>
      <c r="Y94" s="18"/>
      <c r="Z94" s="18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18"/>
      <c r="X95" s="18"/>
      <c r="Y95" s="18"/>
      <c r="Z95" s="18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18"/>
      <c r="X96" s="18"/>
      <c r="Y96" s="18"/>
      <c r="Z96" s="18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18"/>
      <c r="X97" s="18"/>
      <c r="Y97" s="18"/>
      <c r="Z97" s="18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18"/>
      <c r="X98" s="18"/>
      <c r="Y98" s="18"/>
      <c r="Z98" s="18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18"/>
      <c r="X99" s="18"/>
      <c r="Y99" s="18"/>
      <c r="Z99" s="18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18"/>
      <c r="X100" s="18"/>
      <c r="Y100" s="18"/>
      <c r="Z100" s="18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18"/>
      <c r="X101" s="18"/>
      <c r="Y101" s="18"/>
      <c r="Z101" s="18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18"/>
      <c r="X102" s="18"/>
      <c r="Y102" s="18"/>
      <c r="Z102" s="18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18"/>
      <c r="X103" s="18"/>
      <c r="Y103" s="18"/>
      <c r="Z103" s="18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18"/>
      <c r="X104" s="18"/>
      <c r="Y104" s="18"/>
      <c r="Z104" s="18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18"/>
      <c r="X105" s="18"/>
      <c r="Y105" s="18"/>
      <c r="Z105" s="18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18"/>
      <c r="X106" s="18"/>
      <c r="Y106" s="18"/>
      <c r="Z106" s="18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18"/>
      <c r="X107" s="18"/>
      <c r="Y107" s="18"/>
      <c r="Z107" s="18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18"/>
      <c r="X108" s="18"/>
      <c r="Y108" s="18"/>
      <c r="Z108" s="18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18"/>
      <c r="X109" s="18"/>
      <c r="Y109" s="18"/>
      <c r="Z109" s="18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18"/>
      <c r="X110" s="18"/>
      <c r="Y110" s="18"/>
      <c r="Z110" s="18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18"/>
      <c r="X111" s="18"/>
      <c r="Y111" s="18"/>
      <c r="Z111" s="18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18"/>
      <c r="X112" s="18"/>
      <c r="Y112" s="18"/>
      <c r="Z112" s="18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18"/>
      <c r="X113" s="18"/>
      <c r="Y113" s="18"/>
      <c r="Z113" s="18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18"/>
      <c r="X114" s="18"/>
      <c r="Y114" s="18"/>
      <c r="Z114" s="18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18"/>
      <c r="X115" s="18"/>
      <c r="Y115" s="18"/>
      <c r="Z115" s="18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18"/>
      <c r="X116" s="18"/>
      <c r="Y116" s="18"/>
      <c r="Z116" s="18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18"/>
      <c r="X117" s="18"/>
      <c r="Y117" s="18"/>
      <c r="Z117" s="18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18"/>
      <c r="X118" s="18"/>
      <c r="Y118" s="18"/>
      <c r="Z118" s="18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18"/>
      <c r="X119" s="18"/>
      <c r="Y119" s="18"/>
      <c r="Z119" s="18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18"/>
      <c r="X120" s="18"/>
      <c r="Y120" s="18"/>
      <c r="Z120" s="18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18"/>
      <c r="X121" s="18"/>
      <c r="Y121" s="18"/>
      <c r="Z121" s="18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18"/>
      <c r="X122" s="18"/>
      <c r="Y122" s="18"/>
      <c r="Z122" s="18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18"/>
      <c r="X123" s="18"/>
      <c r="Y123" s="18"/>
      <c r="Z123" s="18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18"/>
      <c r="X124" s="18"/>
      <c r="Y124" s="18"/>
      <c r="Z124" s="18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18"/>
      <c r="X125" s="18"/>
      <c r="Y125" s="18"/>
      <c r="Z125" s="18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18"/>
      <c r="X126" s="18"/>
      <c r="Y126" s="18"/>
      <c r="Z126" s="18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18"/>
      <c r="X127" s="18"/>
      <c r="Y127" s="18"/>
      <c r="Z127" s="18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18"/>
      <c r="X128" s="18"/>
      <c r="Y128" s="18"/>
      <c r="Z128" s="18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18"/>
      <c r="X129" s="18"/>
      <c r="Y129" s="18"/>
      <c r="Z129" s="18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18"/>
      <c r="X130" s="18"/>
      <c r="Y130" s="18"/>
      <c r="Z130" s="18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18"/>
      <c r="X131" s="18"/>
      <c r="Y131" s="18"/>
      <c r="Z131" s="18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18"/>
      <c r="X132" s="18"/>
      <c r="Y132" s="18"/>
      <c r="Z132" s="18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18"/>
      <c r="X133" s="18"/>
      <c r="Y133" s="18"/>
      <c r="Z133" s="18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18"/>
      <c r="X134" s="18"/>
      <c r="Y134" s="18"/>
      <c r="Z134" s="18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18"/>
      <c r="X135" s="18"/>
      <c r="Y135" s="18"/>
      <c r="Z135" s="18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18"/>
      <c r="X136" s="18"/>
      <c r="Y136" s="18"/>
      <c r="Z136" s="18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18"/>
      <c r="X137" s="18"/>
      <c r="Y137" s="18"/>
      <c r="Z137" s="18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18"/>
      <c r="X138" s="18"/>
      <c r="Y138" s="18"/>
      <c r="Z138" s="18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18"/>
      <c r="X139" s="18"/>
      <c r="Y139" s="18"/>
      <c r="Z139" s="18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18"/>
      <c r="X140" s="18"/>
      <c r="Y140" s="18"/>
      <c r="Z140" s="18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18"/>
      <c r="X141" s="18"/>
      <c r="Y141" s="18"/>
      <c r="Z141" s="18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18"/>
      <c r="X142" s="18"/>
      <c r="Y142" s="18"/>
      <c r="Z142" s="18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18"/>
      <c r="X143" s="18"/>
      <c r="Y143" s="18"/>
      <c r="Z143" s="18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18"/>
      <c r="X144" s="18"/>
      <c r="Y144" s="18"/>
      <c r="Z144" s="18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18"/>
      <c r="X145" s="18"/>
      <c r="Y145" s="18"/>
      <c r="Z145" s="18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18"/>
      <c r="X146" s="18"/>
      <c r="Y146" s="18"/>
      <c r="Z146" s="18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18"/>
      <c r="X147" s="18"/>
      <c r="Y147" s="18"/>
      <c r="Z147" s="18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18"/>
      <c r="X148" s="18"/>
      <c r="Y148" s="18"/>
      <c r="Z148" s="18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18"/>
      <c r="X149" s="18"/>
      <c r="Y149" s="18"/>
      <c r="Z149" s="18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18"/>
      <c r="X150" s="18"/>
      <c r="Y150" s="18"/>
      <c r="Z150" s="18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18"/>
      <c r="X151" s="18"/>
      <c r="Y151" s="18"/>
      <c r="Z151" s="18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18"/>
      <c r="X152" s="18"/>
      <c r="Y152" s="18"/>
      <c r="Z152" s="18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18"/>
      <c r="X153" s="18"/>
      <c r="Y153" s="18"/>
      <c r="Z153" s="18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18"/>
      <c r="X154" s="18"/>
      <c r="Y154" s="18"/>
      <c r="Z154" s="18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18"/>
      <c r="X155" s="18"/>
      <c r="Y155" s="18"/>
      <c r="Z155" s="18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18"/>
      <c r="X156" s="18"/>
      <c r="Y156" s="18"/>
      <c r="Z156" s="18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18"/>
      <c r="X157" s="18"/>
      <c r="Y157" s="18"/>
      <c r="Z157" s="18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18"/>
      <c r="X158" s="18"/>
      <c r="Y158" s="18"/>
      <c r="Z158" s="18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18"/>
      <c r="X159" s="18"/>
      <c r="Y159" s="18"/>
      <c r="Z159" s="18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18"/>
      <c r="X160" s="18"/>
      <c r="Y160" s="18"/>
      <c r="Z160" s="18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18"/>
      <c r="X161" s="18"/>
      <c r="Y161" s="18"/>
      <c r="Z161" s="18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18"/>
      <c r="X162" s="18"/>
      <c r="Y162" s="18"/>
      <c r="Z162" s="18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18"/>
      <c r="X163" s="18"/>
      <c r="Y163" s="18"/>
      <c r="Z163" s="18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18"/>
      <c r="X164" s="18"/>
      <c r="Y164" s="18"/>
      <c r="Z164" s="18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18"/>
      <c r="X165" s="18"/>
      <c r="Y165" s="18"/>
      <c r="Z165" s="18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18"/>
      <c r="X166" s="18"/>
      <c r="Y166" s="18"/>
      <c r="Z166" s="18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18"/>
      <c r="X167" s="18"/>
      <c r="Y167" s="18"/>
      <c r="Z167" s="18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18"/>
      <c r="X168" s="18"/>
      <c r="Y168" s="18"/>
      <c r="Z168" s="18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18"/>
      <c r="X169" s="18"/>
      <c r="Y169" s="18"/>
      <c r="Z169" s="18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18"/>
      <c r="X170" s="18"/>
      <c r="Y170" s="18"/>
      <c r="Z170" s="18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18"/>
      <c r="X171" s="18"/>
      <c r="Y171" s="18"/>
      <c r="Z171" s="18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18"/>
      <c r="X172" s="18"/>
      <c r="Y172" s="18"/>
      <c r="Z172" s="18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18"/>
      <c r="X173" s="18"/>
      <c r="Y173" s="18"/>
      <c r="Z173" s="18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18"/>
      <c r="X174" s="18"/>
      <c r="Y174" s="18"/>
      <c r="Z174" s="18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18"/>
      <c r="X175" s="18"/>
      <c r="Y175" s="18"/>
      <c r="Z175" s="18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18"/>
      <c r="X176" s="18"/>
      <c r="Y176" s="18"/>
      <c r="Z176" s="18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18"/>
      <c r="X177" s="18"/>
      <c r="Y177" s="18"/>
      <c r="Z177" s="18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18"/>
      <c r="X178" s="18"/>
      <c r="Y178" s="18"/>
      <c r="Z178" s="18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18"/>
      <c r="X179" s="18"/>
      <c r="Y179" s="18"/>
      <c r="Z179" s="18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18"/>
      <c r="X180" s="18"/>
      <c r="Y180" s="18"/>
      <c r="Z180" s="18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18"/>
      <c r="X181" s="18"/>
      <c r="Y181" s="18"/>
      <c r="Z181" s="18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18"/>
      <c r="X182" s="18"/>
      <c r="Y182" s="18"/>
      <c r="Z182" s="18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18"/>
      <c r="X183" s="18"/>
      <c r="Y183" s="18"/>
      <c r="Z183" s="18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18"/>
      <c r="X184" s="18"/>
      <c r="Y184" s="18"/>
      <c r="Z184" s="18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18"/>
      <c r="X185" s="18"/>
      <c r="Y185" s="18"/>
      <c r="Z185" s="18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18"/>
      <c r="X186" s="18"/>
      <c r="Y186" s="18"/>
      <c r="Z186" s="18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18"/>
      <c r="X187" s="18"/>
      <c r="Y187" s="18"/>
      <c r="Z187" s="18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18"/>
      <c r="X188" s="18"/>
      <c r="Y188" s="18"/>
      <c r="Z188" s="18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18"/>
      <c r="X189" s="18"/>
      <c r="Y189" s="18"/>
      <c r="Z189" s="18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18"/>
      <c r="X190" s="18"/>
      <c r="Y190" s="18"/>
      <c r="Z190" s="18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18"/>
      <c r="X191" s="18"/>
      <c r="Y191" s="18"/>
      <c r="Z191" s="18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18"/>
      <c r="X192" s="18"/>
      <c r="Y192" s="18"/>
      <c r="Z192" s="18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18"/>
      <c r="X193" s="18"/>
      <c r="Y193" s="18"/>
      <c r="Z193" s="18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18"/>
      <c r="X194" s="18"/>
      <c r="Y194" s="18"/>
      <c r="Z194" s="18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18"/>
      <c r="X195" s="18"/>
      <c r="Y195" s="18"/>
      <c r="Z195" s="18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18"/>
      <c r="X196" s="18"/>
      <c r="Y196" s="18"/>
      <c r="Z196" s="18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18"/>
      <c r="X197" s="18"/>
      <c r="Y197" s="18"/>
      <c r="Z197" s="18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18"/>
      <c r="X198" s="18"/>
      <c r="Y198" s="18"/>
      <c r="Z198" s="18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18"/>
      <c r="X199" s="18"/>
      <c r="Y199" s="18"/>
      <c r="Z199" s="18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18"/>
      <c r="X200" s="18"/>
      <c r="Y200" s="18"/>
      <c r="Z200" s="18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18"/>
      <c r="X201" s="18"/>
      <c r="Y201" s="18"/>
      <c r="Z201" s="18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18"/>
      <c r="X202" s="18"/>
      <c r="Y202" s="18"/>
      <c r="Z202" s="18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18"/>
      <c r="X203" s="18"/>
      <c r="Y203" s="18"/>
      <c r="Z203" s="18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18"/>
      <c r="X204" s="18"/>
      <c r="Y204" s="18"/>
      <c r="Z204" s="18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18"/>
      <c r="X205" s="18"/>
      <c r="Y205" s="18"/>
      <c r="Z205" s="18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18"/>
      <c r="X206" s="18"/>
      <c r="Y206" s="18"/>
      <c r="Z206" s="18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18"/>
      <c r="X207" s="18"/>
      <c r="Y207" s="18"/>
      <c r="Z207" s="18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18"/>
      <c r="X208" s="18"/>
      <c r="Y208" s="18"/>
      <c r="Z208" s="18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18"/>
      <c r="X209" s="18"/>
      <c r="Y209" s="18"/>
      <c r="Z209" s="18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18"/>
      <c r="X210" s="18"/>
      <c r="Y210" s="18"/>
      <c r="Z210" s="18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18"/>
      <c r="X211" s="18"/>
      <c r="Y211" s="18"/>
      <c r="Z211" s="18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18"/>
      <c r="X212" s="18"/>
      <c r="Y212" s="18"/>
      <c r="Z212" s="18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18"/>
      <c r="X213" s="18"/>
      <c r="Y213" s="18"/>
      <c r="Z213" s="18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18"/>
      <c r="X214" s="18"/>
      <c r="Y214" s="18"/>
      <c r="Z214" s="18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18"/>
      <c r="X215" s="18"/>
      <c r="Y215" s="18"/>
      <c r="Z215" s="18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18"/>
      <c r="X216" s="18"/>
      <c r="Y216" s="18"/>
      <c r="Z216" s="18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18"/>
      <c r="X217" s="18"/>
      <c r="Y217" s="18"/>
      <c r="Z217" s="18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18"/>
      <c r="X218" s="18"/>
      <c r="Y218" s="18"/>
      <c r="Z218" s="18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18"/>
      <c r="X219" s="18"/>
      <c r="Y219" s="18"/>
      <c r="Z219" s="18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18"/>
      <c r="X220" s="18"/>
      <c r="Y220" s="18"/>
      <c r="Z220" s="18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18"/>
      <c r="X221" s="18"/>
      <c r="Y221" s="18"/>
      <c r="Z221" s="18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18"/>
      <c r="X222" s="18"/>
      <c r="Y222" s="18"/>
      <c r="Z222" s="18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18"/>
      <c r="X223" s="18"/>
      <c r="Y223" s="18"/>
      <c r="Z223" s="18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18"/>
      <c r="X224" s="18"/>
      <c r="Y224" s="18"/>
      <c r="Z224" s="18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18"/>
      <c r="X225" s="18"/>
      <c r="Y225" s="18"/>
      <c r="Z225" s="18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18"/>
      <c r="X226" s="18"/>
      <c r="Y226" s="18"/>
      <c r="Z226" s="18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18"/>
      <c r="X227" s="18"/>
      <c r="Y227" s="18"/>
      <c r="Z227" s="18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18"/>
      <c r="X228" s="18"/>
      <c r="Y228" s="18"/>
      <c r="Z228" s="18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18"/>
      <c r="X229" s="18"/>
      <c r="Y229" s="18"/>
      <c r="Z229" s="18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18"/>
      <c r="X230" s="18"/>
      <c r="Y230" s="18"/>
      <c r="Z230" s="18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18"/>
      <c r="X231" s="18"/>
      <c r="Y231" s="18"/>
      <c r="Z231" s="18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18"/>
      <c r="X232" s="18"/>
      <c r="Y232" s="18"/>
      <c r="Z232" s="18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18"/>
      <c r="X233" s="18"/>
      <c r="Y233" s="18"/>
      <c r="Z233" s="18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18"/>
      <c r="X234" s="18"/>
      <c r="Y234" s="18"/>
      <c r="Z234" s="18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18"/>
      <c r="X235" s="18"/>
      <c r="Y235" s="18"/>
      <c r="Z235" s="18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18"/>
      <c r="X236" s="18"/>
      <c r="Y236" s="18"/>
      <c r="Z236" s="18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18"/>
      <c r="X237" s="18"/>
      <c r="Y237" s="18"/>
      <c r="Z237" s="18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18"/>
      <c r="X238" s="18"/>
      <c r="Y238" s="18"/>
      <c r="Z238" s="18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18"/>
      <c r="X239" s="18"/>
      <c r="Y239" s="18"/>
      <c r="Z239" s="18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18"/>
      <c r="X240" s="18"/>
      <c r="Y240" s="18"/>
      <c r="Z240" s="18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18"/>
      <c r="X241" s="18"/>
      <c r="Y241" s="18"/>
      <c r="Z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3">
    <mergeCell ref="B1:H1"/>
    <mergeCell ref="I1:O1"/>
    <mergeCell ref="P1:S1"/>
  </mergeCells>
  <conditionalFormatting sqref="B1:H1000 I30:S30">
    <cfRule type="beginsWith" dxfId="0" priority="1" operator="beginsWith" text="-">
      <formula>LEFT((B1),LEN("-"))=("-")</formula>
    </cfRule>
  </conditionalFormatting>
  <conditionalFormatting sqref="T3:V41">
    <cfRule type="cellIs" dxfId="1" priority="2" operator="greaterThan">
      <formula>10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23.88"/>
    <col customWidth="1" min="2" max="2" width="24.0"/>
    <col customWidth="1" min="3" max="3" width="12.63"/>
    <col customWidth="1" min="4" max="4" width="13.63"/>
    <col customWidth="1" min="5" max="6" width="12.63"/>
    <col customWidth="1" min="10" max="10" width="17.5"/>
    <col customWidth="1" min="11" max="11" width="18.63"/>
    <col customWidth="1" min="14" max="14" width="16.13"/>
    <col customWidth="1" min="15" max="15" width="23.63"/>
    <col customWidth="1" min="16" max="16" width="16.38"/>
    <col customWidth="1" min="17" max="17" width="19.0"/>
    <col customWidth="1" min="18" max="18" width="19.38"/>
    <col customWidth="1" min="19" max="19" width="19.13"/>
    <col customWidth="1" min="20" max="22" width="21.0"/>
    <col customWidth="1" min="23" max="23" width="19.13"/>
    <col customWidth="1" min="25" max="25" width="34.63"/>
  </cols>
  <sheetData>
    <row r="1" ht="15.75" customHeight="1">
      <c r="A1" s="1" t="s">
        <v>162</v>
      </c>
      <c r="B1" s="1" t="s">
        <v>0</v>
      </c>
      <c r="C1" s="44" t="s">
        <v>163</v>
      </c>
      <c r="D1" s="44" t="s">
        <v>164</v>
      </c>
      <c r="E1" s="44" t="s">
        <v>165</v>
      </c>
      <c r="F1" s="45" t="s">
        <v>166</v>
      </c>
      <c r="G1" s="44" t="s">
        <v>167</v>
      </c>
      <c r="H1" s="46" t="s">
        <v>168</v>
      </c>
      <c r="I1" s="46" t="s">
        <v>169</v>
      </c>
      <c r="J1" s="44" t="s">
        <v>170</v>
      </c>
      <c r="K1" s="44" t="s">
        <v>171</v>
      </c>
      <c r="L1" s="44" t="s">
        <v>172</v>
      </c>
      <c r="M1" s="47" t="s">
        <v>173</v>
      </c>
      <c r="N1" s="44" t="s">
        <v>174</v>
      </c>
      <c r="O1" s="48" t="s">
        <v>175</v>
      </c>
      <c r="P1" s="48" t="s">
        <v>176</v>
      </c>
      <c r="Q1" s="1" t="s">
        <v>177</v>
      </c>
      <c r="R1" s="1" t="s">
        <v>178</v>
      </c>
      <c r="S1" s="1" t="s">
        <v>179</v>
      </c>
      <c r="T1" s="1" t="s">
        <v>180</v>
      </c>
      <c r="U1" s="1" t="s">
        <v>181</v>
      </c>
      <c r="V1" s="1" t="s">
        <v>182</v>
      </c>
      <c r="W1" s="1" t="s">
        <v>183</v>
      </c>
      <c r="X1" s="1" t="s">
        <v>184</v>
      </c>
      <c r="Y1" s="44" t="s">
        <v>185</v>
      </c>
      <c r="Z1" s="1" t="s">
        <v>186</v>
      </c>
      <c r="AA1" s="7"/>
      <c r="AB1" s="7"/>
      <c r="AC1" s="7"/>
      <c r="AD1" s="7"/>
      <c r="AE1" s="7"/>
      <c r="AF1" s="7"/>
      <c r="AG1" s="7"/>
      <c r="AH1" s="7"/>
    </row>
    <row r="2" ht="15.75" customHeight="1">
      <c r="A2" s="49" t="s">
        <v>101</v>
      </c>
      <c r="B2" s="50" t="s">
        <v>99</v>
      </c>
      <c r="C2" s="51">
        <v>45005.0</v>
      </c>
      <c r="D2" s="51">
        <v>45009.0</v>
      </c>
      <c r="E2" s="52">
        <f>SUM(30,830)</f>
        <v>860</v>
      </c>
      <c r="F2" s="53">
        <v>0.5434</v>
      </c>
      <c r="G2" s="54">
        <f t="shared" ref="G2:G10" si="1">F2*83.333</f>
        <v>45.2831522</v>
      </c>
      <c r="H2" s="55">
        <v>10.809</v>
      </c>
      <c r="I2" s="55">
        <v>18.2119</v>
      </c>
      <c r="J2" s="56">
        <f t="shared" ref="J2:J10" si="2">(I2-H2)/$B$22</f>
        <v>9.34709596</v>
      </c>
      <c r="K2" s="54">
        <v>11.0</v>
      </c>
      <c r="L2" s="54">
        <f t="shared" ref="L2:L10" si="3">E2*G2/J2*$B$21</f>
        <v>833.2750848</v>
      </c>
      <c r="M2" s="57">
        <f t="shared" ref="M2:M10" si="4">L2/1000</f>
        <v>0.8332750848</v>
      </c>
      <c r="N2" s="57">
        <f t="shared" ref="N2:N10" si="5">M2*12</f>
        <v>9.999301018</v>
      </c>
      <c r="O2" s="52">
        <v>0.2</v>
      </c>
      <c r="P2" s="58">
        <f t="shared" ref="P2:P10" si="6">O2/1000/12*1000*1000/L2*1000</f>
        <v>20.00139806</v>
      </c>
      <c r="Q2" s="52">
        <v>2.5</v>
      </c>
      <c r="R2" s="52">
        <v>2.5</v>
      </c>
      <c r="S2" s="52">
        <v>2.5</v>
      </c>
      <c r="T2" s="52">
        <v>1.65</v>
      </c>
      <c r="U2" s="59"/>
      <c r="V2" s="59">
        <f t="shared" ref="V2:V9" si="7">SUM(Q2:T2)</f>
        <v>9.15</v>
      </c>
      <c r="W2" s="60">
        <f t="shared" ref="W2:W10" si="8">N2*V2/1000</f>
        <v>0.09149360431</v>
      </c>
      <c r="X2" s="52">
        <v>100.0</v>
      </c>
      <c r="Y2" s="61">
        <f t="shared" ref="Y2:Y10" si="9">L2*V2/X2</f>
        <v>76.24467026</v>
      </c>
      <c r="Z2" s="1" t="s">
        <v>187</v>
      </c>
      <c r="AA2" s="7"/>
      <c r="AB2" s="7"/>
      <c r="AC2" s="7"/>
      <c r="AD2" s="7"/>
      <c r="AE2" s="7"/>
      <c r="AF2" s="7"/>
      <c r="AG2" s="7"/>
      <c r="AH2" s="7"/>
    </row>
    <row r="3" ht="15.75" customHeight="1">
      <c r="A3" s="49" t="s">
        <v>92</v>
      </c>
      <c r="B3" s="50" t="s">
        <v>90</v>
      </c>
      <c r="C3" s="51">
        <v>45012.0</v>
      </c>
      <c r="D3" s="51">
        <v>45016.0</v>
      </c>
      <c r="E3" s="52">
        <v>940.0</v>
      </c>
      <c r="F3" s="53">
        <v>0.5446</v>
      </c>
      <c r="G3" s="54">
        <f t="shared" si="1"/>
        <v>45.3831518</v>
      </c>
      <c r="H3" s="55">
        <v>10.7031</v>
      </c>
      <c r="I3" s="55">
        <v>18.079</v>
      </c>
      <c r="J3" s="56">
        <f t="shared" si="2"/>
        <v>9.313005051</v>
      </c>
      <c r="K3" s="54">
        <v>11.0</v>
      </c>
      <c r="L3" s="54">
        <f t="shared" si="3"/>
        <v>916.1417278</v>
      </c>
      <c r="M3" s="57">
        <f t="shared" si="4"/>
        <v>0.9161417278</v>
      </c>
      <c r="N3" s="57">
        <f t="shared" si="5"/>
        <v>10.99370073</v>
      </c>
      <c r="O3" s="52">
        <v>0.2</v>
      </c>
      <c r="P3" s="58">
        <f t="shared" si="6"/>
        <v>18.19223616</v>
      </c>
      <c r="Q3" s="52">
        <v>2.5</v>
      </c>
      <c r="R3" s="52">
        <v>2.5</v>
      </c>
      <c r="S3" s="52">
        <v>2.0</v>
      </c>
      <c r="T3" s="52">
        <v>2.25</v>
      </c>
      <c r="U3" s="59"/>
      <c r="V3" s="59">
        <f t="shared" si="7"/>
        <v>9.25</v>
      </c>
      <c r="W3" s="60">
        <f t="shared" si="8"/>
        <v>0.1016917318</v>
      </c>
      <c r="X3" s="52">
        <v>100.0</v>
      </c>
      <c r="Y3" s="61">
        <f t="shared" si="9"/>
        <v>84.74310983</v>
      </c>
      <c r="Z3" s="7"/>
      <c r="AA3" s="7"/>
      <c r="AB3" s="7"/>
      <c r="AC3" s="7"/>
      <c r="AD3" s="7"/>
      <c r="AE3" s="7"/>
      <c r="AF3" s="7"/>
      <c r="AG3" s="7"/>
      <c r="AH3" s="7"/>
    </row>
    <row r="4" ht="15.75" customHeight="1">
      <c r="A4" s="49" t="s">
        <v>84</v>
      </c>
      <c r="B4" s="50" t="s">
        <v>86</v>
      </c>
      <c r="C4" s="51">
        <v>45012.0</v>
      </c>
      <c r="D4" s="51">
        <v>45016.0</v>
      </c>
      <c r="E4" s="52">
        <v>820.0</v>
      </c>
      <c r="F4" s="53">
        <v>0.1869</v>
      </c>
      <c r="G4" s="54">
        <f t="shared" si="1"/>
        <v>15.5749377</v>
      </c>
      <c r="H4" s="55">
        <v>10.7285</v>
      </c>
      <c r="I4" s="55">
        <v>18.0067</v>
      </c>
      <c r="J4" s="56">
        <f t="shared" si="2"/>
        <v>9.189646465</v>
      </c>
      <c r="K4" s="54">
        <v>11.0</v>
      </c>
      <c r="L4" s="54">
        <f t="shared" si="3"/>
        <v>277.9529977</v>
      </c>
      <c r="M4" s="57">
        <f t="shared" si="4"/>
        <v>0.2779529977</v>
      </c>
      <c r="N4" s="57">
        <f t="shared" si="5"/>
        <v>3.335435973</v>
      </c>
      <c r="O4" s="52">
        <v>0.2</v>
      </c>
      <c r="P4" s="58">
        <f t="shared" si="6"/>
        <v>59.96217635</v>
      </c>
      <c r="Q4" s="52">
        <v>2.5</v>
      </c>
      <c r="R4" s="52">
        <v>2.5</v>
      </c>
      <c r="S4" s="52">
        <v>2.0</v>
      </c>
      <c r="T4" s="52">
        <v>2.125</v>
      </c>
      <c r="U4" s="59"/>
      <c r="V4" s="59">
        <f t="shared" si="7"/>
        <v>9.125</v>
      </c>
      <c r="W4" s="60">
        <f t="shared" si="8"/>
        <v>0.03043585325</v>
      </c>
      <c r="X4" s="52">
        <v>100.0</v>
      </c>
      <c r="Y4" s="61">
        <f t="shared" si="9"/>
        <v>25.36321104</v>
      </c>
      <c r="Z4" s="7"/>
      <c r="AA4" s="7"/>
      <c r="AB4" s="7"/>
      <c r="AC4" s="7"/>
      <c r="AD4" s="7"/>
      <c r="AE4" s="7"/>
      <c r="AF4" s="7"/>
      <c r="AG4" s="7"/>
      <c r="AH4" s="7"/>
    </row>
    <row r="5" ht="15.75" customHeight="1">
      <c r="A5" s="49" t="s">
        <v>101</v>
      </c>
      <c r="B5" s="50" t="s">
        <v>104</v>
      </c>
      <c r="C5" s="51">
        <v>45012.0</v>
      </c>
      <c r="D5" s="51">
        <v>45016.0</v>
      </c>
      <c r="E5" s="52">
        <v>845.0</v>
      </c>
      <c r="F5" s="62" t="s">
        <v>188</v>
      </c>
      <c r="G5" s="54">
        <f t="shared" si="1"/>
        <v>7.49997</v>
      </c>
      <c r="H5" s="55">
        <v>10.7166</v>
      </c>
      <c r="I5" s="55">
        <v>18.148</v>
      </c>
      <c r="J5" s="56">
        <f t="shared" si="2"/>
        <v>9.383080808</v>
      </c>
      <c r="K5" s="54">
        <v>11.0</v>
      </c>
      <c r="L5" s="54">
        <f t="shared" si="3"/>
        <v>135.083024</v>
      </c>
      <c r="M5" s="57">
        <f t="shared" si="4"/>
        <v>0.135083024</v>
      </c>
      <c r="N5" s="57">
        <f t="shared" si="5"/>
        <v>1.620996288</v>
      </c>
      <c r="O5" s="52">
        <v>0.2</v>
      </c>
      <c r="P5" s="58">
        <f t="shared" si="6"/>
        <v>123.3809118</v>
      </c>
      <c r="Q5" s="52">
        <v>2.5</v>
      </c>
      <c r="R5" s="52">
        <v>2.5</v>
      </c>
      <c r="S5" s="52">
        <v>2.0</v>
      </c>
      <c r="T5" s="52">
        <v>2.325</v>
      </c>
      <c r="U5" s="59"/>
      <c r="V5" s="59">
        <f t="shared" si="7"/>
        <v>9.325</v>
      </c>
      <c r="W5" s="60">
        <f t="shared" si="8"/>
        <v>0.01511579039</v>
      </c>
      <c r="X5" s="52">
        <v>100.0</v>
      </c>
      <c r="Y5" s="61">
        <f t="shared" si="9"/>
        <v>12.59649199</v>
      </c>
      <c r="Z5" s="7"/>
      <c r="AA5" s="7"/>
      <c r="AB5" s="7"/>
      <c r="AC5" s="7"/>
      <c r="AD5" s="7"/>
      <c r="AE5" s="7"/>
      <c r="AF5" s="7"/>
      <c r="AG5" s="7"/>
      <c r="AH5" s="7"/>
    </row>
    <row r="6" ht="15.75" customHeight="1">
      <c r="A6" s="49" t="s">
        <v>97</v>
      </c>
      <c r="B6" s="50" t="s">
        <v>95</v>
      </c>
      <c r="C6" s="51">
        <v>45019.0</v>
      </c>
      <c r="D6" s="51">
        <v>45023.0</v>
      </c>
      <c r="E6" s="52">
        <f>SUM(24.5,510,210)</f>
        <v>744.5</v>
      </c>
      <c r="F6" s="62" t="s">
        <v>189</v>
      </c>
      <c r="G6" s="54">
        <f t="shared" si="1"/>
        <v>24.16657</v>
      </c>
      <c r="H6" s="55">
        <v>10.715</v>
      </c>
      <c r="I6" s="55">
        <v>18.103</v>
      </c>
      <c r="J6" s="56">
        <f t="shared" si="2"/>
        <v>9.328282828</v>
      </c>
      <c r="K6" s="54">
        <v>11.0</v>
      </c>
      <c r="L6" s="54">
        <f t="shared" si="3"/>
        <v>385.7518409</v>
      </c>
      <c r="M6" s="57">
        <f t="shared" si="4"/>
        <v>0.3857518409</v>
      </c>
      <c r="N6" s="57">
        <f t="shared" si="5"/>
        <v>4.62902209</v>
      </c>
      <c r="O6" s="52">
        <v>0.2</v>
      </c>
      <c r="P6" s="58">
        <f t="shared" si="6"/>
        <v>43.20566982</v>
      </c>
      <c r="Q6" s="52">
        <v>2.5</v>
      </c>
      <c r="R6" s="52">
        <v>2.5</v>
      </c>
      <c r="S6" s="52">
        <v>2.0</v>
      </c>
      <c r="T6" s="52">
        <v>2.25</v>
      </c>
      <c r="U6" s="59"/>
      <c r="V6" s="59">
        <f t="shared" si="7"/>
        <v>9.25</v>
      </c>
      <c r="W6" s="60">
        <f t="shared" si="8"/>
        <v>0.04281845433</v>
      </c>
      <c r="X6" s="52">
        <v>100.0</v>
      </c>
      <c r="Y6" s="61">
        <f t="shared" si="9"/>
        <v>35.68204528</v>
      </c>
      <c r="Z6" s="7"/>
      <c r="AA6" s="7"/>
      <c r="AB6" s="7"/>
      <c r="AC6" s="7"/>
      <c r="AD6" s="7"/>
      <c r="AE6" s="7"/>
      <c r="AF6" s="7"/>
      <c r="AG6" s="7"/>
      <c r="AH6" s="7"/>
    </row>
    <row r="7" ht="15.75" customHeight="1">
      <c r="A7" s="49" t="s">
        <v>123</v>
      </c>
      <c r="B7" s="49" t="s">
        <v>121</v>
      </c>
      <c r="C7" s="51">
        <v>45019.0</v>
      </c>
      <c r="D7" s="51">
        <v>45023.0</v>
      </c>
      <c r="E7" s="52">
        <f>SUM(23.5,720)</f>
        <v>743.5</v>
      </c>
      <c r="F7" s="53">
        <v>0.2754</v>
      </c>
      <c r="G7" s="54">
        <f t="shared" si="1"/>
        <v>22.9499082</v>
      </c>
      <c r="H7" s="55">
        <v>10.7099</v>
      </c>
      <c r="I7" s="55">
        <v>17.9187</v>
      </c>
      <c r="J7" s="56">
        <f t="shared" si="2"/>
        <v>9.102020202</v>
      </c>
      <c r="K7" s="54">
        <v>11.0</v>
      </c>
      <c r="L7" s="54">
        <f t="shared" si="3"/>
        <v>374.9333965</v>
      </c>
      <c r="M7" s="57">
        <f t="shared" si="4"/>
        <v>0.3749333965</v>
      </c>
      <c r="N7" s="57">
        <f t="shared" si="5"/>
        <v>4.499200758</v>
      </c>
      <c r="O7" s="52">
        <v>0.2</v>
      </c>
      <c r="P7" s="58">
        <f t="shared" si="6"/>
        <v>44.4523396</v>
      </c>
      <c r="Q7" s="52">
        <v>2.5</v>
      </c>
      <c r="R7" s="52">
        <v>2.5</v>
      </c>
      <c r="S7" s="52">
        <v>2.0</v>
      </c>
      <c r="T7" s="52">
        <v>2.15</v>
      </c>
      <c r="U7" s="59"/>
      <c r="V7" s="59">
        <f t="shared" si="7"/>
        <v>9.15</v>
      </c>
      <c r="W7" s="60">
        <f t="shared" si="8"/>
        <v>0.04116768694</v>
      </c>
      <c r="X7" s="52">
        <v>100.0</v>
      </c>
      <c r="Y7" s="61">
        <f t="shared" si="9"/>
        <v>34.30640578</v>
      </c>
      <c r="Z7" s="7"/>
      <c r="AA7" s="7"/>
      <c r="AB7" s="7"/>
      <c r="AC7" s="7"/>
      <c r="AD7" s="7"/>
      <c r="AE7" s="7"/>
      <c r="AF7" s="7"/>
      <c r="AG7" s="7"/>
      <c r="AH7" s="7"/>
    </row>
    <row r="8" ht="15.75" customHeight="1">
      <c r="A8" s="49" t="s">
        <v>129</v>
      </c>
      <c r="B8" s="49" t="s">
        <v>127</v>
      </c>
      <c r="C8" s="51">
        <v>45019.0</v>
      </c>
      <c r="D8" s="51">
        <v>45023.0</v>
      </c>
      <c r="E8" s="52">
        <f>SUM(20.5,790)</f>
        <v>810.5</v>
      </c>
      <c r="F8" s="53">
        <v>0.2549</v>
      </c>
      <c r="G8" s="54">
        <f t="shared" si="1"/>
        <v>21.2415817</v>
      </c>
      <c r="H8" s="55">
        <v>10.7086</v>
      </c>
      <c r="I8" s="55">
        <v>18.1503</v>
      </c>
      <c r="J8" s="56">
        <f t="shared" si="2"/>
        <v>9.396085859</v>
      </c>
      <c r="K8" s="54">
        <v>11.0</v>
      </c>
      <c r="L8" s="54">
        <f t="shared" si="3"/>
        <v>366.4568891</v>
      </c>
      <c r="M8" s="57">
        <f t="shared" si="4"/>
        <v>0.3664568891</v>
      </c>
      <c r="N8" s="57">
        <f t="shared" si="5"/>
        <v>4.397482669</v>
      </c>
      <c r="O8" s="52">
        <v>0.2</v>
      </c>
      <c r="P8" s="58">
        <f t="shared" si="6"/>
        <v>45.48056582</v>
      </c>
      <c r="Q8" s="52">
        <v>2.5</v>
      </c>
      <c r="R8" s="52">
        <v>2.5</v>
      </c>
      <c r="S8" s="52">
        <v>2.0</v>
      </c>
      <c r="T8" s="52">
        <v>2.45</v>
      </c>
      <c r="U8" s="59"/>
      <c r="V8" s="59">
        <f t="shared" si="7"/>
        <v>9.45</v>
      </c>
      <c r="W8" s="60">
        <f t="shared" si="8"/>
        <v>0.04155621123</v>
      </c>
      <c r="X8" s="52">
        <v>100.0</v>
      </c>
      <c r="Y8" s="61">
        <f t="shared" si="9"/>
        <v>34.63017602</v>
      </c>
      <c r="Z8" s="7"/>
      <c r="AA8" s="7"/>
      <c r="AB8" s="7"/>
      <c r="AC8" s="7"/>
      <c r="AD8" s="7"/>
      <c r="AE8" s="7"/>
      <c r="AF8" s="7"/>
      <c r="AG8" s="7"/>
      <c r="AH8" s="7"/>
    </row>
    <row r="9" ht="15.75" customHeight="1">
      <c r="A9" s="49" t="s">
        <v>123</v>
      </c>
      <c r="B9" s="49" t="s">
        <v>137</v>
      </c>
      <c r="C9" s="51">
        <v>45019.0</v>
      </c>
      <c r="D9" s="51">
        <v>45023.0</v>
      </c>
      <c r="E9" s="52">
        <f>SUM(23.5,760)</f>
        <v>783.5</v>
      </c>
      <c r="F9" s="53">
        <v>0.27</v>
      </c>
      <c r="G9" s="54">
        <f t="shared" si="1"/>
        <v>22.49991</v>
      </c>
      <c r="H9" s="55">
        <v>10.7451</v>
      </c>
      <c r="I9" s="55">
        <v>18.1483</v>
      </c>
      <c r="J9" s="56">
        <f t="shared" si="2"/>
        <v>9.347474747</v>
      </c>
      <c r="K9" s="54">
        <v>11.0</v>
      </c>
      <c r="L9" s="54">
        <f t="shared" si="3"/>
        <v>377.1859237</v>
      </c>
      <c r="M9" s="57">
        <f t="shared" si="4"/>
        <v>0.3771859237</v>
      </c>
      <c r="N9" s="57">
        <f t="shared" si="5"/>
        <v>4.526231085</v>
      </c>
      <c r="O9" s="52">
        <v>0.2</v>
      </c>
      <c r="P9" s="58">
        <f t="shared" si="6"/>
        <v>44.18687342</v>
      </c>
      <c r="Q9" s="52">
        <v>2.5</v>
      </c>
      <c r="R9" s="52">
        <v>2.5</v>
      </c>
      <c r="S9" s="52">
        <v>2.5</v>
      </c>
      <c r="T9" s="52">
        <v>1.85</v>
      </c>
      <c r="U9" s="59"/>
      <c r="V9" s="59">
        <f t="shared" si="7"/>
        <v>9.35</v>
      </c>
      <c r="W9" s="60">
        <f t="shared" si="8"/>
        <v>0.04232026064</v>
      </c>
      <c r="X9" s="52">
        <v>100.0</v>
      </c>
      <c r="Y9" s="61">
        <f t="shared" si="9"/>
        <v>35.26688387</v>
      </c>
      <c r="Z9" s="7"/>
      <c r="AA9" s="7"/>
      <c r="AB9" s="7"/>
      <c r="AC9" s="7"/>
      <c r="AD9" s="7"/>
      <c r="AE9" s="7"/>
      <c r="AF9" s="7"/>
      <c r="AG9" s="7"/>
      <c r="AH9" s="7"/>
    </row>
    <row r="10" ht="15.75" customHeight="1">
      <c r="A10" s="49" t="s">
        <v>123</v>
      </c>
      <c r="B10" s="49" t="s">
        <v>190</v>
      </c>
      <c r="C10" s="51">
        <v>44900.0</v>
      </c>
      <c r="D10" s="51">
        <v>44904.0</v>
      </c>
      <c r="E10" s="52">
        <v>920.0</v>
      </c>
      <c r="F10" s="53">
        <v>0.5391</v>
      </c>
      <c r="G10" s="54">
        <f t="shared" si="1"/>
        <v>44.9248203</v>
      </c>
      <c r="H10" s="52">
        <v>10.8532</v>
      </c>
      <c r="I10" s="52">
        <v>18.1821</v>
      </c>
      <c r="J10" s="56">
        <f t="shared" si="2"/>
        <v>9.253661616</v>
      </c>
      <c r="K10" s="54">
        <v>11.0</v>
      </c>
      <c r="L10" s="54">
        <f t="shared" si="3"/>
        <v>893.286061</v>
      </c>
      <c r="M10" s="57">
        <f t="shared" si="4"/>
        <v>0.893286061</v>
      </c>
      <c r="N10" s="57">
        <f t="shared" si="5"/>
        <v>10.71943273</v>
      </c>
      <c r="O10" s="52">
        <v>0.25</v>
      </c>
      <c r="P10" s="58">
        <f t="shared" si="6"/>
        <v>23.32212965</v>
      </c>
      <c r="Q10" s="52">
        <v>2.0</v>
      </c>
      <c r="R10" s="52">
        <v>2.0</v>
      </c>
      <c r="S10" s="52">
        <v>2.0</v>
      </c>
      <c r="T10" s="52">
        <v>2.0</v>
      </c>
      <c r="U10" s="59">
        <v>1.05</v>
      </c>
      <c r="V10" s="63">
        <f>SUM(Q10:U10)</f>
        <v>9.05</v>
      </c>
      <c r="W10" s="59">
        <f t="shared" si="8"/>
        <v>0.09701086623</v>
      </c>
      <c r="X10" s="55">
        <v>100.0</v>
      </c>
      <c r="Y10" s="64">
        <f t="shared" si="9"/>
        <v>80.84238852</v>
      </c>
      <c r="Z10" s="10"/>
      <c r="AA10" s="7"/>
      <c r="AB10" s="7"/>
      <c r="AC10" s="7"/>
      <c r="AD10" s="7"/>
      <c r="AE10" s="7"/>
      <c r="AF10" s="7"/>
      <c r="AG10" s="7"/>
      <c r="AH10" s="7"/>
    </row>
    <row r="11" ht="15.7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ht="15.7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ht="15.75" customHeight="1">
      <c r="A13" s="65" t="s">
        <v>0</v>
      </c>
      <c r="B13" s="66" t="s">
        <v>191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ht="15.75" customHeight="1">
      <c r="A14" s="67" t="s">
        <v>192</v>
      </c>
      <c r="B14" s="66" t="s">
        <v>193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ht="15.75" customHeight="1">
      <c r="A15" s="44" t="s">
        <v>194</v>
      </c>
      <c r="B15" s="66" t="s">
        <v>195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ht="15.75" customHeight="1">
      <c r="A16" s="67" t="s">
        <v>196</v>
      </c>
      <c r="B16" s="66" t="s">
        <v>197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ht="15.75" customHeight="1">
      <c r="A17" s="46" t="s">
        <v>172</v>
      </c>
      <c r="B17" s="66" t="s">
        <v>198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ht="15.75" customHeight="1">
      <c r="A18" s="67" t="s">
        <v>199</v>
      </c>
      <c r="B18" s="66" t="s">
        <v>200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ht="15.75" customHeight="1">
      <c r="A19" s="67" t="s">
        <v>201</v>
      </c>
      <c r="B19" s="66" t="s">
        <v>202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ht="15.75" customHeight="1">
      <c r="A20" s="46" t="s">
        <v>203</v>
      </c>
      <c r="B20" s="66" t="s">
        <v>204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ht="15.75" customHeight="1">
      <c r="A21" s="1" t="s">
        <v>205</v>
      </c>
      <c r="B21" s="68">
        <v>0.2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ht="15.75" customHeight="1">
      <c r="A22" s="69" t="s">
        <v>206</v>
      </c>
      <c r="B22" s="70">
        <v>0.792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ht="15.75" customHeight="1">
      <c r="A23" s="44" t="s">
        <v>185</v>
      </c>
      <c r="B23" s="66" t="s">
        <v>207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ht="15.75" customHeight="1">
      <c r="A24" s="55"/>
      <c r="B24" s="71" t="s">
        <v>208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ht="15.75" customHeight="1">
      <c r="A25" s="49"/>
      <c r="B25" s="72" t="s">
        <v>209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ht="15.7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ht="15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ht="15.7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ht="15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7.63"/>
    <col customWidth="1" min="3" max="3" width="16.0"/>
    <col customWidth="1" min="4" max="4" width="12.63"/>
    <col customWidth="1" min="5" max="5" width="15.13"/>
    <col customWidth="1" min="6" max="7" width="15.63"/>
    <col customWidth="1" min="8" max="9" width="16.13"/>
  </cols>
  <sheetData>
    <row r="1" ht="15.75" customHeight="1">
      <c r="A1" s="7"/>
      <c r="B1" s="73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ht="15.75" customHeight="1">
      <c r="A2" s="74"/>
      <c r="B2" s="7"/>
      <c r="C2" s="24" t="s">
        <v>210</v>
      </c>
      <c r="D2" s="75"/>
      <c r="E2" s="75"/>
      <c r="F2" s="75"/>
      <c r="G2" s="75"/>
      <c r="H2" s="76"/>
      <c r="I2" s="24" t="s">
        <v>211</v>
      </c>
      <c r="J2" s="75"/>
      <c r="K2" s="75"/>
      <c r="L2" s="75"/>
      <c r="M2" s="75"/>
      <c r="N2" s="76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 ht="15.75" customHeight="1">
      <c r="A3" s="74" t="s">
        <v>212</v>
      </c>
      <c r="B3" s="1" t="s">
        <v>213</v>
      </c>
      <c r="C3" s="77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78" t="s">
        <v>219</v>
      </c>
      <c r="I3" s="77" t="s">
        <v>220</v>
      </c>
      <c r="J3" s="1" t="s">
        <v>221</v>
      </c>
      <c r="K3" s="1" t="s">
        <v>222</v>
      </c>
      <c r="L3" s="1" t="s">
        <v>223</v>
      </c>
      <c r="M3" s="1" t="s">
        <v>224</v>
      </c>
      <c r="N3" s="78" t="s">
        <v>225</v>
      </c>
      <c r="O3" s="48"/>
      <c r="P3" s="48" t="s">
        <v>213</v>
      </c>
      <c r="Q3" s="7" t="s">
        <v>226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15.75" customHeight="1">
      <c r="A4" s="74"/>
      <c r="B4" s="10">
        <v>5000.0</v>
      </c>
      <c r="C4" s="79">
        <v>4809.8</v>
      </c>
      <c r="D4" s="80">
        <v>5182.9</v>
      </c>
      <c r="E4" s="80">
        <v>5324591.0</v>
      </c>
      <c r="F4" s="80">
        <v>393654.23</v>
      </c>
      <c r="G4" s="80">
        <v>1.310223465E7</v>
      </c>
      <c r="H4" s="81"/>
      <c r="I4" s="79">
        <v>1.579</v>
      </c>
      <c r="J4" s="80">
        <v>3.005</v>
      </c>
      <c r="K4" s="80">
        <v>0.813</v>
      </c>
      <c r="L4" s="80">
        <v>2.329</v>
      </c>
      <c r="M4" s="80">
        <v>1.571</v>
      </c>
      <c r="N4" s="81">
        <v>2.748</v>
      </c>
      <c r="O4" s="48"/>
      <c r="P4" s="48" t="s">
        <v>227</v>
      </c>
      <c r="Q4" s="7" t="s">
        <v>228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15.75" customHeight="1">
      <c r="A5" s="74"/>
      <c r="B5" s="10">
        <v>5000.0</v>
      </c>
      <c r="C5" s="79">
        <v>4762.1</v>
      </c>
      <c r="D5" s="80">
        <v>5153.1</v>
      </c>
      <c r="E5" s="80">
        <v>4961050.13</v>
      </c>
      <c r="F5" s="82">
        <v>344798.05</v>
      </c>
      <c r="G5" s="80"/>
      <c r="H5" s="83"/>
      <c r="I5" s="79">
        <v>1.553</v>
      </c>
      <c r="J5" s="80">
        <v>2.926</v>
      </c>
      <c r="K5" s="80">
        <v>0.81</v>
      </c>
      <c r="L5" s="82">
        <v>2.33</v>
      </c>
      <c r="M5" s="80">
        <v>1.56</v>
      </c>
      <c r="N5" s="83">
        <v>2.74</v>
      </c>
      <c r="O5" s="44"/>
      <c r="P5" s="44" t="s">
        <v>229</v>
      </c>
      <c r="Q5" s="7" t="s">
        <v>230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</row>
    <row r="6" ht="15.75" customHeight="1">
      <c r="A6" s="74"/>
      <c r="B6" s="10">
        <v>2000.0</v>
      </c>
      <c r="C6" s="79">
        <v>1254.4</v>
      </c>
      <c r="D6" s="80">
        <v>1696.7</v>
      </c>
      <c r="E6" s="80">
        <v>2087951.65</v>
      </c>
      <c r="F6" s="82">
        <v>173860.55</v>
      </c>
      <c r="G6" s="80">
        <v>5417828.5</v>
      </c>
      <c r="H6" s="83">
        <v>525618.19</v>
      </c>
      <c r="I6" s="79">
        <v>1.585</v>
      </c>
      <c r="J6" s="84">
        <v>3.053</v>
      </c>
      <c r="K6" s="80">
        <v>0.82</v>
      </c>
      <c r="L6" s="82">
        <v>2.34</v>
      </c>
      <c r="M6" s="80">
        <v>1.59</v>
      </c>
      <c r="N6" s="83">
        <v>2.76</v>
      </c>
      <c r="O6" s="48"/>
      <c r="P6" s="48" t="s">
        <v>231</v>
      </c>
      <c r="Q6" s="7" t="s">
        <v>232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</row>
    <row r="7" ht="15.75" customHeight="1">
      <c r="A7" s="74"/>
      <c r="B7" s="10">
        <v>2000.0</v>
      </c>
      <c r="C7" s="79">
        <v>1254.9</v>
      </c>
      <c r="D7" s="80">
        <v>1682.1</v>
      </c>
      <c r="E7" s="80">
        <v>1971609.03</v>
      </c>
      <c r="F7" s="80">
        <v>137652.72</v>
      </c>
      <c r="G7" s="80">
        <v>5079948.18</v>
      </c>
      <c r="H7" s="83">
        <v>518168.91</v>
      </c>
      <c r="I7" s="79">
        <v>1.565</v>
      </c>
      <c r="J7" s="80">
        <v>2.971</v>
      </c>
      <c r="K7" s="80">
        <v>0.83</v>
      </c>
      <c r="L7" s="80">
        <v>2.319</v>
      </c>
      <c r="M7" s="80">
        <v>1.584</v>
      </c>
      <c r="N7" s="83">
        <v>2.738</v>
      </c>
      <c r="O7" s="44"/>
      <c r="P7" s="44" t="s">
        <v>233</v>
      </c>
      <c r="Q7" s="7" t="s">
        <v>234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 ht="15.75" customHeight="1">
      <c r="A8" s="74"/>
      <c r="B8" s="10">
        <v>1000.0</v>
      </c>
      <c r="C8" s="79">
        <v>456.4</v>
      </c>
      <c r="D8" s="80">
        <v>704.7</v>
      </c>
      <c r="E8" s="80">
        <v>939319.12</v>
      </c>
      <c r="F8" s="80">
        <v>98850.04</v>
      </c>
      <c r="G8" s="80">
        <v>2563043.25</v>
      </c>
      <c r="H8" s="81">
        <v>187156.08</v>
      </c>
      <c r="I8" s="79">
        <v>1.591</v>
      </c>
      <c r="J8" s="80">
        <v>3.09</v>
      </c>
      <c r="K8" s="80">
        <v>0.83</v>
      </c>
      <c r="L8" s="80">
        <v>2.35</v>
      </c>
      <c r="M8" s="80">
        <v>1.62</v>
      </c>
      <c r="N8" s="81">
        <v>2.75</v>
      </c>
      <c r="O8" s="44"/>
      <c r="P8" s="85">
        <v>100.0</v>
      </c>
      <c r="Q8" s="7" t="s">
        <v>235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ht="15.75" customHeight="1">
      <c r="A9" s="74"/>
      <c r="B9" s="10">
        <v>1000.0</v>
      </c>
      <c r="C9" s="79">
        <v>468.9</v>
      </c>
      <c r="D9" s="80">
        <v>724.7</v>
      </c>
      <c r="E9" s="80">
        <v>875018.51</v>
      </c>
      <c r="F9" s="80">
        <v>78313.38</v>
      </c>
      <c r="G9" s="80">
        <v>2362040.77</v>
      </c>
      <c r="H9" s="83">
        <v>166130.27</v>
      </c>
      <c r="I9" s="79">
        <v>1.56</v>
      </c>
      <c r="J9" s="84">
        <v>2.986</v>
      </c>
      <c r="K9" s="80">
        <v>0.84</v>
      </c>
      <c r="L9" s="80">
        <v>2.32</v>
      </c>
      <c r="M9" s="80">
        <v>1.58</v>
      </c>
      <c r="N9" s="83">
        <v>2.74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ht="15.75" customHeight="1">
      <c r="A10" s="74"/>
      <c r="B10" s="10">
        <v>200.0</v>
      </c>
      <c r="C10" s="79">
        <v>103.4</v>
      </c>
      <c r="D10" s="80">
        <v>140.6</v>
      </c>
      <c r="E10" s="80">
        <v>178028.3</v>
      </c>
      <c r="F10" s="80">
        <v>12821.63</v>
      </c>
      <c r="G10" s="80">
        <v>542559.31</v>
      </c>
      <c r="H10" s="83">
        <v>36512.5</v>
      </c>
      <c r="I10" s="86">
        <v>1.595</v>
      </c>
      <c r="J10" s="80">
        <v>3.127</v>
      </c>
      <c r="K10" s="80">
        <v>0.853</v>
      </c>
      <c r="L10" s="80">
        <v>2.415</v>
      </c>
      <c r="M10" s="80">
        <v>1.691</v>
      </c>
      <c r="N10" s="83">
        <v>2.788</v>
      </c>
      <c r="O10" s="87"/>
      <c r="P10" s="18"/>
      <c r="Q10" s="18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ht="15.75" customHeight="1">
      <c r="A11" s="74"/>
      <c r="B11" s="10">
        <v>200.0</v>
      </c>
      <c r="C11" s="79">
        <v>104.1</v>
      </c>
      <c r="D11" s="80">
        <v>152.9</v>
      </c>
      <c r="E11" s="80">
        <v>179582.98</v>
      </c>
      <c r="F11" s="80">
        <v>19160.24</v>
      </c>
      <c r="G11" s="80">
        <v>456973.6</v>
      </c>
      <c r="H11" s="83">
        <v>38643.39</v>
      </c>
      <c r="I11" s="79">
        <v>1.574</v>
      </c>
      <c r="J11" s="80">
        <v>3.019</v>
      </c>
      <c r="K11" s="80">
        <v>0.834</v>
      </c>
      <c r="L11" s="80">
        <v>2.305</v>
      </c>
      <c r="M11" s="80">
        <v>1.604</v>
      </c>
      <c r="N11" s="83">
        <v>2.735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ht="15.75" customHeight="1">
      <c r="A12" s="74"/>
      <c r="B12" s="10">
        <v>100.0</v>
      </c>
      <c r="C12" s="79">
        <v>39.5</v>
      </c>
      <c r="D12" s="80">
        <v>52.9</v>
      </c>
      <c r="E12" s="80">
        <v>73070.72</v>
      </c>
      <c r="F12" s="80">
        <v>5234.58</v>
      </c>
      <c r="G12" s="80">
        <v>246024.57</v>
      </c>
      <c r="H12" s="81">
        <v>4981.4</v>
      </c>
      <c r="I12" s="79">
        <v>1.596</v>
      </c>
      <c r="J12" s="80">
        <v>3.158</v>
      </c>
      <c r="K12" s="80">
        <v>0.852</v>
      </c>
      <c r="L12" s="80">
        <v>2.482</v>
      </c>
      <c r="M12" s="80">
        <v>1.746</v>
      </c>
      <c r="N12" s="81">
        <v>2.81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ht="15.75" customHeight="1">
      <c r="A13" s="74"/>
      <c r="B13" s="10">
        <v>100.0</v>
      </c>
      <c r="C13" s="79">
        <v>37.6</v>
      </c>
      <c r="D13" s="80">
        <v>61.6</v>
      </c>
      <c r="E13" s="80">
        <v>62144.93</v>
      </c>
      <c r="F13" s="80">
        <v>8109.17</v>
      </c>
      <c r="G13" s="80">
        <v>200215.11</v>
      </c>
      <c r="H13" s="83">
        <v>10809.55</v>
      </c>
      <c r="I13" s="79">
        <v>1.566</v>
      </c>
      <c r="J13" s="80">
        <v>3.042</v>
      </c>
      <c r="K13" s="80">
        <v>0.848</v>
      </c>
      <c r="L13" s="80">
        <v>2.34</v>
      </c>
      <c r="M13" s="80">
        <v>1.61</v>
      </c>
      <c r="N13" s="83">
        <v>2.74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ht="15.75" customHeight="1">
      <c r="A14" s="74"/>
      <c r="B14" s="10">
        <v>12.5</v>
      </c>
      <c r="C14" s="79">
        <v>10.5</v>
      </c>
      <c r="D14" s="80">
        <v>34.7</v>
      </c>
      <c r="E14" s="80">
        <v>11936.35</v>
      </c>
      <c r="F14" s="80"/>
      <c r="G14" s="80">
        <v>44352.87</v>
      </c>
      <c r="H14" s="88">
        <v>7494.82</v>
      </c>
      <c r="I14" s="79">
        <v>1.576</v>
      </c>
      <c r="J14" s="89">
        <v>3.205</v>
      </c>
      <c r="K14" s="80">
        <v>0.884</v>
      </c>
      <c r="L14" s="80"/>
      <c r="M14" s="80">
        <v>1.857</v>
      </c>
      <c r="N14" s="83">
        <v>2.785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ht="15.75" customHeight="1">
      <c r="A15" s="74"/>
      <c r="B15" s="90">
        <v>12.5</v>
      </c>
      <c r="C15" s="91">
        <v>15.7</v>
      </c>
      <c r="D15" s="92">
        <v>10.1</v>
      </c>
      <c r="E15" s="92">
        <v>13271.12</v>
      </c>
      <c r="F15" s="93"/>
      <c r="G15" s="93">
        <v>31301.34</v>
      </c>
      <c r="H15" s="94">
        <v>5687.34</v>
      </c>
      <c r="I15" s="91">
        <v>1.544</v>
      </c>
      <c r="J15" s="95">
        <v>3.051</v>
      </c>
      <c r="K15" s="92">
        <v>0.896</v>
      </c>
      <c r="L15" s="93"/>
      <c r="M15" s="93">
        <v>1.59</v>
      </c>
      <c r="N15" s="96">
        <v>2.763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ht="15.75" customHeight="1">
      <c r="A17" s="7"/>
      <c r="B17" s="97"/>
      <c r="C17" s="98" t="s">
        <v>236</v>
      </c>
      <c r="D17" s="98" t="s">
        <v>237</v>
      </c>
      <c r="E17" s="98" t="s">
        <v>238</v>
      </c>
      <c r="F17" s="98" t="s">
        <v>239</v>
      </c>
      <c r="G17" s="98" t="s">
        <v>240</v>
      </c>
      <c r="H17" s="99" t="s">
        <v>241</v>
      </c>
      <c r="I17" s="18"/>
      <c r="J17" s="7"/>
      <c r="K17" s="10"/>
      <c r="L17" s="10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ht="15.75" customHeight="1">
      <c r="A18" s="7"/>
      <c r="B18" s="100" t="s">
        <v>242</v>
      </c>
      <c r="C18" s="92">
        <v>14.2</v>
      </c>
      <c r="D18" s="92">
        <v>13.6</v>
      </c>
      <c r="E18" s="92">
        <v>12.2</v>
      </c>
      <c r="F18" s="92">
        <v>11.6</v>
      </c>
      <c r="G18" s="92">
        <v>11.7</v>
      </c>
      <c r="H18" s="94">
        <v>11.6</v>
      </c>
      <c r="I18" s="101" t="s">
        <v>243</v>
      </c>
      <c r="J18" s="7"/>
      <c r="K18" s="7"/>
      <c r="L18" s="44"/>
      <c r="M18" s="7"/>
      <c r="N18" s="7"/>
      <c r="O18" s="7"/>
      <c r="P18" s="73"/>
      <c r="Q18" s="73"/>
      <c r="R18" s="73"/>
      <c r="S18" s="73"/>
      <c r="T18" s="73"/>
      <c r="U18" s="73"/>
      <c r="V18" s="73"/>
      <c r="W18" s="73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ht="15.7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10"/>
      <c r="L19" s="10"/>
      <c r="M19" s="4"/>
      <c r="N19" s="4"/>
      <c r="O19" s="4"/>
      <c r="P19" s="102" t="s">
        <v>244</v>
      </c>
      <c r="Q19" s="103" t="s">
        <v>245</v>
      </c>
      <c r="R19" s="103" t="s">
        <v>246</v>
      </c>
      <c r="S19" s="103" t="s">
        <v>247</v>
      </c>
      <c r="T19" s="103" t="s">
        <v>248</v>
      </c>
      <c r="U19" s="103" t="s">
        <v>249</v>
      </c>
      <c r="V19" s="25" t="s">
        <v>250</v>
      </c>
      <c r="W19" s="104" t="s">
        <v>251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ht="15.75" customHeight="1">
      <c r="A20" s="74"/>
      <c r="B20" s="105" t="s">
        <v>213</v>
      </c>
      <c r="C20" s="98" t="s">
        <v>22</v>
      </c>
      <c r="D20" s="98" t="s">
        <v>23</v>
      </c>
      <c r="E20" s="98" t="s">
        <v>24</v>
      </c>
      <c r="F20" s="98" t="s">
        <v>25</v>
      </c>
      <c r="G20" s="98" t="s">
        <v>252</v>
      </c>
      <c r="H20" s="99" t="s">
        <v>27</v>
      </c>
      <c r="I20" s="7"/>
      <c r="J20" s="7"/>
      <c r="K20" s="10"/>
      <c r="L20" s="10"/>
      <c r="M20" s="4"/>
      <c r="N20" s="4"/>
      <c r="O20" s="4"/>
      <c r="P20" s="106" t="s">
        <v>253</v>
      </c>
      <c r="Q20" s="107" t="s">
        <v>254</v>
      </c>
      <c r="R20" s="107" t="s">
        <v>255</v>
      </c>
      <c r="S20" s="107" t="s">
        <v>246</v>
      </c>
      <c r="T20" s="107" t="s">
        <v>256</v>
      </c>
      <c r="U20" s="107" t="s">
        <v>257</v>
      </c>
      <c r="V20" s="108"/>
      <c r="W20" s="109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ht="15.75" customHeight="1">
      <c r="A21" s="74" t="s">
        <v>212</v>
      </c>
      <c r="B21" s="110">
        <v>5000.0</v>
      </c>
      <c r="C21" s="57">
        <f>C18/1000/$C$41*1000*1000/$P$8*1000</f>
        <v>414.9983926</v>
      </c>
      <c r="D21" s="57">
        <f>D18*1000*1000/$P$8/$C$42</f>
        <v>456.1309364</v>
      </c>
      <c r="E21" s="7">
        <f>E18*1000*1000/$P$8/$C$43</f>
        <v>497.6544972</v>
      </c>
      <c r="F21" s="7">
        <f t="shared" ref="F21:H21" si="1">F18*1000*1000/$P$8/$C$44</f>
        <v>552.0129438</v>
      </c>
      <c r="G21" s="7">
        <f t="shared" si="1"/>
        <v>556.771676</v>
      </c>
      <c r="H21" s="74">
        <f t="shared" si="1"/>
        <v>552.0129438</v>
      </c>
      <c r="I21" s="7"/>
      <c r="J21" s="7"/>
      <c r="K21" s="10"/>
      <c r="L21" s="10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ht="15.75" customHeight="1">
      <c r="A22" s="7"/>
      <c r="B22" s="110">
        <v>5000.0</v>
      </c>
      <c r="C22" s="57">
        <f>C18/1000/342.17*1000*1000/$P$8*1000</f>
        <v>414.9983926</v>
      </c>
      <c r="D22" s="57">
        <f t="shared" ref="D22:H22" si="2">D18*1000*1000/$P$8/298.16</f>
        <v>456.1309364</v>
      </c>
      <c r="E22" s="7">
        <f t="shared" si="2"/>
        <v>409.1762812</v>
      </c>
      <c r="F22" s="7">
        <f t="shared" si="2"/>
        <v>389.0528575</v>
      </c>
      <c r="G22" s="7">
        <f t="shared" si="2"/>
        <v>392.4067615</v>
      </c>
      <c r="H22" s="74">
        <f t="shared" si="2"/>
        <v>389.0528575</v>
      </c>
      <c r="I22" s="7"/>
      <c r="J22" s="7"/>
      <c r="K22" s="10"/>
      <c r="L22" s="10"/>
      <c r="M22" s="7"/>
      <c r="N22" s="7"/>
      <c r="O22" s="7"/>
      <c r="P22" s="82"/>
      <c r="Q22" s="7" t="s">
        <v>208</v>
      </c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ht="15.75" customHeight="1">
      <c r="A23" s="7"/>
      <c r="B23" s="110">
        <v>2000.0</v>
      </c>
      <c r="C23" s="57">
        <f t="shared" ref="C23:C32" si="3">B23*$C$21/$B$21</f>
        <v>165.999357</v>
      </c>
      <c r="D23" s="57">
        <f t="shared" ref="D23:D25" si="4">B23*$D$21/$B$21</f>
        <v>182.4523746</v>
      </c>
      <c r="E23" s="7">
        <f t="shared" ref="E23:E32" si="5">B23*$E$21/$B$21</f>
        <v>199.0617989</v>
      </c>
      <c r="F23" s="7">
        <f t="shared" ref="F23:F32" si="6">B23*$F$21/$B$21</f>
        <v>220.8051775</v>
      </c>
      <c r="G23" s="7">
        <f t="shared" ref="G23:G32" si="7">B23*$G$21/$B$21</f>
        <v>222.7086704</v>
      </c>
      <c r="H23" s="74">
        <f t="shared" ref="H23:H32" si="8">B23*$H$21/$B$21</f>
        <v>220.8051775</v>
      </c>
      <c r="I23" s="7"/>
      <c r="J23" s="7"/>
      <c r="K23" s="10"/>
      <c r="L23" s="10"/>
      <c r="M23" s="7"/>
      <c r="N23" s="7"/>
      <c r="O23" s="7"/>
      <c r="P23" s="111"/>
      <c r="Q23" s="7" t="s">
        <v>258</v>
      </c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ht="15.75" customHeight="1">
      <c r="A24" s="7"/>
      <c r="B24" s="110">
        <v>2000.0</v>
      </c>
      <c r="C24" s="57">
        <f t="shared" si="3"/>
        <v>165.999357</v>
      </c>
      <c r="D24" s="57">
        <f t="shared" si="4"/>
        <v>182.4523746</v>
      </c>
      <c r="E24" s="7">
        <f t="shared" si="5"/>
        <v>199.0617989</v>
      </c>
      <c r="F24" s="7">
        <f t="shared" si="6"/>
        <v>220.8051775</v>
      </c>
      <c r="G24" s="7">
        <f t="shared" si="7"/>
        <v>222.7086704</v>
      </c>
      <c r="H24" s="74">
        <f t="shared" si="8"/>
        <v>220.8051775</v>
      </c>
      <c r="I24" s="7"/>
      <c r="J24" s="7"/>
      <c r="K24" s="10"/>
      <c r="L24" s="10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ht="15.75" customHeight="1">
      <c r="A25" s="7"/>
      <c r="B25" s="110">
        <v>1000.0</v>
      </c>
      <c r="C25" s="57">
        <f t="shared" si="3"/>
        <v>82.99967852</v>
      </c>
      <c r="D25" s="57">
        <f t="shared" si="4"/>
        <v>91.22618728</v>
      </c>
      <c r="E25" s="7">
        <f t="shared" si="5"/>
        <v>99.53089945</v>
      </c>
      <c r="F25" s="7">
        <f t="shared" si="6"/>
        <v>110.4025888</v>
      </c>
      <c r="G25" s="7">
        <f t="shared" si="7"/>
        <v>111.3543352</v>
      </c>
      <c r="H25" s="74">
        <f t="shared" si="8"/>
        <v>110.4025888</v>
      </c>
      <c r="I25" s="7"/>
      <c r="J25" s="7"/>
      <c r="K25" s="10"/>
      <c r="L25" s="10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ht="15.75" customHeight="1">
      <c r="A26" s="7"/>
      <c r="B26" s="110">
        <v>1000.0</v>
      </c>
      <c r="C26" s="57">
        <f t="shared" si="3"/>
        <v>82.99967852</v>
      </c>
      <c r="D26" s="57">
        <f>B25*$D$21/$B$21</f>
        <v>91.22618728</v>
      </c>
      <c r="E26" s="7">
        <f t="shared" si="5"/>
        <v>99.53089945</v>
      </c>
      <c r="F26" s="7">
        <f t="shared" si="6"/>
        <v>110.4025888</v>
      </c>
      <c r="G26" s="7">
        <f t="shared" si="7"/>
        <v>111.3543352</v>
      </c>
      <c r="H26" s="74">
        <f t="shared" si="8"/>
        <v>110.4025888</v>
      </c>
      <c r="I26" s="7"/>
      <c r="J26" s="7"/>
      <c r="K26" s="10"/>
      <c r="L26" s="10"/>
      <c r="M26" s="7"/>
      <c r="N26" s="7"/>
      <c r="O26" s="7"/>
      <c r="P26" s="7" t="s">
        <v>259</v>
      </c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ht="15.75" customHeight="1">
      <c r="A27" s="7"/>
      <c r="B27" s="110">
        <v>200.0</v>
      </c>
      <c r="C27" s="57">
        <f t="shared" si="3"/>
        <v>16.5999357</v>
      </c>
      <c r="D27" s="57">
        <f>B27*$D$21/$B$21</f>
        <v>18.24523746</v>
      </c>
      <c r="E27" s="7">
        <f t="shared" si="5"/>
        <v>19.90617989</v>
      </c>
      <c r="F27" s="7">
        <f t="shared" si="6"/>
        <v>22.08051775</v>
      </c>
      <c r="G27" s="7">
        <f t="shared" si="7"/>
        <v>22.27086704</v>
      </c>
      <c r="H27" s="74">
        <f t="shared" si="8"/>
        <v>22.08051775</v>
      </c>
      <c r="I27" s="7"/>
      <c r="J27" s="7"/>
      <c r="K27" s="10"/>
      <c r="L27" s="10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ht="15.75" customHeight="1">
      <c r="A28" s="7"/>
      <c r="B28" s="110">
        <v>200.0</v>
      </c>
      <c r="C28" s="57">
        <f t="shared" si="3"/>
        <v>16.5999357</v>
      </c>
      <c r="D28" s="57">
        <f>B27*$D$21/$B$21</f>
        <v>18.24523746</v>
      </c>
      <c r="E28" s="7">
        <f t="shared" si="5"/>
        <v>19.90617989</v>
      </c>
      <c r="F28" s="7">
        <f t="shared" si="6"/>
        <v>22.08051775</v>
      </c>
      <c r="G28" s="7">
        <f t="shared" si="7"/>
        <v>22.27086704</v>
      </c>
      <c r="H28" s="74">
        <f t="shared" si="8"/>
        <v>22.08051775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ht="15.75" customHeight="1">
      <c r="A29" s="7"/>
      <c r="B29" s="110">
        <v>100.0</v>
      </c>
      <c r="C29" s="57">
        <f t="shared" si="3"/>
        <v>8.299967852</v>
      </c>
      <c r="D29" s="57">
        <f>B29*$D$21/$B$21</f>
        <v>9.122618728</v>
      </c>
      <c r="E29" s="7">
        <f t="shared" si="5"/>
        <v>9.953089945</v>
      </c>
      <c r="F29" s="7">
        <f t="shared" si="6"/>
        <v>11.04025888</v>
      </c>
      <c r="G29" s="7">
        <f t="shared" si="7"/>
        <v>11.13543352</v>
      </c>
      <c r="H29" s="74">
        <f t="shared" si="8"/>
        <v>11.04025888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ht="15.75" customHeight="1">
      <c r="A30" s="7"/>
      <c r="B30" s="110">
        <v>100.0</v>
      </c>
      <c r="C30" s="57">
        <f t="shared" si="3"/>
        <v>8.299967852</v>
      </c>
      <c r="D30" s="57">
        <f>B29*$D$21/$B$21</f>
        <v>9.122618728</v>
      </c>
      <c r="E30" s="7">
        <f t="shared" si="5"/>
        <v>9.953089945</v>
      </c>
      <c r="F30" s="7">
        <f t="shared" si="6"/>
        <v>11.04025888</v>
      </c>
      <c r="G30" s="7">
        <f t="shared" si="7"/>
        <v>11.13543352</v>
      </c>
      <c r="H30" s="74">
        <f t="shared" si="8"/>
        <v>11.04025888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ht="15.75" customHeight="1">
      <c r="A31" s="7"/>
      <c r="B31" s="110">
        <v>12.5</v>
      </c>
      <c r="C31" s="57">
        <f t="shared" si="3"/>
        <v>1.037495982</v>
      </c>
      <c r="D31" s="57">
        <f t="shared" ref="D31:D32" si="9">B31*$D$21/$B$21</f>
        <v>1.140327341</v>
      </c>
      <c r="E31" s="7">
        <f t="shared" si="5"/>
        <v>1.244136243</v>
      </c>
      <c r="F31" s="7">
        <f t="shared" si="6"/>
        <v>1.380032359</v>
      </c>
      <c r="G31" s="7">
        <f t="shared" si="7"/>
        <v>1.39192919</v>
      </c>
      <c r="H31" s="74">
        <f t="shared" si="8"/>
        <v>1.380032359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ht="15.75" customHeight="1">
      <c r="A32" s="7"/>
      <c r="B32" s="112">
        <v>12.5</v>
      </c>
      <c r="C32" s="113">
        <f t="shared" si="3"/>
        <v>1.037495982</v>
      </c>
      <c r="D32" s="113">
        <f t="shared" si="9"/>
        <v>1.140327341</v>
      </c>
      <c r="E32" s="73">
        <f t="shared" si="5"/>
        <v>1.244136243</v>
      </c>
      <c r="F32" s="73">
        <f t="shared" si="6"/>
        <v>1.380032359</v>
      </c>
      <c r="G32" s="73">
        <f t="shared" si="7"/>
        <v>1.39192919</v>
      </c>
      <c r="H32" s="114">
        <f t="shared" si="8"/>
        <v>1.380032359</v>
      </c>
      <c r="I32" s="7"/>
      <c r="J32" s="7"/>
      <c r="K32" s="7"/>
      <c r="L32" s="7"/>
      <c r="M32" s="7"/>
      <c r="N32" s="7"/>
      <c r="O32" s="7"/>
      <c r="P32" s="7"/>
      <c r="Q32" s="7" t="s">
        <v>260</v>
      </c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ht="15.75" customHeight="1">
      <c r="A34" s="7"/>
      <c r="B34" s="97"/>
      <c r="C34" s="98" t="s">
        <v>34</v>
      </c>
      <c r="D34" s="98" t="s">
        <v>35</v>
      </c>
      <c r="E34" s="98" t="s">
        <v>36</v>
      </c>
      <c r="F34" s="98" t="s">
        <v>261</v>
      </c>
      <c r="G34" s="98" t="s">
        <v>262</v>
      </c>
      <c r="H34" s="99" t="s">
        <v>263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ht="15.75" customHeight="1">
      <c r="A35" s="74" t="s">
        <v>212</v>
      </c>
      <c r="B35" s="77" t="s">
        <v>264</v>
      </c>
      <c r="C35" s="115">
        <f t="shared" ref="C35:H35" si="10">SLOPE(C21:C32,C4:C15)</f>
        <v>0.08484267721</v>
      </c>
      <c r="D35" s="115">
        <f t="shared" si="10"/>
        <v>0.0875785493</v>
      </c>
      <c r="E35" s="116">
        <f t="shared" si="10"/>
        <v>0.00008804855616</v>
      </c>
      <c r="F35" s="116">
        <f t="shared" si="10"/>
        <v>0.001284500934</v>
      </c>
      <c r="G35" s="116">
        <f t="shared" si="10"/>
        <v>0.00004236388517</v>
      </c>
      <c r="H35" s="117">
        <f t="shared" si="10"/>
        <v>0.000419450828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ht="15.75" customHeight="1">
      <c r="A36" s="7"/>
      <c r="B36" s="77" t="s">
        <v>265</v>
      </c>
      <c r="C36" s="115">
        <f t="shared" ref="C36:H36" si="11">INTERCEPT(C21:C32,C4:C15)</f>
        <v>20.83285585</v>
      </c>
      <c r="D36" s="115">
        <f t="shared" si="11"/>
        <v>12.55606084</v>
      </c>
      <c r="E36" s="115">
        <f t="shared" si="11"/>
        <v>8.148890869</v>
      </c>
      <c r="F36" s="115">
        <f t="shared" si="11"/>
        <v>3.525377816</v>
      </c>
      <c r="G36" s="115">
        <f t="shared" si="11"/>
        <v>1.964248421</v>
      </c>
      <c r="H36" s="118">
        <f t="shared" si="11"/>
        <v>10.17365399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ht="15.75" customHeight="1">
      <c r="A37" s="7"/>
      <c r="B37" s="119" t="s">
        <v>266</v>
      </c>
      <c r="C37" s="120">
        <f t="shared" ref="C37:H37" si="12">RSQ(C21:C32,C4:C15)</f>
        <v>0.9762943816</v>
      </c>
      <c r="D37" s="120">
        <f t="shared" si="12"/>
        <v>0.992689696</v>
      </c>
      <c r="E37" s="120">
        <f t="shared" si="12"/>
        <v>0.991843961</v>
      </c>
      <c r="F37" s="120">
        <f t="shared" si="12"/>
        <v>0.9757205019</v>
      </c>
      <c r="G37" s="120">
        <f t="shared" si="12"/>
        <v>0.9992397157</v>
      </c>
      <c r="H37" s="121">
        <f t="shared" si="12"/>
        <v>0.9732879942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ht="15.75" customHeight="1">
      <c r="A40" s="7"/>
      <c r="B40" s="105" t="s">
        <v>267</v>
      </c>
      <c r="C40" s="98" t="s">
        <v>268</v>
      </c>
      <c r="D40" s="99" t="s">
        <v>269</v>
      </c>
      <c r="E40" s="101" t="s">
        <v>270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ht="15.75" customHeight="1">
      <c r="A41" s="7"/>
      <c r="B41" s="36" t="s">
        <v>34</v>
      </c>
      <c r="C41" s="10">
        <v>342.17</v>
      </c>
      <c r="D41" s="122">
        <v>12.0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ht="15.75" customHeight="1">
      <c r="A42" s="7"/>
      <c r="B42" s="36" t="s">
        <v>35</v>
      </c>
      <c r="C42" s="10">
        <v>298.16</v>
      </c>
      <c r="D42" s="122">
        <v>11.0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ht="15.75" customHeight="1">
      <c r="A43" s="7"/>
      <c r="B43" s="36" t="s">
        <v>36</v>
      </c>
      <c r="C43" s="10">
        <v>245.15</v>
      </c>
      <c r="D43" s="122">
        <v>10.0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ht="15.75" customHeight="1">
      <c r="A44" s="7"/>
      <c r="B44" s="37" t="s">
        <v>37</v>
      </c>
      <c r="C44" s="90">
        <v>210.14</v>
      </c>
      <c r="D44" s="123">
        <v>9.0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ht="15.75" customHeight="1">
      <c r="A47" s="18"/>
      <c r="B47" s="105" t="s">
        <v>271</v>
      </c>
      <c r="C47" s="24" t="s">
        <v>210</v>
      </c>
      <c r="D47" s="75"/>
      <c r="E47" s="75"/>
      <c r="F47" s="75"/>
      <c r="G47" s="75"/>
      <c r="H47" s="76"/>
      <c r="I47" s="24" t="s">
        <v>211</v>
      </c>
      <c r="J47" s="75"/>
      <c r="K47" s="75"/>
      <c r="L47" s="75"/>
      <c r="M47" s="75"/>
      <c r="N47" s="76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ht="15.75" customHeight="1">
      <c r="A48" s="7" t="s">
        <v>272</v>
      </c>
      <c r="B48" s="77" t="s">
        <v>213</v>
      </c>
      <c r="C48" s="77" t="s">
        <v>214</v>
      </c>
      <c r="D48" s="1" t="s">
        <v>215</v>
      </c>
      <c r="E48" s="1" t="s">
        <v>216</v>
      </c>
      <c r="F48" s="1" t="s">
        <v>217</v>
      </c>
      <c r="G48" s="1" t="s">
        <v>218</v>
      </c>
      <c r="H48" s="1" t="s">
        <v>219</v>
      </c>
      <c r="I48" s="77" t="s">
        <v>220</v>
      </c>
      <c r="J48" s="1" t="s">
        <v>221</v>
      </c>
      <c r="K48" s="1" t="s">
        <v>222</v>
      </c>
      <c r="L48" s="1" t="s">
        <v>223</v>
      </c>
      <c r="M48" s="1" t="s">
        <v>224</v>
      </c>
      <c r="N48" s="78" t="s">
        <v>225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ht="15.75" customHeight="1">
      <c r="A49" s="18"/>
      <c r="B49" s="110">
        <v>5000.0</v>
      </c>
      <c r="C49" s="79">
        <v>5412.6</v>
      </c>
      <c r="D49" s="80">
        <v>5517.9</v>
      </c>
      <c r="E49" s="80">
        <v>1.155189613E7</v>
      </c>
      <c r="F49" s="80">
        <v>461882.91</v>
      </c>
      <c r="G49" s="80">
        <v>2.461585999E7</v>
      </c>
      <c r="H49" s="80">
        <v>4337539.12</v>
      </c>
      <c r="I49" s="79">
        <v>1.553</v>
      </c>
      <c r="J49" s="80">
        <v>2.923</v>
      </c>
      <c r="K49" s="80">
        <v>0.825</v>
      </c>
      <c r="L49" s="80">
        <v>2.432</v>
      </c>
      <c r="M49" s="80">
        <v>1.652</v>
      </c>
      <c r="N49" s="81">
        <v>2.783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ht="15.75" customHeight="1">
      <c r="A50" s="18"/>
      <c r="B50" s="110">
        <v>5000.0</v>
      </c>
      <c r="C50" s="79">
        <v>4974.0</v>
      </c>
      <c r="D50" s="80">
        <v>5491.7</v>
      </c>
      <c r="E50" s="80">
        <v>1.139775957E7</v>
      </c>
      <c r="F50" s="80">
        <v>415198.75</v>
      </c>
      <c r="G50" s="80">
        <v>2.532865997E7</v>
      </c>
      <c r="H50" s="80">
        <v>4325229.03</v>
      </c>
      <c r="I50" s="79">
        <v>1.603</v>
      </c>
      <c r="J50" s="80">
        <v>3.076</v>
      </c>
      <c r="K50" s="80">
        <v>0.827</v>
      </c>
      <c r="L50" s="80">
        <v>2.422</v>
      </c>
      <c r="M50" s="80">
        <v>1.65</v>
      </c>
      <c r="N50" s="81">
        <v>2.77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ht="15.75" customHeight="1">
      <c r="A51" s="18"/>
      <c r="B51" s="110">
        <v>5000.0</v>
      </c>
      <c r="C51" s="124"/>
      <c r="D51" s="82"/>
      <c r="E51" s="82"/>
      <c r="F51" s="82"/>
      <c r="G51" s="82"/>
      <c r="H51" s="82"/>
      <c r="I51" s="124"/>
      <c r="J51" s="82"/>
      <c r="K51" s="82"/>
      <c r="L51" s="82"/>
      <c r="M51" s="82"/>
      <c r="N51" s="83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ht="15.75" customHeight="1">
      <c r="A52" s="18"/>
      <c r="B52" s="110">
        <v>2000.0</v>
      </c>
      <c r="C52" s="79">
        <v>1401.5</v>
      </c>
      <c r="D52" s="80">
        <v>1789.9</v>
      </c>
      <c r="E52" s="80">
        <v>4811138.12</v>
      </c>
      <c r="F52" s="80">
        <v>135848.56</v>
      </c>
      <c r="G52" s="80">
        <v>9730230.11</v>
      </c>
      <c r="H52" s="80">
        <v>1188703.89</v>
      </c>
      <c r="I52" s="79">
        <v>1.561</v>
      </c>
      <c r="J52" s="80">
        <v>2.965</v>
      </c>
      <c r="K52" s="80">
        <v>0.836</v>
      </c>
      <c r="L52" s="80">
        <v>2.442</v>
      </c>
      <c r="M52" s="80">
        <v>1.662</v>
      </c>
      <c r="N52" s="81">
        <v>2.782</v>
      </c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ht="15.75" customHeight="1">
      <c r="A53" s="18"/>
      <c r="B53" s="110">
        <v>2000.0</v>
      </c>
      <c r="C53" s="79">
        <v>1408.7</v>
      </c>
      <c r="D53" s="80">
        <v>1783.9</v>
      </c>
      <c r="E53" s="80">
        <v>4691109.01</v>
      </c>
      <c r="F53" s="80">
        <v>142262.81</v>
      </c>
      <c r="G53" s="80">
        <v>1.05477848E7</v>
      </c>
      <c r="H53" s="80">
        <v>1194153.66</v>
      </c>
      <c r="I53" s="79">
        <v>1.59</v>
      </c>
      <c r="J53" s="80">
        <v>3.118</v>
      </c>
      <c r="K53" s="80">
        <v>0.824</v>
      </c>
      <c r="L53" s="80">
        <v>2.42</v>
      </c>
      <c r="M53" s="80">
        <v>1.662</v>
      </c>
      <c r="N53" s="81">
        <v>2.771</v>
      </c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ht="15.75" customHeight="1">
      <c r="A54" s="18"/>
      <c r="B54" s="110">
        <v>2000.0</v>
      </c>
      <c r="C54" s="124"/>
      <c r="D54" s="82"/>
      <c r="E54" s="82"/>
      <c r="F54" s="82"/>
      <c r="G54" s="82"/>
      <c r="H54" s="82"/>
      <c r="I54" s="124"/>
      <c r="J54" s="82"/>
      <c r="K54" s="82"/>
      <c r="L54" s="82"/>
      <c r="M54" s="82"/>
      <c r="N54" s="83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ht="15.75" customHeight="1">
      <c r="A55" s="18"/>
      <c r="B55" s="110">
        <v>1000.0</v>
      </c>
      <c r="C55" s="79">
        <v>522.9</v>
      </c>
      <c r="D55" s="80">
        <v>791.1</v>
      </c>
      <c r="E55" s="80">
        <v>2362288.54</v>
      </c>
      <c r="F55" s="80">
        <v>74182.29</v>
      </c>
      <c r="G55" s="80">
        <v>4624646.53</v>
      </c>
      <c r="H55" s="80">
        <v>357162.83</v>
      </c>
      <c r="I55" s="79">
        <v>1.565</v>
      </c>
      <c r="J55" s="80">
        <v>2.995</v>
      </c>
      <c r="K55" s="80">
        <v>0.845</v>
      </c>
      <c r="L55" s="80">
        <v>2.452</v>
      </c>
      <c r="M55" s="80">
        <v>1.671</v>
      </c>
      <c r="N55" s="81">
        <v>2.78</v>
      </c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ht="15.75" customHeight="1">
      <c r="A56" s="18"/>
      <c r="B56" s="110">
        <v>1000.0</v>
      </c>
      <c r="C56" s="79">
        <v>526.0</v>
      </c>
      <c r="D56" s="80">
        <v>780.4</v>
      </c>
      <c r="E56" s="80">
        <v>2233564.64</v>
      </c>
      <c r="F56" s="80">
        <v>76516.6</v>
      </c>
      <c r="G56" s="80">
        <v>5124398.01</v>
      </c>
      <c r="H56" s="80">
        <v>372159.81</v>
      </c>
      <c r="I56" s="79">
        <v>1.591</v>
      </c>
      <c r="J56" s="84">
        <v>3.14</v>
      </c>
      <c r="K56" s="80">
        <v>0.825</v>
      </c>
      <c r="L56" s="80">
        <v>2.432</v>
      </c>
      <c r="M56" s="80">
        <v>1.663</v>
      </c>
      <c r="N56" s="81">
        <v>2.771</v>
      </c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ht="15.75" customHeight="1">
      <c r="A57" s="18"/>
      <c r="B57" s="110">
        <v>1000.0</v>
      </c>
      <c r="C57" s="124"/>
      <c r="D57" s="82"/>
      <c r="E57" s="82"/>
      <c r="F57" s="82"/>
      <c r="G57" s="82"/>
      <c r="H57" s="82"/>
      <c r="I57" s="125"/>
      <c r="J57" s="82"/>
      <c r="K57" s="82"/>
      <c r="L57" s="82"/>
      <c r="M57" s="82"/>
      <c r="N57" s="83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ht="15.75" customHeight="1">
      <c r="A58" s="18"/>
      <c r="B58" s="110">
        <v>200.0</v>
      </c>
      <c r="C58" s="79">
        <v>63.5</v>
      </c>
      <c r="D58" s="80">
        <v>117.5</v>
      </c>
      <c r="E58" s="80">
        <v>392854.74</v>
      </c>
      <c r="F58" s="80">
        <v>12106.99</v>
      </c>
      <c r="G58" s="80">
        <v>801785.65</v>
      </c>
      <c r="H58" s="80">
        <v>12868.0</v>
      </c>
      <c r="I58" s="86">
        <v>1.576</v>
      </c>
      <c r="J58" s="80">
        <v>3.04</v>
      </c>
      <c r="K58" s="80">
        <v>0.875</v>
      </c>
      <c r="L58" s="80">
        <v>2.46</v>
      </c>
      <c r="M58" s="80">
        <v>1.68</v>
      </c>
      <c r="N58" s="81">
        <v>2.79</v>
      </c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ht="15.75" customHeight="1">
      <c r="A59" s="18"/>
      <c r="B59" s="110">
        <v>200.0</v>
      </c>
      <c r="C59" s="79">
        <v>74.7</v>
      </c>
      <c r="D59" s="80">
        <v>117.8</v>
      </c>
      <c r="E59" s="80">
        <v>380008.2</v>
      </c>
      <c r="F59" s="80">
        <v>15282.5</v>
      </c>
      <c r="G59" s="80">
        <v>883021.37</v>
      </c>
      <c r="H59" s="80">
        <v>22024.68</v>
      </c>
      <c r="I59" s="79">
        <v>1.59</v>
      </c>
      <c r="J59" s="80">
        <v>3.181</v>
      </c>
      <c r="K59" s="80">
        <v>0.832</v>
      </c>
      <c r="L59" s="80">
        <v>2.439</v>
      </c>
      <c r="M59" s="80">
        <v>1.669</v>
      </c>
      <c r="N59" s="81">
        <v>2.79</v>
      </c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ht="15.75" customHeight="1">
      <c r="A60" s="18"/>
      <c r="B60" s="110">
        <v>200.0</v>
      </c>
      <c r="C60" s="124"/>
      <c r="D60" s="82"/>
      <c r="E60" s="82"/>
      <c r="F60" s="82"/>
      <c r="G60" s="82"/>
      <c r="H60" s="82"/>
      <c r="I60" s="124"/>
      <c r="J60" s="82"/>
      <c r="K60" s="82"/>
      <c r="L60" s="82"/>
      <c r="M60" s="82"/>
      <c r="N60" s="83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ht="15.75" customHeight="1">
      <c r="A61" s="18"/>
      <c r="B61" s="110">
        <v>100.0</v>
      </c>
      <c r="C61" s="79">
        <v>36.9</v>
      </c>
      <c r="D61" s="80">
        <v>64.5</v>
      </c>
      <c r="E61" s="80">
        <v>225221.0</v>
      </c>
      <c r="F61" s="80">
        <v>9911.58</v>
      </c>
      <c r="G61" s="80">
        <v>415606.4</v>
      </c>
      <c r="H61" s="80">
        <v>10832.39</v>
      </c>
      <c r="I61" s="79">
        <v>1.585</v>
      </c>
      <c r="J61" s="80">
        <v>3.092</v>
      </c>
      <c r="K61" s="80">
        <v>0.892</v>
      </c>
      <c r="L61" s="80">
        <v>2.448</v>
      </c>
      <c r="M61" s="80">
        <v>1.707</v>
      </c>
      <c r="N61" s="81">
        <v>2.782</v>
      </c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ht="15.75" customHeight="1">
      <c r="A62" s="18"/>
      <c r="B62" s="110">
        <v>100.0</v>
      </c>
      <c r="C62" s="79">
        <v>50.9</v>
      </c>
      <c r="D62" s="80">
        <v>63.6</v>
      </c>
      <c r="E62" s="80">
        <v>212829.29</v>
      </c>
      <c r="F62" s="80">
        <v>5330.21</v>
      </c>
      <c r="G62" s="80">
        <v>466119.73</v>
      </c>
      <c r="H62" s="80">
        <v>12382.3</v>
      </c>
      <c r="I62" s="79">
        <v>1.591</v>
      </c>
      <c r="J62" s="80">
        <v>3.2</v>
      </c>
      <c r="K62" s="80">
        <v>0.862</v>
      </c>
      <c r="L62" s="80">
        <v>2.435</v>
      </c>
      <c r="M62" s="80">
        <v>1.665</v>
      </c>
      <c r="N62" s="81">
        <v>2.786</v>
      </c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ht="15.75" customHeight="1">
      <c r="A63" s="18"/>
      <c r="B63" s="110">
        <v>100.0</v>
      </c>
      <c r="C63" s="124"/>
      <c r="D63" s="82"/>
      <c r="E63" s="82"/>
      <c r="F63" s="82"/>
      <c r="G63" s="82"/>
      <c r="H63" s="82"/>
      <c r="I63" s="124"/>
      <c r="J63" s="126"/>
      <c r="K63" s="82"/>
      <c r="L63" s="82"/>
      <c r="M63" s="82"/>
      <c r="N63" s="83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ht="15.75" customHeight="1">
      <c r="A64" s="18"/>
      <c r="B64" s="110">
        <v>12.5</v>
      </c>
      <c r="C64" s="79">
        <v>5.3</v>
      </c>
      <c r="D64" s="80">
        <v>7.1</v>
      </c>
      <c r="E64" s="80">
        <v>25625.03</v>
      </c>
      <c r="F64" s="82"/>
      <c r="G64" s="80">
        <v>56062.17</v>
      </c>
      <c r="H64" s="82"/>
      <c r="I64" s="79">
        <v>1.598</v>
      </c>
      <c r="J64" s="89">
        <v>3.158</v>
      </c>
      <c r="K64" s="80">
        <v>0.929</v>
      </c>
      <c r="L64" s="82"/>
      <c r="M64" s="80">
        <v>1.744</v>
      </c>
      <c r="N64" s="83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ht="15.75" customHeight="1">
      <c r="A65" s="18"/>
      <c r="B65" s="110">
        <v>12.5</v>
      </c>
      <c r="C65" s="79">
        <v>19.7</v>
      </c>
      <c r="D65" s="80">
        <v>6.9</v>
      </c>
      <c r="E65" s="80">
        <v>21805.02</v>
      </c>
      <c r="F65" s="82"/>
      <c r="G65" s="80">
        <v>49844.76</v>
      </c>
      <c r="H65" s="82"/>
      <c r="I65" s="79">
        <v>1.598</v>
      </c>
      <c r="J65" s="89">
        <v>3.228</v>
      </c>
      <c r="K65" s="80">
        <v>0.858</v>
      </c>
      <c r="L65" s="82"/>
      <c r="M65" s="80">
        <v>1.684</v>
      </c>
      <c r="N65" s="83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ht="15.75" customHeight="1">
      <c r="A66" s="18"/>
      <c r="B66" s="112">
        <v>12.5</v>
      </c>
      <c r="C66" s="127"/>
      <c r="D66" s="93"/>
      <c r="E66" s="93"/>
      <c r="F66" s="93"/>
      <c r="G66" s="93"/>
      <c r="H66" s="93"/>
      <c r="I66" s="127"/>
      <c r="J66" s="128"/>
      <c r="K66" s="93"/>
      <c r="L66" s="93"/>
      <c r="M66" s="93"/>
      <c r="N66" s="96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ht="15.75" customHeight="1">
      <c r="A68" s="7"/>
      <c r="B68" s="97"/>
      <c r="C68" s="98" t="s">
        <v>236</v>
      </c>
      <c r="D68" s="98" t="s">
        <v>237</v>
      </c>
      <c r="E68" s="98" t="s">
        <v>238</v>
      </c>
      <c r="F68" s="98" t="s">
        <v>239</v>
      </c>
      <c r="G68" s="98" t="s">
        <v>240</v>
      </c>
      <c r="H68" s="99" t="s">
        <v>241</v>
      </c>
      <c r="I68" s="18"/>
      <c r="J68" s="7"/>
      <c r="K68" s="10"/>
      <c r="L68" s="10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ht="15.75" customHeight="1">
      <c r="A69" s="7"/>
      <c r="B69" s="100" t="s">
        <v>242</v>
      </c>
      <c r="C69" s="92">
        <v>14.2</v>
      </c>
      <c r="D69" s="92">
        <v>13.6</v>
      </c>
      <c r="E69" s="92">
        <v>12.2</v>
      </c>
      <c r="F69" s="92">
        <v>11.6</v>
      </c>
      <c r="G69" s="92">
        <v>11.7</v>
      </c>
      <c r="H69" s="94">
        <v>11.6</v>
      </c>
      <c r="I69" s="101" t="s">
        <v>273</v>
      </c>
      <c r="J69" s="7"/>
      <c r="K69" s="7"/>
      <c r="L69" s="44"/>
      <c r="M69" s="7"/>
      <c r="N69" s="7"/>
      <c r="O69" s="7"/>
      <c r="P69" s="73"/>
      <c r="Q69" s="73"/>
      <c r="R69" s="73"/>
      <c r="S69" s="73"/>
      <c r="T69" s="73"/>
      <c r="U69" s="73"/>
      <c r="V69" s="73"/>
      <c r="W69" s="73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10"/>
      <c r="L70" s="10"/>
      <c r="M70" s="4"/>
      <c r="N70" s="4"/>
      <c r="O70" s="4"/>
      <c r="P70" s="102" t="s">
        <v>244</v>
      </c>
      <c r="Q70" s="103" t="s">
        <v>245</v>
      </c>
      <c r="R70" s="103" t="s">
        <v>246</v>
      </c>
      <c r="S70" s="103" t="s">
        <v>247</v>
      </c>
      <c r="T70" s="103" t="s">
        <v>248</v>
      </c>
      <c r="U70" s="103" t="s">
        <v>249</v>
      </c>
      <c r="V70" s="25" t="s">
        <v>250</v>
      </c>
      <c r="W70" s="104" t="s">
        <v>251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ht="15.75" customHeight="1">
      <c r="A71" s="7"/>
      <c r="B71" s="105" t="s">
        <v>213</v>
      </c>
      <c r="C71" s="98" t="s">
        <v>22</v>
      </c>
      <c r="D71" s="98" t="s">
        <v>23</v>
      </c>
      <c r="E71" s="98" t="s">
        <v>24</v>
      </c>
      <c r="F71" s="98" t="s">
        <v>25</v>
      </c>
      <c r="G71" s="98" t="s">
        <v>252</v>
      </c>
      <c r="H71" s="99" t="s">
        <v>27</v>
      </c>
      <c r="I71" s="7"/>
      <c r="J71" s="7"/>
      <c r="K71" s="10"/>
      <c r="L71" s="10"/>
      <c r="M71" s="4"/>
      <c r="N71" s="4"/>
      <c r="O71" s="4"/>
      <c r="P71" s="106" t="s">
        <v>253</v>
      </c>
      <c r="Q71" s="107" t="s">
        <v>254</v>
      </c>
      <c r="R71" s="107" t="s">
        <v>255</v>
      </c>
      <c r="S71" s="107" t="s">
        <v>246</v>
      </c>
      <c r="T71" s="107" t="s">
        <v>256</v>
      </c>
      <c r="U71" s="107" t="s">
        <v>257</v>
      </c>
      <c r="V71" s="108"/>
      <c r="W71" s="109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ht="15.75" customHeight="1">
      <c r="A72" s="7" t="s">
        <v>272</v>
      </c>
      <c r="B72" s="110">
        <v>5000.0</v>
      </c>
      <c r="C72" s="57">
        <f>C69/1000/$C$98*1000*1000/$P$8*1000</f>
        <v>414.9983926</v>
      </c>
      <c r="D72" s="57">
        <f>D69/1000/$C$99*1000*1000/$P$8*1000</f>
        <v>456.1309364</v>
      </c>
      <c r="E72" s="57">
        <f t="shared" ref="E72:E73" si="14">$E$69/1000/$C$100*1000*1000/$P$8*1000</f>
        <v>497.6544972</v>
      </c>
      <c r="F72" s="57">
        <f t="shared" ref="F72:F73" si="15">$F$69/1000/$C$101*1000*1000/$P$8*1000</f>
        <v>552.0129438</v>
      </c>
      <c r="G72" s="57">
        <f t="shared" ref="G72:H72" si="13">G69/1000/$C$101*1000*1000/$P$8*1000</f>
        <v>556.771676</v>
      </c>
      <c r="H72" s="129">
        <f t="shared" si="13"/>
        <v>552.0129438</v>
      </c>
      <c r="I72" s="7"/>
      <c r="J72" s="7"/>
      <c r="K72" s="10"/>
      <c r="L72" s="10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ht="15.75" customHeight="1">
      <c r="A73" s="7"/>
      <c r="B73" s="110">
        <v>5000.0</v>
      </c>
      <c r="C73" s="57">
        <f>$C$69/1000/$C$98*1000*1000/$P$8*1000</f>
        <v>414.9983926</v>
      </c>
      <c r="D73" s="57">
        <f>$D$69/1000/$C$99*1000*1000/$P$8*1000</f>
        <v>456.1309364</v>
      </c>
      <c r="E73" s="57">
        <f t="shared" si="14"/>
        <v>497.6544972</v>
      </c>
      <c r="F73" s="57">
        <f t="shared" si="15"/>
        <v>552.0129438</v>
      </c>
      <c r="G73" s="57">
        <f t="shared" ref="G73:H73" si="16">G69/1000/$C$101*1000*1000/$P$8*1000</f>
        <v>556.771676</v>
      </c>
      <c r="H73" s="129">
        <f t="shared" si="16"/>
        <v>552.0129438</v>
      </c>
      <c r="I73" s="7"/>
      <c r="J73" s="7"/>
      <c r="K73" s="10"/>
      <c r="L73" s="10"/>
      <c r="M73" s="7"/>
      <c r="N73" s="7"/>
      <c r="O73" s="7"/>
      <c r="P73" s="82"/>
      <c r="Q73" s="7" t="s">
        <v>208</v>
      </c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ht="15.75" customHeight="1">
      <c r="A74" s="7"/>
      <c r="B74" s="110">
        <v>5000.0</v>
      </c>
      <c r="C74" s="57"/>
      <c r="D74" s="57"/>
      <c r="E74" s="57"/>
      <c r="F74" s="57"/>
      <c r="G74" s="57"/>
      <c r="H74" s="129"/>
      <c r="I74" s="7"/>
      <c r="J74" s="7"/>
      <c r="K74" s="10"/>
      <c r="L74" s="10"/>
      <c r="M74" s="7"/>
      <c r="N74" s="7"/>
      <c r="O74" s="7"/>
      <c r="P74" s="82"/>
      <c r="Q74" s="7" t="s">
        <v>208</v>
      </c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ht="15.75" customHeight="1">
      <c r="A75" s="7"/>
      <c r="B75" s="110">
        <v>2000.0</v>
      </c>
      <c r="C75" s="57">
        <f>B75*$C$72/$B$72</f>
        <v>165.999357</v>
      </c>
      <c r="D75" s="57">
        <f>B75*$D$72/$B$72</f>
        <v>182.4523746</v>
      </c>
      <c r="E75" s="57">
        <f>B75*$E$72/$B$72</f>
        <v>199.0617989</v>
      </c>
      <c r="F75" s="57">
        <f>B75*$F$72/$B$72</f>
        <v>220.8051775</v>
      </c>
      <c r="G75" s="57">
        <f>B75*$G$72/$B$72</f>
        <v>222.7086704</v>
      </c>
      <c r="H75" s="129">
        <f>B75*$H$72/$B$72</f>
        <v>220.8051775</v>
      </c>
      <c r="I75" s="7"/>
      <c r="J75" s="7"/>
      <c r="K75" s="10"/>
      <c r="L75" s="10"/>
      <c r="M75" s="7"/>
      <c r="N75" s="7"/>
      <c r="O75" s="7"/>
      <c r="P75" s="111"/>
      <c r="Q75" s="7" t="s">
        <v>258</v>
      </c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ht="15.75" customHeight="1">
      <c r="A76" s="7"/>
      <c r="B76" s="110">
        <v>2000.0</v>
      </c>
      <c r="C76" s="57">
        <f>B76*$C$73/$B$73</f>
        <v>165.999357</v>
      </c>
      <c r="D76" s="57">
        <f>B76*$D$73/$B$73</f>
        <v>182.4523746</v>
      </c>
      <c r="E76" s="57">
        <f>B76*$E$73/$B$73</f>
        <v>199.0617989</v>
      </c>
      <c r="F76" s="57">
        <f>B76*$F$73/$B$73</f>
        <v>220.8051775</v>
      </c>
      <c r="G76" s="57">
        <f>B76*$G$73/$B$73</f>
        <v>222.7086704</v>
      </c>
      <c r="H76" s="129">
        <f>B76*$H$73/$B$73</f>
        <v>220.8051775</v>
      </c>
      <c r="I76" s="7"/>
      <c r="J76" s="7"/>
      <c r="K76" s="10"/>
      <c r="L76" s="10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ht="15.75" customHeight="1">
      <c r="A77" s="7"/>
      <c r="B77" s="110">
        <v>2000.0</v>
      </c>
      <c r="C77" s="57"/>
      <c r="D77" s="57"/>
      <c r="E77" s="57"/>
      <c r="F77" s="57"/>
      <c r="G77" s="57"/>
      <c r="H77" s="129"/>
      <c r="I77" s="7"/>
      <c r="J77" s="7"/>
      <c r="K77" s="10"/>
      <c r="L77" s="10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ht="15.75" customHeight="1">
      <c r="A78" s="7"/>
      <c r="B78" s="110">
        <v>1000.0</v>
      </c>
      <c r="C78" s="57">
        <f>B78*$C$72/$B$72</f>
        <v>82.99967852</v>
      </c>
      <c r="D78" s="57">
        <f>B78*$D$72/$B$72</f>
        <v>91.22618728</v>
      </c>
      <c r="E78" s="57">
        <f>B78*$E$72/$B$72</f>
        <v>99.53089945</v>
      </c>
      <c r="F78" s="57">
        <f>B78*$F$72/$B$72</f>
        <v>110.4025888</v>
      </c>
      <c r="G78" s="57">
        <f>B78*$G$72/$B$72</f>
        <v>111.3543352</v>
      </c>
      <c r="H78" s="129">
        <f>B78*$H$72/$B$72</f>
        <v>110.4025888</v>
      </c>
      <c r="I78" s="7"/>
      <c r="J78" s="7"/>
      <c r="K78" s="10"/>
      <c r="L78" s="10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ht="15.75" customHeight="1">
      <c r="A79" s="7"/>
      <c r="B79" s="110">
        <v>1000.0</v>
      </c>
      <c r="C79" s="57">
        <f>B79*$C$73/$B$73</f>
        <v>82.99967852</v>
      </c>
      <c r="D79" s="57">
        <f>B79*$D$73/$B$73</f>
        <v>91.22618728</v>
      </c>
      <c r="E79" s="57">
        <f>B79*$E$73/$B$73</f>
        <v>99.53089945</v>
      </c>
      <c r="F79" s="57">
        <f>B79*$F$73/$B$73</f>
        <v>110.4025888</v>
      </c>
      <c r="G79" s="57">
        <f>B79*$G$73/$B$73</f>
        <v>111.3543352</v>
      </c>
      <c r="H79" s="129">
        <f>B79*$H$73/$B$73</f>
        <v>110.4025888</v>
      </c>
      <c r="I79" s="7"/>
      <c r="J79" s="7"/>
      <c r="K79" s="10"/>
      <c r="L79" s="10"/>
      <c r="M79" s="7"/>
      <c r="N79" s="7"/>
      <c r="O79" s="7"/>
      <c r="P79" s="7" t="s">
        <v>259</v>
      </c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ht="15.75" customHeight="1">
      <c r="A80" s="7"/>
      <c r="B80" s="110">
        <v>1000.0</v>
      </c>
      <c r="C80" s="57"/>
      <c r="D80" s="57"/>
      <c r="E80" s="57"/>
      <c r="F80" s="57"/>
      <c r="G80" s="57"/>
      <c r="H80" s="129"/>
      <c r="I80" s="7"/>
      <c r="J80" s="7"/>
      <c r="K80" s="10"/>
      <c r="L80" s="10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ht="15.75" customHeight="1">
      <c r="A81" s="7"/>
      <c r="B81" s="110">
        <v>200.0</v>
      </c>
      <c r="C81" s="57">
        <f>B81*$C$72/$B$72</f>
        <v>16.5999357</v>
      </c>
      <c r="D81" s="57">
        <f>B81*$D$72/$B$72</f>
        <v>18.24523746</v>
      </c>
      <c r="E81" s="57">
        <f>B81*$E$72/$B$72</f>
        <v>19.90617989</v>
      </c>
      <c r="F81" s="57">
        <f>B81*$F$72/$B$72</f>
        <v>22.08051775</v>
      </c>
      <c r="G81" s="57">
        <f>B81*$G$72/$B$72</f>
        <v>22.27086704</v>
      </c>
      <c r="H81" s="129">
        <f>B81*$H$72/$B$72</f>
        <v>22.08051775</v>
      </c>
      <c r="I81" s="7"/>
      <c r="J81" s="7"/>
      <c r="K81" s="10"/>
      <c r="L81" s="10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ht="15.75" customHeight="1">
      <c r="A82" s="7"/>
      <c r="B82" s="110">
        <v>200.0</v>
      </c>
      <c r="C82" s="57">
        <f>B82*$C$73/$B$73</f>
        <v>16.5999357</v>
      </c>
      <c r="D82" s="57">
        <f>B81*$D$72/$B$72</f>
        <v>18.24523746</v>
      </c>
      <c r="E82" s="57">
        <f>B82*$E$73/$B$73</f>
        <v>19.90617989</v>
      </c>
      <c r="F82" s="57">
        <f>B82*$F$73/$B$73</f>
        <v>22.08051775</v>
      </c>
      <c r="G82" s="57">
        <f>B82*$G$73/$B$73</f>
        <v>22.27086704</v>
      </c>
      <c r="H82" s="129">
        <f>B82*$H$73/$B$73</f>
        <v>22.08051775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ht="15.75" customHeight="1">
      <c r="A83" s="7"/>
      <c r="B83" s="110">
        <v>200.0</v>
      </c>
      <c r="C83" s="57"/>
      <c r="D83" s="57"/>
      <c r="E83" s="57"/>
      <c r="F83" s="57"/>
      <c r="G83" s="57"/>
      <c r="H83" s="129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ht="15.75" customHeight="1">
      <c r="A84" s="7"/>
      <c r="B84" s="110">
        <v>100.0</v>
      </c>
      <c r="C84" s="57">
        <f>B84*$C$72/$B$72</f>
        <v>8.299967852</v>
      </c>
      <c r="D84" s="57">
        <f>B84*$D$72/$B$72</f>
        <v>9.122618728</v>
      </c>
      <c r="E84" s="57">
        <f>B84*$E$72/$B$72</f>
        <v>9.953089945</v>
      </c>
      <c r="F84" s="57">
        <f>B84*$F$72/$B$72</f>
        <v>11.04025888</v>
      </c>
      <c r="G84" s="57">
        <f>B84*$G$72/$B$72</f>
        <v>11.13543352</v>
      </c>
      <c r="H84" s="129">
        <f>B84*$H$72/$B$72</f>
        <v>11.04025888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ht="15.75" customHeight="1">
      <c r="A85" s="7"/>
      <c r="B85" s="110">
        <v>100.0</v>
      </c>
      <c r="C85" s="57">
        <f>B85*$C$73/$B$73</f>
        <v>8.299967852</v>
      </c>
      <c r="D85" s="57">
        <f>B84*$D$73/$B$73</f>
        <v>9.122618728</v>
      </c>
      <c r="E85" s="57">
        <f>B85*$E$73/$B$73</f>
        <v>9.953089945</v>
      </c>
      <c r="F85" s="57">
        <f>B85*$F$73/$B$73</f>
        <v>11.04025888</v>
      </c>
      <c r="G85" s="57">
        <f>B85*$G$73/$B$73</f>
        <v>11.13543352</v>
      </c>
      <c r="H85" s="129">
        <f>B85*$H$73/$B$73</f>
        <v>11.04025888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ht="15.75" customHeight="1">
      <c r="A86" s="7"/>
      <c r="B86" s="110">
        <v>100.0</v>
      </c>
      <c r="C86" s="57"/>
      <c r="D86" s="57"/>
      <c r="E86" s="57"/>
      <c r="F86" s="57"/>
      <c r="G86" s="57"/>
      <c r="H86" s="129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ht="15.75" customHeight="1">
      <c r="A87" s="7"/>
      <c r="B87" s="110">
        <v>12.5</v>
      </c>
      <c r="C87" s="57">
        <f>B87*$C$72/$B$72</f>
        <v>1.037495982</v>
      </c>
      <c r="D87" s="57">
        <f>B87*$D$72/$B$72</f>
        <v>1.140327341</v>
      </c>
      <c r="E87" s="57">
        <f>B87*$E$72/$B$72</f>
        <v>1.244136243</v>
      </c>
      <c r="F87" s="57"/>
      <c r="G87" s="57">
        <f>B87*$G$72/$B$72</f>
        <v>1.39192919</v>
      </c>
      <c r="H87" s="129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ht="15.75" customHeight="1">
      <c r="A88" s="7"/>
      <c r="B88" s="110">
        <v>12.5</v>
      </c>
      <c r="C88" s="57">
        <f>B88*$C$73/$B$73</f>
        <v>1.037495982</v>
      </c>
      <c r="D88" s="57">
        <f>B88*$D$73/$B$73</f>
        <v>1.140327341</v>
      </c>
      <c r="E88" s="57">
        <f>B88*$E$73/$B$73</f>
        <v>1.244136243</v>
      </c>
      <c r="F88" s="57"/>
      <c r="G88" s="57">
        <f>B88*$G$73/$B$73</f>
        <v>1.39192919</v>
      </c>
      <c r="H88" s="129"/>
      <c r="I88" s="7"/>
      <c r="J88" s="7"/>
      <c r="K88" s="7"/>
      <c r="L88" s="7"/>
      <c r="M88" s="7"/>
      <c r="N88" s="7"/>
      <c r="O88" s="7"/>
      <c r="P88" s="7"/>
      <c r="Q88" s="7" t="s">
        <v>260</v>
      </c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ht="15.75" customHeight="1">
      <c r="A89" s="7"/>
      <c r="B89" s="112">
        <v>12.5</v>
      </c>
      <c r="C89" s="113"/>
      <c r="D89" s="113"/>
      <c r="E89" s="113"/>
      <c r="F89" s="113"/>
      <c r="G89" s="113"/>
      <c r="H89" s="130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ht="15.75" customHeight="1">
      <c r="A91" s="7"/>
      <c r="B91" s="97"/>
      <c r="C91" s="98" t="s">
        <v>34</v>
      </c>
      <c r="D91" s="98" t="s">
        <v>35</v>
      </c>
      <c r="E91" s="98" t="s">
        <v>36</v>
      </c>
      <c r="F91" s="98" t="s">
        <v>261</v>
      </c>
      <c r="G91" s="98" t="s">
        <v>262</v>
      </c>
      <c r="H91" s="99" t="s">
        <v>263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ht="15.75" customHeight="1">
      <c r="A92" s="7" t="s">
        <v>272</v>
      </c>
      <c r="B92" s="77" t="s">
        <v>264</v>
      </c>
      <c r="C92" s="115">
        <f t="shared" ref="C92:H92" si="17">SLOPE(C72:C89,C49:C66)</f>
        <v>0.07798024638</v>
      </c>
      <c r="D92" s="115">
        <f t="shared" si="17"/>
        <v>0.08207388535</v>
      </c>
      <c r="E92" s="116">
        <f t="shared" si="17"/>
        <v>0.00004314363451</v>
      </c>
      <c r="F92" s="116">
        <f t="shared" si="17"/>
        <v>0.001241342768</v>
      </c>
      <c r="G92" s="116">
        <f t="shared" si="17"/>
        <v>0.00002217732909</v>
      </c>
      <c r="H92" s="117">
        <f t="shared" si="17"/>
        <v>0.0001209742623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ht="15.75" customHeight="1">
      <c r="A93" s="7"/>
      <c r="B93" s="77" t="s">
        <v>265</v>
      </c>
      <c r="C93" s="115">
        <f t="shared" ref="C93:H93" si="18">INTERCEPT(C72:C89,C49:C66)</f>
        <v>20.78445148</v>
      </c>
      <c r="D93" s="115">
        <f t="shared" si="18"/>
        <v>13.3137724</v>
      </c>
      <c r="E93" s="115">
        <f t="shared" si="18"/>
        <v>0.1697379973</v>
      </c>
      <c r="F93" s="115">
        <f t="shared" si="18"/>
        <v>15.8703451</v>
      </c>
      <c r="G93" s="115">
        <f t="shared" si="18"/>
        <v>1.536850402</v>
      </c>
      <c r="H93" s="118">
        <f t="shared" si="18"/>
        <v>40.11877886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ht="15.75" customHeight="1">
      <c r="A94" s="7"/>
      <c r="B94" s="119" t="s">
        <v>266</v>
      </c>
      <c r="C94" s="120">
        <f t="shared" ref="C94:H94" si="19">RSQ(C72:C89,C49:C66)</f>
        <v>0.9772220532</v>
      </c>
      <c r="D94" s="120">
        <f t="shared" si="19"/>
        <v>0.993245963</v>
      </c>
      <c r="E94" s="120">
        <f t="shared" si="19"/>
        <v>0.9995746169</v>
      </c>
      <c r="F94" s="120">
        <f t="shared" si="19"/>
        <v>0.9883858557</v>
      </c>
      <c r="G94" s="120">
        <f t="shared" si="19"/>
        <v>0.9991254013</v>
      </c>
      <c r="H94" s="121">
        <f t="shared" si="19"/>
        <v>0.9823318245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ht="15.75" customHeight="1">
      <c r="A97" s="7"/>
      <c r="B97" s="105" t="s">
        <v>267</v>
      </c>
      <c r="C97" s="98" t="s">
        <v>268</v>
      </c>
      <c r="D97" s="99" t="s">
        <v>269</v>
      </c>
      <c r="E97" s="101" t="s">
        <v>274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ht="15.75" customHeight="1">
      <c r="A98" s="7"/>
      <c r="B98" s="36" t="s">
        <v>34</v>
      </c>
      <c r="C98" s="10">
        <v>342.17</v>
      </c>
      <c r="D98" s="122">
        <v>12.0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ht="15.75" customHeight="1">
      <c r="A99" s="7"/>
      <c r="B99" s="36" t="s">
        <v>35</v>
      </c>
      <c r="C99" s="10">
        <v>298.16</v>
      </c>
      <c r="D99" s="122">
        <v>11.0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ht="15.75" customHeight="1">
      <c r="A100" s="7"/>
      <c r="B100" s="36" t="s">
        <v>36</v>
      </c>
      <c r="C100" s="10">
        <v>245.15</v>
      </c>
      <c r="D100" s="122">
        <v>10.0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ht="15.75" customHeight="1">
      <c r="A101" s="7"/>
      <c r="B101" s="37" t="s">
        <v>37</v>
      </c>
      <c r="C101" s="90">
        <v>210.14</v>
      </c>
      <c r="D101" s="123">
        <v>9.0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</sheetData>
  <mergeCells count="8">
    <mergeCell ref="C2:H2"/>
    <mergeCell ref="I2:N2"/>
    <mergeCell ref="V19:V20"/>
    <mergeCell ref="W19:W20"/>
    <mergeCell ref="C47:H47"/>
    <mergeCell ref="I47:N47"/>
    <mergeCell ref="V70:V71"/>
    <mergeCell ref="W70:W71"/>
  </mergeCells>
  <hyperlinks>
    <hyperlink r:id="rId2" location="gid=62411718" ref="I18"/>
    <hyperlink r:id="rId3" location="gid=62411718" ref="E40"/>
    <hyperlink r:id="rId4" location="gid=62411718" ref="I69"/>
    <hyperlink r:id="rId5" location="gid=62411718" ref="E97"/>
  </hyperlinks>
  <printOptions/>
  <pageMargins bottom="0.75" footer="0.0" header="0.0" left="0.7" right="0.7" top="0.75"/>
  <pageSetup orientation="landscape"/>
  <drawing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2.63"/>
    <col customWidth="1" min="2" max="2" width="24.63"/>
    <col customWidth="1" min="3" max="5" width="12.63"/>
    <col customWidth="1" min="6" max="6" width="14.88"/>
    <col customWidth="1" min="7" max="7" width="15.88"/>
    <col customWidth="1" min="8" max="8" width="15.5"/>
    <col customWidth="1" min="9" max="9" width="14.5"/>
    <col customWidth="1" min="10" max="10" width="13.88"/>
    <col customWidth="1" min="12" max="12" width="15.38"/>
    <col customWidth="1" min="13" max="13" width="15.63"/>
    <col customWidth="1" min="14" max="14" width="15.88"/>
    <col customWidth="1" min="15" max="15" width="14.63"/>
    <col customWidth="1" min="16" max="16" width="15.63"/>
    <col customWidth="1" min="17" max="17" width="15.5"/>
    <col customWidth="1" min="18" max="18" width="14.5"/>
    <col customWidth="1" min="19" max="19" width="14.63"/>
    <col customWidth="1" min="20" max="20" width="14.13"/>
    <col customWidth="1" min="25" max="25" width="14.38"/>
    <col customWidth="1" min="26" max="26" width="14.88"/>
    <col customWidth="1" min="27" max="27" width="14.13"/>
    <col customWidth="1" min="31" max="37" width="17.13"/>
    <col customWidth="1" min="39" max="39" width="25.13"/>
    <col customWidth="1" min="43" max="43" width="18.38"/>
  </cols>
  <sheetData>
    <row r="1" ht="15.75" customHeight="1">
      <c r="A1" s="131" t="s">
        <v>275</v>
      </c>
      <c r="B1" s="7"/>
      <c r="C1" s="74" t="s">
        <v>212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132"/>
      <c r="AM1" s="7"/>
      <c r="AN1" s="7"/>
      <c r="AO1" s="7"/>
      <c r="AP1" s="132"/>
      <c r="AQ1" s="132"/>
      <c r="AR1" s="7"/>
      <c r="AS1" s="7"/>
      <c r="AT1" s="7"/>
    </row>
    <row r="2" ht="15.75" customHeight="1">
      <c r="A2" s="7"/>
      <c r="B2" s="7"/>
      <c r="C2" s="97"/>
      <c r="D2" s="133" t="s">
        <v>214</v>
      </c>
      <c r="E2" s="133" t="s">
        <v>215</v>
      </c>
      <c r="F2" s="134" t="s">
        <v>216</v>
      </c>
      <c r="G2" s="134" t="s">
        <v>217</v>
      </c>
      <c r="H2" s="134" t="s">
        <v>218</v>
      </c>
      <c r="I2" s="135" t="s">
        <v>219</v>
      </c>
      <c r="J2" s="18"/>
      <c r="K2" s="97"/>
      <c r="L2" s="133" t="s">
        <v>214</v>
      </c>
      <c r="M2" s="133" t="s">
        <v>215</v>
      </c>
      <c r="N2" s="134" t="s">
        <v>216</v>
      </c>
      <c r="O2" s="134" t="s">
        <v>217</v>
      </c>
      <c r="P2" s="134" t="s">
        <v>218</v>
      </c>
      <c r="Q2" s="135" t="s">
        <v>219</v>
      </c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132"/>
      <c r="AM2" s="7"/>
      <c r="AN2" s="7"/>
      <c r="AO2" s="7"/>
      <c r="AP2" s="132"/>
      <c r="AQ2" s="132"/>
      <c r="AR2" s="7"/>
      <c r="AS2" s="7"/>
      <c r="AT2" s="7"/>
    </row>
    <row r="3" ht="15.75" customHeight="1">
      <c r="A3" s="7"/>
      <c r="B3" s="7"/>
      <c r="C3" s="36" t="s">
        <v>276</v>
      </c>
      <c r="D3" s="136">
        <f>'River, Stream, Melt BPCA Calibr'!C35</f>
        <v>0.08484267721</v>
      </c>
      <c r="E3" s="136">
        <f>'River, Stream, Melt BPCA Calibr'!D35</f>
        <v>0.0875785493</v>
      </c>
      <c r="F3" s="137">
        <f>'River, Stream, Melt BPCA Calibr'!E35</f>
        <v>0.00008804855616</v>
      </c>
      <c r="G3" s="137">
        <f>'River, Stream, Melt BPCA Calibr'!F35</f>
        <v>0.001284500934</v>
      </c>
      <c r="H3" s="137">
        <f>'River, Stream, Melt BPCA Calibr'!G35</f>
        <v>0.00004236388517</v>
      </c>
      <c r="I3" s="138">
        <f>'River, Stream, Melt BPCA Calibr'!H35</f>
        <v>0.000419450828</v>
      </c>
      <c r="J3" s="18"/>
      <c r="K3" s="36" t="s">
        <v>276</v>
      </c>
      <c r="L3" s="136">
        <f>'River, Stream, Melt BPCA Calibr'!C92</f>
        <v>0.07798024638</v>
      </c>
      <c r="M3" s="136">
        <f>'River, Stream, Melt BPCA Calibr'!D92</f>
        <v>0.08207388535</v>
      </c>
      <c r="N3" s="136">
        <f>'River, Stream, Melt BPCA Calibr'!E92</f>
        <v>0.00004314363451</v>
      </c>
      <c r="O3" s="136">
        <f>'River, Stream, Melt BPCA Calibr'!F92</f>
        <v>0.001241342768</v>
      </c>
      <c r="P3" s="136">
        <f>'River, Stream, Melt BPCA Calibr'!G92</f>
        <v>0.00002217732909</v>
      </c>
      <c r="Q3" s="139">
        <f>'River, Stream, Melt BPCA Calibr'!H92</f>
        <v>0.0001209742623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32"/>
      <c r="AM3" s="7"/>
      <c r="AN3" s="7"/>
      <c r="AO3" s="7"/>
      <c r="AP3" s="132"/>
      <c r="AQ3" s="132"/>
      <c r="AR3" s="7"/>
      <c r="AS3" s="7"/>
      <c r="AT3" s="7"/>
    </row>
    <row r="4" ht="15.75" customHeight="1">
      <c r="A4" s="7"/>
      <c r="B4" s="7"/>
      <c r="C4" s="37" t="s">
        <v>277</v>
      </c>
      <c r="D4" s="140">
        <f>'River, Stream, Melt BPCA Calibr'!C36</f>
        <v>20.83285585</v>
      </c>
      <c r="E4" s="140">
        <f>'River, Stream, Melt BPCA Calibr'!D36</f>
        <v>12.55606084</v>
      </c>
      <c r="F4" s="140">
        <f>'River, Stream, Melt BPCA Calibr'!E36</f>
        <v>8.148890869</v>
      </c>
      <c r="G4" s="140">
        <f>'River, Stream, Melt BPCA Calibr'!F36</f>
        <v>3.525377816</v>
      </c>
      <c r="H4" s="140">
        <f>'River, Stream, Melt BPCA Calibr'!G36</f>
        <v>1.964248421</v>
      </c>
      <c r="I4" s="141">
        <f>'River, Stream, Melt BPCA Calibr'!H36</f>
        <v>10.17365399</v>
      </c>
      <c r="J4" s="18"/>
      <c r="K4" s="37" t="s">
        <v>277</v>
      </c>
      <c r="L4" s="140">
        <f>'River, Stream, Melt BPCA Calibr'!C93</f>
        <v>20.78445148</v>
      </c>
      <c r="M4" s="140">
        <f>'River, Stream, Melt BPCA Calibr'!D93</f>
        <v>13.3137724</v>
      </c>
      <c r="N4" s="140">
        <f>'River, Stream, Melt BPCA Calibr'!E93</f>
        <v>0.1697379973</v>
      </c>
      <c r="O4" s="140">
        <f>'River, Stream, Melt BPCA Calibr'!F93</f>
        <v>15.8703451</v>
      </c>
      <c r="P4" s="140">
        <f>'River, Stream, Melt BPCA Calibr'!G93</f>
        <v>1.536850402</v>
      </c>
      <c r="Q4" s="141">
        <f>'River, Stream, Melt BPCA Calibr'!H93</f>
        <v>40.11877886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132"/>
      <c r="AM4" s="7"/>
      <c r="AN4" s="7"/>
      <c r="AO4" s="7"/>
      <c r="AP4" s="132"/>
      <c r="AQ4" s="132"/>
      <c r="AR4" s="7"/>
      <c r="AS4" s="7"/>
      <c r="AT4" s="7"/>
    </row>
    <row r="5" ht="15.7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132"/>
      <c r="AM5" s="73"/>
      <c r="AN5" s="73"/>
      <c r="AO5" s="73"/>
      <c r="AP5" s="142"/>
      <c r="AQ5" s="142"/>
      <c r="AR5" s="73"/>
      <c r="AS5" s="73"/>
      <c r="AT5" s="7"/>
    </row>
    <row r="6" ht="15.75" customHeight="1">
      <c r="A6" s="7"/>
      <c r="B6" s="97"/>
      <c r="C6" s="143" t="s">
        <v>278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1"/>
      <c r="O6" s="5" t="s">
        <v>279</v>
      </c>
      <c r="P6" s="75"/>
      <c r="Q6" s="75"/>
      <c r="R6" s="75"/>
      <c r="S6" s="75"/>
      <c r="T6" s="75"/>
      <c r="U6" s="76"/>
      <c r="V6" s="24" t="s">
        <v>280</v>
      </c>
      <c r="W6" s="75"/>
      <c r="X6" s="75"/>
      <c r="Y6" s="75"/>
      <c r="Z6" s="75"/>
      <c r="AA6" s="75"/>
      <c r="AB6" s="76"/>
      <c r="AC6" s="24" t="s">
        <v>143</v>
      </c>
      <c r="AD6" s="75"/>
      <c r="AE6" s="75"/>
      <c r="AF6" s="75"/>
      <c r="AG6" s="75"/>
      <c r="AH6" s="75"/>
      <c r="AI6" s="75"/>
      <c r="AJ6" s="75"/>
      <c r="AK6" s="76"/>
      <c r="AL6" s="3"/>
      <c r="AM6" s="144"/>
      <c r="AN6" s="145" t="s">
        <v>281</v>
      </c>
      <c r="AO6" s="75"/>
      <c r="AP6" s="75"/>
      <c r="AQ6" s="75"/>
      <c r="AR6" s="75"/>
      <c r="AS6" s="76"/>
      <c r="AT6" s="132"/>
    </row>
    <row r="7" ht="15.75" customHeight="1">
      <c r="A7" s="7"/>
      <c r="B7" s="23" t="s">
        <v>0</v>
      </c>
      <c r="C7" s="3" t="s">
        <v>282</v>
      </c>
      <c r="D7" s="3" t="s">
        <v>283</v>
      </c>
      <c r="E7" s="3" t="s">
        <v>284</v>
      </c>
      <c r="F7" s="1" t="s">
        <v>285</v>
      </c>
      <c r="G7" s="1" t="s">
        <v>286</v>
      </c>
      <c r="H7" s="1" t="s">
        <v>287</v>
      </c>
      <c r="I7" s="146" t="s">
        <v>288</v>
      </c>
      <c r="J7" s="3" t="s">
        <v>289</v>
      </c>
      <c r="K7" s="3" t="s">
        <v>290</v>
      </c>
      <c r="L7" s="1" t="s">
        <v>291</v>
      </c>
      <c r="M7" s="1" t="s">
        <v>292</v>
      </c>
      <c r="N7" s="1" t="s">
        <v>293</v>
      </c>
      <c r="O7" s="24" t="s">
        <v>22</v>
      </c>
      <c r="P7" s="5" t="s">
        <v>23</v>
      </c>
      <c r="Q7" s="5" t="s">
        <v>24</v>
      </c>
      <c r="R7" s="133" t="s">
        <v>25</v>
      </c>
      <c r="S7" s="133" t="s">
        <v>26</v>
      </c>
      <c r="T7" s="133" t="s">
        <v>27</v>
      </c>
      <c r="U7" s="5" t="s">
        <v>28</v>
      </c>
      <c r="V7" s="24" t="s">
        <v>22</v>
      </c>
      <c r="W7" s="5" t="s">
        <v>23</v>
      </c>
      <c r="X7" s="5" t="s">
        <v>24</v>
      </c>
      <c r="Y7" s="133" t="s">
        <v>25</v>
      </c>
      <c r="Z7" s="133" t="s">
        <v>26</v>
      </c>
      <c r="AA7" s="133" t="s">
        <v>27</v>
      </c>
      <c r="AB7" s="26" t="s">
        <v>28</v>
      </c>
      <c r="AC7" s="24" t="s">
        <v>22</v>
      </c>
      <c r="AD7" s="5" t="s">
        <v>23</v>
      </c>
      <c r="AE7" s="5" t="s">
        <v>24</v>
      </c>
      <c r="AF7" s="133" t="s">
        <v>25</v>
      </c>
      <c r="AG7" s="133" t="s">
        <v>26</v>
      </c>
      <c r="AH7" s="133" t="s">
        <v>27</v>
      </c>
      <c r="AI7" s="5" t="s">
        <v>28</v>
      </c>
      <c r="AJ7" s="5" t="s">
        <v>41</v>
      </c>
      <c r="AK7" s="26" t="s">
        <v>42</v>
      </c>
      <c r="AL7" s="147"/>
      <c r="AM7" s="105" t="s">
        <v>0</v>
      </c>
      <c r="AN7" s="105" t="s">
        <v>294</v>
      </c>
      <c r="AO7" s="148" t="s">
        <v>295</v>
      </c>
      <c r="AP7" s="98" t="s">
        <v>296</v>
      </c>
      <c r="AQ7" s="149" t="s">
        <v>297</v>
      </c>
      <c r="AR7" s="149" t="s">
        <v>196</v>
      </c>
      <c r="AS7" s="99" t="s">
        <v>192</v>
      </c>
      <c r="AT7" s="7"/>
    </row>
    <row r="8" ht="15.75" customHeight="1">
      <c r="A8" s="7"/>
      <c r="B8" s="42" t="s">
        <v>99</v>
      </c>
      <c r="C8" s="80">
        <v>13.5</v>
      </c>
      <c r="D8" s="80">
        <v>13.7</v>
      </c>
      <c r="E8" s="80">
        <v>11095.27</v>
      </c>
      <c r="F8" s="89">
        <v>3586.76</v>
      </c>
      <c r="G8" s="89">
        <v>48546.47</v>
      </c>
      <c r="H8" s="89">
        <v>102684.42</v>
      </c>
      <c r="I8" s="150">
        <v>1.621</v>
      </c>
      <c r="J8" s="89">
        <v>2.812</v>
      </c>
      <c r="K8" s="80">
        <v>0.866</v>
      </c>
      <c r="L8" s="80">
        <v>2.393</v>
      </c>
      <c r="M8" s="80">
        <v>1.635</v>
      </c>
      <c r="N8" s="80">
        <v>2.744</v>
      </c>
      <c r="O8" s="151">
        <f t="shared" ref="O8:O15" si="1">C8*$D$3+$D$4</f>
        <v>21.97823199</v>
      </c>
      <c r="P8" s="152">
        <f t="shared" ref="P8:P15" si="2">D8*$E$3+$E$4</f>
        <v>13.75588696</v>
      </c>
      <c r="Q8" s="152"/>
      <c r="R8" s="152"/>
      <c r="S8" s="152">
        <f t="shared" ref="S8:S15" si="3">(G8*$H$3+$H$4)</f>
        <v>4.020865501</v>
      </c>
      <c r="T8" s="152">
        <f t="shared" ref="T8:T15" si="4">(H8*$I$3+$I$4)</f>
        <v>53.24471898</v>
      </c>
      <c r="U8" s="152">
        <f t="shared" ref="U8:U15" si="5">SUM(R8:T8)</f>
        <v>57.26558448</v>
      </c>
      <c r="V8" s="151">
        <f t="shared" ref="V8:V16" si="6">O8*AP8/AQ8</f>
        <v>0.2401992567</v>
      </c>
      <c r="W8" s="152">
        <f t="shared" ref="W8:W16" si="7">P8*AP8/AQ8</f>
        <v>0.1503375624</v>
      </c>
      <c r="X8" s="152"/>
      <c r="Y8" s="152"/>
      <c r="Z8" s="152">
        <f t="shared" ref="Z8:Z15" si="8">S8*AP8/AQ8</f>
        <v>0.04394388526</v>
      </c>
      <c r="AA8" s="152">
        <f t="shared" ref="AA8:AA15" si="9">T8*AP8/AQ8</f>
        <v>0.581909497</v>
      </c>
      <c r="AB8" s="153">
        <f t="shared" ref="AB8:AB15" si="10">U8*AP8/AQ8</f>
        <v>0.6258533823</v>
      </c>
      <c r="AC8" s="151">
        <f t="shared" ref="AC8:AC16" si="11">V8*AR8/AS8</f>
        <v>0.002610657561</v>
      </c>
      <c r="AD8" s="152">
        <f t="shared" ref="AD8:AD16" si="12">W8*AR8/AS8</f>
        <v>0.001633976305</v>
      </c>
      <c r="AE8" s="152"/>
      <c r="AF8" s="152"/>
      <c r="AG8" s="152">
        <f t="shared" ref="AG8:AG15" si="13">Z8*AP8/AQ8</f>
        <v>0.0004802610411</v>
      </c>
      <c r="AH8" s="152">
        <f t="shared" ref="AH8:AH15" si="14">AA8*AP8/AQ8</f>
        <v>0.006359666634</v>
      </c>
      <c r="AI8" s="152">
        <f t="shared" ref="AI8:AI15" si="15">AB8*AP8/AQ8</f>
        <v>0.006839927675</v>
      </c>
      <c r="AJ8" s="152">
        <f t="shared" ref="AJ8:AJ16" si="16">AC8+AD8</f>
        <v>0.004244633866</v>
      </c>
      <c r="AK8" s="153">
        <f t="shared" ref="AK8:AK15" si="17">AE8+AI8</f>
        <v>0.006839927675</v>
      </c>
      <c r="AL8" s="152"/>
      <c r="AM8" s="32" t="s">
        <v>99</v>
      </c>
      <c r="AN8" s="151">
        <f t="shared" ref="AN8:AN16" si="18">AO8/12*1000</f>
        <v>45.28333333</v>
      </c>
      <c r="AO8" s="154">
        <f>'River, Stream, Melt PPL'!F2</f>
        <v>0.5434</v>
      </c>
      <c r="AP8" s="155">
        <v>0.1</v>
      </c>
      <c r="AQ8" s="155">
        <f>'River, Stream, Melt PPL'!V2</f>
        <v>9.15</v>
      </c>
      <c r="AR8" s="154">
        <f>'River, Stream, Melt PPL'!J2</f>
        <v>9.34709596</v>
      </c>
      <c r="AS8" s="156">
        <f>'River, Stream, Melt PPL'!E2</f>
        <v>860</v>
      </c>
      <c r="AT8" s="7"/>
    </row>
    <row r="9" ht="15.75" customHeight="1">
      <c r="A9" s="7"/>
      <c r="B9" s="42" t="s">
        <v>90</v>
      </c>
      <c r="C9" s="80">
        <v>225.2</v>
      </c>
      <c r="D9" s="80">
        <v>408.6</v>
      </c>
      <c r="E9" s="82">
        <v>332623.43</v>
      </c>
      <c r="F9" s="126">
        <v>11101.74</v>
      </c>
      <c r="G9" s="126">
        <v>909499.37</v>
      </c>
      <c r="H9" s="126">
        <v>380921.68</v>
      </c>
      <c r="I9" s="150">
        <v>1.59</v>
      </c>
      <c r="J9" s="89">
        <v>3.033</v>
      </c>
      <c r="K9" s="82">
        <v>0.82</v>
      </c>
      <c r="L9" s="82">
        <v>2.472</v>
      </c>
      <c r="M9" s="82">
        <v>1.601</v>
      </c>
      <c r="N9" s="82">
        <v>2.755</v>
      </c>
      <c r="O9" s="151">
        <f t="shared" si="1"/>
        <v>39.93942676</v>
      </c>
      <c r="P9" s="152">
        <f t="shared" si="2"/>
        <v>48.34065608</v>
      </c>
      <c r="Q9" s="152">
        <f t="shared" ref="Q9:Q15" si="19">E9*$F$3+$F$4</f>
        <v>37.43590363</v>
      </c>
      <c r="R9" s="152">
        <f>(F9*$G$3+$G$4)</f>
        <v>17.78557321</v>
      </c>
      <c r="S9" s="152">
        <f t="shared" si="3"/>
        <v>40.49417529</v>
      </c>
      <c r="T9" s="152">
        <f t="shared" si="4"/>
        <v>169.9515681</v>
      </c>
      <c r="U9" s="152">
        <f t="shared" si="5"/>
        <v>228.2313166</v>
      </c>
      <c r="V9" s="151">
        <f t="shared" si="6"/>
        <v>0.4317775866</v>
      </c>
      <c r="W9" s="152">
        <f t="shared" si="7"/>
        <v>0.5226016874</v>
      </c>
      <c r="X9" s="152">
        <f t="shared" ref="X9:X15" si="20">Q9*AP9/AQ9</f>
        <v>0.4047124716</v>
      </c>
      <c r="Y9" s="152">
        <f>R9*AP9/AQ9</f>
        <v>0.1922764672</v>
      </c>
      <c r="Z9" s="152">
        <f t="shared" si="8"/>
        <v>0.437774868</v>
      </c>
      <c r="AA9" s="152">
        <f t="shared" si="9"/>
        <v>1.837314249</v>
      </c>
      <c r="AB9" s="153">
        <f t="shared" si="10"/>
        <v>2.467365584</v>
      </c>
      <c r="AC9" s="151">
        <f t="shared" si="11"/>
        <v>0.004277815792</v>
      </c>
      <c r="AD9" s="152">
        <f t="shared" si="12"/>
        <v>0.005177651228</v>
      </c>
      <c r="AE9" s="152">
        <f t="shared" ref="AE9:AE15" si="21">X9*AR9/AS9</f>
        <v>0.00400966946</v>
      </c>
      <c r="AF9" s="152">
        <f>Y9*AP9/AQ9</f>
        <v>0.00207866451</v>
      </c>
      <c r="AG9" s="152">
        <f t="shared" si="13"/>
        <v>0.004732701276</v>
      </c>
      <c r="AH9" s="152">
        <f t="shared" si="14"/>
        <v>0.01986285675</v>
      </c>
      <c r="AI9" s="152">
        <f t="shared" si="15"/>
        <v>0.02667422253</v>
      </c>
      <c r="AJ9" s="152">
        <f t="shared" si="16"/>
        <v>0.00945546702</v>
      </c>
      <c r="AK9" s="153">
        <f t="shared" si="17"/>
        <v>0.03068389199</v>
      </c>
      <c r="AL9" s="152"/>
      <c r="AM9" s="32" t="s">
        <v>90</v>
      </c>
      <c r="AN9" s="151">
        <f t="shared" si="18"/>
        <v>45.38333333</v>
      </c>
      <c r="AO9" s="154">
        <f>'River, Stream, Melt PPL'!F3</f>
        <v>0.5446</v>
      </c>
      <c r="AP9" s="155">
        <v>0.1</v>
      </c>
      <c r="AQ9" s="155">
        <f>'River, Stream, Melt PPL'!V3</f>
        <v>9.25</v>
      </c>
      <c r="AR9" s="154">
        <f>'River, Stream, Melt PPL'!J3</f>
        <v>9.313005051</v>
      </c>
      <c r="AS9" s="156">
        <f>'River, Stream, Melt PPL'!E3</f>
        <v>940</v>
      </c>
      <c r="AT9" s="7"/>
    </row>
    <row r="10" ht="15.75" customHeight="1">
      <c r="A10" s="7"/>
      <c r="B10" s="42" t="s">
        <v>86</v>
      </c>
      <c r="C10" s="80">
        <v>160.0</v>
      </c>
      <c r="D10" s="80">
        <v>980.7</v>
      </c>
      <c r="E10" s="80">
        <v>57256.18</v>
      </c>
      <c r="F10" s="126"/>
      <c r="G10" s="89">
        <v>246251.34</v>
      </c>
      <c r="H10" s="126">
        <v>10866.37</v>
      </c>
      <c r="I10" s="150">
        <v>1.597</v>
      </c>
      <c r="J10" s="89">
        <v>2.749</v>
      </c>
      <c r="K10" s="80">
        <v>0.85</v>
      </c>
      <c r="L10" s="82"/>
      <c r="M10" s="80">
        <v>1.605</v>
      </c>
      <c r="N10" s="82">
        <v>2.748</v>
      </c>
      <c r="O10" s="151">
        <f t="shared" si="1"/>
        <v>34.4076842</v>
      </c>
      <c r="P10" s="152">
        <f t="shared" si="2"/>
        <v>98.44434414</v>
      </c>
      <c r="Q10" s="152">
        <f t="shared" si="19"/>
        <v>13.19021485</v>
      </c>
      <c r="R10" s="152"/>
      <c r="S10" s="152">
        <f t="shared" si="3"/>
        <v>12.39641191</v>
      </c>
      <c r="T10" s="152">
        <f t="shared" si="4"/>
        <v>14.73156188</v>
      </c>
      <c r="U10" s="152">
        <f t="shared" si="5"/>
        <v>27.12797379</v>
      </c>
      <c r="V10" s="151">
        <f t="shared" si="6"/>
        <v>0.3770705118</v>
      </c>
      <c r="W10" s="152">
        <f t="shared" si="7"/>
        <v>1.078842128</v>
      </c>
      <c r="X10" s="152">
        <f t="shared" si="20"/>
        <v>0.1445502997</v>
      </c>
      <c r="Y10" s="152"/>
      <c r="Z10" s="152">
        <f t="shared" si="8"/>
        <v>0.1358510894</v>
      </c>
      <c r="AA10" s="152">
        <f t="shared" si="9"/>
        <v>0.161441774</v>
      </c>
      <c r="AB10" s="153">
        <f t="shared" si="10"/>
        <v>0.2972928635</v>
      </c>
      <c r="AC10" s="151">
        <f t="shared" si="11"/>
        <v>0.004225786215</v>
      </c>
      <c r="AD10" s="152">
        <f t="shared" si="12"/>
        <v>0.01209046066</v>
      </c>
      <c r="AE10" s="152">
        <f t="shared" si="21"/>
        <v>0.00161995872</v>
      </c>
      <c r="AF10" s="152"/>
      <c r="AG10" s="152">
        <f t="shared" si="13"/>
        <v>0.001488779062</v>
      </c>
      <c r="AH10" s="152">
        <f t="shared" si="14"/>
        <v>0.001769224921</v>
      </c>
      <c r="AI10" s="152">
        <f t="shared" si="15"/>
        <v>0.003258003983</v>
      </c>
      <c r="AJ10" s="152">
        <f t="shared" si="16"/>
        <v>0.01631624688</v>
      </c>
      <c r="AK10" s="153">
        <f t="shared" si="17"/>
        <v>0.004877962704</v>
      </c>
      <c r="AL10" s="152"/>
      <c r="AM10" s="32" t="s">
        <v>86</v>
      </c>
      <c r="AN10" s="151">
        <f t="shared" si="18"/>
        <v>15.575</v>
      </c>
      <c r="AO10" s="154">
        <f>'River, Stream, Melt PPL'!F4</f>
        <v>0.1869</v>
      </c>
      <c r="AP10" s="155">
        <v>0.1</v>
      </c>
      <c r="AQ10" s="155">
        <f>'River, Stream, Melt PPL'!V4</f>
        <v>9.125</v>
      </c>
      <c r="AR10" s="154">
        <f>'River, Stream, Melt PPL'!J4</f>
        <v>9.189646465</v>
      </c>
      <c r="AS10" s="156">
        <f>'River, Stream, Melt PPL'!E4</f>
        <v>820</v>
      </c>
      <c r="AT10" s="7"/>
    </row>
    <row r="11" ht="15.75" customHeight="1">
      <c r="A11" s="7"/>
      <c r="B11" s="42" t="s">
        <v>104</v>
      </c>
      <c r="C11" s="80">
        <v>73.7</v>
      </c>
      <c r="D11" s="80">
        <v>777.1</v>
      </c>
      <c r="E11" s="80">
        <v>45390.17</v>
      </c>
      <c r="F11" s="126">
        <v>3742.48</v>
      </c>
      <c r="G11" s="89">
        <v>183599.41</v>
      </c>
      <c r="H11" s="89">
        <v>9627.88</v>
      </c>
      <c r="I11" s="150">
        <v>1.59</v>
      </c>
      <c r="J11" s="89">
        <v>2.752</v>
      </c>
      <c r="K11" s="80">
        <v>0.87</v>
      </c>
      <c r="L11" s="82">
        <v>2.372</v>
      </c>
      <c r="M11" s="80">
        <v>1.603</v>
      </c>
      <c r="N11" s="80">
        <v>2.723</v>
      </c>
      <c r="O11" s="151">
        <f t="shared" si="1"/>
        <v>27.08576116</v>
      </c>
      <c r="P11" s="152">
        <f t="shared" si="2"/>
        <v>80.6133515</v>
      </c>
      <c r="Q11" s="152">
        <f t="shared" si="19"/>
        <v>12.1454298</v>
      </c>
      <c r="R11" s="152"/>
      <c r="S11" s="152">
        <f t="shared" si="3"/>
        <v>9.742232743</v>
      </c>
      <c r="T11" s="152">
        <f t="shared" si="4"/>
        <v>14.21207622</v>
      </c>
      <c r="U11" s="152">
        <f t="shared" si="5"/>
        <v>23.95430897</v>
      </c>
      <c r="V11" s="151">
        <f t="shared" si="6"/>
        <v>0.2904639267</v>
      </c>
      <c r="W11" s="152">
        <f t="shared" si="7"/>
        <v>0.8644863432</v>
      </c>
      <c r="X11" s="152">
        <f t="shared" si="20"/>
        <v>0.130245896</v>
      </c>
      <c r="Y11" s="152"/>
      <c r="Z11" s="152">
        <f t="shared" si="8"/>
        <v>0.1044743458</v>
      </c>
      <c r="AA11" s="152">
        <f t="shared" si="9"/>
        <v>0.1524083241</v>
      </c>
      <c r="AB11" s="153">
        <f t="shared" si="10"/>
        <v>0.2568826699</v>
      </c>
      <c r="AC11" s="151">
        <f t="shared" si="11"/>
        <v>0.003225380468</v>
      </c>
      <c r="AD11" s="152">
        <f t="shared" si="12"/>
        <v>0.009599461794</v>
      </c>
      <c r="AE11" s="152">
        <f t="shared" si="21"/>
        <v>0.001446281381</v>
      </c>
      <c r="AF11" s="152"/>
      <c r="AG11" s="152">
        <f t="shared" si="13"/>
        <v>0.001120368319</v>
      </c>
      <c r="AH11" s="152">
        <f t="shared" si="14"/>
        <v>0.001634405621</v>
      </c>
      <c r="AI11" s="152">
        <f t="shared" si="15"/>
        <v>0.00275477394</v>
      </c>
      <c r="AJ11" s="152">
        <f t="shared" si="16"/>
        <v>0.01282484226</v>
      </c>
      <c r="AK11" s="153">
        <f t="shared" si="17"/>
        <v>0.004201055321</v>
      </c>
      <c r="AL11" s="152"/>
      <c r="AM11" s="32" t="s">
        <v>104</v>
      </c>
      <c r="AN11" s="151">
        <f t="shared" si="18"/>
        <v>7.5</v>
      </c>
      <c r="AO11" s="154" t="str">
        <f>'River, Stream, Melt PPL'!F5</f>
        <v>0.09</v>
      </c>
      <c r="AP11" s="155">
        <v>0.1</v>
      </c>
      <c r="AQ11" s="155">
        <f>'River, Stream, Melt PPL'!V5</f>
        <v>9.325</v>
      </c>
      <c r="AR11" s="154">
        <f>'River, Stream, Melt PPL'!J5</f>
        <v>9.383080808</v>
      </c>
      <c r="AS11" s="156">
        <f>'River, Stream, Melt PPL'!E5</f>
        <v>845</v>
      </c>
      <c r="AT11" s="7"/>
    </row>
    <row r="12" ht="15.75" customHeight="1">
      <c r="A12" s="7"/>
      <c r="B12" s="42" t="s">
        <v>95</v>
      </c>
      <c r="C12" s="80">
        <v>601.2</v>
      </c>
      <c r="D12" s="80">
        <v>794.2</v>
      </c>
      <c r="E12" s="80">
        <v>123317.58</v>
      </c>
      <c r="F12" s="126">
        <v>9739.85</v>
      </c>
      <c r="G12" s="89">
        <v>318649.65</v>
      </c>
      <c r="H12" s="89">
        <v>272155.46</v>
      </c>
      <c r="I12" s="150">
        <v>1.581</v>
      </c>
      <c r="J12" s="89">
        <v>3.03</v>
      </c>
      <c r="K12" s="80">
        <v>0.837</v>
      </c>
      <c r="L12" s="82">
        <v>2.331</v>
      </c>
      <c r="M12" s="80">
        <v>1.607</v>
      </c>
      <c r="N12" s="80">
        <v>2.761</v>
      </c>
      <c r="O12" s="151">
        <f t="shared" si="1"/>
        <v>71.84027339</v>
      </c>
      <c r="P12" s="152">
        <f t="shared" si="2"/>
        <v>82.1109447</v>
      </c>
      <c r="Q12" s="152">
        <f t="shared" si="19"/>
        <v>19.00682574</v>
      </c>
      <c r="R12" s="152">
        <f>(F12*$G$3+$G$4)</f>
        <v>16.03622423</v>
      </c>
      <c r="S12" s="152">
        <f t="shared" si="3"/>
        <v>15.4634856</v>
      </c>
      <c r="T12" s="152">
        <f t="shared" si="4"/>
        <v>124.329487</v>
      </c>
      <c r="U12" s="152">
        <f t="shared" si="5"/>
        <v>155.8291969</v>
      </c>
      <c r="V12" s="151">
        <f t="shared" si="6"/>
        <v>0.7766516042</v>
      </c>
      <c r="W12" s="152">
        <f t="shared" si="7"/>
        <v>0.8876858886</v>
      </c>
      <c r="X12" s="152">
        <f t="shared" si="20"/>
        <v>0.2054791972</v>
      </c>
      <c r="Y12" s="152">
        <f>R12*AP12/AQ12</f>
        <v>0.1733645863</v>
      </c>
      <c r="Z12" s="152">
        <f t="shared" si="8"/>
        <v>0.1671728173</v>
      </c>
      <c r="AA12" s="152">
        <f t="shared" si="9"/>
        <v>1.344102562</v>
      </c>
      <c r="AB12" s="153">
        <f t="shared" si="10"/>
        <v>1.684639966</v>
      </c>
      <c r="AC12" s="151">
        <f t="shared" si="11"/>
        <v>0.00973112938</v>
      </c>
      <c r="AD12" s="152">
        <f t="shared" si="12"/>
        <v>0.0111223439</v>
      </c>
      <c r="AE12" s="152">
        <f t="shared" si="21"/>
        <v>0.002574570942</v>
      </c>
      <c r="AF12" s="152">
        <f>Y12*AP12/AQ12</f>
        <v>0.001874211744</v>
      </c>
      <c r="AG12" s="152">
        <f t="shared" si="13"/>
        <v>0.001807273701</v>
      </c>
      <c r="AH12" s="152">
        <f t="shared" si="14"/>
        <v>0.01453083851</v>
      </c>
      <c r="AI12" s="152">
        <f t="shared" si="15"/>
        <v>0.01821232396</v>
      </c>
      <c r="AJ12" s="152">
        <f t="shared" si="16"/>
        <v>0.02085347328</v>
      </c>
      <c r="AK12" s="153">
        <f t="shared" si="17"/>
        <v>0.0207868949</v>
      </c>
      <c r="AL12" s="152"/>
      <c r="AM12" s="32" t="s">
        <v>95</v>
      </c>
      <c r="AN12" s="151">
        <f t="shared" si="18"/>
        <v>24.16666667</v>
      </c>
      <c r="AO12" s="154" t="str">
        <f>'River, Stream, Melt PPL'!F6</f>
        <v>0.29</v>
      </c>
      <c r="AP12" s="155">
        <v>0.1</v>
      </c>
      <c r="AQ12" s="155">
        <f>'River, Stream, Melt PPL'!V6</f>
        <v>9.25</v>
      </c>
      <c r="AR12" s="154">
        <f>'River, Stream, Melt PPL'!J6</f>
        <v>9.328282828</v>
      </c>
      <c r="AS12" s="156">
        <f>'River, Stream, Melt PPL'!E6</f>
        <v>744.5</v>
      </c>
      <c r="AT12" s="7"/>
    </row>
    <row r="13" ht="15.75" customHeight="1">
      <c r="A13" s="7"/>
      <c r="B13" s="41" t="s">
        <v>121</v>
      </c>
      <c r="C13" s="80">
        <v>118.8</v>
      </c>
      <c r="D13" s="80">
        <v>155.2</v>
      </c>
      <c r="E13" s="80">
        <v>47284.64</v>
      </c>
      <c r="F13" s="89"/>
      <c r="G13" s="89">
        <v>254901.06</v>
      </c>
      <c r="H13" s="89">
        <v>356262.88</v>
      </c>
      <c r="I13" s="150">
        <v>1.593</v>
      </c>
      <c r="J13" s="89">
        <v>3.048</v>
      </c>
      <c r="K13" s="80">
        <v>0.85</v>
      </c>
      <c r="L13" s="80"/>
      <c r="M13" s="80">
        <v>1.608</v>
      </c>
      <c r="N13" s="80">
        <v>2.751</v>
      </c>
      <c r="O13" s="151">
        <f t="shared" si="1"/>
        <v>30.9121659</v>
      </c>
      <c r="P13" s="152">
        <f t="shared" si="2"/>
        <v>26.14825169</v>
      </c>
      <c r="Q13" s="152">
        <f t="shared" si="19"/>
        <v>12.31223515</v>
      </c>
      <c r="R13" s="152"/>
      <c r="S13" s="152">
        <f t="shared" si="3"/>
        <v>12.76284766</v>
      </c>
      <c r="T13" s="152">
        <f t="shared" si="4"/>
        <v>159.608414</v>
      </c>
      <c r="U13" s="152">
        <f t="shared" si="5"/>
        <v>172.3712616</v>
      </c>
      <c r="V13" s="151">
        <f t="shared" si="6"/>
        <v>0.3378378787</v>
      </c>
      <c r="W13" s="152">
        <f t="shared" si="7"/>
        <v>0.2857732425</v>
      </c>
      <c r="X13" s="152">
        <f t="shared" si="20"/>
        <v>0.134559947</v>
      </c>
      <c r="Y13" s="152"/>
      <c r="Z13" s="152">
        <f t="shared" si="8"/>
        <v>0.1394846738</v>
      </c>
      <c r="AA13" s="152">
        <f t="shared" si="9"/>
        <v>1.744354251</v>
      </c>
      <c r="AB13" s="153">
        <f t="shared" si="10"/>
        <v>1.883838925</v>
      </c>
      <c r="AC13" s="151">
        <f t="shared" si="11"/>
        <v>0.004135853661</v>
      </c>
      <c r="AD13" s="152">
        <f t="shared" si="12"/>
        <v>0.003498471858</v>
      </c>
      <c r="AE13" s="152">
        <f t="shared" si="21"/>
        <v>0.001647299739</v>
      </c>
      <c r="AF13" s="152"/>
      <c r="AG13" s="152">
        <f t="shared" si="13"/>
        <v>0.001524422665</v>
      </c>
      <c r="AH13" s="152">
        <f t="shared" si="14"/>
        <v>0.01906398089</v>
      </c>
      <c r="AI13" s="152">
        <f t="shared" si="15"/>
        <v>0.02058840355</v>
      </c>
      <c r="AJ13" s="152">
        <f t="shared" si="16"/>
        <v>0.007634325519</v>
      </c>
      <c r="AK13" s="153">
        <f t="shared" si="17"/>
        <v>0.02223570329</v>
      </c>
      <c r="AL13" s="152"/>
      <c r="AM13" s="36" t="s">
        <v>121</v>
      </c>
      <c r="AN13" s="151">
        <f t="shared" si="18"/>
        <v>22.95</v>
      </c>
      <c r="AO13" s="154">
        <f>'River, Stream, Melt PPL'!F7</f>
        <v>0.2754</v>
      </c>
      <c r="AP13" s="155">
        <v>0.1</v>
      </c>
      <c r="AQ13" s="155">
        <f>'River, Stream, Melt PPL'!V7</f>
        <v>9.15</v>
      </c>
      <c r="AR13" s="154">
        <f>'River, Stream, Melt PPL'!J7</f>
        <v>9.102020202</v>
      </c>
      <c r="AS13" s="156">
        <f>'River, Stream, Melt PPL'!E7</f>
        <v>743.5</v>
      </c>
      <c r="AT13" s="7"/>
    </row>
    <row r="14" ht="15.75" customHeight="1">
      <c r="A14" s="7"/>
      <c r="B14" s="41" t="s">
        <v>127</v>
      </c>
      <c r="C14" s="80">
        <v>202.2</v>
      </c>
      <c r="D14" s="80">
        <v>204.1</v>
      </c>
      <c r="E14" s="80">
        <v>27131.25</v>
      </c>
      <c r="F14" s="126"/>
      <c r="G14" s="89">
        <v>138234.9</v>
      </c>
      <c r="H14" s="126">
        <v>195050.58</v>
      </c>
      <c r="I14" s="150">
        <v>1.597</v>
      </c>
      <c r="J14" s="89">
        <v>3.052</v>
      </c>
      <c r="K14" s="80">
        <v>0.84</v>
      </c>
      <c r="L14" s="82"/>
      <c r="M14" s="80">
        <v>1.617</v>
      </c>
      <c r="N14" s="82">
        <v>2.749</v>
      </c>
      <c r="O14" s="151">
        <f t="shared" si="1"/>
        <v>37.98804518</v>
      </c>
      <c r="P14" s="152">
        <f t="shared" si="2"/>
        <v>30.43084275</v>
      </c>
      <c r="Q14" s="152">
        <f t="shared" si="19"/>
        <v>10.53775826</v>
      </c>
      <c r="R14" s="152"/>
      <c r="S14" s="152">
        <f t="shared" si="3"/>
        <v>7.820415851</v>
      </c>
      <c r="T14" s="152">
        <f t="shared" si="4"/>
        <v>91.98778126</v>
      </c>
      <c r="U14" s="152">
        <f t="shared" si="5"/>
        <v>99.80819711</v>
      </c>
      <c r="V14" s="151">
        <f t="shared" si="6"/>
        <v>0.4019898961</v>
      </c>
      <c r="W14" s="152">
        <f t="shared" si="7"/>
        <v>0.3220195</v>
      </c>
      <c r="X14" s="152">
        <f t="shared" si="20"/>
        <v>0.1115106694</v>
      </c>
      <c r="Y14" s="152"/>
      <c r="Z14" s="152">
        <f t="shared" si="8"/>
        <v>0.08275572329</v>
      </c>
      <c r="AA14" s="152">
        <f t="shared" si="9"/>
        <v>0.9734156747</v>
      </c>
      <c r="AB14" s="153">
        <f t="shared" si="10"/>
        <v>1.056171398</v>
      </c>
      <c r="AC14" s="151">
        <f t="shared" si="11"/>
        <v>0.004660248708</v>
      </c>
      <c r="AD14" s="152">
        <f t="shared" si="12"/>
        <v>0.003733155916</v>
      </c>
      <c r="AE14" s="152">
        <f t="shared" si="21"/>
        <v>0.001292737599</v>
      </c>
      <c r="AF14" s="152"/>
      <c r="AG14" s="152">
        <f t="shared" si="13"/>
        <v>0.0008757219395</v>
      </c>
      <c r="AH14" s="152">
        <f t="shared" si="14"/>
        <v>0.01030069497</v>
      </c>
      <c r="AI14" s="152">
        <f t="shared" si="15"/>
        <v>0.01117641691</v>
      </c>
      <c r="AJ14" s="152">
        <f t="shared" si="16"/>
        <v>0.008393404625</v>
      </c>
      <c r="AK14" s="153">
        <f t="shared" si="17"/>
        <v>0.01246915451</v>
      </c>
      <c r="AL14" s="152"/>
      <c r="AM14" s="36" t="s">
        <v>127</v>
      </c>
      <c r="AN14" s="151">
        <f t="shared" si="18"/>
        <v>21.24166667</v>
      </c>
      <c r="AO14" s="154">
        <f>'River, Stream, Melt PPL'!F8</f>
        <v>0.2549</v>
      </c>
      <c r="AP14" s="155">
        <v>0.1</v>
      </c>
      <c r="AQ14" s="155">
        <f>'River, Stream, Melt PPL'!V8</f>
        <v>9.45</v>
      </c>
      <c r="AR14" s="154">
        <f>'River, Stream, Melt PPL'!J8</f>
        <v>9.396085859</v>
      </c>
      <c r="AS14" s="156">
        <f>'River, Stream, Melt PPL'!E8</f>
        <v>810.5</v>
      </c>
      <c r="AT14" s="7"/>
    </row>
    <row r="15" ht="15.75" customHeight="1">
      <c r="A15" s="7"/>
      <c r="B15" s="41" t="s">
        <v>137</v>
      </c>
      <c r="C15" s="80">
        <v>726.9</v>
      </c>
      <c r="D15" s="80">
        <v>1546.0</v>
      </c>
      <c r="E15" s="80">
        <v>280293.87</v>
      </c>
      <c r="F15" s="89">
        <v>6406.89</v>
      </c>
      <c r="G15" s="89">
        <v>607130.64</v>
      </c>
      <c r="H15" s="89">
        <v>8058.5</v>
      </c>
      <c r="I15" s="150">
        <v>1.571</v>
      </c>
      <c r="J15" s="89">
        <v>2.961</v>
      </c>
      <c r="K15" s="80">
        <v>0.83</v>
      </c>
      <c r="L15" s="80">
        <v>2.32</v>
      </c>
      <c r="M15" s="80">
        <v>1.59</v>
      </c>
      <c r="N15" s="80">
        <v>2.76</v>
      </c>
      <c r="O15" s="151">
        <f t="shared" si="1"/>
        <v>82.50499792</v>
      </c>
      <c r="P15" s="152">
        <f t="shared" si="2"/>
        <v>147.9524981</v>
      </c>
      <c r="Q15" s="152">
        <f t="shared" si="19"/>
        <v>32.82836142</v>
      </c>
      <c r="R15" s="152">
        <f>(F15*$G$3+$G$4)</f>
        <v>11.755034</v>
      </c>
      <c r="S15" s="152">
        <f t="shared" si="3"/>
        <v>27.68466114</v>
      </c>
      <c r="T15" s="152">
        <f t="shared" si="4"/>
        <v>13.55379848</v>
      </c>
      <c r="U15" s="152">
        <f t="shared" si="5"/>
        <v>52.99349362</v>
      </c>
      <c r="V15" s="151">
        <f t="shared" si="6"/>
        <v>0.8824063948</v>
      </c>
      <c r="W15" s="152">
        <f t="shared" si="7"/>
        <v>1.582379658</v>
      </c>
      <c r="X15" s="152">
        <f t="shared" si="20"/>
        <v>0.3511054698</v>
      </c>
      <c r="Y15" s="152">
        <f>R15*AP15/AQ15</f>
        <v>0.1257222888</v>
      </c>
      <c r="Z15" s="152">
        <f t="shared" si="8"/>
        <v>0.2960926325</v>
      </c>
      <c r="AA15" s="152">
        <f t="shared" si="9"/>
        <v>0.1449604116</v>
      </c>
      <c r="AB15" s="153">
        <f t="shared" si="10"/>
        <v>0.5667753329</v>
      </c>
      <c r="AC15" s="151">
        <f t="shared" si="11"/>
        <v>0.0105274684</v>
      </c>
      <c r="AD15" s="152">
        <f t="shared" si="12"/>
        <v>0.0188784351</v>
      </c>
      <c r="AE15" s="152">
        <f t="shared" si="21"/>
        <v>0.004188831541</v>
      </c>
      <c r="AF15" s="152">
        <f>Y15*AP15/AQ15</f>
        <v>0.00134462341</v>
      </c>
      <c r="AG15" s="152">
        <f t="shared" si="13"/>
        <v>0.003166766123</v>
      </c>
      <c r="AH15" s="152">
        <f t="shared" si="14"/>
        <v>0.001550378734</v>
      </c>
      <c r="AI15" s="152">
        <f t="shared" si="15"/>
        <v>0.006061768266</v>
      </c>
      <c r="AJ15" s="152">
        <f t="shared" si="16"/>
        <v>0.0294059035</v>
      </c>
      <c r="AK15" s="153">
        <f t="shared" si="17"/>
        <v>0.01025059981</v>
      </c>
      <c r="AL15" s="152"/>
      <c r="AM15" s="36" t="s">
        <v>137</v>
      </c>
      <c r="AN15" s="151">
        <f t="shared" si="18"/>
        <v>22.5</v>
      </c>
      <c r="AO15" s="154">
        <f>'River, Stream, Melt PPL'!F9</f>
        <v>0.27</v>
      </c>
      <c r="AP15" s="155">
        <v>0.1</v>
      </c>
      <c r="AQ15" s="155">
        <f>'River, Stream, Melt PPL'!V9</f>
        <v>9.35</v>
      </c>
      <c r="AR15" s="154">
        <f>'River, Stream, Melt PPL'!J9</f>
        <v>9.347474747</v>
      </c>
      <c r="AS15" s="156">
        <f>'River, Stream, Melt PPL'!E9</f>
        <v>783.5</v>
      </c>
      <c r="AT15" s="7"/>
    </row>
    <row r="16" ht="15.75" customHeight="1">
      <c r="A16" s="7"/>
      <c r="B16" s="43" t="s">
        <v>190</v>
      </c>
      <c r="C16" s="92">
        <v>1972.4</v>
      </c>
      <c r="D16" s="92">
        <v>3882.4</v>
      </c>
      <c r="E16" s="157">
        <v>17822.77</v>
      </c>
      <c r="F16" s="128"/>
      <c r="G16" s="158">
        <v>13410.8</v>
      </c>
      <c r="H16" s="128"/>
      <c r="I16" s="159">
        <v>1.574</v>
      </c>
      <c r="J16" s="95">
        <v>3.032</v>
      </c>
      <c r="K16" s="92">
        <v>0.86</v>
      </c>
      <c r="L16" s="93"/>
      <c r="M16" s="92">
        <v>1.686</v>
      </c>
      <c r="N16" s="93"/>
      <c r="O16" s="160">
        <f>C16*$L$3+$L$4</f>
        <v>174.5926894</v>
      </c>
      <c r="P16" s="161">
        <f>D16*$M$3+$M$4</f>
        <v>331.9574249</v>
      </c>
      <c r="Q16" s="113"/>
      <c r="R16" s="73"/>
      <c r="S16" s="73"/>
      <c r="T16" s="73"/>
      <c r="U16" s="73"/>
      <c r="V16" s="162">
        <f t="shared" si="6"/>
        <v>1.929200988</v>
      </c>
      <c r="W16" s="163">
        <f t="shared" si="7"/>
        <v>3.668037844</v>
      </c>
      <c r="X16" s="163"/>
      <c r="Y16" s="163"/>
      <c r="Z16" s="163"/>
      <c r="AA16" s="163"/>
      <c r="AB16" s="164"/>
      <c r="AC16" s="162">
        <f t="shared" si="11"/>
        <v>0.01940453602</v>
      </c>
      <c r="AD16" s="163">
        <f t="shared" si="12"/>
        <v>0.03689432718</v>
      </c>
      <c r="AE16" s="163"/>
      <c r="AF16" s="163"/>
      <c r="AG16" s="163"/>
      <c r="AH16" s="163"/>
      <c r="AI16" s="163"/>
      <c r="AJ16" s="163">
        <f t="shared" si="16"/>
        <v>0.05629886319</v>
      </c>
      <c r="AK16" s="164"/>
      <c r="AL16" s="31"/>
      <c r="AM16" s="37" t="s">
        <v>190</v>
      </c>
      <c r="AN16" s="162">
        <f t="shared" si="18"/>
        <v>44.925</v>
      </c>
      <c r="AO16" s="165">
        <f>'River, Stream, Melt PPL'!F10</f>
        <v>0.5391</v>
      </c>
      <c r="AP16" s="166">
        <v>0.1</v>
      </c>
      <c r="AQ16" s="167">
        <f>'River, Stream, Melt PPL'!V10</f>
        <v>9.05</v>
      </c>
      <c r="AR16" s="165">
        <f>'River, Stream, Melt PPL'!J10</f>
        <v>9.253661616</v>
      </c>
      <c r="AS16" s="168">
        <f>'River, Stream, Melt PPL'!E10</f>
        <v>920</v>
      </c>
      <c r="AT16" s="7"/>
    </row>
    <row r="17" ht="15.75" customHeight="1">
      <c r="A17" s="7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18"/>
      <c r="AD17" s="18"/>
      <c r="AE17" s="7"/>
      <c r="AF17" s="7"/>
      <c r="AG17" s="7"/>
      <c r="AH17" s="7"/>
      <c r="AI17" s="7"/>
      <c r="AJ17" s="7"/>
      <c r="AK17" s="7"/>
      <c r="AL17" s="7"/>
      <c r="AM17" s="132"/>
      <c r="AN17" s="132"/>
      <c r="AO17" s="132"/>
      <c r="AP17" s="169"/>
      <c r="AQ17" s="7"/>
      <c r="AR17" s="7"/>
      <c r="AS17" s="169"/>
      <c r="AT17" s="7"/>
    </row>
    <row r="18" ht="15.75" customHeight="1">
      <c r="A18" s="7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18"/>
      <c r="AD18" s="18"/>
      <c r="AE18" s="7"/>
      <c r="AF18" s="7"/>
      <c r="AG18" s="7"/>
      <c r="AH18" s="7"/>
      <c r="AI18" s="7"/>
      <c r="AJ18" s="7"/>
      <c r="AK18" s="7"/>
      <c r="AL18" s="7"/>
      <c r="AM18" s="132"/>
      <c r="AN18" s="132"/>
      <c r="AO18" s="132"/>
      <c r="AP18" s="169"/>
      <c r="AQ18" s="7"/>
      <c r="AR18" s="7"/>
      <c r="AS18" s="169"/>
      <c r="AT18" s="7"/>
    </row>
    <row r="19" ht="15.75" customHeight="1">
      <c r="A19" s="7"/>
      <c r="B19" s="1" t="s">
        <v>298</v>
      </c>
      <c r="C19" s="3"/>
      <c r="D19" s="65" t="s">
        <v>0</v>
      </c>
      <c r="E19" s="7" t="s">
        <v>191</v>
      </c>
      <c r="F19" s="3"/>
      <c r="G19" s="3"/>
      <c r="H19" s="3"/>
      <c r="I19" s="3"/>
      <c r="J19" s="3"/>
      <c r="K19" s="3"/>
      <c r="L19" s="3"/>
      <c r="M19" s="3"/>
      <c r="N19" s="3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18"/>
      <c r="AD19" s="18"/>
      <c r="AE19" s="7"/>
      <c r="AF19" s="7"/>
      <c r="AG19" s="7"/>
      <c r="AH19" s="7"/>
      <c r="AI19" s="7"/>
      <c r="AJ19" s="7"/>
      <c r="AK19" s="7"/>
      <c r="AL19" s="7"/>
      <c r="AM19" s="132"/>
      <c r="AN19" s="132"/>
      <c r="AO19" s="132"/>
      <c r="AP19" s="7"/>
      <c r="AQ19" s="7"/>
      <c r="AR19" s="7"/>
      <c r="AS19" s="169"/>
      <c r="AT19" s="7"/>
    </row>
    <row r="20" ht="15.75" customHeight="1">
      <c r="A20" s="7"/>
      <c r="B20" s="7" t="s">
        <v>299</v>
      </c>
      <c r="C20" s="3"/>
      <c r="D20" s="65" t="s">
        <v>300</v>
      </c>
      <c r="E20" s="7" t="s">
        <v>301</v>
      </c>
      <c r="F20" s="3"/>
      <c r="G20" s="3"/>
      <c r="H20" s="3"/>
      <c r="I20" s="3"/>
      <c r="J20" s="3"/>
      <c r="K20" s="3"/>
      <c r="L20" s="3"/>
      <c r="M20" s="3"/>
      <c r="N20" s="3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18"/>
      <c r="AD20" s="18"/>
      <c r="AE20" s="7"/>
      <c r="AF20" s="7"/>
      <c r="AG20" s="7"/>
      <c r="AH20" s="7"/>
      <c r="AI20" s="7"/>
      <c r="AJ20" s="7"/>
      <c r="AK20" s="7"/>
      <c r="AL20" s="7"/>
      <c r="AM20" s="132"/>
      <c r="AN20" s="132"/>
      <c r="AO20" s="132"/>
      <c r="AP20" s="7"/>
      <c r="AQ20" s="7"/>
      <c r="AR20" s="7"/>
      <c r="AS20" s="169"/>
      <c r="AT20" s="7"/>
    </row>
    <row r="21" ht="15.75" customHeight="1">
      <c r="A21" s="7"/>
      <c r="B21" s="7" t="s">
        <v>302</v>
      </c>
      <c r="C21" s="3"/>
      <c r="D21" s="65" t="s">
        <v>303</v>
      </c>
      <c r="E21" s="7" t="s">
        <v>304</v>
      </c>
      <c r="F21" s="3"/>
      <c r="G21" s="3"/>
      <c r="H21" s="3"/>
      <c r="I21" s="3"/>
      <c r="J21" s="3"/>
      <c r="K21" s="3"/>
      <c r="L21" s="3"/>
      <c r="M21" s="3"/>
      <c r="N21" s="3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18"/>
      <c r="AD21" s="18"/>
      <c r="AE21" s="7"/>
      <c r="AF21" s="7"/>
      <c r="AG21" s="7"/>
      <c r="AH21" s="7"/>
      <c r="AI21" s="7"/>
      <c r="AJ21" s="7"/>
      <c r="AK21" s="7"/>
      <c r="AL21" s="7"/>
      <c r="AM21" s="132"/>
      <c r="AN21" s="132"/>
      <c r="AO21" s="132"/>
      <c r="AP21" s="7"/>
      <c r="AQ21" s="7"/>
      <c r="AR21" s="7"/>
      <c r="AS21" s="169"/>
      <c r="AT21" s="7"/>
    </row>
    <row r="22" ht="15.75" customHeight="1">
      <c r="A22" s="7"/>
      <c r="B22" s="7" t="s">
        <v>305</v>
      </c>
      <c r="C22" s="7"/>
      <c r="D22" s="45" t="s">
        <v>306</v>
      </c>
      <c r="E22" s="7" t="s">
        <v>307</v>
      </c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18"/>
      <c r="AD22" s="18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132"/>
      <c r="AQ22" s="132"/>
      <c r="AR22" s="7"/>
      <c r="AS22" s="7"/>
      <c r="AT22" s="7"/>
    </row>
    <row r="23" ht="15.75" customHeight="1">
      <c r="A23" s="7"/>
      <c r="B23" s="18"/>
      <c r="C23" s="7"/>
      <c r="D23" s="45" t="s">
        <v>308</v>
      </c>
      <c r="E23" s="7" t="s">
        <v>309</v>
      </c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18"/>
      <c r="AD23" s="18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132"/>
      <c r="AQ23" s="132"/>
      <c r="AR23" s="7"/>
      <c r="AS23" s="7"/>
      <c r="AT23" s="7"/>
    </row>
    <row r="24" ht="15.75" customHeight="1">
      <c r="A24" s="7"/>
      <c r="B24" s="18"/>
      <c r="C24" s="7"/>
      <c r="D24" s="65" t="s">
        <v>310</v>
      </c>
      <c r="E24" s="7" t="s">
        <v>311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18"/>
      <c r="AD24" s="18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132"/>
      <c r="AQ24" s="132"/>
      <c r="AR24" s="7"/>
      <c r="AS24" s="7"/>
      <c r="AT24" s="7"/>
    </row>
    <row r="25" ht="15.75" customHeight="1">
      <c r="A25" s="7"/>
      <c r="B25" s="18"/>
      <c r="C25" s="7"/>
      <c r="D25" s="65" t="s">
        <v>312</v>
      </c>
      <c r="E25" s="7" t="s">
        <v>313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18"/>
      <c r="AD25" s="18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132"/>
      <c r="AQ25" s="132"/>
      <c r="AR25" s="7"/>
      <c r="AS25" s="7"/>
      <c r="AT25" s="7"/>
    </row>
    <row r="26" ht="15.75" customHeight="1">
      <c r="A26" s="7"/>
      <c r="B26" s="18"/>
      <c r="C26" s="7"/>
      <c r="D26" s="65" t="s">
        <v>314</v>
      </c>
      <c r="E26" s="7" t="s">
        <v>315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18"/>
      <c r="AD26" s="18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132"/>
      <c r="AQ26" s="132"/>
      <c r="AR26" s="7"/>
      <c r="AS26" s="7"/>
      <c r="AT26" s="7"/>
    </row>
    <row r="27" ht="15.75" customHeight="1">
      <c r="A27" s="7"/>
      <c r="B27" s="7"/>
      <c r="C27" s="7"/>
      <c r="D27" s="65" t="s">
        <v>316</v>
      </c>
      <c r="E27" s="7" t="s">
        <v>195</v>
      </c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18"/>
      <c r="AD27" s="18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132"/>
      <c r="AQ27" s="132"/>
      <c r="AR27" s="7"/>
      <c r="AS27" s="7"/>
      <c r="AT27" s="7"/>
    </row>
    <row r="28" ht="15.75" customHeight="1">
      <c r="A28" s="7"/>
      <c r="B28" s="7"/>
      <c r="C28" s="7"/>
      <c r="D28" s="46" t="s">
        <v>317</v>
      </c>
      <c r="E28" s="7" t="s">
        <v>318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18"/>
      <c r="AD28" s="18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132"/>
      <c r="AQ28" s="132"/>
      <c r="AR28" s="7"/>
      <c r="AS28" s="7"/>
      <c r="AT28" s="7"/>
    </row>
    <row r="29" ht="15.75" customHeight="1">
      <c r="A29" s="7"/>
      <c r="B29" s="7"/>
      <c r="C29" s="7"/>
      <c r="D29" s="67" t="s">
        <v>319</v>
      </c>
      <c r="E29" s="7" t="s">
        <v>320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18"/>
      <c r="AD29" s="18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132"/>
      <c r="AQ29" s="132"/>
      <c r="AR29" s="7"/>
      <c r="AS29" s="7"/>
      <c r="AT29" s="7"/>
    </row>
    <row r="30" ht="15.75" customHeight="1">
      <c r="A30" s="7"/>
      <c r="B30" s="7"/>
      <c r="C30" s="7"/>
      <c r="D30" s="67" t="s">
        <v>196</v>
      </c>
      <c r="E30" s="7" t="s">
        <v>197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18"/>
      <c r="AD30" s="18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132"/>
      <c r="AQ30" s="132"/>
      <c r="AR30" s="7"/>
      <c r="AS30" s="7"/>
      <c r="AT30" s="7"/>
    </row>
    <row r="31" ht="15.75" customHeight="1">
      <c r="A31" s="7"/>
      <c r="B31" s="7"/>
      <c r="C31" s="7"/>
      <c r="D31" s="67" t="s">
        <v>192</v>
      </c>
      <c r="E31" s="7" t="s">
        <v>193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18"/>
      <c r="AD31" s="18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132"/>
      <c r="AP31" s="132"/>
      <c r="AQ31" s="7"/>
      <c r="AR31" s="7"/>
      <c r="AS31" s="7"/>
      <c r="AT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18"/>
      <c r="AD32" s="18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132"/>
      <c r="AP32" s="132"/>
      <c r="AQ32" s="7"/>
      <c r="AR32" s="7"/>
      <c r="AS32" s="7"/>
      <c r="AT32" s="7"/>
    </row>
    <row r="33" ht="15.75" customHeight="1">
      <c r="A33" s="7"/>
      <c r="B33" s="7"/>
      <c r="C33" s="7"/>
      <c r="D33" s="82"/>
      <c r="E33" s="7" t="s">
        <v>208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18"/>
      <c r="AD33" s="18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132"/>
      <c r="AP33" s="132"/>
      <c r="AQ33" s="7"/>
      <c r="AR33" s="7"/>
      <c r="AS33" s="7"/>
      <c r="AT33" s="7"/>
    </row>
    <row r="34" ht="15.75" customHeight="1">
      <c r="A34" s="7"/>
      <c r="B34" s="7"/>
      <c r="C34" s="7"/>
      <c r="D34" s="111"/>
      <c r="E34" s="7" t="s">
        <v>321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18"/>
      <c r="AD34" s="18"/>
      <c r="AE34" s="169"/>
      <c r="AF34" s="7"/>
      <c r="AG34" s="7"/>
      <c r="AH34" s="7"/>
      <c r="AI34" s="7"/>
      <c r="AJ34" s="7"/>
      <c r="AK34" s="7"/>
      <c r="AL34" s="169"/>
      <c r="AM34" s="7"/>
      <c r="AN34" s="7"/>
      <c r="AO34" s="132"/>
      <c r="AP34" s="132"/>
      <c r="AQ34" s="7"/>
      <c r="AR34" s="7"/>
      <c r="AS34" s="7"/>
      <c r="AT34" s="7"/>
    </row>
    <row r="35" ht="15.75" customHeight="1">
      <c r="A35" s="7"/>
      <c r="B35" s="7"/>
      <c r="C35" s="7"/>
      <c r="D35" s="170"/>
      <c r="E35" s="7" t="s">
        <v>322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18"/>
      <c r="AD35" s="18"/>
      <c r="AE35" s="31"/>
      <c r="AF35" s="7"/>
      <c r="AG35" s="7"/>
      <c r="AH35" s="7"/>
      <c r="AI35" s="7"/>
      <c r="AJ35" s="7"/>
      <c r="AK35" s="7"/>
      <c r="AL35" s="31"/>
      <c r="AM35" s="7"/>
      <c r="AN35" s="7"/>
      <c r="AO35" s="132"/>
      <c r="AP35" s="132"/>
      <c r="AQ35" s="7"/>
      <c r="AR35" s="7"/>
      <c r="AS35" s="7"/>
      <c r="AT35" s="7"/>
    </row>
    <row r="36" ht="15.75" customHeight="1">
      <c r="A36" s="7"/>
      <c r="B36" s="7"/>
      <c r="C36" s="7"/>
      <c r="D36" s="171" t="s">
        <v>323</v>
      </c>
      <c r="E36" s="171" t="s">
        <v>324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18"/>
      <c r="AD36" s="18"/>
      <c r="AE36" s="31"/>
      <c r="AF36" s="7"/>
      <c r="AG36" s="7"/>
      <c r="AH36" s="7"/>
      <c r="AI36" s="7"/>
      <c r="AJ36" s="7"/>
      <c r="AK36" s="7"/>
      <c r="AL36" s="31"/>
      <c r="AM36" s="7"/>
      <c r="AN36" s="7"/>
      <c r="AO36" s="7"/>
      <c r="AP36" s="132"/>
      <c r="AQ36" s="132"/>
      <c r="AR36" s="7"/>
      <c r="AS36" s="7"/>
      <c r="AT36" s="7"/>
    </row>
    <row r="37" ht="15.75" customHeight="1">
      <c r="A37" s="7"/>
      <c r="B37" s="7"/>
      <c r="C37" s="7"/>
      <c r="D37" s="7"/>
      <c r="E37" s="171" t="s">
        <v>325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31"/>
      <c r="AM37" s="7"/>
      <c r="AN37" s="7"/>
      <c r="AO37" s="7"/>
      <c r="AP37" s="132"/>
      <c r="AQ37" s="132"/>
      <c r="AR37" s="7"/>
      <c r="AS37" s="7"/>
      <c r="AT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132"/>
      <c r="AM38" s="7"/>
      <c r="AN38" s="7"/>
      <c r="AO38" s="7"/>
      <c r="AP38" s="132"/>
      <c r="AQ38" s="132"/>
      <c r="AR38" s="7"/>
      <c r="AS38" s="7"/>
      <c r="AT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132"/>
      <c r="AM39" s="7"/>
      <c r="AN39" s="7"/>
      <c r="AO39" s="7"/>
      <c r="AP39" s="132"/>
      <c r="AQ39" s="132"/>
      <c r="AR39" s="7"/>
      <c r="AS39" s="7"/>
      <c r="AT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132"/>
      <c r="AM40" s="7"/>
      <c r="AN40" s="7"/>
      <c r="AO40" s="7"/>
      <c r="AP40" s="132"/>
      <c r="AQ40" s="132"/>
      <c r="AR40" s="7"/>
      <c r="AS40" s="7"/>
      <c r="AT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132"/>
      <c r="AM41" s="7"/>
      <c r="AN41" s="7"/>
      <c r="AO41" s="7"/>
      <c r="AP41" s="132"/>
      <c r="AQ41" s="132"/>
      <c r="AR41" s="7"/>
      <c r="AS41" s="7"/>
      <c r="AT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132"/>
      <c r="AM42" s="7"/>
      <c r="AN42" s="7"/>
      <c r="AO42" s="7"/>
      <c r="AP42" s="132"/>
      <c r="AQ42" s="132"/>
      <c r="AR42" s="7"/>
      <c r="AS42" s="7"/>
      <c r="AT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132"/>
      <c r="AM43" s="7"/>
      <c r="AN43" s="7"/>
      <c r="AO43" s="7"/>
      <c r="AP43" s="132"/>
      <c r="AQ43" s="132"/>
      <c r="AR43" s="7"/>
      <c r="AS43" s="7"/>
      <c r="AT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132"/>
      <c r="AM44" s="7"/>
      <c r="AN44" s="7"/>
      <c r="AO44" s="7"/>
      <c r="AP44" s="132"/>
      <c r="AQ44" s="132"/>
      <c r="AR44" s="7"/>
      <c r="AS44" s="7"/>
      <c r="AT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32"/>
      <c r="AM45" s="7"/>
      <c r="AN45" s="7"/>
      <c r="AO45" s="7"/>
      <c r="AP45" s="132"/>
      <c r="AQ45" s="132"/>
      <c r="AR45" s="7"/>
      <c r="AS45" s="7"/>
      <c r="AT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132"/>
      <c r="AM46" s="7"/>
      <c r="AN46" s="7"/>
      <c r="AO46" s="7"/>
      <c r="AP46" s="132"/>
      <c r="AQ46" s="132"/>
      <c r="AR46" s="7"/>
      <c r="AS46" s="7"/>
      <c r="AT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132"/>
      <c r="AM47" s="7"/>
      <c r="AN47" s="7"/>
      <c r="AO47" s="7"/>
      <c r="AP47" s="132"/>
      <c r="AQ47" s="132"/>
      <c r="AR47" s="7"/>
      <c r="AS47" s="7"/>
      <c r="AT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132"/>
      <c r="AQ48" s="132"/>
      <c r="AR48" s="7"/>
      <c r="AS48" s="7"/>
      <c r="AT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31"/>
      <c r="AM49" s="7"/>
      <c r="AN49" s="7"/>
      <c r="AO49" s="7"/>
      <c r="AP49" s="132"/>
      <c r="AQ49" s="132"/>
      <c r="AR49" s="7"/>
      <c r="AS49" s="7"/>
      <c r="AT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31"/>
      <c r="AM50" s="7"/>
      <c r="AN50" s="7"/>
      <c r="AO50" s="7"/>
      <c r="AP50" s="132"/>
      <c r="AQ50" s="132"/>
      <c r="AR50" s="7"/>
      <c r="AS50" s="7"/>
      <c r="AT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31"/>
      <c r="AM51" s="7"/>
      <c r="AN51" s="7"/>
      <c r="AO51" s="7"/>
      <c r="AP51" s="132"/>
      <c r="AQ51" s="132"/>
      <c r="AR51" s="7"/>
      <c r="AS51" s="7"/>
      <c r="AT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31"/>
      <c r="AM52" s="7"/>
      <c r="AN52" s="7"/>
      <c r="AO52" s="7"/>
      <c r="AP52" s="132"/>
      <c r="AQ52" s="132"/>
      <c r="AR52" s="7"/>
      <c r="AS52" s="7"/>
      <c r="AT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31"/>
      <c r="AM53" s="7"/>
      <c r="AN53" s="7"/>
      <c r="AO53" s="7"/>
      <c r="AP53" s="132"/>
      <c r="AQ53" s="132"/>
      <c r="AR53" s="7"/>
      <c r="AS53" s="7"/>
      <c r="AT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132"/>
      <c r="AM54" s="7"/>
      <c r="AN54" s="7"/>
      <c r="AO54" s="7"/>
      <c r="AP54" s="132"/>
      <c r="AQ54" s="132"/>
      <c r="AR54" s="7"/>
      <c r="AS54" s="7"/>
      <c r="AT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132"/>
      <c r="AM55" s="7"/>
      <c r="AN55" s="7"/>
      <c r="AO55" s="7"/>
      <c r="AP55" s="132"/>
      <c r="AQ55" s="132"/>
      <c r="AR55" s="7"/>
      <c r="AS55" s="7"/>
      <c r="AT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132"/>
      <c r="AM56" s="7"/>
      <c r="AN56" s="7"/>
      <c r="AO56" s="7"/>
      <c r="AP56" s="132"/>
      <c r="AQ56" s="132"/>
      <c r="AR56" s="7"/>
      <c r="AS56" s="7"/>
      <c r="AT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132"/>
      <c r="AM57" s="7"/>
      <c r="AN57" s="7"/>
      <c r="AO57" s="7"/>
      <c r="AP57" s="132"/>
      <c r="AQ57" s="132"/>
      <c r="AR57" s="7"/>
      <c r="AS57" s="7"/>
      <c r="AT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132"/>
      <c r="AM58" s="7"/>
      <c r="AN58" s="7"/>
      <c r="AO58" s="7"/>
      <c r="AP58" s="132"/>
      <c r="AQ58" s="132"/>
      <c r="AR58" s="7"/>
      <c r="AS58" s="7"/>
      <c r="AT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132"/>
      <c r="AM59" s="7"/>
      <c r="AN59" s="7"/>
      <c r="AO59" s="7"/>
      <c r="AP59" s="132"/>
      <c r="AQ59" s="132"/>
      <c r="AR59" s="7"/>
      <c r="AS59" s="7"/>
      <c r="AT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132"/>
      <c r="AM60" s="7"/>
      <c r="AN60" s="7"/>
      <c r="AO60" s="7"/>
      <c r="AP60" s="132"/>
      <c r="AQ60" s="132"/>
      <c r="AR60" s="7"/>
      <c r="AS60" s="7"/>
      <c r="AT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132"/>
      <c r="AM61" s="7"/>
      <c r="AN61" s="7"/>
      <c r="AO61" s="7"/>
      <c r="AP61" s="132"/>
      <c r="AQ61" s="132"/>
      <c r="AR61" s="7"/>
      <c r="AS61" s="7"/>
      <c r="AT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132"/>
      <c r="AM62" s="7"/>
      <c r="AN62" s="7"/>
      <c r="AO62" s="7"/>
      <c r="AP62" s="132"/>
      <c r="AQ62" s="132"/>
      <c r="AR62" s="7"/>
      <c r="AS62" s="7"/>
      <c r="AT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132"/>
      <c r="AM63" s="7"/>
      <c r="AN63" s="7"/>
      <c r="AO63" s="7"/>
      <c r="AP63" s="132"/>
      <c r="AQ63" s="132"/>
      <c r="AR63" s="7"/>
      <c r="AS63" s="7"/>
      <c r="AT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132"/>
      <c r="AM64" s="7"/>
      <c r="AN64" s="7"/>
      <c r="AO64" s="7"/>
      <c r="AP64" s="132"/>
      <c r="AQ64" s="132"/>
      <c r="AR64" s="7"/>
      <c r="AS64" s="7"/>
      <c r="AT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132"/>
      <c r="AM65" s="7"/>
      <c r="AN65" s="7"/>
      <c r="AO65" s="7"/>
      <c r="AP65" s="132"/>
      <c r="AQ65" s="132"/>
      <c r="AR65" s="7"/>
      <c r="AS65" s="7"/>
      <c r="AT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132"/>
      <c r="AM66" s="7"/>
      <c r="AN66" s="7"/>
      <c r="AO66" s="7"/>
      <c r="AP66" s="132"/>
      <c r="AQ66" s="132"/>
      <c r="AR66" s="7"/>
      <c r="AS66" s="7"/>
      <c r="AT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132"/>
      <c r="AM67" s="7"/>
      <c r="AN67" s="7"/>
      <c r="AO67" s="7"/>
      <c r="AP67" s="132"/>
      <c r="AQ67" s="132"/>
      <c r="AR67" s="7"/>
      <c r="AS67" s="7"/>
      <c r="AT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132"/>
      <c r="AM68" s="7"/>
      <c r="AN68" s="7"/>
      <c r="AO68" s="7"/>
      <c r="AP68" s="132"/>
      <c r="AQ68" s="132"/>
      <c r="AR68" s="7"/>
      <c r="AS68" s="7"/>
      <c r="AT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132"/>
      <c r="AM69" s="7"/>
      <c r="AN69" s="7"/>
      <c r="AO69" s="7"/>
      <c r="AP69" s="132"/>
      <c r="AQ69" s="132"/>
      <c r="AR69" s="7"/>
      <c r="AS69" s="7"/>
      <c r="AT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132"/>
      <c r="AM70" s="7"/>
      <c r="AN70" s="7"/>
      <c r="AO70" s="7"/>
      <c r="AP70" s="132"/>
      <c r="AQ70" s="132"/>
      <c r="AR70" s="7"/>
      <c r="AS70" s="7"/>
      <c r="AT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132"/>
      <c r="AM71" s="7"/>
      <c r="AN71" s="7"/>
      <c r="AO71" s="7"/>
      <c r="AP71" s="132"/>
      <c r="AQ71" s="132"/>
      <c r="AR71" s="7"/>
      <c r="AS71" s="7"/>
      <c r="AT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132"/>
      <c r="AM72" s="7"/>
      <c r="AN72" s="7"/>
      <c r="AO72" s="7"/>
      <c r="AP72" s="132"/>
      <c r="AQ72" s="132"/>
      <c r="AR72" s="7"/>
      <c r="AS72" s="7"/>
      <c r="AT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132"/>
      <c r="AM73" s="7"/>
      <c r="AN73" s="7"/>
      <c r="AO73" s="7"/>
      <c r="AP73" s="132"/>
      <c r="AQ73" s="132"/>
      <c r="AR73" s="7"/>
      <c r="AS73" s="7"/>
      <c r="AT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132"/>
      <c r="AM74" s="7"/>
      <c r="AN74" s="7"/>
      <c r="AO74" s="7"/>
      <c r="AP74" s="132"/>
      <c r="AQ74" s="132"/>
      <c r="AR74" s="7"/>
      <c r="AS74" s="7"/>
      <c r="AT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132"/>
      <c r="AM75" s="7"/>
      <c r="AN75" s="7"/>
      <c r="AO75" s="7"/>
      <c r="AP75" s="132"/>
      <c r="AQ75" s="132"/>
      <c r="AR75" s="7"/>
      <c r="AS75" s="7"/>
      <c r="AT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132"/>
      <c r="AM76" s="7"/>
      <c r="AN76" s="7"/>
      <c r="AO76" s="7"/>
      <c r="AP76" s="132"/>
      <c r="AQ76" s="132"/>
      <c r="AR76" s="7"/>
      <c r="AS76" s="7"/>
      <c r="AT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132"/>
      <c r="AM77" s="7"/>
      <c r="AN77" s="7"/>
      <c r="AO77" s="7"/>
      <c r="AP77" s="132"/>
      <c r="AQ77" s="132"/>
      <c r="AR77" s="7"/>
      <c r="AS77" s="7"/>
      <c r="AT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132"/>
      <c r="AM78" s="7"/>
      <c r="AN78" s="7"/>
      <c r="AO78" s="7"/>
      <c r="AP78" s="132"/>
      <c r="AQ78" s="132"/>
      <c r="AR78" s="7"/>
      <c r="AS78" s="7"/>
      <c r="AT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132"/>
      <c r="AM79" s="7"/>
      <c r="AN79" s="7"/>
      <c r="AO79" s="7"/>
      <c r="AP79" s="132"/>
      <c r="AQ79" s="132"/>
      <c r="AR79" s="7"/>
      <c r="AS79" s="7"/>
      <c r="AT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132"/>
      <c r="AM80" s="7"/>
      <c r="AN80" s="7"/>
      <c r="AO80" s="7"/>
      <c r="AP80" s="132"/>
      <c r="AQ80" s="132"/>
      <c r="AR80" s="7"/>
      <c r="AS80" s="7"/>
      <c r="AT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132"/>
      <c r="AM81" s="7"/>
      <c r="AN81" s="7"/>
      <c r="AO81" s="7"/>
      <c r="AP81" s="132"/>
      <c r="AQ81" s="132"/>
      <c r="AR81" s="7"/>
      <c r="AS81" s="7"/>
      <c r="AT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132"/>
      <c r="AM82" s="7"/>
      <c r="AN82" s="7"/>
      <c r="AO82" s="7"/>
      <c r="AP82" s="132"/>
      <c r="AQ82" s="132"/>
      <c r="AR82" s="7"/>
      <c r="AS82" s="7"/>
      <c r="AT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132"/>
      <c r="AM83" s="7"/>
      <c r="AN83" s="7"/>
      <c r="AO83" s="7"/>
      <c r="AP83" s="132"/>
      <c r="AQ83" s="132"/>
      <c r="AR83" s="7"/>
      <c r="AS83" s="7"/>
      <c r="AT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132"/>
      <c r="AM84" s="7"/>
      <c r="AN84" s="7"/>
      <c r="AO84" s="7"/>
      <c r="AP84" s="132"/>
      <c r="AQ84" s="132"/>
      <c r="AR84" s="7"/>
      <c r="AS84" s="7"/>
      <c r="AT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132"/>
      <c r="AM85" s="7"/>
      <c r="AN85" s="7"/>
      <c r="AO85" s="7"/>
      <c r="AP85" s="132"/>
      <c r="AQ85" s="132"/>
      <c r="AR85" s="7"/>
      <c r="AS85" s="7"/>
      <c r="AT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132"/>
      <c r="AM86" s="7"/>
      <c r="AN86" s="7"/>
      <c r="AO86" s="7"/>
      <c r="AP86" s="132"/>
      <c r="AQ86" s="132"/>
      <c r="AR86" s="7"/>
      <c r="AS86" s="7"/>
      <c r="AT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132"/>
      <c r="AM87" s="7"/>
      <c r="AN87" s="7"/>
      <c r="AO87" s="7"/>
      <c r="AP87" s="132"/>
      <c r="AQ87" s="132"/>
      <c r="AR87" s="7"/>
      <c r="AS87" s="7"/>
      <c r="AT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132"/>
      <c r="AM88" s="7"/>
      <c r="AN88" s="7"/>
      <c r="AO88" s="7"/>
      <c r="AP88" s="132"/>
      <c r="AQ88" s="132"/>
      <c r="AR88" s="7"/>
      <c r="AS88" s="7"/>
      <c r="AT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132"/>
      <c r="AM89" s="7"/>
      <c r="AN89" s="7"/>
      <c r="AO89" s="7"/>
      <c r="AP89" s="132"/>
      <c r="AQ89" s="132"/>
      <c r="AR89" s="7"/>
      <c r="AS89" s="7"/>
      <c r="AT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132"/>
      <c r="AM90" s="7"/>
      <c r="AN90" s="7"/>
      <c r="AO90" s="7"/>
      <c r="AP90" s="132"/>
      <c r="AQ90" s="132"/>
      <c r="AR90" s="7"/>
      <c r="AS90" s="7"/>
      <c r="AT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132"/>
      <c r="AM91" s="7"/>
      <c r="AN91" s="7"/>
      <c r="AO91" s="7"/>
      <c r="AP91" s="132"/>
      <c r="AQ91" s="132"/>
      <c r="AR91" s="7"/>
      <c r="AS91" s="7"/>
      <c r="AT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132"/>
      <c r="AM92" s="7"/>
      <c r="AN92" s="7"/>
      <c r="AO92" s="7"/>
      <c r="AP92" s="132"/>
      <c r="AQ92" s="132"/>
      <c r="AR92" s="7"/>
      <c r="AS92" s="7"/>
      <c r="AT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132"/>
      <c r="AM93" s="7"/>
      <c r="AN93" s="7"/>
      <c r="AO93" s="7"/>
      <c r="AP93" s="132"/>
      <c r="AQ93" s="132"/>
      <c r="AR93" s="7"/>
      <c r="AS93" s="7"/>
      <c r="AT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132"/>
      <c r="AM94" s="7"/>
      <c r="AN94" s="7"/>
      <c r="AO94" s="7"/>
      <c r="AP94" s="132"/>
      <c r="AQ94" s="132"/>
      <c r="AR94" s="7"/>
      <c r="AS94" s="7"/>
      <c r="AT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132"/>
      <c r="AM95" s="7"/>
      <c r="AN95" s="7"/>
      <c r="AO95" s="7"/>
      <c r="AP95" s="132"/>
      <c r="AQ95" s="132"/>
      <c r="AR95" s="7"/>
      <c r="AS95" s="7"/>
      <c r="AT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132"/>
      <c r="AM96" s="7"/>
      <c r="AN96" s="7"/>
      <c r="AO96" s="7"/>
      <c r="AP96" s="132"/>
      <c r="AQ96" s="132"/>
      <c r="AR96" s="7"/>
      <c r="AS96" s="7"/>
      <c r="AT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132"/>
      <c r="AM97" s="7"/>
      <c r="AN97" s="7"/>
      <c r="AO97" s="7"/>
      <c r="AP97" s="132"/>
      <c r="AQ97" s="132"/>
      <c r="AR97" s="7"/>
      <c r="AS97" s="7"/>
      <c r="AT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132"/>
      <c r="AM98" s="7"/>
      <c r="AN98" s="7"/>
      <c r="AO98" s="7"/>
      <c r="AP98" s="132"/>
      <c r="AQ98" s="132"/>
      <c r="AR98" s="7"/>
      <c r="AS98" s="7"/>
      <c r="AT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132"/>
      <c r="AM99" s="7"/>
      <c r="AN99" s="7"/>
      <c r="AO99" s="7"/>
      <c r="AP99" s="132"/>
      <c r="AQ99" s="132"/>
      <c r="AR99" s="7"/>
      <c r="AS99" s="7"/>
      <c r="AT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132"/>
      <c r="AM100" s="7"/>
      <c r="AN100" s="7"/>
      <c r="AO100" s="7"/>
      <c r="AP100" s="132"/>
      <c r="AQ100" s="132"/>
      <c r="AR100" s="7"/>
      <c r="AS100" s="7"/>
      <c r="AT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132"/>
      <c r="AM101" s="7"/>
      <c r="AN101" s="7"/>
      <c r="AO101" s="7"/>
      <c r="AP101" s="132"/>
      <c r="AQ101" s="132"/>
      <c r="AR101" s="7"/>
      <c r="AS101" s="7"/>
      <c r="AT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132"/>
      <c r="AM102" s="7"/>
      <c r="AN102" s="7"/>
      <c r="AO102" s="7"/>
      <c r="AP102" s="132"/>
      <c r="AQ102" s="132"/>
      <c r="AR102" s="7"/>
      <c r="AS102" s="7"/>
      <c r="AT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132"/>
      <c r="AM103" s="7"/>
      <c r="AN103" s="7"/>
      <c r="AO103" s="7"/>
      <c r="AP103" s="132"/>
      <c r="AQ103" s="132"/>
      <c r="AR103" s="7"/>
      <c r="AS103" s="7"/>
      <c r="AT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132"/>
      <c r="AM104" s="7"/>
      <c r="AN104" s="7"/>
      <c r="AO104" s="7"/>
      <c r="AP104" s="132"/>
      <c r="AQ104" s="132"/>
      <c r="AR104" s="7"/>
      <c r="AS104" s="7"/>
      <c r="AT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132"/>
      <c r="AM105" s="7"/>
      <c r="AN105" s="7"/>
      <c r="AO105" s="7"/>
      <c r="AP105" s="132"/>
      <c r="AQ105" s="132"/>
      <c r="AR105" s="7"/>
      <c r="AS105" s="7"/>
      <c r="AT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132"/>
      <c r="AM106" s="7"/>
      <c r="AN106" s="7"/>
      <c r="AO106" s="7"/>
      <c r="AP106" s="132"/>
      <c r="AQ106" s="132"/>
      <c r="AR106" s="7"/>
      <c r="AS106" s="7"/>
      <c r="AT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132"/>
      <c r="AM107" s="7"/>
      <c r="AN107" s="7"/>
      <c r="AO107" s="7"/>
      <c r="AP107" s="132"/>
      <c r="AQ107" s="132"/>
      <c r="AR107" s="7"/>
      <c r="AS107" s="7"/>
      <c r="AT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132"/>
      <c r="AM108" s="7"/>
      <c r="AN108" s="7"/>
      <c r="AO108" s="7"/>
      <c r="AP108" s="132"/>
      <c r="AQ108" s="132"/>
      <c r="AR108" s="7"/>
      <c r="AS108" s="7"/>
      <c r="AT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132"/>
      <c r="AM109" s="7"/>
      <c r="AN109" s="7"/>
      <c r="AO109" s="7"/>
      <c r="AP109" s="132"/>
      <c r="AQ109" s="132"/>
      <c r="AR109" s="7"/>
      <c r="AS109" s="7"/>
      <c r="AT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132"/>
      <c r="AM110" s="7"/>
      <c r="AN110" s="7"/>
      <c r="AO110" s="7"/>
      <c r="AP110" s="132"/>
      <c r="AQ110" s="132"/>
      <c r="AR110" s="7"/>
      <c r="AS110" s="7"/>
      <c r="AT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32"/>
      <c r="AM111" s="7"/>
      <c r="AN111" s="7"/>
      <c r="AO111" s="7"/>
      <c r="AP111" s="132"/>
      <c r="AQ111" s="132"/>
      <c r="AR111" s="7"/>
      <c r="AS111" s="7"/>
      <c r="AT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132"/>
      <c r="AM112" s="7"/>
      <c r="AN112" s="7"/>
      <c r="AO112" s="7"/>
      <c r="AP112" s="132"/>
      <c r="AQ112" s="132"/>
      <c r="AR112" s="7"/>
      <c r="AS112" s="7"/>
      <c r="AT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132"/>
      <c r="AM113" s="7"/>
      <c r="AN113" s="7"/>
      <c r="AO113" s="7"/>
      <c r="AP113" s="132"/>
      <c r="AQ113" s="132"/>
      <c r="AR113" s="7"/>
      <c r="AS113" s="7"/>
      <c r="AT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132"/>
      <c r="AM114" s="7"/>
      <c r="AN114" s="7"/>
      <c r="AO114" s="7"/>
      <c r="AP114" s="132"/>
      <c r="AQ114" s="132"/>
      <c r="AR114" s="7"/>
      <c r="AS114" s="7"/>
      <c r="AT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132"/>
      <c r="AM115" s="7"/>
      <c r="AN115" s="7"/>
      <c r="AO115" s="7"/>
      <c r="AP115" s="132"/>
      <c r="AQ115" s="132"/>
      <c r="AR115" s="7"/>
      <c r="AS115" s="7"/>
      <c r="AT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132"/>
      <c r="AM116" s="7"/>
      <c r="AN116" s="7"/>
      <c r="AO116" s="7"/>
      <c r="AP116" s="132"/>
      <c r="AQ116" s="132"/>
      <c r="AR116" s="7"/>
      <c r="AS116" s="7"/>
      <c r="AT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132"/>
      <c r="AM117" s="7"/>
      <c r="AN117" s="7"/>
      <c r="AO117" s="7"/>
      <c r="AP117" s="132"/>
      <c r="AQ117" s="132"/>
      <c r="AR117" s="7"/>
      <c r="AS117" s="7"/>
      <c r="AT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132"/>
      <c r="AM118" s="7"/>
      <c r="AN118" s="7"/>
      <c r="AO118" s="7"/>
      <c r="AP118" s="132"/>
      <c r="AQ118" s="132"/>
      <c r="AR118" s="7"/>
      <c r="AS118" s="7"/>
      <c r="AT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132"/>
      <c r="AM119" s="7"/>
      <c r="AN119" s="7"/>
      <c r="AO119" s="7"/>
      <c r="AP119" s="132"/>
      <c r="AQ119" s="132"/>
      <c r="AR119" s="7"/>
      <c r="AS119" s="7"/>
      <c r="AT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132"/>
      <c r="AM120" s="7"/>
      <c r="AN120" s="7"/>
      <c r="AO120" s="7"/>
      <c r="AP120" s="132"/>
      <c r="AQ120" s="132"/>
      <c r="AR120" s="7"/>
      <c r="AS120" s="7"/>
      <c r="AT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132"/>
      <c r="AM121" s="7"/>
      <c r="AN121" s="7"/>
      <c r="AO121" s="7"/>
      <c r="AP121" s="132"/>
      <c r="AQ121" s="132"/>
      <c r="AR121" s="7"/>
      <c r="AS121" s="7"/>
      <c r="AT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132"/>
      <c r="AM122" s="7"/>
      <c r="AN122" s="7"/>
      <c r="AO122" s="7"/>
      <c r="AP122" s="132"/>
      <c r="AQ122" s="132"/>
      <c r="AR122" s="7"/>
      <c r="AS122" s="7"/>
      <c r="AT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132"/>
      <c r="AM123" s="7"/>
      <c r="AN123" s="7"/>
      <c r="AO123" s="7"/>
      <c r="AP123" s="132"/>
      <c r="AQ123" s="132"/>
      <c r="AR123" s="7"/>
      <c r="AS123" s="7"/>
      <c r="AT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132"/>
      <c r="AM124" s="7"/>
      <c r="AN124" s="7"/>
      <c r="AO124" s="7"/>
      <c r="AP124" s="132"/>
      <c r="AQ124" s="132"/>
      <c r="AR124" s="7"/>
      <c r="AS124" s="7"/>
      <c r="AT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132"/>
      <c r="AM125" s="7"/>
      <c r="AN125" s="7"/>
      <c r="AO125" s="7"/>
      <c r="AP125" s="132"/>
      <c r="AQ125" s="132"/>
      <c r="AR125" s="7"/>
      <c r="AS125" s="7"/>
      <c r="AT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132"/>
      <c r="AM126" s="7"/>
      <c r="AN126" s="7"/>
      <c r="AO126" s="7"/>
      <c r="AP126" s="132"/>
      <c r="AQ126" s="132"/>
      <c r="AR126" s="7"/>
      <c r="AS126" s="7"/>
      <c r="AT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132"/>
      <c r="AM127" s="7"/>
      <c r="AN127" s="7"/>
      <c r="AO127" s="7"/>
      <c r="AP127" s="132"/>
      <c r="AQ127" s="132"/>
      <c r="AR127" s="7"/>
      <c r="AS127" s="7"/>
      <c r="AT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132"/>
      <c r="AM128" s="7"/>
      <c r="AN128" s="7"/>
      <c r="AO128" s="7"/>
      <c r="AP128" s="132"/>
      <c r="AQ128" s="132"/>
      <c r="AR128" s="7"/>
      <c r="AS128" s="7"/>
      <c r="AT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132"/>
      <c r="AM129" s="7"/>
      <c r="AN129" s="7"/>
      <c r="AO129" s="7"/>
      <c r="AP129" s="132"/>
      <c r="AQ129" s="132"/>
      <c r="AR129" s="7"/>
      <c r="AS129" s="7"/>
      <c r="AT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132"/>
      <c r="AM130" s="7"/>
      <c r="AN130" s="7"/>
      <c r="AO130" s="7"/>
      <c r="AP130" s="132"/>
      <c r="AQ130" s="132"/>
      <c r="AR130" s="7"/>
      <c r="AS130" s="7"/>
      <c r="AT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132"/>
      <c r="AM131" s="7"/>
      <c r="AN131" s="7"/>
      <c r="AO131" s="7"/>
      <c r="AP131" s="132"/>
      <c r="AQ131" s="132"/>
      <c r="AR131" s="7"/>
      <c r="AS131" s="7"/>
      <c r="AT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132"/>
      <c r="AM132" s="7"/>
      <c r="AN132" s="7"/>
      <c r="AO132" s="7"/>
      <c r="AP132" s="132"/>
      <c r="AQ132" s="132"/>
      <c r="AR132" s="7"/>
      <c r="AS132" s="7"/>
      <c r="AT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132"/>
      <c r="AM133" s="7"/>
      <c r="AN133" s="7"/>
      <c r="AO133" s="7"/>
      <c r="AP133" s="132"/>
      <c r="AQ133" s="132"/>
      <c r="AR133" s="7"/>
      <c r="AS133" s="7"/>
      <c r="AT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132"/>
      <c r="AM134" s="7"/>
      <c r="AN134" s="7"/>
      <c r="AO134" s="7"/>
      <c r="AP134" s="132"/>
      <c r="AQ134" s="132"/>
      <c r="AR134" s="7"/>
      <c r="AS134" s="7"/>
      <c r="AT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132"/>
      <c r="AM135" s="7"/>
      <c r="AN135" s="7"/>
      <c r="AO135" s="7"/>
      <c r="AP135" s="132"/>
      <c r="AQ135" s="132"/>
      <c r="AR135" s="7"/>
      <c r="AS135" s="7"/>
      <c r="AT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132"/>
      <c r="AM136" s="7"/>
      <c r="AN136" s="7"/>
      <c r="AO136" s="7"/>
      <c r="AP136" s="132"/>
      <c r="AQ136" s="132"/>
      <c r="AR136" s="7"/>
      <c r="AS136" s="7"/>
      <c r="AT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132"/>
      <c r="AM137" s="7"/>
      <c r="AN137" s="7"/>
      <c r="AO137" s="7"/>
      <c r="AP137" s="132"/>
      <c r="AQ137" s="132"/>
      <c r="AR137" s="7"/>
      <c r="AS137" s="7"/>
      <c r="AT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132"/>
      <c r="AM138" s="7"/>
      <c r="AN138" s="7"/>
      <c r="AO138" s="7"/>
      <c r="AP138" s="132"/>
      <c r="AQ138" s="132"/>
      <c r="AR138" s="7"/>
      <c r="AS138" s="7"/>
      <c r="AT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132"/>
      <c r="AM139" s="7"/>
      <c r="AN139" s="7"/>
      <c r="AO139" s="7"/>
      <c r="AP139" s="132"/>
      <c r="AQ139" s="132"/>
      <c r="AR139" s="7"/>
      <c r="AS139" s="7"/>
      <c r="AT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132"/>
      <c r="AM140" s="7"/>
      <c r="AN140" s="7"/>
      <c r="AO140" s="7"/>
      <c r="AP140" s="132"/>
      <c r="AQ140" s="132"/>
      <c r="AR140" s="7"/>
      <c r="AS140" s="7"/>
      <c r="AT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132"/>
      <c r="AM141" s="7"/>
      <c r="AN141" s="7"/>
      <c r="AO141" s="7"/>
      <c r="AP141" s="132"/>
      <c r="AQ141" s="132"/>
      <c r="AR141" s="7"/>
      <c r="AS141" s="7"/>
      <c r="AT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132"/>
      <c r="AM142" s="7"/>
      <c r="AN142" s="7"/>
      <c r="AO142" s="7"/>
      <c r="AP142" s="132"/>
      <c r="AQ142" s="132"/>
      <c r="AR142" s="7"/>
      <c r="AS142" s="7"/>
      <c r="AT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132"/>
      <c r="AM143" s="7"/>
      <c r="AN143" s="7"/>
      <c r="AO143" s="7"/>
      <c r="AP143" s="132"/>
      <c r="AQ143" s="132"/>
      <c r="AR143" s="7"/>
      <c r="AS143" s="7"/>
      <c r="AT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132"/>
      <c r="AM144" s="7"/>
      <c r="AN144" s="7"/>
      <c r="AO144" s="7"/>
      <c r="AP144" s="132"/>
      <c r="AQ144" s="132"/>
      <c r="AR144" s="7"/>
      <c r="AS144" s="7"/>
      <c r="AT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132"/>
      <c r="AM145" s="7"/>
      <c r="AN145" s="7"/>
      <c r="AO145" s="7"/>
      <c r="AP145" s="132"/>
      <c r="AQ145" s="132"/>
      <c r="AR145" s="7"/>
      <c r="AS145" s="7"/>
      <c r="AT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132"/>
      <c r="AM146" s="7"/>
      <c r="AN146" s="7"/>
      <c r="AO146" s="7"/>
      <c r="AP146" s="132"/>
      <c r="AQ146" s="132"/>
      <c r="AR146" s="7"/>
      <c r="AS146" s="7"/>
      <c r="AT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32"/>
      <c r="AM147" s="7"/>
      <c r="AN147" s="7"/>
      <c r="AO147" s="7"/>
      <c r="AP147" s="132"/>
      <c r="AQ147" s="132"/>
      <c r="AR147" s="7"/>
      <c r="AS147" s="7"/>
      <c r="AT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32"/>
      <c r="AM148" s="7"/>
      <c r="AN148" s="7"/>
      <c r="AO148" s="7"/>
      <c r="AP148" s="132"/>
      <c r="AQ148" s="132"/>
      <c r="AR148" s="7"/>
      <c r="AS148" s="7"/>
      <c r="AT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32"/>
      <c r="AM149" s="7"/>
      <c r="AN149" s="7"/>
      <c r="AO149" s="7"/>
      <c r="AP149" s="132"/>
      <c r="AQ149" s="132"/>
      <c r="AR149" s="7"/>
      <c r="AS149" s="7"/>
      <c r="AT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32"/>
      <c r="AM150" s="7"/>
      <c r="AN150" s="7"/>
      <c r="AO150" s="7"/>
      <c r="AP150" s="132"/>
      <c r="AQ150" s="132"/>
      <c r="AR150" s="7"/>
      <c r="AS150" s="7"/>
      <c r="AT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132"/>
      <c r="AM151" s="7"/>
      <c r="AN151" s="7"/>
      <c r="AO151" s="7"/>
      <c r="AP151" s="132"/>
      <c r="AQ151" s="132"/>
      <c r="AR151" s="7"/>
      <c r="AS151" s="7"/>
      <c r="AT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132"/>
      <c r="AM152" s="7"/>
      <c r="AN152" s="7"/>
      <c r="AO152" s="7"/>
      <c r="AP152" s="132"/>
      <c r="AQ152" s="132"/>
      <c r="AR152" s="7"/>
      <c r="AS152" s="7"/>
      <c r="AT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132"/>
      <c r="AM153" s="7"/>
      <c r="AN153" s="7"/>
      <c r="AO153" s="7"/>
      <c r="AP153" s="132"/>
      <c r="AQ153" s="132"/>
      <c r="AR153" s="7"/>
      <c r="AS153" s="7"/>
      <c r="AT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132"/>
      <c r="AM154" s="7"/>
      <c r="AN154" s="7"/>
      <c r="AO154" s="7"/>
      <c r="AP154" s="132"/>
      <c r="AQ154" s="132"/>
      <c r="AR154" s="7"/>
      <c r="AS154" s="7"/>
      <c r="AT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132"/>
      <c r="AM155" s="7"/>
      <c r="AN155" s="7"/>
      <c r="AO155" s="7"/>
      <c r="AP155" s="132"/>
      <c r="AQ155" s="132"/>
      <c r="AR155" s="7"/>
      <c r="AS155" s="7"/>
      <c r="AT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132"/>
      <c r="AM156" s="7"/>
      <c r="AN156" s="7"/>
      <c r="AO156" s="7"/>
      <c r="AP156" s="132"/>
      <c r="AQ156" s="132"/>
      <c r="AR156" s="7"/>
      <c r="AS156" s="7"/>
      <c r="AT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132"/>
      <c r="AM157" s="7"/>
      <c r="AN157" s="7"/>
      <c r="AO157" s="7"/>
      <c r="AP157" s="132"/>
      <c r="AQ157" s="132"/>
      <c r="AR157" s="7"/>
      <c r="AS157" s="7"/>
      <c r="AT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132"/>
      <c r="AM158" s="7"/>
      <c r="AN158" s="7"/>
      <c r="AO158" s="7"/>
      <c r="AP158" s="132"/>
      <c r="AQ158" s="132"/>
      <c r="AR158" s="7"/>
      <c r="AS158" s="7"/>
      <c r="AT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132"/>
      <c r="AM159" s="7"/>
      <c r="AN159" s="7"/>
      <c r="AO159" s="7"/>
      <c r="AP159" s="132"/>
      <c r="AQ159" s="132"/>
      <c r="AR159" s="7"/>
      <c r="AS159" s="7"/>
      <c r="AT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132"/>
      <c r="AM160" s="7"/>
      <c r="AN160" s="7"/>
      <c r="AO160" s="7"/>
      <c r="AP160" s="132"/>
      <c r="AQ160" s="132"/>
      <c r="AR160" s="7"/>
      <c r="AS160" s="7"/>
      <c r="AT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132"/>
      <c r="AM161" s="7"/>
      <c r="AN161" s="7"/>
      <c r="AO161" s="7"/>
      <c r="AP161" s="132"/>
      <c r="AQ161" s="132"/>
      <c r="AR161" s="7"/>
      <c r="AS161" s="7"/>
      <c r="AT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132"/>
      <c r="AM162" s="7"/>
      <c r="AN162" s="7"/>
      <c r="AO162" s="7"/>
      <c r="AP162" s="132"/>
      <c r="AQ162" s="132"/>
      <c r="AR162" s="7"/>
      <c r="AS162" s="7"/>
      <c r="AT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132"/>
      <c r="AM163" s="7"/>
      <c r="AN163" s="7"/>
      <c r="AO163" s="7"/>
      <c r="AP163" s="132"/>
      <c r="AQ163" s="132"/>
      <c r="AR163" s="7"/>
      <c r="AS163" s="7"/>
      <c r="AT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132"/>
      <c r="AM164" s="7"/>
      <c r="AN164" s="7"/>
      <c r="AO164" s="7"/>
      <c r="AP164" s="132"/>
      <c r="AQ164" s="132"/>
      <c r="AR164" s="7"/>
      <c r="AS164" s="7"/>
      <c r="AT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132"/>
      <c r="AM165" s="7"/>
      <c r="AN165" s="7"/>
      <c r="AO165" s="7"/>
      <c r="AP165" s="132"/>
      <c r="AQ165" s="132"/>
      <c r="AR165" s="7"/>
      <c r="AS165" s="7"/>
      <c r="AT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132"/>
      <c r="AM166" s="7"/>
      <c r="AN166" s="7"/>
      <c r="AO166" s="7"/>
      <c r="AP166" s="132"/>
      <c r="AQ166" s="132"/>
      <c r="AR166" s="7"/>
      <c r="AS166" s="7"/>
      <c r="AT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132"/>
      <c r="AM167" s="7"/>
      <c r="AN167" s="7"/>
      <c r="AO167" s="7"/>
      <c r="AP167" s="132"/>
      <c r="AQ167" s="132"/>
      <c r="AR167" s="7"/>
      <c r="AS167" s="7"/>
      <c r="AT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132"/>
      <c r="AM168" s="7"/>
      <c r="AN168" s="7"/>
      <c r="AO168" s="7"/>
      <c r="AP168" s="132"/>
      <c r="AQ168" s="132"/>
      <c r="AR168" s="7"/>
      <c r="AS168" s="7"/>
      <c r="AT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132"/>
      <c r="AM169" s="7"/>
      <c r="AN169" s="7"/>
      <c r="AO169" s="7"/>
      <c r="AP169" s="132"/>
      <c r="AQ169" s="132"/>
      <c r="AR169" s="7"/>
      <c r="AS169" s="7"/>
      <c r="AT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132"/>
      <c r="AM170" s="7"/>
      <c r="AN170" s="7"/>
      <c r="AO170" s="7"/>
      <c r="AP170" s="132"/>
      <c r="AQ170" s="132"/>
      <c r="AR170" s="7"/>
      <c r="AS170" s="7"/>
      <c r="AT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132"/>
      <c r="AM171" s="7"/>
      <c r="AN171" s="7"/>
      <c r="AO171" s="7"/>
      <c r="AP171" s="132"/>
      <c r="AQ171" s="132"/>
      <c r="AR171" s="7"/>
      <c r="AS171" s="7"/>
      <c r="AT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132"/>
      <c r="AM172" s="7"/>
      <c r="AN172" s="7"/>
      <c r="AO172" s="7"/>
      <c r="AP172" s="132"/>
      <c r="AQ172" s="132"/>
      <c r="AR172" s="7"/>
      <c r="AS172" s="7"/>
      <c r="AT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132"/>
      <c r="AM173" s="7"/>
      <c r="AN173" s="7"/>
      <c r="AO173" s="7"/>
      <c r="AP173" s="132"/>
      <c r="AQ173" s="132"/>
      <c r="AR173" s="7"/>
      <c r="AS173" s="7"/>
      <c r="AT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132"/>
      <c r="AM174" s="7"/>
      <c r="AN174" s="7"/>
      <c r="AO174" s="7"/>
      <c r="AP174" s="132"/>
      <c r="AQ174" s="132"/>
      <c r="AR174" s="7"/>
      <c r="AS174" s="7"/>
      <c r="AT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132"/>
      <c r="AM175" s="7"/>
      <c r="AN175" s="7"/>
      <c r="AO175" s="7"/>
      <c r="AP175" s="132"/>
      <c r="AQ175" s="132"/>
      <c r="AR175" s="7"/>
      <c r="AS175" s="7"/>
      <c r="AT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132"/>
      <c r="AM176" s="7"/>
      <c r="AN176" s="7"/>
      <c r="AO176" s="7"/>
      <c r="AP176" s="132"/>
      <c r="AQ176" s="132"/>
      <c r="AR176" s="7"/>
      <c r="AS176" s="7"/>
      <c r="AT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132"/>
      <c r="AM177" s="7"/>
      <c r="AN177" s="7"/>
      <c r="AO177" s="7"/>
      <c r="AP177" s="132"/>
      <c r="AQ177" s="132"/>
      <c r="AR177" s="7"/>
      <c r="AS177" s="7"/>
      <c r="AT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132"/>
      <c r="AM178" s="7"/>
      <c r="AN178" s="7"/>
      <c r="AO178" s="7"/>
      <c r="AP178" s="132"/>
      <c r="AQ178" s="132"/>
      <c r="AR178" s="7"/>
      <c r="AS178" s="7"/>
      <c r="AT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132"/>
      <c r="AM179" s="7"/>
      <c r="AN179" s="7"/>
      <c r="AO179" s="7"/>
      <c r="AP179" s="132"/>
      <c r="AQ179" s="132"/>
      <c r="AR179" s="7"/>
      <c r="AS179" s="7"/>
      <c r="AT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132"/>
      <c r="AM180" s="7"/>
      <c r="AN180" s="7"/>
      <c r="AO180" s="7"/>
      <c r="AP180" s="132"/>
      <c r="AQ180" s="132"/>
      <c r="AR180" s="7"/>
      <c r="AS180" s="7"/>
      <c r="AT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132"/>
      <c r="AM181" s="7"/>
      <c r="AN181" s="7"/>
      <c r="AO181" s="7"/>
      <c r="AP181" s="132"/>
      <c r="AQ181" s="132"/>
      <c r="AR181" s="7"/>
      <c r="AS181" s="7"/>
      <c r="AT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132"/>
      <c r="AM182" s="7"/>
      <c r="AN182" s="7"/>
      <c r="AO182" s="7"/>
      <c r="AP182" s="132"/>
      <c r="AQ182" s="132"/>
      <c r="AR182" s="7"/>
      <c r="AS182" s="7"/>
      <c r="AT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132"/>
      <c r="AM183" s="7"/>
      <c r="AN183" s="7"/>
      <c r="AO183" s="7"/>
      <c r="AP183" s="132"/>
      <c r="AQ183" s="132"/>
      <c r="AR183" s="7"/>
      <c r="AS183" s="7"/>
      <c r="AT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132"/>
      <c r="AM184" s="7"/>
      <c r="AN184" s="7"/>
      <c r="AO184" s="7"/>
      <c r="AP184" s="132"/>
      <c r="AQ184" s="132"/>
      <c r="AR184" s="7"/>
      <c r="AS184" s="7"/>
      <c r="AT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132"/>
      <c r="AM185" s="7"/>
      <c r="AN185" s="7"/>
      <c r="AO185" s="7"/>
      <c r="AP185" s="132"/>
      <c r="AQ185" s="132"/>
      <c r="AR185" s="7"/>
      <c r="AS185" s="7"/>
      <c r="AT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132"/>
      <c r="AM186" s="7"/>
      <c r="AN186" s="7"/>
      <c r="AO186" s="7"/>
      <c r="AP186" s="132"/>
      <c r="AQ186" s="132"/>
      <c r="AR186" s="7"/>
      <c r="AS186" s="7"/>
      <c r="AT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132"/>
      <c r="AM187" s="7"/>
      <c r="AN187" s="7"/>
      <c r="AO187" s="7"/>
      <c r="AP187" s="132"/>
      <c r="AQ187" s="132"/>
      <c r="AR187" s="7"/>
      <c r="AS187" s="7"/>
      <c r="AT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132"/>
      <c r="AM188" s="7"/>
      <c r="AN188" s="7"/>
      <c r="AO188" s="7"/>
      <c r="AP188" s="132"/>
      <c r="AQ188" s="132"/>
      <c r="AR188" s="7"/>
      <c r="AS188" s="7"/>
      <c r="AT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132"/>
      <c r="AM189" s="7"/>
      <c r="AN189" s="7"/>
      <c r="AO189" s="7"/>
      <c r="AP189" s="132"/>
      <c r="AQ189" s="132"/>
      <c r="AR189" s="7"/>
      <c r="AS189" s="7"/>
      <c r="AT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132"/>
      <c r="AM190" s="7"/>
      <c r="AN190" s="7"/>
      <c r="AO190" s="7"/>
      <c r="AP190" s="132"/>
      <c r="AQ190" s="132"/>
      <c r="AR190" s="7"/>
      <c r="AS190" s="7"/>
      <c r="AT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132"/>
      <c r="AM191" s="7"/>
      <c r="AN191" s="7"/>
      <c r="AO191" s="7"/>
      <c r="AP191" s="132"/>
      <c r="AQ191" s="132"/>
      <c r="AR191" s="7"/>
      <c r="AS191" s="7"/>
      <c r="AT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132"/>
      <c r="AM192" s="7"/>
      <c r="AN192" s="7"/>
      <c r="AO192" s="7"/>
      <c r="AP192" s="132"/>
      <c r="AQ192" s="132"/>
      <c r="AR192" s="7"/>
      <c r="AS192" s="7"/>
      <c r="AT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132"/>
      <c r="AM193" s="7"/>
      <c r="AN193" s="7"/>
      <c r="AO193" s="7"/>
      <c r="AP193" s="132"/>
      <c r="AQ193" s="132"/>
      <c r="AR193" s="7"/>
      <c r="AS193" s="7"/>
      <c r="AT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132"/>
      <c r="AM194" s="7"/>
      <c r="AN194" s="7"/>
      <c r="AO194" s="7"/>
      <c r="AP194" s="132"/>
      <c r="AQ194" s="132"/>
      <c r="AR194" s="7"/>
      <c r="AS194" s="7"/>
      <c r="AT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132"/>
      <c r="AM195" s="7"/>
      <c r="AN195" s="7"/>
      <c r="AO195" s="7"/>
      <c r="AP195" s="132"/>
      <c r="AQ195" s="132"/>
      <c r="AR195" s="7"/>
      <c r="AS195" s="7"/>
      <c r="AT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132"/>
      <c r="AM196" s="7"/>
      <c r="AN196" s="7"/>
      <c r="AO196" s="7"/>
      <c r="AP196" s="132"/>
      <c r="AQ196" s="132"/>
      <c r="AR196" s="7"/>
      <c r="AS196" s="7"/>
      <c r="AT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132"/>
      <c r="AM197" s="7"/>
      <c r="AN197" s="7"/>
      <c r="AO197" s="7"/>
      <c r="AP197" s="132"/>
      <c r="AQ197" s="132"/>
      <c r="AR197" s="7"/>
      <c r="AS197" s="7"/>
      <c r="AT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132"/>
      <c r="AM198" s="7"/>
      <c r="AN198" s="7"/>
      <c r="AO198" s="7"/>
      <c r="AP198" s="132"/>
      <c r="AQ198" s="132"/>
      <c r="AR198" s="7"/>
      <c r="AS198" s="7"/>
      <c r="AT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132"/>
      <c r="AM199" s="7"/>
      <c r="AN199" s="7"/>
      <c r="AO199" s="7"/>
      <c r="AP199" s="132"/>
      <c r="AQ199" s="132"/>
      <c r="AR199" s="7"/>
      <c r="AS199" s="7"/>
      <c r="AT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132"/>
      <c r="AM200" s="7"/>
      <c r="AN200" s="7"/>
      <c r="AO200" s="7"/>
      <c r="AP200" s="132"/>
      <c r="AQ200" s="132"/>
      <c r="AR200" s="7"/>
      <c r="AS200" s="7"/>
      <c r="AT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132"/>
      <c r="AM201" s="7"/>
      <c r="AN201" s="7"/>
      <c r="AO201" s="7"/>
      <c r="AP201" s="132"/>
      <c r="AQ201" s="132"/>
      <c r="AR201" s="7"/>
      <c r="AS201" s="7"/>
      <c r="AT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132"/>
      <c r="AM202" s="7"/>
      <c r="AN202" s="7"/>
      <c r="AO202" s="7"/>
      <c r="AP202" s="132"/>
      <c r="AQ202" s="132"/>
      <c r="AR202" s="7"/>
      <c r="AS202" s="7"/>
      <c r="AT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132"/>
      <c r="AM203" s="7"/>
      <c r="AN203" s="7"/>
      <c r="AO203" s="7"/>
      <c r="AP203" s="132"/>
      <c r="AQ203" s="132"/>
      <c r="AR203" s="7"/>
      <c r="AS203" s="7"/>
      <c r="AT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132"/>
      <c r="AM204" s="7"/>
      <c r="AN204" s="7"/>
      <c r="AO204" s="7"/>
      <c r="AP204" s="132"/>
      <c r="AQ204" s="132"/>
      <c r="AR204" s="7"/>
      <c r="AS204" s="7"/>
      <c r="AT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132"/>
      <c r="AM205" s="7"/>
      <c r="AN205" s="7"/>
      <c r="AO205" s="7"/>
      <c r="AP205" s="132"/>
      <c r="AQ205" s="132"/>
      <c r="AR205" s="7"/>
      <c r="AS205" s="7"/>
      <c r="AT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132"/>
      <c r="AM206" s="7"/>
      <c r="AN206" s="7"/>
      <c r="AO206" s="7"/>
      <c r="AP206" s="132"/>
      <c r="AQ206" s="132"/>
      <c r="AR206" s="7"/>
      <c r="AS206" s="7"/>
      <c r="AT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132"/>
      <c r="AM207" s="7"/>
      <c r="AN207" s="7"/>
      <c r="AO207" s="7"/>
      <c r="AP207" s="132"/>
      <c r="AQ207" s="132"/>
      <c r="AR207" s="7"/>
      <c r="AS207" s="7"/>
      <c r="AT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132"/>
      <c r="AM208" s="7"/>
      <c r="AN208" s="7"/>
      <c r="AO208" s="7"/>
      <c r="AP208" s="132"/>
      <c r="AQ208" s="132"/>
      <c r="AR208" s="7"/>
      <c r="AS208" s="7"/>
      <c r="AT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132"/>
      <c r="AM209" s="7"/>
      <c r="AN209" s="7"/>
      <c r="AO209" s="7"/>
      <c r="AP209" s="132"/>
      <c r="AQ209" s="132"/>
      <c r="AR209" s="7"/>
      <c r="AS209" s="7"/>
      <c r="AT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132"/>
      <c r="AM210" s="7"/>
      <c r="AN210" s="7"/>
      <c r="AO210" s="7"/>
      <c r="AP210" s="132"/>
      <c r="AQ210" s="132"/>
      <c r="AR210" s="7"/>
      <c r="AS210" s="7"/>
      <c r="AT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132"/>
      <c r="AM211" s="7"/>
      <c r="AN211" s="7"/>
      <c r="AO211" s="7"/>
      <c r="AP211" s="132"/>
      <c r="AQ211" s="132"/>
      <c r="AR211" s="7"/>
      <c r="AS211" s="7"/>
      <c r="AT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132"/>
      <c r="AM212" s="7"/>
      <c r="AN212" s="7"/>
      <c r="AO212" s="7"/>
      <c r="AP212" s="132"/>
      <c r="AQ212" s="132"/>
      <c r="AR212" s="7"/>
      <c r="AS212" s="7"/>
      <c r="AT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132"/>
      <c r="AM213" s="7"/>
      <c r="AN213" s="7"/>
      <c r="AO213" s="7"/>
      <c r="AP213" s="132"/>
      <c r="AQ213" s="132"/>
      <c r="AR213" s="7"/>
      <c r="AS213" s="7"/>
      <c r="AT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132"/>
      <c r="AM214" s="7"/>
      <c r="AN214" s="7"/>
      <c r="AO214" s="7"/>
      <c r="AP214" s="132"/>
      <c r="AQ214" s="132"/>
      <c r="AR214" s="7"/>
      <c r="AS214" s="7"/>
      <c r="AT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132"/>
      <c r="AM215" s="7"/>
      <c r="AN215" s="7"/>
      <c r="AO215" s="7"/>
      <c r="AP215" s="132"/>
      <c r="AQ215" s="132"/>
      <c r="AR215" s="7"/>
      <c r="AS215" s="7"/>
      <c r="AT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132"/>
      <c r="AM216" s="7"/>
      <c r="AN216" s="7"/>
      <c r="AO216" s="7"/>
      <c r="AP216" s="132"/>
      <c r="AQ216" s="132"/>
      <c r="AR216" s="7"/>
      <c r="AS216" s="7"/>
      <c r="AT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132"/>
      <c r="AM217" s="7"/>
      <c r="AN217" s="7"/>
      <c r="AO217" s="7"/>
      <c r="AP217" s="132"/>
      <c r="AQ217" s="132"/>
      <c r="AR217" s="7"/>
      <c r="AS217" s="7"/>
      <c r="AT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132"/>
      <c r="AM218" s="7"/>
      <c r="AN218" s="7"/>
      <c r="AO218" s="7"/>
      <c r="AP218" s="132"/>
      <c r="AQ218" s="132"/>
      <c r="AR218" s="7"/>
      <c r="AS218" s="7"/>
      <c r="AT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132"/>
      <c r="AM219" s="7"/>
      <c r="AN219" s="7"/>
      <c r="AO219" s="7"/>
      <c r="AP219" s="132"/>
      <c r="AQ219" s="132"/>
      <c r="AR219" s="7"/>
      <c r="AS219" s="7"/>
      <c r="AT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132"/>
      <c r="AM220" s="7"/>
      <c r="AN220" s="7"/>
      <c r="AO220" s="7"/>
      <c r="AP220" s="132"/>
      <c r="AQ220" s="132"/>
      <c r="AR220" s="7"/>
      <c r="AS220" s="7"/>
      <c r="AT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132"/>
      <c r="AM221" s="7"/>
      <c r="AN221" s="7"/>
      <c r="AO221" s="7"/>
      <c r="AP221" s="132"/>
      <c r="AQ221" s="132"/>
      <c r="AR221" s="7"/>
      <c r="AS221" s="7"/>
      <c r="AT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132"/>
      <c r="AM222" s="7"/>
      <c r="AN222" s="7"/>
      <c r="AO222" s="7"/>
      <c r="AP222" s="132"/>
      <c r="AQ222" s="132"/>
      <c r="AR222" s="7"/>
      <c r="AS222" s="7"/>
      <c r="AT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132"/>
      <c r="AM223" s="7"/>
      <c r="AN223" s="7"/>
      <c r="AO223" s="7"/>
      <c r="AP223" s="132"/>
      <c r="AQ223" s="132"/>
      <c r="AR223" s="7"/>
      <c r="AS223" s="7"/>
      <c r="AT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132"/>
      <c r="AM224" s="7"/>
      <c r="AN224" s="7"/>
      <c r="AO224" s="7"/>
      <c r="AP224" s="132"/>
      <c r="AQ224" s="132"/>
      <c r="AR224" s="7"/>
      <c r="AS224" s="7"/>
      <c r="AT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132"/>
      <c r="AM225" s="7"/>
      <c r="AN225" s="7"/>
      <c r="AO225" s="7"/>
      <c r="AP225" s="132"/>
      <c r="AQ225" s="132"/>
      <c r="AR225" s="7"/>
      <c r="AS225" s="7"/>
      <c r="AT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132"/>
      <c r="AM226" s="7"/>
      <c r="AN226" s="7"/>
      <c r="AO226" s="7"/>
      <c r="AP226" s="132"/>
      <c r="AQ226" s="132"/>
      <c r="AR226" s="7"/>
      <c r="AS226" s="7"/>
      <c r="AT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132"/>
      <c r="AM227" s="7"/>
      <c r="AN227" s="7"/>
      <c r="AO227" s="7"/>
      <c r="AP227" s="132"/>
      <c r="AQ227" s="132"/>
      <c r="AR227" s="7"/>
      <c r="AS227" s="7"/>
      <c r="AT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132"/>
      <c r="AM228" s="7"/>
      <c r="AN228" s="7"/>
      <c r="AO228" s="7"/>
      <c r="AP228" s="132"/>
      <c r="AQ228" s="132"/>
      <c r="AR228" s="7"/>
      <c r="AS228" s="7"/>
      <c r="AT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132"/>
      <c r="AM229" s="7"/>
      <c r="AN229" s="7"/>
      <c r="AO229" s="7"/>
      <c r="AP229" s="132"/>
      <c r="AQ229" s="132"/>
      <c r="AR229" s="7"/>
      <c r="AS229" s="7"/>
      <c r="AT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132"/>
      <c r="AM230" s="7"/>
      <c r="AN230" s="7"/>
      <c r="AO230" s="7"/>
      <c r="AP230" s="132"/>
      <c r="AQ230" s="132"/>
      <c r="AR230" s="7"/>
      <c r="AS230" s="7"/>
      <c r="AT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132"/>
      <c r="AM231" s="7"/>
      <c r="AN231" s="7"/>
      <c r="AO231" s="7"/>
      <c r="AP231" s="132"/>
      <c r="AQ231" s="132"/>
      <c r="AR231" s="7"/>
      <c r="AS231" s="7"/>
      <c r="AT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132"/>
      <c r="AM232" s="7"/>
      <c r="AN232" s="7"/>
      <c r="AO232" s="7"/>
      <c r="AP232" s="132"/>
      <c r="AQ232" s="132"/>
      <c r="AR232" s="7"/>
      <c r="AS232" s="7"/>
      <c r="AT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132"/>
      <c r="AM233" s="7"/>
      <c r="AN233" s="7"/>
      <c r="AO233" s="7"/>
      <c r="AP233" s="132"/>
      <c r="AQ233" s="132"/>
      <c r="AR233" s="7"/>
      <c r="AS233" s="7"/>
      <c r="AT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132"/>
      <c r="AM234" s="7"/>
      <c r="AN234" s="7"/>
      <c r="AO234" s="7"/>
      <c r="AP234" s="132"/>
      <c r="AQ234" s="132"/>
      <c r="AR234" s="7"/>
      <c r="AS234" s="7"/>
      <c r="AT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132"/>
      <c r="AM235" s="7"/>
      <c r="AN235" s="7"/>
      <c r="AO235" s="7"/>
      <c r="AP235" s="132"/>
      <c r="AQ235" s="132"/>
      <c r="AR235" s="7"/>
      <c r="AS235" s="7"/>
      <c r="AT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132"/>
      <c r="AM236" s="7"/>
      <c r="AN236" s="7"/>
      <c r="AO236" s="7"/>
      <c r="AP236" s="132"/>
      <c r="AQ236" s="132"/>
      <c r="AR236" s="7"/>
      <c r="AS236" s="7"/>
      <c r="AT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132"/>
      <c r="AM237" s="7"/>
      <c r="AN237" s="7"/>
      <c r="AO237" s="7"/>
      <c r="AP237" s="132"/>
      <c r="AQ237" s="132"/>
      <c r="AR237" s="7"/>
      <c r="AS237" s="7"/>
      <c r="AT237" s="7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</row>
  </sheetData>
  <mergeCells count="5">
    <mergeCell ref="C6:N6"/>
    <mergeCell ref="O6:U6"/>
    <mergeCell ref="V6:AB6"/>
    <mergeCell ref="AC6:AK6"/>
    <mergeCell ref="AN6:AS6"/>
  </mergeCells>
  <conditionalFormatting sqref="C8:C15">
    <cfRule type="cellIs" dxfId="2" priority="1" operator="greaterThan">
      <formula>4809.8</formula>
    </cfRule>
  </conditionalFormatting>
  <conditionalFormatting sqref="C8:C15">
    <cfRule type="cellIs" dxfId="1" priority="2" operator="lessThan">
      <formula>10.5</formula>
    </cfRule>
  </conditionalFormatting>
  <conditionalFormatting sqref="D8:D15">
    <cfRule type="cellIs" dxfId="2" priority="3" operator="greaterThan">
      <formula>5182.9</formula>
    </cfRule>
  </conditionalFormatting>
  <conditionalFormatting sqref="D8:D15">
    <cfRule type="cellIs" dxfId="1" priority="4" operator="lessThan">
      <formula>10.1</formula>
    </cfRule>
  </conditionalFormatting>
  <conditionalFormatting sqref="E8:E15">
    <cfRule type="cellIs" dxfId="2" priority="5" operator="greaterThan">
      <formula>5324591</formula>
    </cfRule>
  </conditionalFormatting>
  <conditionalFormatting sqref="E8:E15">
    <cfRule type="cellIs" dxfId="1" priority="6" operator="lessThan">
      <formula>11936.35</formula>
    </cfRule>
  </conditionalFormatting>
  <conditionalFormatting sqref="F8:F15">
    <cfRule type="cellIs" dxfId="2" priority="7" operator="greaterThan">
      <formula>393654.23</formula>
    </cfRule>
  </conditionalFormatting>
  <conditionalFormatting sqref="F8:F15">
    <cfRule type="cellIs" dxfId="1" priority="8" operator="lessThan">
      <formula>5234.58</formula>
    </cfRule>
  </conditionalFormatting>
  <conditionalFormatting sqref="G8:G15">
    <cfRule type="cellIs" dxfId="2" priority="9" operator="greaterThan">
      <formula>13102234.65</formula>
    </cfRule>
  </conditionalFormatting>
  <conditionalFormatting sqref="G8:G15">
    <cfRule type="cellIs" dxfId="1" priority="10" operator="lessThan">
      <formula>31301.34</formula>
    </cfRule>
  </conditionalFormatting>
  <conditionalFormatting sqref="H8:H15">
    <cfRule type="cellIs" dxfId="2" priority="11" operator="greaterThan">
      <formula>525618.19</formula>
    </cfRule>
  </conditionalFormatting>
  <conditionalFormatting sqref="H8:H15">
    <cfRule type="cellIs" dxfId="1" priority="12" operator="lessThan">
      <formula>5687.34</formula>
    </cfRule>
  </conditionalFormatting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4.63"/>
    <col customWidth="1" min="2" max="2" width="22.88"/>
    <col customWidth="1" min="3" max="3" width="12.63"/>
    <col customWidth="1" min="4" max="4" width="14.0"/>
    <col customWidth="1" min="5" max="6" width="12.63"/>
    <col customWidth="1" min="10" max="11" width="18.63"/>
    <col customWidth="1" min="13" max="13" width="13.5"/>
    <col customWidth="1" min="14" max="14" width="16.13"/>
    <col customWidth="1" min="15" max="15" width="24.13"/>
    <col customWidth="1" min="16" max="16" width="16.63"/>
    <col customWidth="1" min="17" max="17" width="19.63"/>
    <col customWidth="1" min="18" max="18" width="19.13"/>
    <col customWidth="1" min="19" max="19" width="19.63"/>
    <col customWidth="1" min="20" max="22" width="21.63"/>
    <col customWidth="1" min="23" max="23" width="19.63"/>
    <col customWidth="1" min="25" max="25" width="34.0"/>
  </cols>
  <sheetData>
    <row r="1" ht="15.75" customHeight="1">
      <c r="A1" s="1" t="s">
        <v>162</v>
      </c>
      <c r="B1" s="1" t="s">
        <v>0</v>
      </c>
      <c r="C1" s="44" t="s">
        <v>163</v>
      </c>
      <c r="D1" s="44" t="s">
        <v>164</v>
      </c>
      <c r="E1" s="44" t="s">
        <v>165</v>
      </c>
      <c r="F1" s="45" t="s">
        <v>166</v>
      </c>
      <c r="G1" s="44" t="s">
        <v>167</v>
      </c>
      <c r="H1" s="46" t="s">
        <v>168</v>
      </c>
      <c r="I1" s="46" t="s">
        <v>169</v>
      </c>
      <c r="J1" s="44" t="s">
        <v>170</v>
      </c>
      <c r="K1" s="44" t="s">
        <v>171</v>
      </c>
      <c r="L1" s="44" t="s">
        <v>172</v>
      </c>
      <c r="M1" s="47" t="s">
        <v>173</v>
      </c>
      <c r="N1" s="44" t="s">
        <v>174</v>
      </c>
      <c r="O1" s="48" t="s">
        <v>175</v>
      </c>
      <c r="P1" s="48" t="s">
        <v>326</v>
      </c>
      <c r="Q1" s="48" t="s">
        <v>177</v>
      </c>
      <c r="R1" s="48" t="s">
        <v>178</v>
      </c>
      <c r="S1" s="48" t="s">
        <v>179</v>
      </c>
      <c r="T1" s="48" t="s">
        <v>180</v>
      </c>
      <c r="U1" s="1" t="s">
        <v>327</v>
      </c>
      <c r="V1" s="48" t="s">
        <v>182</v>
      </c>
      <c r="W1" s="48" t="s">
        <v>183</v>
      </c>
      <c r="X1" s="1" t="s">
        <v>184</v>
      </c>
      <c r="Y1" s="44" t="s">
        <v>185</v>
      </c>
      <c r="Z1" s="1" t="s">
        <v>186</v>
      </c>
      <c r="AA1" s="7"/>
      <c r="AB1" s="7"/>
      <c r="AC1" s="7"/>
      <c r="AD1" s="7"/>
      <c r="AE1" s="7"/>
      <c r="AF1" s="7"/>
      <c r="AG1" s="7"/>
      <c r="AH1" s="7"/>
    </row>
    <row r="2" ht="15.75" customHeight="1">
      <c r="A2" s="49" t="s">
        <v>133</v>
      </c>
      <c r="B2" s="49" t="s">
        <v>150</v>
      </c>
      <c r="C2" s="51">
        <v>44978.0</v>
      </c>
      <c r="D2" s="51">
        <v>44988.0</v>
      </c>
      <c r="E2" s="52">
        <f t="shared" ref="E2:E3" si="1">SUM(25,1000,200,770,530,990)</f>
        <v>3515</v>
      </c>
      <c r="F2" s="53">
        <v>0.7114</v>
      </c>
      <c r="G2" s="54">
        <f t="shared" ref="G2:G19" si="2">F2*83.333</f>
        <v>59.2830962</v>
      </c>
      <c r="H2" s="55">
        <v>10.7011</v>
      </c>
      <c r="I2" s="55">
        <v>17.9732</v>
      </c>
      <c r="J2" s="172">
        <f t="shared" ref="J2:J19" si="3">(I2-H2)/$B$31</f>
        <v>9.181944444</v>
      </c>
      <c r="K2" s="54">
        <v>11.0</v>
      </c>
      <c r="L2" s="54">
        <f t="shared" ref="L2:L19" si="4">E2*G2/J2*$B$30</f>
        <v>4538.909692</v>
      </c>
      <c r="M2" s="57">
        <f t="shared" ref="M2:M19" si="5">L2/1000</f>
        <v>4.538909692</v>
      </c>
      <c r="N2" s="57">
        <f t="shared" ref="N2:N19" si="6">M2*12</f>
        <v>54.4669163</v>
      </c>
      <c r="O2" s="173">
        <v>0.2</v>
      </c>
      <c r="P2" s="174">
        <f t="shared" ref="P2:P19" si="7">O2/1000/12*1000*1000/L2*1000</f>
        <v>3.671953795</v>
      </c>
      <c r="Q2" s="55">
        <v>2.5</v>
      </c>
      <c r="R2" s="55">
        <v>2.2</v>
      </c>
      <c r="S2" s="55"/>
      <c r="T2" s="52"/>
      <c r="U2" s="52"/>
      <c r="V2" s="63">
        <f t="shared" ref="V2:V19" si="8">SUM(Q2:U2)</f>
        <v>4.7</v>
      </c>
      <c r="W2" s="63">
        <f t="shared" ref="W2:W19" si="9">N2*V2/1000</f>
        <v>0.2559945066</v>
      </c>
      <c r="X2" s="52">
        <v>100.0</v>
      </c>
      <c r="Y2" s="175">
        <f t="shared" ref="Y2:Y19" si="10">L2*V2/X2</f>
        <v>213.3287555</v>
      </c>
      <c r="Z2" s="1" t="s">
        <v>187</v>
      </c>
      <c r="AA2" s="7"/>
      <c r="AB2" s="7"/>
      <c r="AC2" s="7"/>
      <c r="AD2" s="7"/>
      <c r="AE2" s="7"/>
      <c r="AF2" s="7"/>
      <c r="AG2" s="7"/>
      <c r="AH2" s="7"/>
    </row>
    <row r="3" ht="15.75" customHeight="1">
      <c r="A3" s="49" t="s">
        <v>133</v>
      </c>
      <c r="B3" s="49" t="s">
        <v>151</v>
      </c>
      <c r="C3" s="51">
        <v>44978.0</v>
      </c>
      <c r="D3" s="51">
        <v>44988.0</v>
      </c>
      <c r="E3" s="52">
        <f t="shared" si="1"/>
        <v>3515</v>
      </c>
      <c r="F3" s="53">
        <v>0.7114</v>
      </c>
      <c r="G3" s="54">
        <f t="shared" si="2"/>
        <v>59.2830962</v>
      </c>
      <c r="H3" s="55">
        <v>10.7011</v>
      </c>
      <c r="I3" s="55">
        <v>17.9732</v>
      </c>
      <c r="J3" s="172">
        <f t="shared" si="3"/>
        <v>9.181944444</v>
      </c>
      <c r="K3" s="54">
        <v>11.0</v>
      </c>
      <c r="L3" s="54">
        <f t="shared" si="4"/>
        <v>4538.909692</v>
      </c>
      <c r="M3" s="57">
        <f t="shared" si="5"/>
        <v>4.538909692</v>
      </c>
      <c r="N3" s="57">
        <f t="shared" si="6"/>
        <v>54.4669163</v>
      </c>
      <c r="O3" s="173">
        <v>0.2</v>
      </c>
      <c r="P3" s="174">
        <f t="shared" si="7"/>
        <v>3.671953795</v>
      </c>
      <c r="Q3" s="55">
        <v>2.5</v>
      </c>
      <c r="R3" s="55">
        <v>2.0</v>
      </c>
      <c r="S3" s="55"/>
      <c r="T3" s="52"/>
      <c r="U3" s="52"/>
      <c r="V3" s="63">
        <f t="shared" si="8"/>
        <v>4.5</v>
      </c>
      <c r="W3" s="63">
        <f t="shared" si="9"/>
        <v>0.2451011234</v>
      </c>
      <c r="X3" s="52">
        <v>100.0</v>
      </c>
      <c r="Y3" s="175">
        <f t="shared" si="10"/>
        <v>204.2509361</v>
      </c>
      <c r="Z3" s="1"/>
      <c r="AA3" s="7"/>
      <c r="AB3" s="7"/>
      <c r="AC3" s="7"/>
      <c r="AD3" s="7"/>
      <c r="AE3" s="7"/>
      <c r="AF3" s="7"/>
      <c r="AG3" s="7"/>
      <c r="AH3" s="7"/>
    </row>
    <row r="4" ht="15.75" customHeight="1">
      <c r="A4" s="49" t="s">
        <v>116</v>
      </c>
      <c r="B4" s="50" t="s">
        <v>152</v>
      </c>
      <c r="C4" s="51">
        <v>45279.0</v>
      </c>
      <c r="D4" s="51">
        <v>44939.0</v>
      </c>
      <c r="E4" s="52">
        <f t="shared" ref="E4:E5" si="11">SUM(1000,460,25,100,230,970,69,880,1000,1000)</f>
        <v>5734</v>
      </c>
      <c r="F4" s="53">
        <v>0.4699999999999999</v>
      </c>
      <c r="G4" s="54">
        <f t="shared" si="2"/>
        <v>39.16651</v>
      </c>
      <c r="H4" s="55">
        <v>10.7495</v>
      </c>
      <c r="I4" s="55">
        <v>18.0262</v>
      </c>
      <c r="J4" s="172">
        <f t="shared" si="3"/>
        <v>9.187752525</v>
      </c>
      <c r="K4" s="54">
        <v>11.0</v>
      </c>
      <c r="L4" s="54">
        <f t="shared" si="4"/>
        <v>4888.698683</v>
      </c>
      <c r="M4" s="57">
        <f t="shared" si="5"/>
        <v>4.888698683</v>
      </c>
      <c r="N4" s="57">
        <f t="shared" si="6"/>
        <v>58.66438419</v>
      </c>
      <c r="O4" s="173">
        <v>0.2</v>
      </c>
      <c r="P4" s="174">
        <f t="shared" si="7"/>
        <v>3.409223548</v>
      </c>
      <c r="Q4" s="55">
        <v>2.5</v>
      </c>
      <c r="R4" s="52">
        <v>2.1</v>
      </c>
      <c r="S4" s="52"/>
      <c r="T4" s="52"/>
      <c r="U4" s="52"/>
      <c r="V4" s="63">
        <f t="shared" si="8"/>
        <v>4.6</v>
      </c>
      <c r="W4" s="63">
        <f t="shared" si="9"/>
        <v>0.2698561673</v>
      </c>
      <c r="X4" s="52">
        <v>100.0</v>
      </c>
      <c r="Y4" s="175">
        <f t="shared" si="10"/>
        <v>224.8801394</v>
      </c>
      <c r="Z4" s="7" t="s">
        <v>328</v>
      </c>
      <c r="AA4" s="7"/>
      <c r="AB4" s="7"/>
      <c r="AC4" s="7"/>
      <c r="AD4" s="7"/>
      <c r="AE4" s="7"/>
      <c r="AF4" s="7"/>
      <c r="AG4" s="7"/>
      <c r="AH4" s="7"/>
    </row>
    <row r="5" ht="15.75" customHeight="1">
      <c r="A5" s="49" t="s">
        <v>116</v>
      </c>
      <c r="B5" s="50" t="s">
        <v>153</v>
      </c>
      <c r="C5" s="51">
        <v>45279.0</v>
      </c>
      <c r="D5" s="51">
        <v>44939.0</v>
      </c>
      <c r="E5" s="52">
        <f t="shared" si="11"/>
        <v>5734</v>
      </c>
      <c r="F5" s="53">
        <v>0.4699999999999999</v>
      </c>
      <c r="G5" s="54">
        <f t="shared" si="2"/>
        <v>39.16651</v>
      </c>
      <c r="H5" s="55">
        <v>10.7495</v>
      </c>
      <c r="I5" s="55">
        <v>18.0262</v>
      </c>
      <c r="J5" s="172">
        <f t="shared" si="3"/>
        <v>9.187752525</v>
      </c>
      <c r="K5" s="54">
        <v>11.0</v>
      </c>
      <c r="L5" s="54">
        <f t="shared" si="4"/>
        <v>4888.698683</v>
      </c>
      <c r="M5" s="57">
        <f t="shared" si="5"/>
        <v>4.888698683</v>
      </c>
      <c r="N5" s="57">
        <f t="shared" si="6"/>
        <v>58.66438419</v>
      </c>
      <c r="O5" s="173">
        <v>0.2</v>
      </c>
      <c r="P5" s="174">
        <f t="shared" si="7"/>
        <v>3.409223548</v>
      </c>
      <c r="Q5" s="55">
        <v>2.5</v>
      </c>
      <c r="R5" s="52">
        <v>2.1</v>
      </c>
      <c r="S5" s="52"/>
      <c r="T5" s="52"/>
      <c r="U5" s="52"/>
      <c r="V5" s="63">
        <f t="shared" si="8"/>
        <v>4.6</v>
      </c>
      <c r="W5" s="63">
        <f t="shared" si="9"/>
        <v>0.2698561673</v>
      </c>
      <c r="X5" s="52">
        <v>100.0</v>
      </c>
      <c r="Y5" s="175">
        <f t="shared" si="10"/>
        <v>224.8801394</v>
      </c>
      <c r="Z5" s="7" t="s">
        <v>328</v>
      </c>
      <c r="AA5" s="7"/>
      <c r="AB5" s="7"/>
      <c r="AC5" s="7"/>
      <c r="AD5" s="7"/>
      <c r="AE5" s="7"/>
      <c r="AF5" s="7"/>
      <c r="AG5" s="7"/>
      <c r="AH5" s="7"/>
    </row>
    <row r="6" ht="15.75" customHeight="1">
      <c r="A6" s="49" t="s">
        <v>113</v>
      </c>
      <c r="B6" s="50" t="s">
        <v>112</v>
      </c>
      <c r="C6" s="51">
        <v>44935.0</v>
      </c>
      <c r="D6" s="51">
        <v>45044.0</v>
      </c>
      <c r="E6" s="52">
        <f>SUM(25,880,170,670,990,550)</f>
        <v>3285</v>
      </c>
      <c r="F6" s="53">
        <v>0.43499999999999994</v>
      </c>
      <c r="G6" s="54">
        <f t="shared" si="2"/>
        <v>36.249855</v>
      </c>
      <c r="H6" s="55">
        <v>10.7997</v>
      </c>
      <c r="I6" s="55">
        <v>18.0093</v>
      </c>
      <c r="J6" s="172">
        <f t="shared" si="3"/>
        <v>9.103030303</v>
      </c>
      <c r="K6" s="54">
        <v>11.0</v>
      </c>
      <c r="L6" s="54">
        <f t="shared" si="4"/>
        <v>2616.288636</v>
      </c>
      <c r="M6" s="57">
        <f t="shared" si="5"/>
        <v>2.616288636</v>
      </c>
      <c r="N6" s="57">
        <f t="shared" si="6"/>
        <v>31.39546363</v>
      </c>
      <c r="O6" s="173">
        <v>0.2</v>
      </c>
      <c r="P6" s="174">
        <f t="shared" si="7"/>
        <v>6.370347078</v>
      </c>
      <c r="Q6" s="55">
        <v>2.5</v>
      </c>
      <c r="R6" s="52">
        <v>2.5</v>
      </c>
      <c r="S6" s="52">
        <v>2.0</v>
      </c>
      <c r="T6" s="52">
        <v>1.5</v>
      </c>
      <c r="U6" s="52">
        <v>0.625</v>
      </c>
      <c r="V6" s="63">
        <f t="shared" si="8"/>
        <v>9.125</v>
      </c>
      <c r="W6" s="63">
        <f t="shared" si="9"/>
        <v>0.2864836056</v>
      </c>
      <c r="X6" s="52">
        <v>100.0</v>
      </c>
      <c r="Y6" s="175">
        <f t="shared" si="10"/>
        <v>238.736338</v>
      </c>
      <c r="Z6" s="7" t="s">
        <v>329</v>
      </c>
      <c r="AA6" s="7"/>
      <c r="AB6" s="7"/>
      <c r="AC6" s="7"/>
      <c r="AD6" s="7"/>
      <c r="AE6" s="7"/>
      <c r="AF6" s="7"/>
      <c r="AG6" s="7"/>
      <c r="AH6" s="7"/>
    </row>
    <row r="7" ht="15.75" customHeight="1">
      <c r="A7" s="49" t="s">
        <v>84</v>
      </c>
      <c r="B7" s="50" t="s">
        <v>83</v>
      </c>
      <c r="C7" s="51">
        <v>45279.0</v>
      </c>
      <c r="D7" s="51">
        <v>45283.0</v>
      </c>
      <c r="E7" s="52">
        <f>SUM(780,25,640,180,885,467)</f>
        <v>2977</v>
      </c>
      <c r="F7" s="53">
        <v>0.359525</v>
      </c>
      <c r="G7" s="54">
        <f t="shared" si="2"/>
        <v>29.96029683</v>
      </c>
      <c r="H7" s="55">
        <v>10.7092</v>
      </c>
      <c r="I7" s="55">
        <v>17.9395</v>
      </c>
      <c r="J7" s="172">
        <f t="shared" si="3"/>
        <v>9.129166667</v>
      </c>
      <c r="K7" s="54">
        <v>11.0</v>
      </c>
      <c r="L7" s="54">
        <f t="shared" si="4"/>
        <v>1953.996611</v>
      </c>
      <c r="M7" s="57">
        <f t="shared" si="5"/>
        <v>1.953996611</v>
      </c>
      <c r="N7" s="57">
        <f t="shared" si="6"/>
        <v>23.44795933</v>
      </c>
      <c r="O7" s="173">
        <v>0.2</v>
      </c>
      <c r="P7" s="174">
        <f t="shared" si="7"/>
        <v>8.529526905</v>
      </c>
      <c r="Q7" s="55">
        <v>2.5</v>
      </c>
      <c r="R7" s="52">
        <v>2.5</v>
      </c>
      <c r="S7" s="52">
        <v>1.5</v>
      </c>
      <c r="T7" s="52">
        <v>2.0</v>
      </c>
      <c r="U7" s="52">
        <v>0.75</v>
      </c>
      <c r="V7" s="63">
        <f t="shared" si="8"/>
        <v>9.25</v>
      </c>
      <c r="W7" s="63">
        <f t="shared" si="9"/>
        <v>0.2168936238</v>
      </c>
      <c r="X7" s="52">
        <v>100.0</v>
      </c>
      <c r="Y7" s="175">
        <f t="shared" si="10"/>
        <v>180.7446865</v>
      </c>
      <c r="Z7" s="7"/>
      <c r="AA7" s="7"/>
      <c r="AB7" s="7"/>
      <c r="AC7" s="7"/>
      <c r="AD7" s="7"/>
      <c r="AE7" s="7"/>
      <c r="AF7" s="7"/>
      <c r="AG7" s="7"/>
      <c r="AH7" s="7"/>
    </row>
    <row r="8" ht="15.75" customHeight="1">
      <c r="A8" s="49" t="s">
        <v>133</v>
      </c>
      <c r="B8" s="50" t="s">
        <v>135</v>
      </c>
      <c r="C8" s="51">
        <v>44943.0</v>
      </c>
      <c r="D8" s="51">
        <v>44953.0</v>
      </c>
      <c r="E8" s="52">
        <f>SUM(280,390,25,990,740,1000,1000,750)</f>
        <v>5175</v>
      </c>
      <c r="F8" s="53">
        <v>0.3075</v>
      </c>
      <c r="G8" s="54">
        <f t="shared" si="2"/>
        <v>25.6248975</v>
      </c>
      <c r="H8" s="55">
        <v>10.7117</v>
      </c>
      <c r="I8" s="55">
        <v>17.8121</v>
      </c>
      <c r="J8" s="172">
        <f t="shared" si="3"/>
        <v>8.965151515</v>
      </c>
      <c r="K8" s="54">
        <v>11.0</v>
      </c>
      <c r="L8" s="54">
        <f t="shared" si="4"/>
        <v>2958.317979</v>
      </c>
      <c r="M8" s="57">
        <f t="shared" si="5"/>
        <v>2.958317979</v>
      </c>
      <c r="N8" s="57">
        <f t="shared" si="6"/>
        <v>35.49981575</v>
      </c>
      <c r="O8" s="173">
        <v>0.2</v>
      </c>
      <c r="P8" s="174">
        <f t="shared" si="7"/>
        <v>5.633832057</v>
      </c>
      <c r="Q8" s="55">
        <v>2.5</v>
      </c>
      <c r="R8" s="52">
        <v>2.0</v>
      </c>
      <c r="S8" s="52">
        <v>2.0</v>
      </c>
      <c r="T8" s="52">
        <v>2.0</v>
      </c>
      <c r="U8" s="52">
        <v>0.525</v>
      </c>
      <c r="V8" s="63">
        <f t="shared" si="8"/>
        <v>9.025</v>
      </c>
      <c r="W8" s="63">
        <f t="shared" si="9"/>
        <v>0.3203858371</v>
      </c>
      <c r="X8" s="52">
        <v>100.0</v>
      </c>
      <c r="Y8" s="175">
        <f t="shared" si="10"/>
        <v>266.9881976</v>
      </c>
      <c r="Z8" s="7"/>
      <c r="AA8" s="7"/>
      <c r="AB8" s="7"/>
      <c r="AC8" s="7"/>
      <c r="AD8" s="7"/>
      <c r="AE8" s="7"/>
      <c r="AF8" s="7"/>
      <c r="AG8" s="7"/>
      <c r="AH8" s="7"/>
    </row>
    <row r="9" ht="15.75" customHeight="1">
      <c r="A9" s="49" t="s">
        <v>116</v>
      </c>
      <c r="B9" s="49" t="s">
        <v>118</v>
      </c>
      <c r="C9" s="51">
        <v>44929.0</v>
      </c>
      <c r="D9" s="51">
        <v>44939.0</v>
      </c>
      <c r="E9" s="52">
        <f>SUM(25,640,600,210,880)</f>
        <v>2355</v>
      </c>
      <c r="F9" s="53">
        <v>0.1743</v>
      </c>
      <c r="G9" s="54">
        <f t="shared" si="2"/>
        <v>14.5249419</v>
      </c>
      <c r="H9" s="55">
        <v>10.6975</v>
      </c>
      <c r="I9" s="55">
        <v>17.8307</v>
      </c>
      <c r="J9" s="172">
        <f t="shared" si="3"/>
        <v>9.006565657</v>
      </c>
      <c r="K9" s="54">
        <v>11.0</v>
      </c>
      <c r="L9" s="54">
        <f t="shared" si="4"/>
        <v>759.584496</v>
      </c>
      <c r="M9" s="57">
        <f t="shared" si="5"/>
        <v>0.759584496</v>
      </c>
      <c r="N9" s="57">
        <f t="shared" si="6"/>
        <v>9.115013952</v>
      </c>
      <c r="O9" s="173">
        <v>0.2</v>
      </c>
      <c r="P9" s="58">
        <f t="shared" si="7"/>
        <v>21.9418205</v>
      </c>
      <c r="Q9" s="55">
        <v>2.5</v>
      </c>
      <c r="R9" s="52">
        <v>2.5</v>
      </c>
      <c r="S9" s="52">
        <v>2.0</v>
      </c>
      <c r="T9" s="52">
        <v>2.075</v>
      </c>
      <c r="U9" s="52"/>
      <c r="V9" s="63">
        <f t="shared" si="8"/>
        <v>9.075</v>
      </c>
      <c r="W9" s="176">
        <f t="shared" si="9"/>
        <v>0.08271875161</v>
      </c>
      <c r="X9" s="52">
        <v>100.0</v>
      </c>
      <c r="Y9" s="61">
        <f t="shared" si="10"/>
        <v>68.93229301</v>
      </c>
      <c r="Z9" s="7" t="s">
        <v>330</v>
      </c>
      <c r="AA9" s="7"/>
      <c r="AB9" s="7"/>
      <c r="AC9" s="7"/>
      <c r="AD9" s="7"/>
      <c r="AE9" s="7"/>
      <c r="AF9" s="7"/>
      <c r="AG9" s="7"/>
      <c r="AH9" s="7"/>
    </row>
    <row r="10" ht="15.75" customHeight="1">
      <c r="A10" s="49" t="s">
        <v>116</v>
      </c>
      <c r="B10" s="49" t="s">
        <v>125</v>
      </c>
      <c r="C10" s="51">
        <v>44929.0</v>
      </c>
      <c r="D10" s="51">
        <v>44932.0</v>
      </c>
      <c r="E10" s="52">
        <f>SUM(840,25,500,150,310,980,980,190)</f>
        <v>3975</v>
      </c>
      <c r="F10" s="53">
        <v>0.2810666666666667</v>
      </c>
      <c r="G10" s="54">
        <f t="shared" si="2"/>
        <v>23.42212853</v>
      </c>
      <c r="H10" s="55">
        <v>10.6787</v>
      </c>
      <c r="I10" s="55">
        <v>17.8678</v>
      </c>
      <c r="J10" s="172">
        <f t="shared" si="3"/>
        <v>9.077146465</v>
      </c>
      <c r="K10" s="54">
        <v>11.0</v>
      </c>
      <c r="L10" s="54">
        <f t="shared" si="4"/>
        <v>2051.370688</v>
      </c>
      <c r="M10" s="57">
        <f t="shared" si="5"/>
        <v>2.051370688</v>
      </c>
      <c r="N10" s="57">
        <f t="shared" si="6"/>
        <v>24.61644825</v>
      </c>
      <c r="O10" s="173">
        <v>0.2</v>
      </c>
      <c r="P10" s="174">
        <f t="shared" si="7"/>
        <v>8.124648933</v>
      </c>
      <c r="Q10" s="55">
        <v>2.5</v>
      </c>
      <c r="R10" s="52">
        <v>2.0</v>
      </c>
      <c r="S10" s="52">
        <v>2.0</v>
      </c>
      <c r="T10" s="52">
        <v>2.575</v>
      </c>
      <c r="U10" s="52"/>
      <c r="V10" s="63">
        <f t="shared" si="8"/>
        <v>9.075</v>
      </c>
      <c r="W10" s="63">
        <f t="shared" si="9"/>
        <v>0.2233942679</v>
      </c>
      <c r="X10" s="52">
        <v>100.0</v>
      </c>
      <c r="Y10" s="175">
        <f t="shared" si="10"/>
        <v>186.1618899</v>
      </c>
      <c r="Z10" s="7"/>
      <c r="AA10" s="7"/>
      <c r="AB10" s="7"/>
      <c r="AC10" s="7"/>
      <c r="AD10" s="7"/>
      <c r="AE10" s="7"/>
      <c r="AF10" s="7"/>
      <c r="AG10" s="7"/>
      <c r="AH10" s="7"/>
    </row>
    <row r="11" ht="15.75" customHeight="1">
      <c r="A11" s="49" t="s">
        <v>116</v>
      </c>
      <c r="B11" s="49" t="s">
        <v>131</v>
      </c>
      <c r="C11" s="51">
        <v>44935.0</v>
      </c>
      <c r="D11" s="51">
        <v>44946.0</v>
      </c>
      <c r="E11" s="52">
        <f>SUM(25,980,360,730,480,300,1000)</f>
        <v>3875</v>
      </c>
      <c r="F11" s="53">
        <v>0.2933333333333334</v>
      </c>
      <c r="G11" s="54">
        <f t="shared" si="2"/>
        <v>24.44434667</v>
      </c>
      <c r="H11" s="55">
        <v>10.7458</v>
      </c>
      <c r="I11" s="55">
        <v>17.668</v>
      </c>
      <c r="J11" s="172">
        <f t="shared" si="3"/>
        <v>8.740151515</v>
      </c>
      <c r="K11" s="54">
        <v>11.0</v>
      </c>
      <c r="L11" s="54">
        <f t="shared" si="4"/>
        <v>2167.510327</v>
      </c>
      <c r="M11" s="57">
        <f t="shared" si="5"/>
        <v>2.167510327</v>
      </c>
      <c r="N11" s="57">
        <f t="shared" si="6"/>
        <v>26.01012392</v>
      </c>
      <c r="O11" s="173">
        <v>0.2</v>
      </c>
      <c r="P11" s="174">
        <f t="shared" si="7"/>
        <v>7.689313615</v>
      </c>
      <c r="Q11" s="55">
        <v>2.5</v>
      </c>
      <c r="R11" s="52">
        <v>2.0</v>
      </c>
      <c r="S11" s="52">
        <v>1.5</v>
      </c>
      <c r="T11" s="52">
        <v>2.0</v>
      </c>
      <c r="U11" s="52">
        <v>0.7</v>
      </c>
      <c r="V11" s="63">
        <f t="shared" si="8"/>
        <v>8.7</v>
      </c>
      <c r="W11" s="63">
        <f t="shared" si="9"/>
        <v>0.2262880781</v>
      </c>
      <c r="X11" s="52">
        <v>100.0</v>
      </c>
      <c r="Y11" s="175">
        <f t="shared" si="10"/>
        <v>188.5733984</v>
      </c>
      <c r="Z11" s="7"/>
      <c r="AA11" s="7"/>
      <c r="AB11" s="7"/>
      <c r="AC11" s="7"/>
      <c r="AD11" s="7"/>
      <c r="AE11" s="7"/>
      <c r="AF11" s="7"/>
      <c r="AG11" s="7"/>
      <c r="AH11" s="7"/>
    </row>
    <row r="12" ht="15.75" customHeight="1">
      <c r="A12" s="49" t="s">
        <v>60</v>
      </c>
      <c r="B12" s="49" t="s">
        <v>72</v>
      </c>
      <c r="C12" s="51">
        <v>44978.0</v>
      </c>
      <c r="D12" s="51">
        <v>44981.0</v>
      </c>
      <c r="E12" s="52">
        <f>SUM(560,25)</f>
        <v>585</v>
      </c>
      <c r="F12" s="53">
        <f>AVERAGE(0.7409,0.6334,0.8957)</f>
        <v>0.7566666667</v>
      </c>
      <c r="G12" s="54">
        <f t="shared" si="2"/>
        <v>63.05530333</v>
      </c>
      <c r="H12" s="55">
        <v>10.7098</v>
      </c>
      <c r="I12" s="55">
        <v>17.9707</v>
      </c>
      <c r="J12" s="172">
        <f t="shared" si="3"/>
        <v>9.16780303</v>
      </c>
      <c r="K12" s="54">
        <v>11.0</v>
      </c>
      <c r="L12" s="54">
        <f t="shared" si="4"/>
        <v>804.7152045</v>
      </c>
      <c r="M12" s="57">
        <f t="shared" si="5"/>
        <v>0.8047152045</v>
      </c>
      <c r="N12" s="57">
        <f t="shared" si="6"/>
        <v>9.656582454</v>
      </c>
      <c r="O12" s="173">
        <v>0.2</v>
      </c>
      <c r="P12" s="58">
        <f t="shared" si="7"/>
        <v>20.71126105</v>
      </c>
      <c r="Q12" s="55">
        <v>2.5</v>
      </c>
      <c r="R12" s="52">
        <v>2.0</v>
      </c>
      <c r="S12" s="52">
        <v>1.5</v>
      </c>
      <c r="T12" s="52">
        <v>2.0</v>
      </c>
      <c r="U12" s="52">
        <v>1.2</v>
      </c>
      <c r="V12" s="63">
        <f t="shared" si="8"/>
        <v>9.2</v>
      </c>
      <c r="W12" s="176">
        <f t="shared" si="9"/>
        <v>0.08884055857</v>
      </c>
      <c r="X12" s="52">
        <v>100.0</v>
      </c>
      <c r="Y12" s="61">
        <f t="shared" si="10"/>
        <v>74.03379881</v>
      </c>
      <c r="Z12" s="7" t="s">
        <v>331</v>
      </c>
      <c r="AA12" s="7"/>
      <c r="AB12" s="7"/>
      <c r="AC12" s="7"/>
      <c r="AD12" s="7"/>
      <c r="AE12" s="7"/>
      <c r="AF12" s="7"/>
      <c r="AG12" s="7"/>
      <c r="AH12" s="7"/>
    </row>
    <row r="13" ht="15.75" customHeight="1">
      <c r="A13" s="49" t="s">
        <v>60</v>
      </c>
      <c r="B13" s="49" t="s">
        <v>154</v>
      </c>
      <c r="C13" s="51">
        <v>44978.0</v>
      </c>
      <c r="D13" s="51">
        <v>44981.0</v>
      </c>
      <c r="E13" s="52">
        <f t="shared" ref="E13:E15" si="12">SUM(25,990,650,170)</f>
        <v>1835</v>
      </c>
      <c r="F13" s="53">
        <f t="shared" ref="F13:F15" si="13">AVERAGE(2.15,1.318,2.18)</f>
        <v>1.882666667</v>
      </c>
      <c r="G13" s="54">
        <f t="shared" si="2"/>
        <v>156.8882613</v>
      </c>
      <c r="H13" s="55">
        <v>10.6879</v>
      </c>
      <c r="I13" s="55">
        <v>18.0855</v>
      </c>
      <c r="J13" s="172">
        <f t="shared" si="3"/>
        <v>9.34040404</v>
      </c>
      <c r="K13" s="54">
        <v>11.0</v>
      </c>
      <c r="L13" s="54">
        <f t="shared" si="4"/>
        <v>6164.400561</v>
      </c>
      <c r="M13" s="57">
        <f t="shared" si="5"/>
        <v>6.164400561</v>
      </c>
      <c r="N13" s="57">
        <f t="shared" si="6"/>
        <v>73.97280674</v>
      </c>
      <c r="O13" s="173">
        <v>0.2</v>
      </c>
      <c r="P13" s="174">
        <f t="shared" si="7"/>
        <v>2.703696248</v>
      </c>
      <c r="Q13" s="55">
        <v>2.5</v>
      </c>
      <c r="R13" s="52">
        <v>0.6</v>
      </c>
      <c r="S13" s="52"/>
      <c r="T13" s="52"/>
      <c r="U13" s="52"/>
      <c r="V13" s="63">
        <f t="shared" si="8"/>
        <v>3.1</v>
      </c>
      <c r="W13" s="63">
        <f t="shared" si="9"/>
        <v>0.2293157009</v>
      </c>
      <c r="X13" s="52">
        <v>100.0</v>
      </c>
      <c r="Y13" s="175">
        <f t="shared" si="10"/>
        <v>191.0964174</v>
      </c>
      <c r="Z13" s="7" t="s">
        <v>332</v>
      </c>
      <c r="AA13" s="7"/>
      <c r="AB13" s="7"/>
      <c r="AC13" s="7"/>
      <c r="AD13" s="7"/>
      <c r="AE13" s="7"/>
      <c r="AF13" s="7"/>
      <c r="AG13" s="7"/>
      <c r="AH13" s="7"/>
    </row>
    <row r="14" ht="15.75" customHeight="1">
      <c r="A14" s="49" t="s">
        <v>60</v>
      </c>
      <c r="B14" s="49" t="s">
        <v>155</v>
      </c>
      <c r="C14" s="51">
        <v>44978.0</v>
      </c>
      <c r="D14" s="51">
        <v>44981.0</v>
      </c>
      <c r="E14" s="52">
        <f t="shared" si="12"/>
        <v>1835</v>
      </c>
      <c r="F14" s="53">
        <f t="shared" si="13"/>
        <v>1.882666667</v>
      </c>
      <c r="G14" s="54">
        <f t="shared" si="2"/>
        <v>156.8882613</v>
      </c>
      <c r="H14" s="55">
        <v>10.6879</v>
      </c>
      <c r="I14" s="55">
        <v>18.0855</v>
      </c>
      <c r="J14" s="172">
        <f t="shared" si="3"/>
        <v>9.34040404</v>
      </c>
      <c r="K14" s="54">
        <v>11.0</v>
      </c>
      <c r="L14" s="54">
        <f t="shared" si="4"/>
        <v>6164.400561</v>
      </c>
      <c r="M14" s="57">
        <f t="shared" si="5"/>
        <v>6.164400561</v>
      </c>
      <c r="N14" s="57">
        <f t="shared" si="6"/>
        <v>73.97280674</v>
      </c>
      <c r="O14" s="173">
        <v>0.2</v>
      </c>
      <c r="P14" s="174">
        <f t="shared" si="7"/>
        <v>2.703696248</v>
      </c>
      <c r="Q14" s="55">
        <v>2.5</v>
      </c>
      <c r="R14" s="52">
        <v>0.6</v>
      </c>
      <c r="S14" s="52"/>
      <c r="T14" s="52"/>
      <c r="U14" s="52"/>
      <c r="V14" s="63">
        <f t="shared" si="8"/>
        <v>3.1</v>
      </c>
      <c r="W14" s="63">
        <f t="shared" si="9"/>
        <v>0.2293157009</v>
      </c>
      <c r="X14" s="52">
        <v>100.0</v>
      </c>
      <c r="Y14" s="175">
        <f t="shared" si="10"/>
        <v>191.0964174</v>
      </c>
      <c r="Z14" s="7" t="s">
        <v>332</v>
      </c>
      <c r="AA14" s="7"/>
      <c r="AB14" s="7"/>
      <c r="AC14" s="7"/>
      <c r="AD14" s="7"/>
      <c r="AE14" s="7"/>
      <c r="AF14" s="7"/>
      <c r="AG14" s="7"/>
      <c r="AH14" s="7"/>
    </row>
    <row r="15" ht="15.75" customHeight="1">
      <c r="A15" s="49" t="s">
        <v>60</v>
      </c>
      <c r="B15" s="49" t="s">
        <v>156</v>
      </c>
      <c r="C15" s="51">
        <v>44978.0</v>
      </c>
      <c r="D15" s="51">
        <v>44981.0</v>
      </c>
      <c r="E15" s="52">
        <f t="shared" si="12"/>
        <v>1835</v>
      </c>
      <c r="F15" s="53">
        <f t="shared" si="13"/>
        <v>1.882666667</v>
      </c>
      <c r="G15" s="54">
        <f t="shared" si="2"/>
        <v>156.8882613</v>
      </c>
      <c r="H15" s="55">
        <v>10.6879</v>
      </c>
      <c r="I15" s="55">
        <v>18.0855</v>
      </c>
      <c r="J15" s="172">
        <f t="shared" si="3"/>
        <v>9.34040404</v>
      </c>
      <c r="K15" s="54">
        <v>11.0</v>
      </c>
      <c r="L15" s="54">
        <f t="shared" si="4"/>
        <v>6164.400561</v>
      </c>
      <c r="M15" s="57">
        <f t="shared" si="5"/>
        <v>6.164400561</v>
      </c>
      <c r="N15" s="57">
        <f t="shared" si="6"/>
        <v>73.97280674</v>
      </c>
      <c r="O15" s="173">
        <v>0.2</v>
      </c>
      <c r="P15" s="174">
        <f t="shared" si="7"/>
        <v>2.703696248</v>
      </c>
      <c r="Q15" s="55">
        <v>2.5</v>
      </c>
      <c r="R15" s="52">
        <v>0.6</v>
      </c>
      <c r="S15" s="52"/>
      <c r="T15" s="52"/>
      <c r="U15" s="52"/>
      <c r="V15" s="63">
        <f t="shared" si="8"/>
        <v>3.1</v>
      </c>
      <c r="W15" s="63">
        <f t="shared" si="9"/>
        <v>0.2293157009</v>
      </c>
      <c r="X15" s="52">
        <v>100.0</v>
      </c>
      <c r="Y15" s="175">
        <f t="shared" si="10"/>
        <v>191.0964174</v>
      </c>
      <c r="Z15" s="7" t="s">
        <v>332</v>
      </c>
      <c r="AA15" s="7"/>
      <c r="AB15" s="7"/>
      <c r="AC15" s="7"/>
      <c r="AD15" s="7"/>
      <c r="AE15" s="7"/>
      <c r="AF15" s="7"/>
      <c r="AG15" s="7"/>
      <c r="AH15" s="7"/>
    </row>
    <row r="16" ht="15.75" customHeight="1">
      <c r="A16" s="49" t="s">
        <v>60</v>
      </c>
      <c r="B16" s="49" t="s">
        <v>157</v>
      </c>
      <c r="C16" s="51">
        <v>44984.0</v>
      </c>
      <c r="D16" s="51">
        <v>44988.0</v>
      </c>
      <c r="E16" s="52">
        <f t="shared" ref="E16:E18" si="14">SUM(900,24)</f>
        <v>924</v>
      </c>
      <c r="F16" s="173">
        <f t="shared" ref="F16:F18" si="15">AVERAGE(4.5,3.62,4.21)</f>
        <v>4.11</v>
      </c>
      <c r="G16" s="54">
        <f t="shared" si="2"/>
        <v>342.49863</v>
      </c>
      <c r="H16" s="55">
        <v>10.772</v>
      </c>
      <c r="I16" s="55">
        <v>18.1778</v>
      </c>
      <c r="J16" s="172">
        <f t="shared" si="3"/>
        <v>9.350757576</v>
      </c>
      <c r="K16" s="54">
        <v>11.0</v>
      </c>
      <c r="L16" s="54">
        <f t="shared" si="4"/>
        <v>6768.836248</v>
      </c>
      <c r="M16" s="57">
        <f t="shared" si="5"/>
        <v>6.768836248</v>
      </c>
      <c r="N16" s="57">
        <f t="shared" si="6"/>
        <v>81.22603497</v>
      </c>
      <c r="O16" s="173">
        <v>0.2</v>
      </c>
      <c r="P16" s="174">
        <f t="shared" si="7"/>
        <v>2.462264717</v>
      </c>
      <c r="Q16" s="55">
        <v>2.5</v>
      </c>
      <c r="R16" s="52">
        <v>0.6</v>
      </c>
      <c r="S16" s="52"/>
      <c r="T16" s="52"/>
      <c r="U16" s="52"/>
      <c r="V16" s="63">
        <f t="shared" si="8"/>
        <v>3.1</v>
      </c>
      <c r="W16" s="63">
        <f t="shared" si="9"/>
        <v>0.2518007084</v>
      </c>
      <c r="X16" s="52">
        <v>100.0</v>
      </c>
      <c r="Y16" s="175">
        <f t="shared" si="10"/>
        <v>209.8339237</v>
      </c>
      <c r="Z16" s="7" t="s">
        <v>333</v>
      </c>
      <c r="AA16" s="7"/>
      <c r="AB16" s="7"/>
      <c r="AC16" s="7"/>
      <c r="AD16" s="7"/>
      <c r="AE16" s="7"/>
      <c r="AF16" s="7"/>
      <c r="AG16" s="7"/>
      <c r="AH16" s="7"/>
    </row>
    <row r="17" ht="15.75" customHeight="1">
      <c r="A17" s="49" t="s">
        <v>60</v>
      </c>
      <c r="B17" s="49" t="s">
        <v>158</v>
      </c>
      <c r="C17" s="51">
        <v>44984.0</v>
      </c>
      <c r="D17" s="51">
        <v>44988.0</v>
      </c>
      <c r="E17" s="52">
        <f t="shared" si="14"/>
        <v>924</v>
      </c>
      <c r="F17" s="173">
        <f t="shared" si="15"/>
        <v>4.11</v>
      </c>
      <c r="G17" s="54">
        <f t="shared" si="2"/>
        <v>342.49863</v>
      </c>
      <c r="H17" s="55">
        <v>10.772</v>
      </c>
      <c r="I17" s="55">
        <v>18.1778</v>
      </c>
      <c r="J17" s="172">
        <f t="shared" si="3"/>
        <v>9.350757576</v>
      </c>
      <c r="K17" s="54">
        <v>11.0</v>
      </c>
      <c r="L17" s="54">
        <f t="shared" si="4"/>
        <v>6768.836248</v>
      </c>
      <c r="M17" s="57">
        <f t="shared" si="5"/>
        <v>6.768836248</v>
      </c>
      <c r="N17" s="57">
        <f t="shared" si="6"/>
        <v>81.22603497</v>
      </c>
      <c r="O17" s="173">
        <v>0.2</v>
      </c>
      <c r="P17" s="174">
        <f t="shared" si="7"/>
        <v>2.462264717</v>
      </c>
      <c r="Q17" s="55">
        <v>2.5</v>
      </c>
      <c r="R17" s="52">
        <v>0.6</v>
      </c>
      <c r="S17" s="52"/>
      <c r="T17" s="52"/>
      <c r="U17" s="52"/>
      <c r="V17" s="63">
        <f t="shared" si="8"/>
        <v>3.1</v>
      </c>
      <c r="W17" s="63">
        <f t="shared" si="9"/>
        <v>0.2518007084</v>
      </c>
      <c r="X17" s="52">
        <v>100.0</v>
      </c>
      <c r="Y17" s="175">
        <f t="shared" si="10"/>
        <v>209.8339237</v>
      </c>
      <c r="Z17" s="7" t="s">
        <v>333</v>
      </c>
      <c r="AA17" s="7"/>
      <c r="AB17" s="7"/>
      <c r="AC17" s="7"/>
      <c r="AD17" s="7"/>
      <c r="AE17" s="7"/>
      <c r="AF17" s="7"/>
      <c r="AG17" s="7"/>
      <c r="AH17" s="7"/>
    </row>
    <row r="18" ht="15.75" customHeight="1">
      <c r="A18" s="49" t="s">
        <v>60</v>
      </c>
      <c r="B18" s="49" t="s">
        <v>159</v>
      </c>
      <c r="C18" s="51">
        <v>44984.0</v>
      </c>
      <c r="D18" s="51">
        <v>44988.0</v>
      </c>
      <c r="E18" s="52">
        <f t="shared" si="14"/>
        <v>924</v>
      </c>
      <c r="F18" s="173">
        <f t="shared" si="15"/>
        <v>4.11</v>
      </c>
      <c r="G18" s="54">
        <f t="shared" si="2"/>
        <v>342.49863</v>
      </c>
      <c r="H18" s="55">
        <v>10.772</v>
      </c>
      <c r="I18" s="55">
        <v>18.1778</v>
      </c>
      <c r="J18" s="172">
        <f t="shared" si="3"/>
        <v>9.350757576</v>
      </c>
      <c r="K18" s="54">
        <v>11.0</v>
      </c>
      <c r="L18" s="54">
        <f t="shared" si="4"/>
        <v>6768.836248</v>
      </c>
      <c r="M18" s="57">
        <f t="shared" si="5"/>
        <v>6.768836248</v>
      </c>
      <c r="N18" s="57">
        <f t="shared" si="6"/>
        <v>81.22603497</v>
      </c>
      <c r="O18" s="173">
        <v>0.2</v>
      </c>
      <c r="P18" s="174">
        <f t="shared" si="7"/>
        <v>2.462264717</v>
      </c>
      <c r="Q18" s="55">
        <v>2.5</v>
      </c>
      <c r="R18" s="52">
        <v>0.6</v>
      </c>
      <c r="S18" s="52"/>
      <c r="T18" s="52"/>
      <c r="U18" s="52"/>
      <c r="V18" s="63">
        <f t="shared" si="8"/>
        <v>3.1</v>
      </c>
      <c r="W18" s="63">
        <f t="shared" si="9"/>
        <v>0.2518007084</v>
      </c>
      <c r="X18" s="52">
        <v>100.0</v>
      </c>
      <c r="Y18" s="175">
        <f t="shared" si="10"/>
        <v>209.8339237</v>
      </c>
      <c r="Z18" s="7" t="s">
        <v>333</v>
      </c>
      <c r="AA18" s="7"/>
      <c r="AB18" s="7"/>
      <c r="AC18" s="7"/>
      <c r="AD18" s="7"/>
      <c r="AE18" s="7"/>
      <c r="AF18" s="7"/>
      <c r="AG18" s="7"/>
      <c r="AH18" s="7"/>
    </row>
    <row r="19" ht="15.75" customHeight="1">
      <c r="A19" s="49" t="s">
        <v>109</v>
      </c>
      <c r="B19" s="49" t="s">
        <v>107</v>
      </c>
      <c r="C19" s="51">
        <v>45019.0</v>
      </c>
      <c r="D19" s="51">
        <v>45023.0</v>
      </c>
      <c r="E19" s="52">
        <f>SUM(950,25)</f>
        <v>975</v>
      </c>
      <c r="F19" s="53">
        <v>0.3721</v>
      </c>
      <c r="G19" s="54">
        <f t="shared" si="2"/>
        <v>31.0082093</v>
      </c>
      <c r="H19" s="55">
        <v>10.8119</v>
      </c>
      <c r="I19" s="55">
        <v>18.2367</v>
      </c>
      <c r="J19" s="172">
        <f t="shared" si="3"/>
        <v>9.374747475</v>
      </c>
      <c r="K19" s="54">
        <v>11.0</v>
      </c>
      <c r="L19" s="54">
        <f t="shared" si="4"/>
        <v>644.9881269</v>
      </c>
      <c r="M19" s="57">
        <f t="shared" si="5"/>
        <v>0.6449881269</v>
      </c>
      <c r="N19" s="57">
        <f t="shared" si="6"/>
        <v>7.739857522</v>
      </c>
      <c r="O19" s="173">
        <v>0.2</v>
      </c>
      <c r="P19" s="58">
        <f t="shared" si="7"/>
        <v>25.84026895</v>
      </c>
      <c r="Q19" s="55">
        <v>2.5</v>
      </c>
      <c r="R19" s="52">
        <v>2.0</v>
      </c>
      <c r="S19" s="52">
        <v>2.0</v>
      </c>
      <c r="T19" s="52">
        <v>2.0</v>
      </c>
      <c r="U19" s="52">
        <v>0.9</v>
      </c>
      <c r="V19" s="63">
        <f t="shared" si="8"/>
        <v>9.4</v>
      </c>
      <c r="W19" s="176">
        <f t="shared" si="9"/>
        <v>0.07275466071</v>
      </c>
      <c r="X19" s="52">
        <v>100.0</v>
      </c>
      <c r="Y19" s="61">
        <f t="shared" si="10"/>
        <v>60.62888392</v>
      </c>
      <c r="Z19" s="7"/>
      <c r="AA19" s="7"/>
      <c r="AB19" s="7"/>
      <c r="AC19" s="7"/>
      <c r="AD19" s="7"/>
      <c r="AE19" s="7"/>
      <c r="AF19" s="7"/>
      <c r="AG19" s="7"/>
      <c r="AH19" s="7"/>
    </row>
    <row r="20" ht="15.75" customHeight="1">
      <c r="A20" s="7"/>
      <c r="B20" s="7"/>
      <c r="C20" s="7"/>
      <c r="D20" s="7"/>
      <c r="E20" s="7"/>
      <c r="F20" s="34"/>
      <c r="G20" s="177"/>
      <c r="H20" s="177"/>
      <c r="I20" s="177"/>
      <c r="J20" s="178"/>
      <c r="K20" s="178"/>
      <c r="L20" s="178"/>
      <c r="M20" s="132"/>
      <c r="N20" s="178"/>
      <c r="O20" s="7"/>
      <c r="P20" s="177"/>
      <c r="Q20" s="177"/>
      <c r="R20" s="177"/>
      <c r="S20" s="177"/>
      <c r="T20" s="177"/>
      <c r="U20" s="177"/>
      <c r="V20" s="34"/>
      <c r="W20" s="17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ht="15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ht="15.75" customHeight="1">
      <c r="A22" s="65" t="s">
        <v>0</v>
      </c>
      <c r="B22" s="66" t="s">
        <v>191</v>
      </c>
      <c r="C22" s="7"/>
      <c r="D22" s="7"/>
      <c r="E22" s="7"/>
      <c r="F22" s="34"/>
      <c r="G22" s="7"/>
      <c r="H22" s="7"/>
      <c r="I22" s="7"/>
      <c r="J22" s="178"/>
      <c r="K22" s="178"/>
      <c r="L22" s="7"/>
      <c r="M22" s="132"/>
      <c r="N22" s="132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ht="15.75" customHeight="1">
      <c r="A23" s="67" t="s">
        <v>192</v>
      </c>
      <c r="B23" s="66" t="s">
        <v>193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ht="15.75" customHeight="1">
      <c r="A24" s="44" t="s">
        <v>194</v>
      </c>
      <c r="B24" s="66" t="s">
        <v>195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ht="15.75" customHeight="1">
      <c r="A25" s="67" t="s">
        <v>196</v>
      </c>
      <c r="B25" s="66" t="s">
        <v>197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ht="15.75" customHeight="1">
      <c r="A26" s="46" t="s">
        <v>172</v>
      </c>
      <c r="B26" s="66" t="s">
        <v>198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ht="15.75" customHeight="1">
      <c r="A27" s="67" t="s">
        <v>199</v>
      </c>
      <c r="B27" s="66" t="s">
        <v>200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ht="15.75" customHeight="1">
      <c r="A28" s="67" t="s">
        <v>201</v>
      </c>
      <c r="B28" s="66" t="s">
        <v>202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ht="15.75" customHeight="1">
      <c r="A29" s="46" t="s">
        <v>203</v>
      </c>
      <c r="B29" s="66" t="s">
        <v>204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ht="15.75" customHeight="1">
      <c r="A30" s="1" t="s">
        <v>205</v>
      </c>
      <c r="B30" s="68">
        <v>0.2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ht="15.75" customHeight="1">
      <c r="A31" s="69" t="s">
        <v>334</v>
      </c>
      <c r="B31" s="70">
        <v>0.792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ht="15.75" customHeight="1">
      <c r="A32" s="44" t="s">
        <v>185</v>
      </c>
      <c r="B32" s="66" t="s">
        <v>207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ht="15.75" customHeight="1">
      <c r="A33" s="44" t="s">
        <v>185</v>
      </c>
      <c r="B33" s="66" t="s">
        <v>207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ht="15.75" customHeight="1">
      <c r="A34" s="55"/>
      <c r="B34" s="71" t="s">
        <v>208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ht="15.75" customHeight="1">
      <c r="A35" s="49"/>
      <c r="B35" s="72" t="s">
        <v>335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7.63"/>
    <col customWidth="1" min="3" max="3" width="16.0"/>
    <col customWidth="1" min="4" max="4" width="12.63"/>
    <col customWidth="1" min="5" max="5" width="15.13"/>
    <col customWidth="1" min="6" max="7" width="15.63"/>
    <col customWidth="1" min="8" max="9" width="16.13"/>
  </cols>
  <sheetData>
    <row r="1" ht="15.75" customHeight="1">
      <c r="A1" s="7"/>
      <c r="B1" s="73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ht="15.75" customHeight="1">
      <c r="A2" s="74"/>
      <c r="B2" s="1" t="s">
        <v>336</v>
      </c>
      <c r="C2" s="24" t="s">
        <v>210</v>
      </c>
      <c r="D2" s="75"/>
      <c r="E2" s="75"/>
      <c r="F2" s="75"/>
      <c r="G2" s="75"/>
      <c r="H2" s="76"/>
      <c r="I2" s="24" t="s">
        <v>211</v>
      </c>
      <c r="J2" s="75"/>
      <c r="K2" s="75"/>
      <c r="L2" s="75"/>
      <c r="M2" s="75"/>
      <c r="N2" s="76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 ht="15.75" customHeight="1">
      <c r="A3" s="74"/>
      <c r="B3" s="1" t="s">
        <v>213</v>
      </c>
      <c r="C3" s="77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78" t="s">
        <v>219</v>
      </c>
      <c r="I3" s="77" t="s">
        <v>220</v>
      </c>
      <c r="J3" s="1" t="s">
        <v>221</v>
      </c>
      <c r="K3" s="1" t="s">
        <v>222</v>
      </c>
      <c r="L3" s="1" t="s">
        <v>223</v>
      </c>
      <c r="M3" s="1" t="s">
        <v>224</v>
      </c>
      <c r="N3" s="78" t="s">
        <v>225</v>
      </c>
      <c r="O3" s="48"/>
      <c r="P3" s="48" t="s">
        <v>213</v>
      </c>
      <c r="Q3" s="7" t="s">
        <v>226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15.75" customHeight="1">
      <c r="A4" s="74"/>
      <c r="B4" s="10">
        <v>5000.0</v>
      </c>
      <c r="C4" s="79">
        <v>4809.8</v>
      </c>
      <c r="D4" s="80">
        <v>5182.9</v>
      </c>
      <c r="E4" s="80"/>
      <c r="F4" s="80">
        <v>339440.36</v>
      </c>
      <c r="G4" s="80">
        <v>1.281358251E7</v>
      </c>
      <c r="H4" s="81"/>
      <c r="I4" s="79">
        <v>1.579</v>
      </c>
      <c r="J4" s="80">
        <v>3.005</v>
      </c>
      <c r="K4" s="80">
        <v>0.821</v>
      </c>
      <c r="L4" s="80">
        <v>2.326</v>
      </c>
      <c r="M4" s="80">
        <v>1.568</v>
      </c>
      <c r="N4" s="81">
        <v>2.744</v>
      </c>
      <c r="O4" s="48"/>
      <c r="P4" s="48" t="s">
        <v>227</v>
      </c>
      <c r="Q4" s="7" t="s">
        <v>228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15.75" customHeight="1">
      <c r="A5" s="74"/>
      <c r="B5" s="10">
        <v>5000.0</v>
      </c>
      <c r="C5" s="79">
        <v>4762.1</v>
      </c>
      <c r="D5" s="80">
        <v>5153.1</v>
      </c>
      <c r="E5" s="80">
        <v>5071883.48</v>
      </c>
      <c r="F5" s="82">
        <v>245795.17</v>
      </c>
      <c r="G5" s="80"/>
      <c r="H5" s="83"/>
      <c r="I5" s="79">
        <v>1.553</v>
      </c>
      <c r="J5" s="80">
        <v>2.926</v>
      </c>
      <c r="K5" s="80">
        <v>0.819</v>
      </c>
      <c r="L5" s="82">
        <v>2.336</v>
      </c>
      <c r="M5" s="80">
        <v>1.577</v>
      </c>
      <c r="N5" s="83">
        <v>2.754</v>
      </c>
      <c r="O5" s="44"/>
      <c r="P5" s="44" t="s">
        <v>229</v>
      </c>
      <c r="Q5" s="7" t="s">
        <v>230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</row>
    <row r="6" ht="15.75" customHeight="1">
      <c r="A6" s="74"/>
      <c r="B6" s="10">
        <v>2000.0</v>
      </c>
      <c r="C6" s="79">
        <v>1254.4</v>
      </c>
      <c r="D6" s="80">
        <v>1696.7</v>
      </c>
      <c r="E6" s="80"/>
      <c r="F6" s="80">
        <v>139168.93</v>
      </c>
      <c r="G6" s="80">
        <v>5252178.04</v>
      </c>
      <c r="H6" s="83">
        <v>499442.97</v>
      </c>
      <c r="I6" s="79">
        <v>1.585</v>
      </c>
      <c r="J6" s="84">
        <v>3.053</v>
      </c>
      <c r="K6" s="80">
        <v>0.826</v>
      </c>
      <c r="L6" s="80">
        <v>2.342</v>
      </c>
      <c r="M6" s="80">
        <v>1.596</v>
      </c>
      <c r="N6" s="83">
        <v>2.761</v>
      </c>
      <c r="O6" s="48"/>
      <c r="P6" s="48" t="s">
        <v>231</v>
      </c>
      <c r="Q6" s="7" t="s">
        <v>232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</row>
    <row r="7" ht="15.75" customHeight="1">
      <c r="A7" s="74"/>
      <c r="B7" s="10">
        <v>2000.0</v>
      </c>
      <c r="C7" s="79">
        <v>1254.9</v>
      </c>
      <c r="D7" s="80">
        <v>1682.1</v>
      </c>
      <c r="E7" s="80">
        <v>2028042.57</v>
      </c>
      <c r="F7" s="80">
        <v>96679.58</v>
      </c>
      <c r="G7" s="80">
        <v>5005107.75</v>
      </c>
      <c r="H7" s="83">
        <v>505590.63</v>
      </c>
      <c r="I7" s="79">
        <v>1.565</v>
      </c>
      <c r="J7" s="80">
        <v>2.971</v>
      </c>
      <c r="K7" s="80">
        <v>0.838</v>
      </c>
      <c r="L7" s="80">
        <v>2.331</v>
      </c>
      <c r="M7" s="80">
        <v>1.596</v>
      </c>
      <c r="N7" s="83">
        <v>2.739</v>
      </c>
      <c r="O7" s="44"/>
      <c r="P7" s="44" t="s">
        <v>233</v>
      </c>
      <c r="Q7" s="7" t="s">
        <v>234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 ht="15.75" customHeight="1">
      <c r="A8" s="74"/>
      <c r="B8" s="10">
        <v>1000.0</v>
      </c>
      <c r="C8" s="79">
        <v>456.4</v>
      </c>
      <c r="D8" s="80">
        <v>704.7</v>
      </c>
      <c r="E8" s="80">
        <v>490304.6</v>
      </c>
      <c r="F8" s="80">
        <v>66136.74</v>
      </c>
      <c r="G8" s="80">
        <v>2499646.98</v>
      </c>
      <c r="H8" s="81">
        <v>182925.01</v>
      </c>
      <c r="I8" s="79">
        <v>1.591</v>
      </c>
      <c r="J8" s="80">
        <v>3.09</v>
      </c>
      <c r="K8" s="80">
        <v>0.835</v>
      </c>
      <c r="L8" s="80">
        <v>2.352</v>
      </c>
      <c r="M8" s="80">
        <v>1.605</v>
      </c>
      <c r="N8" s="81">
        <v>2.759</v>
      </c>
      <c r="O8" s="44"/>
      <c r="P8" s="85">
        <v>100.0</v>
      </c>
      <c r="Q8" s="7" t="s">
        <v>235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ht="15.75" customHeight="1">
      <c r="A9" s="74"/>
      <c r="B9" s="10">
        <v>1000.0</v>
      </c>
      <c r="C9" s="79">
        <v>468.9</v>
      </c>
      <c r="D9" s="80">
        <v>724.7</v>
      </c>
      <c r="E9" s="80">
        <v>903595.59</v>
      </c>
      <c r="F9" s="80">
        <v>68043.85</v>
      </c>
      <c r="G9" s="80">
        <v>2415002.22</v>
      </c>
      <c r="H9" s="83">
        <v>176315.81</v>
      </c>
      <c r="I9" s="79">
        <v>1.56</v>
      </c>
      <c r="J9" s="84">
        <v>2.986</v>
      </c>
      <c r="K9" s="80">
        <v>0.836</v>
      </c>
      <c r="L9" s="80">
        <v>2.33</v>
      </c>
      <c r="M9" s="80">
        <v>1.606</v>
      </c>
      <c r="N9" s="83">
        <v>2.748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ht="15.75" customHeight="1">
      <c r="A10" s="74"/>
      <c r="B10" s="10">
        <v>200.0</v>
      </c>
      <c r="C10" s="79">
        <v>103.4</v>
      </c>
      <c r="D10" s="80">
        <v>140.6</v>
      </c>
      <c r="E10" s="80">
        <v>105003.8</v>
      </c>
      <c r="F10" s="80">
        <v>10640.48</v>
      </c>
      <c r="G10" s="80">
        <v>482126.8</v>
      </c>
      <c r="H10" s="83">
        <v>35723.35</v>
      </c>
      <c r="I10" s="86">
        <v>1.595</v>
      </c>
      <c r="J10" s="80">
        <v>3.127</v>
      </c>
      <c r="K10" s="80">
        <v>0.846</v>
      </c>
      <c r="L10" s="80">
        <v>2.339</v>
      </c>
      <c r="M10" s="80">
        <v>1.626</v>
      </c>
      <c r="N10" s="83">
        <v>2.747</v>
      </c>
      <c r="O10" s="87"/>
      <c r="P10" s="18"/>
      <c r="Q10" s="18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ht="15.75" customHeight="1">
      <c r="A11" s="74"/>
      <c r="B11" s="10">
        <v>200.0</v>
      </c>
      <c r="C11" s="79">
        <v>104.1</v>
      </c>
      <c r="D11" s="80">
        <v>152.9</v>
      </c>
      <c r="E11" s="80">
        <v>192544.8</v>
      </c>
      <c r="F11" s="80">
        <v>13646.16</v>
      </c>
      <c r="G11" s="80">
        <v>505754.08</v>
      </c>
      <c r="H11" s="83">
        <v>38134.96</v>
      </c>
      <c r="I11" s="79">
        <v>1.574</v>
      </c>
      <c r="J11" s="80">
        <v>3.019</v>
      </c>
      <c r="K11" s="80">
        <v>0.846</v>
      </c>
      <c r="L11" s="80">
        <v>2.351</v>
      </c>
      <c r="M11" s="80">
        <v>1.604</v>
      </c>
      <c r="N11" s="83">
        <v>2.759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ht="15.75" customHeight="1">
      <c r="A12" s="74"/>
      <c r="B12" s="10">
        <v>100.0</v>
      </c>
      <c r="C12" s="79">
        <v>39.5</v>
      </c>
      <c r="D12" s="80">
        <v>52.9</v>
      </c>
      <c r="E12" s="80">
        <v>34534.08</v>
      </c>
      <c r="F12" s="80">
        <v>7718.11</v>
      </c>
      <c r="G12" s="80">
        <v>212427.59</v>
      </c>
      <c r="H12" s="81">
        <v>4865.02</v>
      </c>
      <c r="I12" s="79">
        <v>1.596</v>
      </c>
      <c r="J12" s="80">
        <v>3.158</v>
      </c>
      <c r="K12" s="80">
        <v>0.873</v>
      </c>
      <c r="L12" s="80">
        <v>2.424</v>
      </c>
      <c r="M12" s="80">
        <v>1.665</v>
      </c>
      <c r="N12" s="81">
        <v>2.831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ht="15.75" customHeight="1">
      <c r="A13" s="74"/>
      <c r="B13" s="10">
        <v>100.0</v>
      </c>
      <c r="C13" s="79">
        <v>37.6</v>
      </c>
      <c r="D13" s="80">
        <v>61.6</v>
      </c>
      <c r="E13" s="80">
        <v>72139.61</v>
      </c>
      <c r="F13" s="80">
        <v>5535.82</v>
      </c>
      <c r="G13" s="80">
        <v>238020.8</v>
      </c>
      <c r="H13" s="83">
        <v>8362.99</v>
      </c>
      <c r="I13" s="79">
        <v>1.566</v>
      </c>
      <c r="J13" s="80">
        <v>3.042</v>
      </c>
      <c r="K13" s="80">
        <v>0.863</v>
      </c>
      <c r="L13" s="80">
        <v>2.322</v>
      </c>
      <c r="M13" s="80">
        <v>1.598</v>
      </c>
      <c r="N13" s="83">
        <v>2.752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ht="15.75" customHeight="1">
      <c r="A14" s="74"/>
      <c r="B14" s="10">
        <v>12.5</v>
      </c>
      <c r="C14" s="79">
        <v>10.5</v>
      </c>
      <c r="D14" s="80">
        <v>34.7</v>
      </c>
      <c r="E14" s="80">
        <v>6339.77</v>
      </c>
      <c r="F14" s="80">
        <v>1911.17</v>
      </c>
      <c r="G14" s="80">
        <v>28911.25</v>
      </c>
      <c r="H14" s="88">
        <v>3744.55</v>
      </c>
      <c r="I14" s="79">
        <v>1.576</v>
      </c>
      <c r="J14" s="89">
        <v>3.205</v>
      </c>
      <c r="K14" s="80">
        <v>0.899</v>
      </c>
      <c r="L14" s="80">
        <v>2.359</v>
      </c>
      <c r="M14" s="80">
        <v>1.759</v>
      </c>
      <c r="N14" s="83">
        <v>2.8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ht="15.75" customHeight="1">
      <c r="A15" s="74"/>
      <c r="B15" s="90">
        <v>12.5</v>
      </c>
      <c r="C15" s="91">
        <v>15.7</v>
      </c>
      <c r="D15" s="92">
        <v>10.1</v>
      </c>
      <c r="E15" s="92">
        <v>21750.99</v>
      </c>
      <c r="F15" s="93">
        <v>3125.97</v>
      </c>
      <c r="G15" s="93">
        <v>60010.9</v>
      </c>
      <c r="H15" s="94">
        <v>6749.1</v>
      </c>
      <c r="I15" s="91">
        <v>1.544</v>
      </c>
      <c r="J15" s="95">
        <v>3.051</v>
      </c>
      <c r="K15" s="92">
        <v>0.86</v>
      </c>
      <c r="L15" s="93">
        <v>2.308</v>
      </c>
      <c r="M15" s="93">
        <v>1.618</v>
      </c>
      <c r="N15" s="96">
        <v>2.772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ht="15.75" customHeight="1">
      <c r="A17" s="7"/>
      <c r="B17" s="23" t="s">
        <v>337</v>
      </c>
      <c r="C17" s="5" t="s">
        <v>210</v>
      </c>
      <c r="D17" s="75"/>
      <c r="E17" s="75"/>
      <c r="F17" s="75"/>
      <c r="G17" s="75"/>
      <c r="H17" s="76"/>
      <c r="I17" s="24" t="s">
        <v>211</v>
      </c>
      <c r="J17" s="75"/>
      <c r="K17" s="75"/>
      <c r="L17" s="75"/>
      <c r="M17" s="75"/>
      <c r="N17" s="76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ht="15.75" customHeight="1">
      <c r="A18" s="7"/>
      <c r="B18" s="179" t="s">
        <v>213</v>
      </c>
      <c r="C18" s="1" t="s">
        <v>214</v>
      </c>
      <c r="D18" s="1" t="s">
        <v>215</v>
      </c>
      <c r="E18" s="1" t="s">
        <v>216</v>
      </c>
      <c r="F18" s="1" t="s">
        <v>217</v>
      </c>
      <c r="G18" s="1" t="s">
        <v>218</v>
      </c>
      <c r="H18" s="78" t="s">
        <v>219</v>
      </c>
      <c r="I18" s="77" t="s">
        <v>220</v>
      </c>
      <c r="J18" s="1" t="s">
        <v>221</v>
      </c>
      <c r="K18" s="1" t="s">
        <v>222</v>
      </c>
      <c r="L18" s="1" t="s">
        <v>223</v>
      </c>
      <c r="M18" s="1" t="s">
        <v>224</v>
      </c>
      <c r="N18" s="78" t="s">
        <v>225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ht="15.75" customHeight="1">
      <c r="A19" s="7"/>
      <c r="B19" s="180">
        <v>5000.0</v>
      </c>
      <c r="C19" s="80"/>
      <c r="D19" s="80"/>
      <c r="E19" s="80">
        <v>6254391.86</v>
      </c>
      <c r="F19" s="80"/>
      <c r="G19" s="80">
        <v>1.388150967E7</v>
      </c>
      <c r="H19" s="81">
        <v>1817058.22</v>
      </c>
      <c r="I19" s="79"/>
      <c r="J19" s="80"/>
      <c r="K19" s="80">
        <v>0.862</v>
      </c>
      <c r="L19" s="80">
        <v>2.571</v>
      </c>
      <c r="M19" s="80">
        <v>1.881</v>
      </c>
      <c r="N19" s="81">
        <v>2.922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ht="15.75" customHeight="1">
      <c r="A20" s="7"/>
      <c r="B20" s="180">
        <v>5000.0</v>
      </c>
      <c r="C20" s="80"/>
      <c r="D20" s="80"/>
      <c r="E20" s="80">
        <v>6191553.3</v>
      </c>
      <c r="F20" s="82">
        <v>251958.17</v>
      </c>
      <c r="G20" s="80"/>
      <c r="H20" s="83"/>
      <c r="I20" s="79"/>
      <c r="J20" s="80"/>
      <c r="K20" s="80">
        <v>0.871</v>
      </c>
      <c r="L20" s="82">
        <v>2.591</v>
      </c>
      <c r="M20" s="80">
        <v>1.901</v>
      </c>
      <c r="N20" s="83">
        <v>2.931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ht="15.75" customHeight="1">
      <c r="A21" s="7"/>
      <c r="B21" s="180">
        <v>2000.0</v>
      </c>
      <c r="C21" s="80"/>
      <c r="D21" s="80"/>
      <c r="E21" s="80">
        <v>2592438.67</v>
      </c>
      <c r="F21" s="80">
        <v>130774.39</v>
      </c>
      <c r="G21" s="80">
        <v>5887355.41</v>
      </c>
      <c r="H21" s="83">
        <v>525400.85</v>
      </c>
      <c r="I21" s="79"/>
      <c r="J21" s="84"/>
      <c r="K21" s="80">
        <v>0.884</v>
      </c>
      <c r="L21" s="80">
        <v>2.581</v>
      </c>
      <c r="M21" s="80">
        <v>1.925</v>
      </c>
      <c r="N21" s="83">
        <v>2.932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ht="15.75" customHeight="1">
      <c r="A22" s="7"/>
      <c r="B22" s="180">
        <v>2000.0</v>
      </c>
      <c r="C22" s="80"/>
      <c r="D22" s="80"/>
      <c r="E22" s="80">
        <v>2463637.78</v>
      </c>
      <c r="F22" s="80">
        <v>92557.9</v>
      </c>
      <c r="G22" s="80">
        <v>5772299.6</v>
      </c>
      <c r="H22" s="83">
        <v>512574.34</v>
      </c>
      <c r="I22" s="79"/>
      <c r="J22" s="80"/>
      <c r="K22" s="80">
        <v>0.892</v>
      </c>
      <c r="L22" s="80">
        <v>2.612</v>
      </c>
      <c r="M22" s="80">
        <v>1.933</v>
      </c>
      <c r="N22" s="83">
        <v>2.929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ht="15.75" customHeight="1">
      <c r="A23" s="7"/>
      <c r="B23" s="180">
        <v>1000.0</v>
      </c>
      <c r="C23" s="80"/>
      <c r="D23" s="80"/>
      <c r="E23" s="80">
        <v>1153390.33</v>
      </c>
      <c r="F23" s="80">
        <v>69155.04</v>
      </c>
      <c r="G23" s="80">
        <v>2904472.9</v>
      </c>
      <c r="H23" s="81">
        <v>178486.94</v>
      </c>
      <c r="I23" s="79"/>
      <c r="J23" s="80"/>
      <c r="K23" s="80">
        <v>0.885</v>
      </c>
      <c r="L23" s="80">
        <v>2.594</v>
      </c>
      <c r="M23" s="80">
        <v>1.938</v>
      </c>
      <c r="N23" s="81">
        <v>2.933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ht="15.75" customHeight="1">
      <c r="A24" s="7"/>
      <c r="B24" s="180">
        <v>1000.0</v>
      </c>
      <c r="C24" s="80"/>
      <c r="D24" s="80"/>
      <c r="E24" s="80">
        <v>1148195.18</v>
      </c>
      <c r="F24" s="80">
        <v>54478.93</v>
      </c>
      <c r="G24" s="80">
        <v>2769446.08</v>
      </c>
      <c r="H24" s="83">
        <v>172879.69</v>
      </c>
      <c r="I24" s="79"/>
      <c r="J24" s="84"/>
      <c r="K24" s="80">
        <v>0.891</v>
      </c>
      <c r="L24" s="80">
        <v>2.6</v>
      </c>
      <c r="M24" s="80">
        <v>1.966</v>
      </c>
      <c r="N24" s="83">
        <v>2.928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ht="15.75" customHeight="1">
      <c r="A25" s="7"/>
      <c r="B25" s="180">
        <v>200.0</v>
      </c>
      <c r="C25" s="80"/>
      <c r="D25" s="80"/>
      <c r="E25" s="80">
        <v>234488.21</v>
      </c>
      <c r="F25" s="80">
        <v>15905.64</v>
      </c>
      <c r="G25" s="80">
        <v>609554.07</v>
      </c>
      <c r="H25" s="83">
        <v>40547.47</v>
      </c>
      <c r="I25" s="86"/>
      <c r="J25" s="80"/>
      <c r="K25" s="80">
        <v>0.915</v>
      </c>
      <c r="L25" s="80">
        <v>2.59</v>
      </c>
      <c r="M25" s="80">
        <v>1.956</v>
      </c>
      <c r="N25" s="83">
        <v>2.93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ht="15.75" customHeight="1">
      <c r="A26" s="7"/>
      <c r="B26" s="180">
        <v>200.0</v>
      </c>
      <c r="C26" s="80"/>
      <c r="D26" s="80"/>
      <c r="E26" s="80">
        <v>237346.15</v>
      </c>
      <c r="F26" s="80">
        <v>7463.85</v>
      </c>
      <c r="G26" s="80">
        <v>575203.66</v>
      </c>
      <c r="H26" s="83">
        <v>36464.07</v>
      </c>
      <c r="I26" s="79"/>
      <c r="J26" s="80"/>
      <c r="K26" s="80">
        <v>0.903</v>
      </c>
      <c r="L26" s="80">
        <v>2.6</v>
      </c>
      <c r="M26" s="80">
        <v>1.966</v>
      </c>
      <c r="N26" s="83">
        <v>2.951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ht="15.75" customHeight="1">
      <c r="A27" s="7"/>
      <c r="B27" s="180">
        <v>100.0</v>
      </c>
      <c r="C27" s="80"/>
      <c r="D27" s="80"/>
      <c r="E27" s="80">
        <v>83395.43</v>
      </c>
      <c r="F27" s="80">
        <v>7227.64</v>
      </c>
      <c r="G27" s="80">
        <v>270049.1</v>
      </c>
      <c r="H27" s="81">
        <v>9558.26</v>
      </c>
      <c r="I27" s="79"/>
      <c r="J27" s="80"/>
      <c r="K27" s="80">
        <v>0.918</v>
      </c>
      <c r="L27" s="80">
        <v>2.57</v>
      </c>
      <c r="M27" s="80">
        <v>1.959</v>
      </c>
      <c r="N27" s="81">
        <v>2.932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ht="15.75" customHeight="1">
      <c r="A28" s="7"/>
      <c r="B28" s="180">
        <v>100.0</v>
      </c>
      <c r="C28" s="80"/>
      <c r="D28" s="80"/>
      <c r="E28" s="80">
        <v>82633.04</v>
      </c>
      <c r="F28" s="80">
        <v>4445.13</v>
      </c>
      <c r="G28" s="80">
        <v>235237.17</v>
      </c>
      <c r="H28" s="83">
        <v>9181.15</v>
      </c>
      <c r="I28" s="79"/>
      <c r="J28" s="80"/>
      <c r="K28" s="80">
        <v>0.906</v>
      </c>
      <c r="L28" s="80">
        <v>2.592</v>
      </c>
      <c r="M28" s="80">
        <v>1.97</v>
      </c>
      <c r="N28" s="83">
        <v>2.909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ht="15.75" customHeight="1">
      <c r="A29" s="7"/>
      <c r="B29" s="180">
        <v>12.5</v>
      </c>
      <c r="C29" s="80"/>
      <c r="D29" s="80"/>
      <c r="E29" s="80">
        <v>9039.65</v>
      </c>
      <c r="F29" s="80">
        <v>1798.69</v>
      </c>
      <c r="G29" s="80">
        <v>32068.21</v>
      </c>
      <c r="H29" s="88"/>
      <c r="I29" s="79"/>
      <c r="J29" s="89"/>
      <c r="K29" s="80">
        <v>0.921</v>
      </c>
      <c r="L29" s="80">
        <v>2.46</v>
      </c>
      <c r="M29" s="80">
        <v>1.985</v>
      </c>
      <c r="N29" s="83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ht="15.75" customHeight="1">
      <c r="A30" s="7"/>
      <c r="B30" s="181">
        <v>12.5</v>
      </c>
      <c r="C30" s="92"/>
      <c r="D30" s="92"/>
      <c r="E30" s="92">
        <v>18271.64</v>
      </c>
      <c r="F30" s="93"/>
      <c r="G30" s="93">
        <v>47104.31</v>
      </c>
      <c r="H30" s="94">
        <v>8429.82</v>
      </c>
      <c r="I30" s="91"/>
      <c r="J30" s="95"/>
      <c r="K30" s="92">
        <v>0.94</v>
      </c>
      <c r="L30" s="93"/>
      <c r="M30" s="93">
        <v>1.993</v>
      </c>
      <c r="N30" s="96">
        <v>2.909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ht="15.75" customHeight="1">
      <c r="A31" s="7"/>
      <c r="B31" s="7"/>
      <c r="C31" s="1"/>
      <c r="D31" s="1"/>
      <c r="E31" s="1"/>
      <c r="F31" s="1"/>
      <c r="G31" s="1"/>
      <c r="H31" s="1"/>
      <c r="I31" s="18"/>
      <c r="J31" s="7"/>
      <c r="K31" s="10"/>
      <c r="L31" s="10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ht="15.75" customHeight="1">
      <c r="A32" s="7"/>
      <c r="B32" s="97"/>
      <c r="C32" s="98" t="s">
        <v>236</v>
      </c>
      <c r="D32" s="98" t="s">
        <v>237</v>
      </c>
      <c r="E32" s="98" t="s">
        <v>238</v>
      </c>
      <c r="F32" s="98" t="s">
        <v>239</v>
      </c>
      <c r="G32" s="98" t="s">
        <v>240</v>
      </c>
      <c r="H32" s="99" t="s">
        <v>241</v>
      </c>
      <c r="I32" s="18"/>
      <c r="J32" s="7"/>
      <c r="K32" s="10"/>
      <c r="L32" s="10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ht="15.75" customHeight="1">
      <c r="A33" s="7"/>
      <c r="B33" s="100" t="s">
        <v>242</v>
      </c>
      <c r="C33" s="92">
        <v>14.2</v>
      </c>
      <c r="D33" s="92">
        <v>13.6</v>
      </c>
      <c r="E33" s="92">
        <v>12.2</v>
      </c>
      <c r="F33" s="92">
        <v>11.6</v>
      </c>
      <c r="G33" s="92">
        <v>11.7</v>
      </c>
      <c r="H33" s="94">
        <v>11.6</v>
      </c>
      <c r="I33" s="101" t="s">
        <v>338</v>
      </c>
      <c r="J33" s="7"/>
      <c r="K33" s="7"/>
      <c r="L33" s="44"/>
      <c r="M33" s="7"/>
      <c r="N33" s="7"/>
      <c r="O33" s="7"/>
      <c r="P33" s="73"/>
      <c r="Q33" s="73"/>
      <c r="R33" s="73"/>
      <c r="S33" s="73"/>
      <c r="T33" s="73"/>
      <c r="U33" s="73"/>
      <c r="V33" s="73"/>
      <c r="W33" s="73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10"/>
      <c r="L34" s="10"/>
      <c r="M34" s="4"/>
      <c r="N34" s="4"/>
      <c r="O34" s="4"/>
      <c r="P34" s="102" t="s">
        <v>244</v>
      </c>
      <c r="Q34" s="103" t="s">
        <v>245</v>
      </c>
      <c r="R34" s="103" t="s">
        <v>246</v>
      </c>
      <c r="S34" s="103" t="s">
        <v>247</v>
      </c>
      <c r="T34" s="103" t="s">
        <v>248</v>
      </c>
      <c r="U34" s="103" t="s">
        <v>249</v>
      </c>
      <c r="V34" s="25" t="s">
        <v>250</v>
      </c>
      <c r="W34" s="104" t="s">
        <v>251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ht="15.75" customHeight="1">
      <c r="A35" s="7"/>
      <c r="B35" s="105" t="s">
        <v>213</v>
      </c>
      <c r="C35" s="98" t="s">
        <v>22</v>
      </c>
      <c r="D35" s="98" t="s">
        <v>23</v>
      </c>
      <c r="E35" s="98" t="s">
        <v>24</v>
      </c>
      <c r="F35" s="98" t="s">
        <v>25</v>
      </c>
      <c r="G35" s="98" t="s">
        <v>252</v>
      </c>
      <c r="H35" s="99" t="s">
        <v>27</v>
      </c>
      <c r="I35" s="7"/>
      <c r="J35" s="7"/>
      <c r="K35" s="10"/>
      <c r="L35" s="10"/>
      <c r="M35" s="4"/>
      <c r="N35" s="4"/>
      <c r="O35" s="4"/>
      <c r="P35" s="106" t="s">
        <v>253</v>
      </c>
      <c r="Q35" s="107" t="s">
        <v>254</v>
      </c>
      <c r="R35" s="107" t="s">
        <v>255</v>
      </c>
      <c r="S35" s="107" t="s">
        <v>246</v>
      </c>
      <c r="T35" s="107" t="s">
        <v>256</v>
      </c>
      <c r="U35" s="107" t="s">
        <v>257</v>
      </c>
      <c r="V35" s="108"/>
      <c r="W35" s="109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ht="15.75" customHeight="1">
      <c r="A36" s="7"/>
      <c r="B36" s="110">
        <v>5000.0</v>
      </c>
      <c r="C36" s="57">
        <f>C33/1000/$C$60*1000*1000/$P$8*1000</f>
        <v>414.9983926</v>
      </c>
      <c r="D36" s="57">
        <f>D33*1000*1000/$P$8/$C$61</f>
        <v>456.1309364</v>
      </c>
      <c r="E36" s="7">
        <f>E33*1000*1000/$P$8/$C$62</f>
        <v>497.6544972</v>
      </c>
      <c r="F36" s="7">
        <f t="shared" ref="F36:H36" si="1">F33*1000*1000/$P$8/$C$63</f>
        <v>552.0129438</v>
      </c>
      <c r="G36" s="7">
        <f t="shared" si="1"/>
        <v>556.771676</v>
      </c>
      <c r="H36" s="74">
        <f t="shared" si="1"/>
        <v>552.0129438</v>
      </c>
      <c r="I36" s="7"/>
      <c r="J36" s="7"/>
      <c r="K36" s="10"/>
      <c r="L36" s="10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ht="15.75" customHeight="1">
      <c r="A37" s="7"/>
      <c r="B37" s="110">
        <v>5000.0</v>
      </c>
      <c r="C37" s="57">
        <f>C33/1000/342.17*1000*1000/$P$8*1000</f>
        <v>414.9983926</v>
      </c>
      <c r="D37" s="57">
        <f t="shared" ref="D37:H37" si="2">D33*1000*1000/$P$8/298.16</f>
        <v>456.1309364</v>
      </c>
      <c r="E37" s="7">
        <f t="shared" si="2"/>
        <v>409.1762812</v>
      </c>
      <c r="F37" s="7">
        <f t="shared" si="2"/>
        <v>389.0528575</v>
      </c>
      <c r="G37" s="7">
        <f t="shared" si="2"/>
        <v>392.4067615</v>
      </c>
      <c r="H37" s="74">
        <f t="shared" si="2"/>
        <v>389.0528575</v>
      </c>
      <c r="I37" s="7"/>
      <c r="J37" s="7"/>
      <c r="K37" s="10"/>
      <c r="L37" s="10"/>
      <c r="M37" s="7"/>
      <c r="N37" s="7"/>
      <c r="O37" s="7"/>
      <c r="P37" s="82"/>
      <c r="Q37" s="7" t="s">
        <v>208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ht="15.75" customHeight="1">
      <c r="A38" s="7"/>
      <c r="B38" s="110">
        <v>2000.0</v>
      </c>
      <c r="C38" s="178"/>
      <c r="D38" s="57">
        <f>B38*$D$36/$B$36</f>
        <v>182.4523746</v>
      </c>
      <c r="E38" s="7">
        <f t="shared" ref="E38:E47" si="3">B38*$E$36/$B$36</f>
        <v>199.0617989</v>
      </c>
      <c r="F38" s="7">
        <f t="shared" ref="F38:F47" si="4">B38*$F$36/$B$36</f>
        <v>220.8051775</v>
      </c>
      <c r="G38" s="7">
        <f t="shared" ref="G38:G47" si="5">B38*$G$36/$B$36</f>
        <v>222.7086704</v>
      </c>
      <c r="H38" s="74">
        <f t="shared" ref="H38:H47" si="6">B38*$H$36/$B$36</f>
        <v>220.8051775</v>
      </c>
      <c r="I38" s="7"/>
      <c r="J38" s="7"/>
      <c r="K38" s="10"/>
      <c r="L38" s="10"/>
      <c r="M38" s="7"/>
      <c r="N38" s="7"/>
      <c r="O38" s="7"/>
      <c r="P38" s="111"/>
      <c r="Q38" s="7" t="s">
        <v>258</v>
      </c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ht="15.75" customHeight="1">
      <c r="A39" s="7"/>
      <c r="B39" s="110">
        <v>2000.0</v>
      </c>
      <c r="C39" s="57"/>
      <c r="D39" s="57"/>
      <c r="E39" s="7">
        <f t="shared" si="3"/>
        <v>199.0617989</v>
      </c>
      <c r="F39" s="7">
        <f t="shared" si="4"/>
        <v>220.8051775</v>
      </c>
      <c r="G39" s="7">
        <f t="shared" si="5"/>
        <v>222.7086704</v>
      </c>
      <c r="H39" s="74">
        <f t="shared" si="6"/>
        <v>220.8051775</v>
      </c>
      <c r="I39" s="7"/>
      <c r="J39" s="7"/>
      <c r="K39" s="10"/>
      <c r="L39" s="10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ht="15.75" customHeight="1">
      <c r="A40" s="7"/>
      <c r="B40" s="110">
        <v>1000.0</v>
      </c>
      <c r="C40" s="57">
        <f t="shared" ref="C40:C47" si="7">B40*$C$36/$B$36</f>
        <v>82.99967852</v>
      </c>
      <c r="D40" s="57">
        <f>B40*$D$36/$B$36</f>
        <v>91.22618728</v>
      </c>
      <c r="E40" s="7">
        <f t="shared" si="3"/>
        <v>99.53089945</v>
      </c>
      <c r="F40" s="7">
        <f t="shared" si="4"/>
        <v>110.4025888</v>
      </c>
      <c r="G40" s="7">
        <f t="shared" si="5"/>
        <v>111.3543352</v>
      </c>
      <c r="H40" s="74">
        <f t="shared" si="6"/>
        <v>110.4025888</v>
      </c>
      <c r="I40" s="7"/>
      <c r="J40" s="7"/>
      <c r="K40" s="10"/>
      <c r="L40" s="10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ht="15.75" customHeight="1">
      <c r="A41" s="7"/>
      <c r="B41" s="110">
        <v>1000.0</v>
      </c>
      <c r="C41" s="57">
        <f t="shared" si="7"/>
        <v>82.99967852</v>
      </c>
      <c r="D41" s="57">
        <f>B40*$D$36/$B$36</f>
        <v>91.22618728</v>
      </c>
      <c r="E41" s="7">
        <f t="shared" si="3"/>
        <v>99.53089945</v>
      </c>
      <c r="F41" s="7">
        <f t="shared" si="4"/>
        <v>110.4025888</v>
      </c>
      <c r="G41" s="7">
        <f t="shared" si="5"/>
        <v>111.3543352</v>
      </c>
      <c r="H41" s="74">
        <f t="shared" si="6"/>
        <v>110.4025888</v>
      </c>
      <c r="I41" s="7"/>
      <c r="J41" s="7"/>
      <c r="K41" s="10"/>
      <c r="L41" s="10"/>
      <c r="M41" s="7"/>
      <c r="N41" s="7"/>
      <c r="O41" s="7"/>
      <c r="P41" s="7" t="s">
        <v>259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ht="15.75" customHeight="1">
      <c r="A42" s="7"/>
      <c r="B42" s="110">
        <v>200.0</v>
      </c>
      <c r="C42" s="57">
        <f t="shared" si="7"/>
        <v>16.5999357</v>
      </c>
      <c r="D42" s="57">
        <f>B42*$D$36/$B$36</f>
        <v>18.24523746</v>
      </c>
      <c r="E42" s="7">
        <f t="shared" si="3"/>
        <v>19.90617989</v>
      </c>
      <c r="F42" s="7">
        <f t="shared" si="4"/>
        <v>22.08051775</v>
      </c>
      <c r="G42" s="7">
        <f t="shared" si="5"/>
        <v>22.27086704</v>
      </c>
      <c r="H42" s="74">
        <f t="shared" si="6"/>
        <v>22.08051775</v>
      </c>
      <c r="I42" s="7"/>
      <c r="J42" s="7"/>
      <c r="K42" s="10"/>
      <c r="L42" s="1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ht="15.75" customHeight="1">
      <c r="A43" s="7"/>
      <c r="B43" s="110">
        <v>200.0</v>
      </c>
      <c r="C43" s="57">
        <f t="shared" si="7"/>
        <v>16.5999357</v>
      </c>
      <c r="D43" s="57">
        <f>B42*$D$36/$B$36</f>
        <v>18.24523746</v>
      </c>
      <c r="E43" s="7">
        <f t="shared" si="3"/>
        <v>19.90617989</v>
      </c>
      <c r="F43" s="7">
        <f t="shared" si="4"/>
        <v>22.08051775</v>
      </c>
      <c r="G43" s="7">
        <f t="shared" si="5"/>
        <v>22.27086704</v>
      </c>
      <c r="H43" s="74">
        <f t="shared" si="6"/>
        <v>22.08051775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ht="15.75" customHeight="1">
      <c r="A44" s="7"/>
      <c r="B44" s="110">
        <v>100.0</v>
      </c>
      <c r="C44" s="57">
        <f t="shared" si="7"/>
        <v>8.299967852</v>
      </c>
      <c r="D44" s="57">
        <f>B44*$D$36/$B$36</f>
        <v>9.122618728</v>
      </c>
      <c r="E44" s="7">
        <f t="shared" si="3"/>
        <v>9.953089945</v>
      </c>
      <c r="F44" s="7">
        <f t="shared" si="4"/>
        <v>11.04025888</v>
      </c>
      <c r="G44" s="7">
        <f t="shared" si="5"/>
        <v>11.13543352</v>
      </c>
      <c r="H44" s="74">
        <f t="shared" si="6"/>
        <v>11.04025888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ht="15.75" customHeight="1">
      <c r="A45" s="7"/>
      <c r="B45" s="110">
        <v>100.0</v>
      </c>
      <c r="C45" s="57">
        <f t="shared" si="7"/>
        <v>8.299967852</v>
      </c>
      <c r="D45" s="57">
        <f>B44*$D$36/$B$36</f>
        <v>9.122618728</v>
      </c>
      <c r="E45" s="7">
        <f t="shared" si="3"/>
        <v>9.953089945</v>
      </c>
      <c r="F45" s="7">
        <f t="shared" si="4"/>
        <v>11.04025888</v>
      </c>
      <c r="G45" s="7">
        <f t="shared" si="5"/>
        <v>11.13543352</v>
      </c>
      <c r="H45" s="74">
        <f t="shared" si="6"/>
        <v>11.04025888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ht="15.75" customHeight="1">
      <c r="A46" s="7"/>
      <c r="B46" s="110">
        <v>12.5</v>
      </c>
      <c r="C46" s="57">
        <f t="shared" si="7"/>
        <v>1.037495982</v>
      </c>
      <c r="D46" s="57">
        <f t="shared" ref="D46:D47" si="8">B46*$D$36/$B$36</f>
        <v>1.140327341</v>
      </c>
      <c r="E46" s="7">
        <f t="shared" si="3"/>
        <v>1.244136243</v>
      </c>
      <c r="F46" s="7">
        <f t="shared" si="4"/>
        <v>1.380032359</v>
      </c>
      <c r="G46" s="7">
        <f t="shared" si="5"/>
        <v>1.39192919</v>
      </c>
      <c r="H46" s="74">
        <f t="shared" si="6"/>
        <v>1.380032359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ht="15.75" customHeight="1">
      <c r="A47" s="7"/>
      <c r="B47" s="112">
        <v>12.5</v>
      </c>
      <c r="C47" s="113">
        <f t="shared" si="7"/>
        <v>1.037495982</v>
      </c>
      <c r="D47" s="113">
        <f t="shared" si="8"/>
        <v>1.140327341</v>
      </c>
      <c r="E47" s="73">
        <f t="shared" si="3"/>
        <v>1.244136243</v>
      </c>
      <c r="F47" s="73">
        <f t="shared" si="4"/>
        <v>1.380032359</v>
      </c>
      <c r="G47" s="73">
        <f t="shared" si="5"/>
        <v>1.39192919</v>
      </c>
      <c r="H47" s="114">
        <f t="shared" si="6"/>
        <v>1.380032359</v>
      </c>
      <c r="I47" s="7"/>
      <c r="J47" s="7"/>
      <c r="K47" s="7"/>
      <c r="L47" s="7"/>
      <c r="M47" s="7"/>
      <c r="N47" s="7"/>
      <c r="O47" s="7"/>
      <c r="P47" s="7"/>
      <c r="Q47" s="7" t="s">
        <v>260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ht="15.75" customHeight="1">
      <c r="A49" s="7"/>
      <c r="B49" s="23" t="s">
        <v>336</v>
      </c>
      <c r="C49" s="98" t="s">
        <v>34</v>
      </c>
      <c r="D49" s="98" t="s">
        <v>35</v>
      </c>
      <c r="E49" s="98" t="s">
        <v>36</v>
      </c>
      <c r="F49" s="98" t="s">
        <v>261</v>
      </c>
      <c r="G49" s="98" t="s">
        <v>262</v>
      </c>
      <c r="H49" s="99" t="s">
        <v>263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ht="15.75" customHeight="1">
      <c r="A50" s="7"/>
      <c r="B50" s="179" t="s">
        <v>264</v>
      </c>
      <c r="C50" s="115">
        <f t="shared" ref="C50:H50" si="9">SLOPE(C36:C47,C4:C15)</f>
        <v>0.08445340331</v>
      </c>
      <c r="D50" s="115">
        <f t="shared" si="9"/>
        <v>0.0873417029</v>
      </c>
      <c r="E50" s="116">
        <f t="shared" si="9"/>
        <v>0.00008044044106</v>
      </c>
      <c r="F50" s="116">
        <f t="shared" si="9"/>
        <v>0.001617259099</v>
      </c>
      <c r="G50" s="116">
        <f t="shared" si="9"/>
        <v>0.00004337451574</v>
      </c>
      <c r="H50" s="117">
        <f t="shared" si="9"/>
        <v>0.0004360323165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ht="15.75" customHeight="1">
      <c r="A51" s="7"/>
      <c r="B51" s="179" t="s">
        <v>265</v>
      </c>
      <c r="C51" s="115">
        <f t="shared" ref="C51:H51" si="10">INTERCEPT(C36:C47,C4:C15)</f>
        <v>13.50985584</v>
      </c>
      <c r="D51" s="115">
        <f t="shared" si="10"/>
        <v>10.80290249</v>
      </c>
      <c r="E51" s="115">
        <f t="shared" si="10"/>
        <v>15.14841097</v>
      </c>
      <c r="F51" s="115">
        <f t="shared" si="10"/>
        <v>4.892779028</v>
      </c>
      <c r="G51" s="115">
        <f t="shared" si="10"/>
        <v>1.308371515</v>
      </c>
      <c r="H51" s="118">
        <f t="shared" si="10"/>
        <v>9.400139444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ht="15.75" customHeight="1">
      <c r="A52" s="7"/>
      <c r="B52" s="182" t="s">
        <v>266</v>
      </c>
      <c r="C52" s="120">
        <f t="shared" ref="C52:H52" si="11">RSQ(C36:C47,C4:C15)</f>
        <v>0.9901640793</v>
      </c>
      <c r="D52" s="120">
        <f t="shared" si="11"/>
        <v>0.9944381931</v>
      </c>
      <c r="E52" s="120">
        <f t="shared" si="11"/>
        <v>0.9766889498</v>
      </c>
      <c r="F52" s="120">
        <f t="shared" si="11"/>
        <v>0.9883726053</v>
      </c>
      <c r="G52" s="120">
        <f t="shared" si="11"/>
        <v>0.9996474961</v>
      </c>
      <c r="H52" s="121">
        <f t="shared" si="11"/>
        <v>0.9799298651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ht="15.75" customHeight="1">
      <c r="A54" s="7"/>
      <c r="B54" s="23" t="s">
        <v>337</v>
      </c>
      <c r="C54" s="98" t="s">
        <v>34</v>
      </c>
      <c r="D54" s="98" t="s">
        <v>35</v>
      </c>
      <c r="E54" s="98" t="s">
        <v>36</v>
      </c>
      <c r="F54" s="98" t="s">
        <v>261</v>
      </c>
      <c r="G54" s="98" t="s">
        <v>262</v>
      </c>
      <c r="H54" s="99" t="s">
        <v>263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ht="15.75" customHeight="1">
      <c r="A55" s="7"/>
      <c r="B55" s="179" t="s">
        <v>264</v>
      </c>
      <c r="C55" s="115" t="str">
        <f t="shared" ref="C55:H55" si="12">SLOPE(C36:C47,C19:C30)</f>
        <v>#N/A</v>
      </c>
      <c r="D55" s="115" t="str">
        <f t="shared" si="12"/>
        <v>#N/A</v>
      </c>
      <c r="E55" s="115">
        <f t="shared" si="12"/>
        <v>0.00007264756477</v>
      </c>
      <c r="F55" s="115">
        <f t="shared" si="12"/>
        <v>0.001591221337</v>
      </c>
      <c r="G55" s="115">
        <f t="shared" si="12"/>
        <v>0.00003977290938</v>
      </c>
      <c r="H55" s="118">
        <f t="shared" si="12"/>
        <v>0.0003020191464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ht="15.75" customHeight="1">
      <c r="A56" s="7"/>
      <c r="B56" s="179" t="s">
        <v>265</v>
      </c>
      <c r="C56" s="115" t="str">
        <f t="shared" ref="C56:H56" si="13">INTERCEPT(C36:C47,C19:C30)</f>
        <v>#N/A</v>
      </c>
      <c r="D56" s="115" t="str">
        <f t="shared" si="13"/>
        <v>#N/A</v>
      </c>
      <c r="E56" s="115">
        <f t="shared" si="13"/>
        <v>6.601323031</v>
      </c>
      <c r="F56" s="115">
        <f t="shared" si="13"/>
        <v>10.74465378</v>
      </c>
      <c r="G56" s="115">
        <f t="shared" si="13"/>
        <v>-1.580675943</v>
      </c>
      <c r="H56" s="118">
        <f t="shared" si="13"/>
        <v>28.21912714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ht="15.75" customHeight="1">
      <c r="A57" s="7"/>
      <c r="B57" s="182" t="s">
        <v>266</v>
      </c>
      <c r="C57" s="120" t="str">
        <f t="shared" ref="C57:H57" si="14">RSQ(C36:C47,C19:C30)</f>
        <v>#N/A</v>
      </c>
      <c r="D57" s="120" t="str">
        <f t="shared" si="14"/>
        <v>#N/A</v>
      </c>
      <c r="E57" s="120">
        <f t="shared" si="14"/>
        <v>0.9868893518</v>
      </c>
      <c r="F57" s="120">
        <f t="shared" si="14"/>
        <v>0.9648259031</v>
      </c>
      <c r="G57" s="120">
        <f t="shared" si="14"/>
        <v>0.9992958797</v>
      </c>
      <c r="H57" s="121">
        <f t="shared" si="14"/>
        <v>0.9726882616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ht="15.75" customHeight="1">
      <c r="A59" s="7"/>
      <c r="B59" s="105" t="s">
        <v>267</v>
      </c>
      <c r="C59" s="98" t="s">
        <v>268</v>
      </c>
      <c r="D59" s="99" t="s">
        <v>269</v>
      </c>
      <c r="E59" s="101" t="s">
        <v>339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ht="15.75" customHeight="1">
      <c r="A60" s="7"/>
      <c r="B60" s="36" t="s">
        <v>34</v>
      </c>
      <c r="C60" s="10">
        <v>342.17</v>
      </c>
      <c r="D60" s="122">
        <v>12.0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ht="15.75" customHeight="1">
      <c r="A61" s="7"/>
      <c r="B61" s="36" t="s">
        <v>35</v>
      </c>
      <c r="C61" s="10">
        <v>298.16</v>
      </c>
      <c r="D61" s="122">
        <v>11.0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ht="15.75" customHeight="1">
      <c r="A62" s="7"/>
      <c r="B62" s="36" t="s">
        <v>36</v>
      </c>
      <c r="C62" s="10">
        <v>245.15</v>
      </c>
      <c r="D62" s="122">
        <v>10.0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ht="15.75" customHeight="1">
      <c r="A63" s="7"/>
      <c r="B63" s="37" t="s">
        <v>37</v>
      </c>
      <c r="C63" s="90">
        <v>210.14</v>
      </c>
      <c r="D63" s="123">
        <v>9.0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</sheetData>
  <mergeCells count="6">
    <mergeCell ref="C2:H2"/>
    <mergeCell ref="I2:N2"/>
    <mergeCell ref="C17:H17"/>
    <mergeCell ref="I17:N17"/>
    <mergeCell ref="V34:V35"/>
    <mergeCell ref="W34:W35"/>
  </mergeCells>
  <hyperlinks>
    <hyperlink r:id="rId2" location="gid=62411718" ref="I33"/>
    <hyperlink r:id="rId3" location="gid=62411718" ref="E59"/>
  </hyperlinks>
  <printOptions/>
  <pageMargins bottom="0.75" footer="0.0" header="0.0" left="0.7" right="0.7" top="0.75"/>
  <pageSetup orientation="landscape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2.63"/>
    <col customWidth="1" min="2" max="2" width="24.63"/>
    <col customWidth="1" min="3" max="3" width="18.13"/>
    <col customWidth="1" min="4" max="5" width="12.63"/>
    <col customWidth="1" min="6" max="6" width="14.88"/>
    <col customWidth="1" min="7" max="7" width="15.88"/>
    <col customWidth="1" min="8" max="8" width="15.5"/>
    <col customWidth="1" min="9" max="9" width="14.5"/>
    <col customWidth="1" min="10" max="10" width="13.88"/>
    <col customWidth="1" min="11" max="11" width="19.5"/>
    <col customWidth="1" min="12" max="12" width="15.38"/>
    <col customWidth="1" min="13" max="13" width="15.63"/>
    <col customWidth="1" min="14" max="14" width="15.88"/>
    <col customWidth="1" min="17" max="17" width="14.88"/>
    <col customWidth="1" min="18" max="18" width="15.13"/>
    <col customWidth="1" min="19" max="19" width="14.88"/>
    <col customWidth="1" min="20" max="20" width="14.0"/>
    <col customWidth="1" min="25" max="25" width="13.5"/>
    <col customWidth="1" min="26" max="26" width="13.63"/>
    <col customWidth="1" min="27" max="27" width="14.13"/>
    <col customWidth="1" min="31" max="37" width="17.13"/>
    <col customWidth="1" min="39" max="39" width="25.13"/>
    <col customWidth="1" min="43" max="43" width="18.38"/>
  </cols>
  <sheetData>
    <row r="1" ht="15.75" customHeight="1">
      <c r="A1" s="183" t="s">
        <v>340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132"/>
      <c r="AQ1" s="132"/>
      <c r="AR1" s="7"/>
      <c r="AS1" s="7"/>
      <c r="AT1" s="7"/>
    </row>
    <row r="2" ht="15.75" customHeight="1">
      <c r="A2" s="184" t="s">
        <v>275</v>
      </c>
      <c r="B2" s="7"/>
      <c r="C2" s="105" t="s">
        <v>336</v>
      </c>
      <c r="D2" s="133" t="s">
        <v>214</v>
      </c>
      <c r="E2" s="133" t="s">
        <v>215</v>
      </c>
      <c r="F2" s="134" t="s">
        <v>216</v>
      </c>
      <c r="G2" s="134" t="s">
        <v>217</v>
      </c>
      <c r="H2" s="134" t="s">
        <v>218</v>
      </c>
      <c r="I2" s="135" t="s">
        <v>219</v>
      </c>
      <c r="J2" s="18"/>
      <c r="K2" s="105" t="s">
        <v>337</v>
      </c>
      <c r="L2" s="133" t="s">
        <v>214</v>
      </c>
      <c r="M2" s="133" t="s">
        <v>215</v>
      </c>
      <c r="N2" s="134" t="s">
        <v>216</v>
      </c>
      <c r="O2" s="134" t="s">
        <v>217</v>
      </c>
      <c r="P2" s="134" t="s">
        <v>218</v>
      </c>
      <c r="Q2" s="135" t="s">
        <v>219</v>
      </c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32"/>
      <c r="AQ2" s="132"/>
      <c r="AR2" s="7"/>
      <c r="AS2" s="7"/>
      <c r="AT2" s="7"/>
    </row>
    <row r="3" ht="15.75" customHeight="1">
      <c r="A3" s="7"/>
      <c r="B3" s="7"/>
      <c r="C3" s="36" t="s">
        <v>276</v>
      </c>
      <c r="D3" s="136">
        <f>'2022 Snow BPCA Calibr'!C50</f>
        <v>0.08445340331</v>
      </c>
      <c r="E3" s="136">
        <f>'2022 Snow BPCA Calibr'!D50</f>
        <v>0.0873417029</v>
      </c>
      <c r="F3" s="137">
        <f>'2022 Snow BPCA Calibr'!E50</f>
        <v>0.00008044044106</v>
      </c>
      <c r="G3" s="137">
        <f>'2022 Snow BPCA Calibr'!F50</f>
        <v>0.001617259099</v>
      </c>
      <c r="H3" s="137">
        <f>'2022 Snow BPCA Calibr'!G50</f>
        <v>0.00004337451574</v>
      </c>
      <c r="I3" s="138">
        <f>'2022 Snow BPCA Calibr'!H50</f>
        <v>0.0004360323165</v>
      </c>
      <c r="J3" s="18"/>
      <c r="K3" s="36" t="s">
        <v>276</v>
      </c>
      <c r="L3" s="136" t="str">
        <f>'2022 Snow BPCA Calibr'!C55</f>
        <v>#N/A</v>
      </c>
      <c r="M3" s="136" t="str">
        <f>'2022 Snow BPCA Calibr'!D55</f>
        <v>#N/A</v>
      </c>
      <c r="N3" s="136">
        <f>'2022 Snow BPCA Calibr'!E55</f>
        <v>0.00007264756477</v>
      </c>
      <c r="O3" s="136">
        <f>'2022 Snow BPCA Calibr'!F55</f>
        <v>0.001591221337</v>
      </c>
      <c r="P3" s="136">
        <f>'2022 Snow BPCA Calibr'!G55</f>
        <v>0.00003977290938</v>
      </c>
      <c r="Q3" s="139">
        <f>'2022 Snow BPCA Calibr'!H55</f>
        <v>0.0003020191464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32"/>
      <c r="AQ3" s="132"/>
      <c r="AR3" s="7"/>
      <c r="AS3" s="7"/>
      <c r="AT3" s="7"/>
    </row>
    <row r="4" ht="15.75" customHeight="1">
      <c r="A4" s="7"/>
      <c r="B4" s="7"/>
      <c r="C4" s="37" t="s">
        <v>277</v>
      </c>
      <c r="D4" s="140">
        <f>'2022 Snow BPCA Calibr'!C51</f>
        <v>13.50985584</v>
      </c>
      <c r="E4" s="140">
        <f>'2022 Snow BPCA Calibr'!D51</f>
        <v>10.80290249</v>
      </c>
      <c r="F4" s="140">
        <f>'2022 Snow BPCA Calibr'!E51</f>
        <v>15.14841097</v>
      </c>
      <c r="G4" s="140">
        <f>'2022 Snow BPCA Calibr'!F51</f>
        <v>4.892779028</v>
      </c>
      <c r="H4" s="140">
        <f>'2022 Snow BPCA Calibr'!G51</f>
        <v>1.308371515</v>
      </c>
      <c r="I4" s="141">
        <f>'2022 Snow BPCA Calibr'!H51</f>
        <v>9.400139444</v>
      </c>
      <c r="J4" s="18"/>
      <c r="K4" s="37" t="s">
        <v>277</v>
      </c>
      <c r="L4" s="140" t="str">
        <f>'2022 Snow BPCA Calibr'!C56</f>
        <v>#N/A</v>
      </c>
      <c r="M4" s="140" t="str">
        <f>'2022 Snow BPCA Calibr'!D56</f>
        <v>#N/A</v>
      </c>
      <c r="N4" s="140">
        <f>'2022 Snow BPCA Calibr'!E56</f>
        <v>6.601323031</v>
      </c>
      <c r="O4" s="140">
        <f>'2022 Snow BPCA Calibr'!F56</f>
        <v>10.74465378</v>
      </c>
      <c r="P4" s="140">
        <f>'2022 Snow BPCA Calibr'!G56</f>
        <v>-1.580675943</v>
      </c>
      <c r="Q4" s="141">
        <f>'2022 Snow BPCA Calibr'!H56</f>
        <v>28.21912714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132"/>
      <c r="AQ4" s="132"/>
      <c r="AR4" s="7"/>
      <c r="AS4" s="7"/>
      <c r="AT4" s="7"/>
    </row>
    <row r="5" ht="15.75" customHeight="1">
      <c r="A5" s="7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3"/>
      <c r="AN5" s="73"/>
      <c r="AO5" s="73"/>
      <c r="AP5" s="142"/>
      <c r="AQ5" s="142"/>
      <c r="AR5" s="73"/>
      <c r="AS5" s="73"/>
      <c r="AT5" s="7"/>
    </row>
    <row r="6" ht="15.75" customHeight="1">
      <c r="A6" s="74"/>
      <c r="B6" s="114"/>
      <c r="C6" s="3" t="s">
        <v>278</v>
      </c>
      <c r="N6" s="185"/>
      <c r="O6" s="24" t="s">
        <v>279</v>
      </c>
      <c r="P6" s="75"/>
      <c r="Q6" s="75"/>
      <c r="R6" s="75"/>
      <c r="S6" s="75"/>
      <c r="T6" s="75"/>
      <c r="U6" s="76"/>
      <c r="V6" s="186" t="s">
        <v>280</v>
      </c>
      <c r="W6" s="20"/>
      <c r="X6" s="20"/>
      <c r="Y6" s="20"/>
      <c r="Z6" s="20"/>
      <c r="AA6" s="20"/>
      <c r="AB6" s="21"/>
      <c r="AC6" s="186" t="s">
        <v>143</v>
      </c>
      <c r="AD6" s="20"/>
      <c r="AE6" s="20"/>
      <c r="AF6" s="20"/>
      <c r="AG6" s="20"/>
      <c r="AH6" s="20"/>
      <c r="AI6" s="20"/>
      <c r="AJ6" s="20"/>
      <c r="AK6" s="21"/>
      <c r="AL6" s="187"/>
      <c r="AM6" s="188"/>
      <c r="AN6" s="189" t="s">
        <v>341</v>
      </c>
      <c r="AS6" s="185"/>
      <c r="AT6" s="132"/>
    </row>
    <row r="7" ht="15.75" customHeight="1">
      <c r="A7" s="74"/>
      <c r="B7" s="105" t="s">
        <v>0</v>
      </c>
      <c r="C7" s="24" t="s">
        <v>282</v>
      </c>
      <c r="D7" s="5" t="s">
        <v>283</v>
      </c>
      <c r="E7" s="5" t="s">
        <v>284</v>
      </c>
      <c r="F7" s="98" t="s">
        <v>285</v>
      </c>
      <c r="G7" s="98" t="s">
        <v>286</v>
      </c>
      <c r="H7" s="190" t="s">
        <v>287</v>
      </c>
      <c r="I7" s="5" t="s">
        <v>288</v>
      </c>
      <c r="J7" s="5" t="s">
        <v>289</v>
      </c>
      <c r="K7" s="5" t="s">
        <v>290</v>
      </c>
      <c r="L7" s="98" t="s">
        <v>291</v>
      </c>
      <c r="M7" s="98" t="s">
        <v>292</v>
      </c>
      <c r="N7" s="98" t="s">
        <v>293</v>
      </c>
      <c r="O7" s="24" t="s">
        <v>22</v>
      </c>
      <c r="P7" s="5" t="s">
        <v>23</v>
      </c>
      <c r="Q7" s="5" t="s">
        <v>24</v>
      </c>
      <c r="R7" s="133" t="s">
        <v>25</v>
      </c>
      <c r="S7" s="133" t="s">
        <v>26</v>
      </c>
      <c r="T7" s="133" t="s">
        <v>27</v>
      </c>
      <c r="U7" s="26" t="s">
        <v>28</v>
      </c>
      <c r="V7" s="24" t="s">
        <v>22</v>
      </c>
      <c r="W7" s="5" t="s">
        <v>23</v>
      </c>
      <c r="X7" s="5" t="s">
        <v>24</v>
      </c>
      <c r="Y7" s="133" t="s">
        <v>25</v>
      </c>
      <c r="Z7" s="133" t="s">
        <v>26</v>
      </c>
      <c r="AA7" s="133" t="s">
        <v>27</v>
      </c>
      <c r="AB7" s="26" t="s">
        <v>28</v>
      </c>
      <c r="AC7" s="24" t="s">
        <v>22</v>
      </c>
      <c r="AD7" s="5" t="s">
        <v>23</v>
      </c>
      <c r="AE7" s="5" t="s">
        <v>24</v>
      </c>
      <c r="AF7" s="133" t="s">
        <v>25</v>
      </c>
      <c r="AG7" s="133" t="s">
        <v>26</v>
      </c>
      <c r="AH7" s="133" t="s">
        <v>27</v>
      </c>
      <c r="AI7" s="5" t="s">
        <v>28</v>
      </c>
      <c r="AJ7" s="5" t="s">
        <v>41</v>
      </c>
      <c r="AK7" s="26" t="s">
        <v>42</v>
      </c>
      <c r="AL7" s="74"/>
      <c r="AM7" s="1" t="s">
        <v>0</v>
      </c>
      <c r="AN7" s="105" t="s">
        <v>294</v>
      </c>
      <c r="AO7" s="148" t="s">
        <v>295</v>
      </c>
      <c r="AP7" s="98" t="s">
        <v>296</v>
      </c>
      <c r="AQ7" s="149" t="s">
        <v>297</v>
      </c>
      <c r="AR7" s="149" t="s">
        <v>196</v>
      </c>
      <c r="AS7" s="99" t="s">
        <v>192</v>
      </c>
      <c r="AT7" s="7"/>
    </row>
    <row r="8" ht="15.75" customHeight="1">
      <c r="A8" s="74"/>
      <c r="B8" s="36" t="s">
        <v>150</v>
      </c>
      <c r="C8" s="79">
        <v>65.0</v>
      </c>
      <c r="D8" s="80">
        <v>202.9</v>
      </c>
      <c r="E8" s="80">
        <v>52403.71</v>
      </c>
      <c r="F8" s="126">
        <v>7115.38</v>
      </c>
      <c r="G8" s="89">
        <v>640966.52</v>
      </c>
      <c r="H8" s="191">
        <v>17188.84</v>
      </c>
      <c r="I8" s="80">
        <v>1.598</v>
      </c>
      <c r="J8" s="89">
        <v>2.798</v>
      </c>
      <c r="K8" s="80">
        <v>0.851</v>
      </c>
      <c r="L8" s="82">
        <v>2.311</v>
      </c>
      <c r="M8" s="80">
        <v>1.598</v>
      </c>
      <c r="N8" s="82">
        <v>2.741</v>
      </c>
      <c r="O8" s="151">
        <f t="shared" ref="O8:O10" si="1">C8*$D$3+$D$4</f>
        <v>18.99932705</v>
      </c>
      <c r="P8" s="152">
        <f t="shared" ref="P8:P25" si="2">D8*$E$3+$E$4</f>
        <v>28.52453401</v>
      </c>
      <c r="Q8" s="152">
        <f t="shared" ref="Q8:Q10" si="3">E8*$F$3+$F$4</f>
        <v>19.36378852</v>
      </c>
      <c r="R8" s="152">
        <f>(F8*$G$3+$G$4)</f>
        <v>16.40019207</v>
      </c>
      <c r="S8" s="152">
        <f t="shared" ref="S8:S10" si="4">(G8*$H$3+$H$4)</f>
        <v>29.10998393</v>
      </c>
      <c r="T8" s="152">
        <f t="shared" ref="T8:T10" si="5">(H8*$I$3+$I$4)</f>
        <v>16.89502917</v>
      </c>
      <c r="U8" s="153">
        <f t="shared" ref="U8:U10" si="6">SUM(R8:T8)</f>
        <v>62.40520517</v>
      </c>
      <c r="V8" s="151">
        <f t="shared" ref="V8:V10" si="7">O8*AP8/AQ8</f>
        <v>0.4042410011</v>
      </c>
      <c r="W8" s="152">
        <f t="shared" ref="W8:W25" si="8">P8*AP8/AQ8</f>
        <v>0.6069049789</v>
      </c>
      <c r="X8" s="152">
        <f t="shared" ref="X8:X10" si="9">Q8*AP8/AQ8</f>
        <v>0.4119955004</v>
      </c>
      <c r="Y8" s="152">
        <f>R8*AP8/AQ8</f>
        <v>0.3489402569</v>
      </c>
      <c r="Z8" s="152">
        <f t="shared" ref="Z8:Z10" si="10">S8*AP8/AQ8</f>
        <v>0.6193613601</v>
      </c>
      <c r="AA8" s="152">
        <f t="shared" ref="AA8:AA10" si="11">T8*AP8/AQ8</f>
        <v>0.3594687057</v>
      </c>
      <c r="AB8" s="153">
        <f t="shared" ref="AB8:AB10" si="12">U8*AP8/AQ8</f>
        <v>1.327770323</v>
      </c>
      <c r="AC8" s="151">
        <f t="shared" ref="AC8:AC25" si="13">V8*AR8/AS8</f>
        <v>0.00105596541</v>
      </c>
      <c r="AD8" s="152">
        <f t="shared" ref="AD8:AD25" si="14">W8*AR8/AS8</f>
        <v>0.001585367795</v>
      </c>
      <c r="AE8" s="152">
        <f t="shared" ref="AE8:AE10" si="15">X8*AR8/AS8</f>
        <v>0.001076221848</v>
      </c>
      <c r="AF8" s="152">
        <f>Y8*AP8/AQ8</f>
        <v>0.007424260785</v>
      </c>
      <c r="AG8" s="152">
        <f t="shared" ref="AG8:AG10" si="16">Z8*AP8/AQ8</f>
        <v>0.01317790128</v>
      </c>
      <c r="AH8" s="152">
        <f t="shared" ref="AH8:AH10" si="17">AA8*AP8/AQ8</f>
        <v>0.007648270334</v>
      </c>
      <c r="AI8" s="152">
        <f t="shared" ref="AI8:AI10" si="18">AB8*AP8/AQ8</f>
        <v>0.0282504324</v>
      </c>
      <c r="AJ8" s="152">
        <f t="shared" ref="AJ8:AJ25" si="19">AC8+AD8</f>
        <v>0.002641333204</v>
      </c>
      <c r="AK8" s="153">
        <f t="shared" ref="AK8:AK25" si="20">AE8+AI8</f>
        <v>0.02932665425</v>
      </c>
      <c r="AL8" s="74"/>
      <c r="AM8" s="36" t="s">
        <v>150</v>
      </c>
      <c r="AN8" s="151">
        <f t="shared" ref="AN8:AN25" si="21">AO8/12*1000</f>
        <v>59.28333333</v>
      </c>
      <c r="AO8" s="154">
        <f>'2022 Snow PPL'!F2</f>
        <v>0.7114</v>
      </c>
      <c r="AP8" s="155">
        <f>'2022 Snow PPL'!X2/1000</f>
        <v>0.1</v>
      </c>
      <c r="AQ8" s="192">
        <f>'2022 Snow PPL'!V2</f>
        <v>4.7</v>
      </c>
      <c r="AR8" s="154">
        <f>'2022 Snow PPL'!J2</f>
        <v>9.181944444</v>
      </c>
      <c r="AS8" s="156">
        <f>'2022 Snow PPL'!E2</f>
        <v>3515</v>
      </c>
      <c r="AT8" s="7"/>
    </row>
    <row r="9" ht="15.75" customHeight="1">
      <c r="A9" s="74"/>
      <c r="B9" s="36" t="s">
        <v>151</v>
      </c>
      <c r="C9" s="79">
        <v>249.5</v>
      </c>
      <c r="D9" s="80">
        <v>918.8</v>
      </c>
      <c r="E9" s="80">
        <v>85723.78</v>
      </c>
      <c r="F9" s="126"/>
      <c r="G9" s="89">
        <v>920798.59</v>
      </c>
      <c r="H9" s="193">
        <v>22128.66</v>
      </c>
      <c r="I9" s="80">
        <v>1.584</v>
      </c>
      <c r="J9" s="89">
        <v>2.752</v>
      </c>
      <c r="K9" s="80">
        <v>0.828</v>
      </c>
      <c r="L9" s="82"/>
      <c r="M9" s="80">
        <v>1.598</v>
      </c>
      <c r="N9" s="80">
        <v>2.74</v>
      </c>
      <c r="O9" s="151">
        <f t="shared" si="1"/>
        <v>34.58097996</v>
      </c>
      <c r="P9" s="152">
        <f t="shared" si="2"/>
        <v>91.05245911</v>
      </c>
      <c r="Q9" s="152">
        <f t="shared" si="3"/>
        <v>22.04406964</v>
      </c>
      <c r="R9" s="152"/>
      <c r="S9" s="152">
        <f t="shared" si="4"/>
        <v>41.24756445</v>
      </c>
      <c r="T9" s="152">
        <f t="shared" si="5"/>
        <v>19.04895032</v>
      </c>
      <c r="U9" s="153">
        <f t="shared" si="6"/>
        <v>60.29651478</v>
      </c>
      <c r="V9" s="151">
        <f t="shared" si="7"/>
        <v>0.7684662214</v>
      </c>
      <c r="W9" s="152">
        <f t="shared" si="8"/>
        <v>2.02338798</v>
      </c>
      <c r="X9" s="152">
        <f t="shared" si="9"/>
        <v>0.4898682143</v>
      </c>
      <c r="Y9" s="152"/>
      <c r="Z9" s="152">
        <f t="shared" si="10"/>
        <v>0.9166125434</v>
      </c>
      <c r="AA9" s="152">
        <f t="shared" si="11"/>
        <v>0.4233100072</v>
      </c>
      <c r="AB9" s="153">
        <f t="shared" si="12"/>
        <v>1.339922551</v>
      </c>
      <c r="AC9" s="151">
        <f t="shared" si="13"/>
        <v>0.002007400897</v>
      </c>
      <c r="AD9" s="152">
        <f t="shared" si="14"/>
        <v>0.005285529452</v>
      </c>
      <c r="AE9" s="152">
        <f t="shared" si="15"/>
        <v>0.001279642313</v>
      </c>
      <c r="AF9" s="152"/>
      <c r="AG9" s="152">
        <f t="shared" si="16"/>
        <v>0.02036916763</v>
      </c>
      <c r="AH9" s="152">
        <f t="shared" si="17"/>
        <v>0.009406889049</v>
      </c>
      <c r="AI9" s="152">
        <f t="shared" si="18"/>
        <v>0.02977605668</v>
      </c>
      <c r="AJ9" s="152">
        <f t="shared" si="19"/>
        <v>0.007292930349</v>
      </c>
      <c r="AK9" s="153">
        <f t="shared" si="20"/>
        <v>0.03105569899</v>
      </c>
      <c r="AL9" s="74"/>
      <c r="AM9" s="36" t="s">
        <v>151</v>
      </c>
      <c r="AN9" s="151">
        <f t="shared" si="21"/>
        <v>59.28333333</v>
      </c>
      <c r="AO9" s="154">
        <f>'2022 Snow PPL'!F3</f>
        <v>0.7114</v>
      </c>
      <c r="AP9" s="155">
        <f>'2022 Snow PPL'!X3/1000</f>
        <v>0.1</v>
      </c>
      <c r="AQ9" s="192">
        <f>'2022 Snow PPL'!V3</f>
        <v>4.5</v>
      </c>
      <c r="AR9" s="154">
        <f>'2022 Snow PPL'!J3</f>
        <v>9.181944444</v>
      </c>
      <c r="AS9" s="156">
        <f>'2022 Snow PPL'!E3</f>
        <v>3515</v>
      </c>
      <c r="AT9" s="7"/>
    </row>
    <row r="10" ht="15.75" customHeight="1">
      <c r="A10" s="74"/>
      <c r="B10" s="32" t="s">
        <v>152</v>
      </c>
      <c r="C10" s="79">
        <v>800.8</v>
      </c>
      <c r="D10" s="194">
        <v>5489.3</v>
      </c>
      <c r="E10" s="80">
        <v>305212.3</v>
      </c>
      <c r="F10" s="89"/>
      <c r="G10" s="89">
        <v>471087.49</v>
      </c>
      <c r="H10" s="193">
        <v>13161.92</v>
      </c>
      <c r="I10" s="80">
        <v>1.587</v>
      </c>
      <c r="J10" s="89">
        <v>2.695</v>
      </c>
      <c r="K10" s="80">
        <v>0.826</v>
      </c>
      <c r="L10" s="80"/>
      <c r="M10" s="80">
        <v>1.607</v>
      </c>
      <c r="N10" s="80">
        <v>2.761</v>
      </c>
      <c r="O10" s="151">
        <f t="shared" si="1"/>
        <v>81.14014121</v>
      </c>
      <c r="P10" s="195">
        <f t="shared" si="2"/>
        <v>490.2477122</v>
      </c>
      <c r="Q10" s="152">
        <f t="shared" si="3"/>
        <v>39.699823</v>
      </c>
      <c r="R10" s="152"/>
      <c r="S10" s="152">
        <f t="shared" si="4"/>
        <v>21.74156327</v>
      </c>
      <c r="T10" s="152">
        <f t="shared" si="5"/>
        <v>15.13916191</v>
      </c>
      <c r="U10" s="153">
        <f t="shared" si="6"/>
        <v>36.88072518</v>
      </c>
      <c r="V10" s="151">
        <f t="shared" si="7"/>
        <v>1.763916113</v>
      </c>
      <c r="W10" s="195">
        <f t="shared" si="8"/>
        <v>10.65755896</v>
      </c>
      <c r="X10" s="152">
        <f t="shared" si="9"/>
        <v>0.8630396304</v>
      </c>
      <c r="Y10" s="152"/>
      <c r="Z10" s="152">
        <f t="shared" si="10"/>
        <v>0.4726426797</v>
      </c>
      <c r="AA10" s="152">
        <f t="shared" si="11"/>
        <v>0.3291122155</v>
      </c>
      <c r="AB10" s="153">
        <f t="shared" si="12"/>
        <v>0.8017548951</v>
      </c>
      <c r="AC10" s="151">
        <f t="shared" si="13"/>
        <v>0.002826373339</v>
      </c>
      <c r="AD10" s="195">
        <f t="shared" si="14"/>
        <v>0.01707691215</v>
      </c>
      <c r="AE10" s="152">
        <f t="shared" si="15"/>
        <v>0.001382873133</v>
      </c>
      <c r="AF10" s="152"/>
      <c r="AG10" s="152">
        <f t="shared" si="16"/>
        <v>0.01027484086</v>
      </c>
      <c r="AH10" s="152">
        <f t="shared" si="17"/>
        <v>0.00715461338</v>
      </c>
      <c r="AI10" s="152">
        <f t="shared" si="18"/>
        <v>0.01742945424</v>
      </c>
      <c r="AJ10" s="152">
        <f t="shared" si="19"/>
        <v>0.01990328549</v>
      </c>
      <c r="AK10" s="153">
        <f t="shared" si="20"/>
        <v>0.01881232738</v>
      </c>
      <c r="AL10" s="74"/>
      <c r="AM10" s="32" t="s">
        <v>152</v>
      </c>
      <c r="AN10" s="151">
        <f t="shared" si="21"/>
        <v>39.16666667</v>
      </c>
      <c r="AO10" s="154">
        <f>'2022 Snow PPL'!F4</f>
        <v>0.47</v>
      </c>
      <c r="AP10" s="155">
        <f>'2022 Snow PPL'!X4/1000</f>
        <v>0.1</v>
      </c>
      <c r="AQ10" s="192">
        <f>'2022 Snow PPL'!V4</f>
        <v>4.6</v>
      </c>
      <c r="AR10" s="154">
        <f>'2022 Snow PPL'!J4</f>
        <v>9.187752525</v>
      </c>
      <c r="AS10" s="156">
        <f>'2022 Snow PPL'!E4</f>
        <v>5734</v>
      </c>
      <c r="AT10" s="7"/>
    </row>
    <row r="11" ht="15.75" customHeight="1">
      <c r="A11" s="74"/>
      <c r="B11" s="32" t="s">
        <v>153</v>
      </c>
      <c r="C11" s="79"/>
      <c r="D11" s="80">
        <v>19.4</v>
      </c>
      <c r="E11" s="80">
        <v>8904.45</v>
      </c>
      <c r="F11" s="89"/>
      <c r="G11" s="89">
        <v>7407.82</v>
      </c>
      <c r="H11" s="193"/>
      <c r="I11" s="80"/>
      <c r="J11" s="89">
        <v>2.791</v>
      </c>
      <c r="K11" s="80">
        <v>0.844</v>
      </c>
      <c r="L11" s="80"/>
      <c r="M11" s="80">
        <v>1.557</v>
      </c>
      <c r="N11" s="80"/>
      <c r="O11" s="151"/>
      <c r="P11" s="152">
        <f t="shared" si="2"/>
        <v>12.49733153</v>
      </c>
      <c r="Q11" s="152"/>
      <c r="R11" s="152"/>
      <c r="S11" s="152"/>
      <c r="T11" s="152"/>
      <c r="U11" s="153"/>
      <c r="V11" s="151"/>
      <c r="W11" s="152">
        <f t="shared" si="8"/>
        <v>0.2716811201</v>
      </c>
      <c r="X11" s="152"/>
      <c r="Y11" s="152"/>
      <c r="Z11" s="152"/>
      <c r="AA11" s="152"/>
      <c r="AB11" s="153"/>
      <c r="AC11" s="151">
        <f t="shared" si="13"/>
        <v>0</v>
      </c>
      <c r="AD11" s="152">
        <f t="shared" si="14"/>
        <v>0.0004353224446</v>
      </c>
      <c r="AE11" s="152"/>
      <c r="AF11" s="152"/>
      <c r="AG11" s="152"/>
      <c r="AH11" s="152"/>
      <c r="AI11" s="152"/>
      <c r="AJ11" s="152">
        <f t="shared" si="19"/>
        <v>0.0004353224446</v>
      </c>
      <c r="AK11" s="153">
        <f t="shared" si="20"/>
        <v>0</v>
      </c>
      <c r="AL11" s="74"/>
      <c r="AM11" s="32" t="s">
        <v>153</v>
      </c>
      <c r="AN11" s="151">
        <f t="shared" si="21"/>
        <v>39.16666667</v>
      </c>
      <c r="AO11" s="154">
        <f>'2022 Snow PPL'!F5</f>
        <v>0.47</v>
      </c>
      <c r="AP11" s="155">
        <f>'2022 Snow PPL'!X5/1000</f>
        <v>0.1</v>
      </c>
      <c r="AQ11" s="192">
        <f>'2022 Snow PPL'!V5</f>
        <v>4.6</v>
      </c>
      <c r="AR11" s="154">
        <f>'2022 Snow PPL'!J5</f>
        <v>9.187752525</v>
      </c>
      <c r="AS11" s="156">
        <f>'2022 Snow PPL'!E5</f>
        <v>5734</v>
      </c>
      <c r="AT11" s="7"/>
    </row>
    <row r="12" ht="15.75" customHeight="1">
      <c r="A12" s="74"/>
      <c r="B12" s="32" t="s">
        <v>112</v>
      </c>
      <c r="C12" s="79">
        <v>582.8</v>
      </c>
      <c r="D12" s="194">
        <v>6544.2</v>
      </c>
      <c r="E12" s="82">
        <v>348300.79</v>
      </c>
      <c r="F12" s="126"/>
      <c r="G12" s="126">
        <v>1759857.7</v>
      </c>
      <c r="H12" s="191">
        <v>48266.7</v>
      </c>
      <c r="I12" s="80">
        <v>1.589</v>
      </c>
      <c r="J12" s="89">
        <v>2.691</v>
      </c>
      <c r="K12" s="82">
        <v>0.822</v>
      </c>
      <c r="L12" s="82"/>
      <c r="M12" s="82">
        <v>1.592</v>
      </c>
      <c r="N12" s="82">
        <v>2.746</v>
      </c>
      <c r="O12" s="151">
        <f t="shared" ref="O12:O25" si="22">C12*$D$3+$D$4</f>
        <v>62.72929929</v>
      </c>
      <c r="P12" s="195">
        <f t="shared" si="2"/>
        <v>582.3844746</v>
      </c>
      <c r="Q12" s="152">
        <f t="shared" ref="Q12:Q15" si="23">E12*$F$3+$F$4</f>
        <v>43.16588014</v>
      </c>
      <c r="R12" s="152"/>
      <c r="S12" s="152">
        <f t="shared" ref="S12:S15" si="24">(G12*$H$3+$H$4)</f>
        <v>77.64134703</v>
      </c>
      <c r="T12" s="152">
        <f t="shared" ref="T12:T15" si="25">(H12*$I$3+$I$4)</f>
        <v>30.44598045</v>
      </c>
      <c r="U12" s="153">
        <f t="shared" ref="U12:U22" si="26">SUM(R12:T12)</f>
        <v>108.0873275</v>
      </c>
      <c r="V12" s="151">
        <f t="shared" ref="V12:V25" si="27">O12*AP12/AQ12</f>
        <v>0.6874443757</v>
      </c>
      <c r="W12" s="195">
        <f t="shared" si="8"/>
        <v>6.382295612</v>
      </c>
      <c r="X12" s="152">
        <f t="shared" ref="X12:X25" si="28">Q12*AP12/AQ12</f>
        <v>0.4730507413</v>
      </c>
      <c r="Y12" s="152"/>
      <c r="Z12" s="152">
        <f t="shared" ref="Z12:Z22" si="29">S12*AP12/AQ12</f>
        <v>0.850864077</v>
      </c>
      <c r="AA12" s="152">
        <f t="shared" ref="AA12:AA18" si="30">T12*AP12/AQ12</f>
        <v>0.3336545803</v>
      </c>
      <c r="AB12" s="153">
        <f t="shared" ref="AB12:AB22" si="31">U12*AP12/AQ12</f>
        <v>1.184518657</v>
      </c>
      <c r="AC12" s="151">
        <f t="shared" si="13"/>
        <v>0.001904970163</v>
      </c>
      <c r="AD12" s="195">
        <f t="shared" si="14"/>
        <v>0.01768591487</v>
      </c>
      <c r="AE12" s="152">
        <f t="shared" ref="AE12:AE25" si="32">X12*AR12/AS12</f>
        <v>0.001310866129</v>
      </c>
      <c r="AF12" s="152"/>
      <c r="AG12" s="152">
        <f t="shared" ref="AG12:AG22" si="33">Z12*AP12/AQ12</f>
        <v>0.00932453783</v>
      </c>
      <c r="AH12" s="152">
        <f t="shared" ref="AH12:AH18" si="34">AA12*AP12/AQ12</f>
        <v>0.003656488551</v>
      </c>
      <c r="AI12" s="152">
        <f t="shared" ref="AI12:AI22" si="35">AB12*AP12/AQ12</f>
        <v>0.01298102638</v>
      </c>
      <c r="AJ12" s="152">
        <f t="shared" si="19"/>
        <v>0.01959088504</v>
      </c>
      <c r="AK12" s="153">
        <f t="shared" si="20"/>
        <v>0.01429189251</v>
      </c>
      <c r="AL12" s="74"/>
      <c r="AM12" s="32" t="s">
        <v>112</v>
      </c>
      <c r="AN12" s="151">
        <f t="shared" si="21"/>
        <v>36.25</v>
      </c>
      <c r="AO12" s="154">
        <f>'2022 Snow PPL'!F6</f>
        <v>0.435</v>
      </c>
      <c r="AP12" s="155">
        <f>'2022 Snow PPL'!X6/1000</f>
        <v>0.1</v>
      </c>
      <c r="AQ12" s="192">
        <f>'2022 Snow PPL'!V6</f>
        <v>9.125</v>
      </c>
      <c r="AR12" s="154">
        <f>'2022 Snow PPL'!J6</f>
        <v>9.103030303</v>
      </c>
      <c r="AS12" s="156">
        <f>'2022 Snow PPL'!E6</f>
        <v>3285</v>
      </c>
      <c r="AT12" s="7"/>
    </row>
    <row r="13" ht="15.75" customHeight="1">
      <c r="A13" s="74"/>
      <c r="B13" s="32" t="s">
        <v>83</v>
      </c>
      <c r="C13" s="79">
        <v>230.6</v>
      </c>
      <c r="D13" s="194">
        <v>5387.4</v>
      </c>
      <c r="E13" s="80">
        <v>227660.61</v>
      </c>
      <c r="F13" s="126"/>
      <c r="G13" s="89">
        <v>855981.26</v>
      </c>
      <c r="H13" s="193">
        <v>31327.54</v>
      </c>
      <c r="I13" s="80">
        <v>1.607</v>
      </c>
      <c r="J13" s="89">
        <v>2.698</v>
      </c>
      <c r="K13" s="80">
        <v>0.833</v>
      </c>
      <c r="L13" s="82"/>
      <c r="M13" s="80">
        <v>1.603</v>
      </c>
      <c r="N13" s="80">
        <v>2.746</v>
      </c>
      <c r="O13" s="151">
        <f t="shared" si="22"/>
        <v>32.98481064</v>
      </c>
      <c r="P13" s="195">
        <f t="shared" si="2"/>
        <v>481.3475927</v>
      </c>
      <c r="Q13" s="152">
        <f t="shared" si="23"/>
        <v>33.46153085</v>
      </c>
      <c r="R13" s="152"/>
      <c r="S13" s="152">
        <f t="shared" si="24"/>
        <v>38.43614415</v>
      </c>
      <c r="T13" s="152">
        <f t="shared" si="25"/>
        <v>23.05995928</v>
      </c>
      <c r="U13" s="153">
        <f t="shared" si="26"/>
        <v>61.49610343</v>
      </c>
      <c r="V13" s="151">
        <f t="shared" si="27"/>
        <v>0.3565925475</v>
      </c>
      <c r="W13" s="195">
        <f t="shared" si="8"/>
        <v>5.203757759</v>
      </c>
      <c r="X13" s="152">
        <f t="shared" si="28"/>
        <v>0.3617462795</v>
      </c>
      <c r="Y13" s="152"/>
      <c r="Z13" s="152">
        <f t="shared" si="29"/>
        <v>0.4155258827</v>
      </c>
      <c r="AA13" s="152">
        <f t="shared" si="30"/>
        <v>0.2492968571</v>
      </c>
      <c r="AB13" s="153">
        <f t="shared" si="31"/>
        <v>0.6648227398</v>
      </c>
      <c r="AC13" s="151">
        <f t="shared" si="13"/>
        <v>0.001093514544</v>
      </c>
      <c r="AD13" s="195">
        <f t="shared" si="14"/>
        <v>0.01595766606</v>
      </c>
      <c r="AE13" s="152">
        <f t="shared" si="32"/>
        <v>0.001109318803</v>
      </c>
      <c r="AF13" s="152"/>
      <c r="AG13" s="152">
        <f t="shared" si="33"/>
        <v>0.004492171705</v>
      </c>
      <c r="AH13" s="152">
        <f t="shared" si="34"/>
        <v>0.002695101158</v>
      </c>
      <c r="AI13" s="152">
        <f t="shared" si="35"/>
        <v>0.007187272863</v>
      </c>
      <c r="AJ13" s="152">
        <f t="shared" si="19"/>
        <v>0.01705118061</v>
      </c>
      <c r="AK13" s="153">
        <f t="shared" si="20"/>
        <v>0.008296591666</v>
      </c>
      <c r="AL13" s="74"/>
      <c r="AM13" s="32" t="s">
        <v>83</v>
      </c>
      <c r="AN13" s="151">
        <f t="shared" si="21"/>
        <v>29.96041667</v>
      </c>
      <c r="AO13" s="154">
        <f>'2022 Snow PPL'!F7</f>
        <v>0.359525</v>
      </c>
      <c r="AP13" s="155">
        <f>'2022 Snow PPL'!X7/1000</f>
        <v>0.1</v>
      </c>
      <c r="AQ13" s="192">
        <f>'2022 Snow PPL'!V7</f>
        <v>9.25</v>
      </c>
      <c r="AR13" s="154">
        <f>'2022 Snow PPL'!J7</f>
        <v>9.129166667</v>
      </c>
      <c r="AS13" s="156">
        <f>'2022 Snow PPL'!E7</f>
        <v>2977</v>
      </c>
      <c r="AT13" s="7"/>
    </row>
    <row r="14" ht="15.75" customHeight="1">
      <c r="A14" s="74"/>
      <c r="B14" s="32" t="s">
        <v>135</v>
      </c>
      <c r="C14" s="79">
        <v>459.0</v>
      </c>
      <c r="D14" s="80">
        <v>1229.1</v>
      </c>
      <c r="E14" s="80">
        <v>39092.68</v>
      </c>
      <c r="F14" s="126">
        <v>20965.8</v>
      </c>
      <c r="G14" s="89">
        <v>553596.31</v>
      </c>
      <c r="H14" s="193">
        <v>241814.69</v>
      </c>
      <c r="I14" s="80">
        <v>1.604</v>
      </c>
      <c r="J14" s="89">
        <v>2.772</v>
      </c>
      <c r="K14" s="80">
        <v>0.81</v>
      </c>
      <c r="L14" s="82">
        <v>2.462</v>
      </c>
      <c r="M14" s="80">
        <v>1.602</v>
      </c>
      <c r="N14" s="80">
        <v>2.756</v>
      </c>
      <c r="O14" s="151">
        <f t="shared" si="22"/>
        <v>52.27396796</v>
      </c>
      <c r="P14" s="152">
        <f t="shared" si="2"/>
        <v>118.1545895</v>
      </c>
      <c r="Q14" s="152">
        <f t="shared" si="23"/>
        <v>18.29304339</v>
      </c>
      <c r="R14" s="152">
        <f>(F14*$G$3+$G$4)</f>
        <v>38.79990984</v>
      </c>
      <c r="S14" s="152">
        <f t="shared" si="24"/>
        <v>25.32034338</v>
      </c>
      <c r="T14" s="152">
        <f t="shared" si="25"/>
        <v>114.8391589</v>
      </c>
      <c r="U14" s="153">
        <f t="shared" si="26"/>
        <v>178.9594121</v>
      </c>
      <c r="V14" s="151">
        <f t="shared" si="27"/>
        <v>0.5792129414</v>
      </c>
      <c r="W14" s="152">
        <f t="shared" si="8"/>
        <v>1.309192128</v>
      </c>
      <c r="X14" s="152">
        <f t="shared" si="28"/>
        <v>0.2026930016</v>
      </c>
      <c r="Y14" s="152">
        <f>R14*AP14/AQ14</f>
        <v>0.4299158985</v>
      </c>
      <c r="Z14" s="152">
        <f t="shared" si="29"/>
        <v>0.2805578214</v>
      </c>
      <c r="AA14" s="152">
        <f t="shared" si="30"/>
        <v>1.272456054</v>
      </c>
      <c r="AB14" s="153">
        <f t="shared" si="31"/>
        <v>1.982929774</v>
      </c>
      <c r="AC14" s="151">
        <f t="shared" si="13"/>
        <v>0.001003426431</v>
      </c>
      <c r="AD14" s="152">
        <f t="shared" si="14"/>
        <v>0.002268039766</v>
      </c>
      <c r="AE14" s="152">
        <f t="shared" si="32"/>
        <v>0.0003511446319</v>
      </c>
      <c r="AF14" s="152">
        <f>Y14*AP14/AQ14</f>
        <v>0.004763611064</v>
      </c>
      <c r="AG14" s="152">
        <f t="shared" si="33"/>
        <v>0.003108673921</v>
      </c>
      <c r="AH14" s="152">
        <f t="shared" si="34"/>
        <v>0.01409923606</v>
      </c>
      <c r="AI14" s="152">
        <f t="shared" si="35"/>
        <v>0.02197152104</v>
      </c>
      <c r="AJ14" s="152">
        <f t="shared" si="19"/>
        <v>0.003271466196</v>
      </c>
      <c r="AK14" s="153">
        <f t="shared" si="20"/>
        <v>0.02232266567</v>
      </c>
      <c r="AL14" s="74"/>
      <c r="AM14" s="32" t="s">
        <v>135</v>
      </c>
      <c r="AN14" s="151">
        <f t="shared" si="21"/>
        <v>25.625</v>
      </c>
      <c r="AO14" s="154">
        <f>'2022 Snow PPL'!F8</f>
        <v>0.3075</v>
      </c>
      <c r="AP14" s="155">
        <f>'2022 Snow PPL'!X8/1000</f>
        <v>0.1</v>
      </c>
      <c r="AQ14" s="192">
        <f>'2022 Snow PPL'!V8</f>
        <v>9.025</v>
      </c>
      <c r="AR14" s="154">
        <f>'2022 Snow PPL'!J8</f>
        <v>8.965151515</v>
      </c>
      <c r="AS14" s="156">
        <f>'2022 Snow PPL'!E8</f>
        <v>5175</v>
      </c>
      <c r="AT14" s="7"/>
    </row>
    <row r="15" ht="15.75" customHeight="1">
      <c r="A15" s="74"/>
      <c r="B15" s="36" t="s">
        <v>118</v>
      </c>
      <c r="C15" s="79">
        <v>239.1</v>
      </c>
      <c r="D15" s="80">
        <v>1514.7</v>
      </c>
      <c r="E15" s="80">
        <v>35180.5</v>
      </c>
      <c r="F15" s="126"/>
      <c r="G15" s="89">
        <v>74256.26</v>
      </c>
      <c r="H15" s="193">
        <v>5576.4</v>
      </c>
      <c r="I15" s="80">
        <v>1.582</v>
      </c>
      <c r="J15" s="89">
        <v>3.068</v>
      </c>
      <c r="K15" s="80">
        <v>0.86</v>
      </c>
      <c r="L15" s="82"/>
      <c r="M15" s="80">
        <v>1.55</v>
      </c>
      <c r="N15" s="80">
        <v>2.727</v>
      </c>
      <c r="O15" s="151">
        <f t="shared" si="22"/>
        <v>33.70266457</v>
      </c>
      <c r="P15" s="152">
        <f t="shared" si="2"/>
        <v>143.0993799</v>
      </c>
      <c r="Q15" s="152">
        <f t="shared" si="23"/>
        <v>17.97834591</v>
      </c>
      <c r="R15" s="152"/>
      <c r="S15" s="152">
        <f t="shared" si="24"/>
        <v>4.529200833</v>
      </c>
      <c r="T15" s="152">
        <f t="shared" si="25"/>
        <v>11.83163005</v>
      </c>
      <c r="U15" s="153">
        <f t="shared" si="26"/>
        <v>16.36083089</v>
      </c>
      <c r="V15" s="151">
        <f t="shared" si="27"/>
        <v>0.3713792239</v>
      </c>
      <c r="W15" s="152">
        <f t="shared" si="8"/>
        <v>1.576852671</v>
      </c>
      <c r="X15" s="152">
        <f t="shared" si="28"/>
        <v>0.1981084949</v>
      </c>
      <c r="Y15" s="152"/>
      <c r="Z15" s="152">
        <f t="shared" si="29"/>
        <v>0.04990854913</v>
      </c>
      <c r="AA15" s="152">
        <f t="shared" si="30"/>
        <v>0.1303760887</v>
      </c>
      <c r="AB15" s="153">
        <f t="shared" si="31"/>
        <v>0.1802846379</v>
      </c>
      <c r="AC15" s="151">
        <f t="shared" si="13"/>
        <v>0.00142031905</v>
      </c>
      <c r="AD15" s="152">
        <f t="shared" si="14"/>
        <v>0.00603058476</v>
      </c>
      <c r="AE15" s="152">
        <f t="shared" si="32"/>
        <v>0.0007576548476</v>
      </c>
      <c r="AF15" s="152"/>
      <c r="AG15" s="152">
        <f t="shared" si="33"/>
        <v>0.0005499564642</v>
      </c>
      <c r="AH15" s="152">
        <f t="shared" si="34"/>
        <v>0.001436651116</v>
      </c>
      <c r="AI15" s="152">
        <f t="shared" si="35"/>
        <v>0.00198660758</v>
      </c>
      <c r="AJ15" s="152">
        <f t="shared" si="19"/>
        <v>0.00745090381</v>
      </c>
      <c r="AK15" s="153">
        <f t="shared" si="20"/>
        <v>0.002744262427</v>
      </c>
      <c r="AL15" s="74"/>
      <c r="AM15" s="36" t="s">
        <v>118</v>
      </c>
      <c r="AN15" s="151">
        <f t="shared" si="21"/>
        <v>14.525</v>
      </c>
      <c r="AO15" s="154">
        <f>'2022 Snow PPL'!F9</f>
        <v>0.1743</v>
      </c>
      <c r="AP15" s="155">
        <f>'2022 Snow PPL'!X9/1000</f>
        <v>0.1</v>
      </c>
      <c r="AQ15" s="192">
        <f>'2022 Snow PPL'!V9</f>
        <v>9.075</v>
      </c>
      <c r="AR15" s="154">
        <f>'2022 Snow PPL'!J9</f>
        <v>9.006565657</v>
      </c>
      <c r="AS15" s="156">
        <f>'2022 Snow PPL'!E9</f>
        <v>2355</v>
      </c>
      <c r="AT15" s="7"/>
    </row>
    <row r="16" ht="15.75" customHeight="1">
      <c r="A16" s="74" t="s">
        <v>342</v>
      </c>
      <c r="B16" s="36" t="s">
        <v>125</v>
      </c>
      <c r="C16" s="79">
        <v>643.3</v>
      </c>
      <c r="D16" s="80">
        <v>3357.1</v>
      </c>
      <c r="E16" s="80">
        <v>447514.79</v>
      </c>
      <c r="F16" s="126"/>
      <c r="G16" s="89">
        <v>3035889.22</v>
      </c>
      <c r="H16" s="193">
        <v>39939.39</v>
      </c>
      <c r="I16" s="80">
        <v>1.584</v>
      </c>
      <c r="J16" s="89">
        <v>2.67</v>
      </c>
      <c r="K16" s="80">
        <v>0.884</v>
      </c>
      <c r="L16" s="82"/>
      <c r="M16" s="80">
        <v>1.939</v>
      </c>
      <c r="N16" s="80">
        <v>2.932</v>
      </c>
      <c r="O16" s="151">
        <f t="shared" si="22"/>
        <v>67.83873019</v>
      </c>
      <c r="P16" s="152">
        <f t="shared" si="2"/>
        <v>304.0177333</v>
      </c>
      <c r="Q16" s="152">
        <f t="shared" ref="Q16:Q25" si="36">E16*$N$3+$N$4</f>
        <v>39.11218272</v>
      </c>
      <c r="R16" s="152"/>
      <c r="S16" s="152">
        <f t="shared" ref="S16:S22" si="37">(G16*$P$3+$P$4)</f>
        <v>119.1654709</v>
      </c>
      <c r="T16" s="152">
        <f t="shared" ref="T16:T18" si="38">(H16*$Q$3+$Q$4)</f>
        <v>40.28158762</v>
      </c>
      <c r="U16" s="153">
        <f t="shared" si="26"/>
        <v>159.4470585</v>
      </c>
      <c r="V16" s="151">
        <f t="shared" si="27"/>
        <v>0.7475342169</v>
      </c>
      <c r="W16" s="152">
        <f t="shared" si="8"/>
        <v>3.350057667</v>
      </c>
      <c r="X16" s="152">
        <f t="shared" si="28"/>
        <v>0.4309882394</v>
      </c>
      <c r="Y16" s="152"/>
      <c r="Z16" s="152">
        <f t="shared" si="29"/>
        <v>1.313118137</v>
      </c>
      <c r="AA16" s="152">
        <f t="shared" si="30"/>
        <v>0.4438742438</v>
      </c>
      <c r="AB16" s="153">
        <f t="shared" si="31"/>
        <v>1.75699238</v>
      </c>
      <c r="AC16" s="151">
        <f t="shared" si="13"/>
        <v>0.001707038384</v>
      </c>
      <c r="AD16" s="152">
        <f t="shared" si="14"/>
        <v>0.007650053864</v>
      </c>
      <c r="AE16" s="152">
        <f t="shared" si="32"/>
        <v>0.0009841870122</v>
      </c>
      <c r="AF16" s="152"/>
      <c r="AG16" s="152">
        <f t="shared" si="33"/>
        <v>0.01446962134</v>
      </c>
      <c r="AH16" s="152">
        <f t="shared" si="34"/>
        <v>0.00489117624</v>
      </c>
      <c r="AI16" s="152">
        <f t="shared" si="35"/>
        <v>0.01936079758</v>
      </c>
      <c r="AJ16" s="152">
        <f t="shared" si="19"/>
        <v>0.009357092247</v>
      </c>
      <c r="AK16" s="153">
        <f t="shared" si="20"/>
        <v>0.02034498459</v>
      </c>
      <c r="AL16" s="74"/>
      <c r="AM16" s="36" t="s">
        <v>125</v>
      </c>
      <c r="AN16" s="151">
        <f t="shared" si="21"/>
        <v>23.42222222</v>
      </c>
      <c r="AO16" s="154">
        <f>'2022 Snow PPL'!F10</f>
        <v>0.2810666667</v>
      </c>
      <c r="AP16" s="155">
        <f>'2022 Snow PPL'!X10/1000</f>
        <v>0.1</v>
      </c>
      <c r="AQ16" s="192">
        <f>'2022 Snow PPL'!V10</f>
        <v>9.075</v>
      </c>
      <c r="AR16" s="154">
        <f>'2022 Snow PPL'!J10</f>
        <v>9.077146465</v>
      </c>
      <c r="AS16" s="156">
        <f>'2022 Snow PPL'!E10</f>
        <v>3975</v>
      </c>
      <c r="AT16" s="7"/>
    </row>
    <row r="17" ht="15.75" customHeight="1">
      <c r="A17" s="74"/>
      <c r="B17" s="36" t="s">
        <v>131</v>
      </c>
      <c r="C17" s="79">
        <v>593.9</v>
      </c>
      <c r="D17" s="194">
        <v>7649.9</v>
      </c>
      <c r="E17" s="80">
        <v>425875.46</v>
      </c>
      <c r="F17" s="126">
        <v>30231.38</v>
      </c>
      <c r="G17" s="89">
        <v>2860347.66</v>
      </c>
      <c r="H17" s="193">
        <v>29597.07</v>
      </c>
      <c r="I17" s="80">
        <v>1.583</v>
      </c>
      <c r="J17" s="89">
        <v>2.656</v>
      </c>
      <c r="K17" s="80">
        <v>0.883</v>
      </c>
      <c r="L17" s="82">
        <v>2.592</v>
      </c>
      <c r="M17" s="80">
        <v>1.924</v>
      </c>
      <c r="N17" s="80">
        <v>2.931</v>
      </c>
      <c r="O17" s="151">
        <f t="shared" si="22"/>
        <v>63.66673206</v>
      </c>
      <c r="P17" s="195">
        <f t="shared" si="2"/>
        <v>678.9581955</v>
      </c>
      <c r="Q17" s="152">
        <f t="shared" si="36"/>
        <v>37.5401381</v>
      </c>
      <c r="R17" s="152">
        <f t="shared" ref="R17:R18" si="39">(F17*$O$3+$O$4)</f>
        <v>58.84947068</v>
      </c>
      <c r="S17" s="152">
        <f t="shared" si="37"/>
        <v>112.1836723</v>
      </c>
      <c r="T17" s="152">
        <f t="shared" si="38"/>
        <v>37.15800896</v>
      </c>
      <c r="U17" s="153">
        <f t="shared" si="26"/>
        <v>208.191152</v>
      </c>
      <c r="V17" s="151">
        <f t="shared" si="27"/>
        <v>0.731801518</v>
      </c>
      <c r="W17" s="195">
        <f t="shared" si="8"/>
        <v>7.804117189</v>
      </c>
      <c r="X17" s="152">
        <f t="shared" si="28"/>
        <v>0.4314958402</v>
      </c>
      <c r="Y17" s="152">
        <f t="shared" ref="Y17:Y18" si="40">R17*AP17/AQ17</f>
        <v>0.6764306974</v>
      </c>
      <c r="Z17" s="152">
        <f t="shared" si="29"/>
        <v>1.289467498</v>
      </c>
      <c r="AA17" s="152">
        <f t="shared" si="30"/>
        <v>0.4271035513</v>
      </c>
      <c r="AB17" s="153">
        <f t="shared" si="31"/>
        <v>2.393001747</v>
      </c>
      <c r="AC17" s="151">
        <f t="shared" si="13"/>
        <v>0.001650595134</v>
      </c>
      <c r="AD17" s="195">
        <f t="shared" si="14"/>
        <v>0.01760236559</v>
      </c>
      <c r="AE17" s="152">
        <f t="shared" si="32"/>
        <v>0.0009732487797</v>
      </c>
      <c r="AF17" s="152">
        <f t="shared" ref="AF17:AF18" si="41">Y17*AP17/AQ17</f>
        <v>0.007775065488</v>
      </c>
      <c r="AG17" s="152">
        <f t="shared" si="33"/>
        <v>0.0148214655</v>
      </c>
      <c r="AH17" s="152">
        <f t="shared" si="34"/>
        <v>0.004909236222</v>
      </c>
      <c r="AI17" s="152">
        <f t="shared" si="35"/>
        <v>0.02750576721</v>
      </c>
      <c r="AJ17" s="152">
        <f t="shared" si="19"/>
        <v>0.01925296073</v>
      </c>
      <c r="AK17" s="153">
        <f t="shared" si="20"/>
        <v>0.02847901599</v>
      </c>
      <c r="AL17" s="74"/>
      <c r="AM17" s="36" t="s">
        <v>131</v>
      </c>
      <c r="AN17" s="151">
        <f t="shared" si="21"/>
        <v>24.44444444</v>
      </c>
      <c r="AO17" s="154">
        <f>'2022 Snow PPL'!F11</f>
        <v>0.2933333333</v>
      </c>
      <c r="AP17" s="155">
        <f>'2022 Snow PPL'!X11/1000</f>
        <v>0.1</v>
      </c>
      <c r="AQ17" s="192">
        <f>'2022 Snow PPL'!V11</f>
        <v>8.7</v>
      </c>
      <c r="AR17" s="154">
        <f>'2022 Snow PPL'!J11</f>
        <v>8.740151515</v>
      </c>
      <c r="AS17" s="156">
        <f>'2022 Snow PPL'!E11</f>
        <v>3875</v>
      </c>
      <c r="AT17" s="7"/>
    </row>
    <row r="18" ht="15.75" customHeight="1">
      <c r="A18" s="74"/>
      <c r="B18" s="36" t="s">
        <v>72</v>
      </c>
      <c r="C18" s="79">
        <v>300.3</v>
      </c>
      <c r="D18" s="80">
        <v>733.3</v>
      </c>
      <c r="E18" s="80">
        <v>146253.9</v>
      </c>
      <c r="F18" s="126">
        <v>5947.04</v>
      </c>
      <c r="G18" s="89">
        <v>519634.19</v>
      </c>
      <c r="H18" s="193">
        <v>22091.26</v>
      </c>
      <c r="I18" s="80">
        <v>1.569</v>
      </c>
      <c r="J18" s="89">
        <v>2.735</v>
      </c>
      <c r="K18" s="80">
        <v>0.885</v>
      </c>
      <c r="L18" s="82">
        <v>2.503</v>
      </c>
      <c r="M18" s="80">
        <v>1.948</v>
      </c>
      <c r="N18" s="80">
        <v>2.922</v>
      </c>
      <c r="O18" s="151">
        <f t="shared" si="22"/>
        <v>38.87121285</v>
      </c>
      <c r="P18" s="152">
        <f t="shared" si="2"/>
        <v>74.85057322</v>
      </c>
      <c r="Q18" s="152">
        <f t="shared" si="36"/>
        <v>17.2263127</v>
      </c>
      <c r="R18" s="152">
        <f t="shared" si="39"/>
        <v>20.20771072</v>
      </c>
      <c r="S18" s="152">
        <f t="shared" si="37"/>
        <v>19.08668761</v>
      </c>
      <c r="T18" s="152">
        <f t="shared" si="38"/>
        <v>34.89111063</v>
      </c>
      <c r="U18" s="153">
        <f t="shared" si="26"/>
        <v>74.18550896</v>
      </c>
      <c r="V18" s="151">
        <f t="shared" si="27"/>
        <v>0.4225131832</v>
      </c>
      <c r="W18" s="152">
        <f t="shared" si="8"/>
        <v>0.8135931872</v>
      </c>
      <c r="X18" s="152">
        <f t="shared" si="28"/>
        <v>0.1872425294</v>
      </c>
      <c r="Y18" s="152">
        <f t="shared" si="40"/>
        <v>0.2196490296</v>
      </c>
      <c r="Z18" s="152">
        <f t="shared" si="29"/>
        <v>0.2074639957</v>
      </c>
      <c r="AA18" s="152">
        <f t="shared" si="30"/>
        <v>0.3792512025</v>
      </c>
      <c r="AB18" s="153">
        <f t="shared" si="31"/>
        <v>0.8063642279</v>
      </c>
      <c r="AC18" s="151">
        <f t="shared" si="13"/>
        <v>0.006621397677</v>
      </c>
      <c r="AD18" s="152">
        <f t="shared" si="14"/>
        <v>0.0127501916</v>
      </c>
      <c r="AE18" s="152">
        <f t="shared" si="32"/>
        <v>0.002934363467</v>
      </c>
      <c r="AF18" s="152">
        <f t="shared" si="41"/>
        <v>0.002387489452</v>
      </c>
      <c r="AG18" s="152">
        <f t="shared" si="33"/>
        <v>0.002255043432</v>
      </c>
      <c r="AH18" s="152">
        <f t="shared" si="34"/>
        <v>0.00412229568</v>
      </c>
      <c r="AI18" s="152">
        <f t="shared" si="35"/>
        <v>0.008764828564</v>
      </c>
      <c r="AJ18" s="152">
        <f t="shared" si="19"/>
        <v>0.01937158928</v>
      </c>
      <c r="AK18" s="153">
        <f t="shared" si="20"/>
        <v>0.01169919203</v>
      </c>
      <c r="AL18" s="74"/>
      <c r="AM18" s="36" t="s">
        <v>72</v>
      </c>
      <c r="AN18" s="151">
        <f t="shared" si="21"/>
        <v>63.05555556</v>
      </c>
      <c r="AO18" s="154">
        <f>'2022 Snow PPL'!F12</f>
        <v>0.7566666667</v>
      </c>
      <c r="AP18" s="155">
        <f>'2022 Snow PPL'!X12/1000</f>
        <v>0.1</v>
      </c>
      <c r="AQ18" s="192">
        <f>'2022 Snow PPL'!V12</f>
        <v>9.2</v>
      </c>
      <c r="AR18" s="154">
        <f>'2022 Snow PPL'!J12</f>
        <v>9.16780303</v>
      </c>
      <c r="AS18" s="156">
        <f>'2022 Snow PPL'!E12</f>
        <v>585</v>
      </c>
      <c r="AT18" s="7"/>
    </row>
    <row r="19" ht="15.75" customHeight="1">
      <c r="A19" s="74"/>
      <c r="B19" s="36" t="s">
        <v>154</v>
      </c>
      <c r="C19" s="79">
        <v>161.4</v>
      </c>
      <c r="D19" s="80">
        <v>2852.6</v>
      </c>
      <c r="E19" s="80">
        <v>146499.64</v>
      </c>
      <c r="F19" s="126"/>
      <c r="G19" s="89">
        <v>988933.11</v>
      </c>
      <c r="H19" s="193"/>
      <c r="I19" s="80">
        <v>1.617</v>
      </c>
      <c r="J19" s="89">
        <v>2.781</v>
      </c>
      <c r="K19" s="80">
        <v>0.889</v>
      </c>
      <c r="L19" s="82"/>
      <c r="M19" s="80">
        <v>1.942</v>
      </c>
      <c r="N19" s="80"/>
      <c r="O19" s="151">
        <f t="shared" si="22"/>
        <v>27.14063513</v>
      </c>
      <c r="P19" s="152">
        <f t="shared" si="2"/>
        <v>259.9538442</v>
      </c>
      <c r="Q19" s="152">
        <f t="shared" si="36"/>
        <v>17.24416512</v>
      </c>
      <c r="R19" s="152"/>
      <c r="S19" s="152">
        <f t="shared" si="37"/>
        <v>37.75207103</v>
      </c>
      <c r="T19" s="152"/>
      <c r="U19" s="153">
        <f t="shared" si="26"/>
        <v>37.75207103</v>
      </c>
      <c r="V19" s="151">
        <f t="shared" si="27"/>
        <v>0.8755043591</v>
      </c>
      <c r="W19" s="152">
        <f t="shared" si="8"/>
        <v>8.385607876</v>
      </c>
      <c r="X19" s="152">
        <f t="shared" si="28"/>
        <v>0.5562633909</v>
      </c>
      <c r="Y19" s="152"/>
      <c r="Z19" s="152">
        <f t="shared" si="29"/>
        <v>1.217808743</v>
      </c>
      <c r="AA19" s="152"/>
      <c r="AB19" s="153">
        <f t="shared" si="31"/>
        <v>1.217808743</v>
      </c>
      <c r="AC19" s="151">
        <f t="shared" si="13"/>
        <v>0.004456438394</v>
      </c>
      <c r="AD19" s="152">
        <f t="shared" si="14"/>
        <v>0.04268390501</v>
      </c>
      <c r="AE19" s="152">
        <f t="shared" si="32"/>
        <v>0.00283145767</v>
      </c>
      <c r="AF19" s="152"/>
      <c r="AG19" s="152">
        <f t="shared" si="33"/>
        <v>0.03928415299</v>
      </c>
      <c r="AH19" s="152"/>
      <c r="AI19" s="152">
        <f t="shared" si="35"/>
        <v>0.03928415299</v>
      </c>
      <c r="AJ19" s="152">
        <f t="shared" si="19"/>
        <v>0.0471403434</v>
      </c>
      <c r="AK19" s="153">
        <f t="shared" si="20"/>
        <v>0.04211561066</v>
      </c>
      <c r="AL19" s="74"/>
      <c r="AM19" s="36" t="s">
        <v>154</v>
      </c>
      <c r="AN19" s="151">
        <f t="shared" si="21"/>
        <v>156.8888889</v>
      </c>
      <c r="AO19" s="154">
        <f>'2022 Snow PPL'!F13</f>
        <v>1.882666667</v>
      </c>
      <c r="AP19" s="155">
        <f>'2022 Snow PPL'!X13/1000</f>
        <v>0.1</v>
      </c>
      <c r="AQ19" s="192">
        <f>'2022 Snow PPL'!V13</f>
        <v>3.1</v>
      </c>
      <c r="AR19" s="154">
        <f>'2022 Snow PPL'!J13</f>
        <v>9.34040404</v>
      </c>
      <c r="AS19" s="156">
        <f>'2022 Snow PPL'!E13</f>
        <v>1835</v>
      </c>
      <c r="AT19" s="7"/>
    </row>
    <row r="20" ht="15.75" customHeight="1">
      <c r="A20" s="74"/>
      <c r="B20" s="36" t="s">
        <v>155</v>
      </c>
      <c r="C20" s="79">
        <v>328.6</v>
      </c>
      <c r="D20" s="194">
        <v>6459.4</v>
      </c>
      <c r="E20" s="80">
        <v>266843.8</v>
      </c>
      <c r="F20" s="126"/>
      <c r="G20" s="89">
        <v>1795678.0</v>
      </c>
      <c r="H20" s="193"/>
      <c r="I20" s="80">
        <v>1.605</v>
      </c>
      <c r="J20" s="89">
        <v>2.739</v>
      </c>
      <c r="K20" s="80">
        <v>0.873</v>
      </c>
      <c r="L20" s="82"/>
      <c r="M20" s="80">
        <v>1.914</v>
      </c>
      <c r="N20" s="80"/>
      <c r="O20" s="151">
        <f t="shared" si="22"/>
        <v>41.26124417</v>
      </c>
      <c r="P20" s="195">
        <f t="shared" si="2"/>
        <v>574.9778982</v>
      </c>
      <c r="Q20" s="152">
        <f t="shared" si="36"/>
        <v>25.98687528</v>
      </c>
      <c r="R20" s="152"/>
      <c r="S20" s="152">
        <f t="shared" si="37"/>
        <v>69.83866243</v>
      </c>
      <c r="T20" s="152"/>
      <c r="U20" s="153">
        <f t="shared" si="26"/>
        <v>69.83866243</v>
      </c>
      <c r="V20" s="151">
        <f t="shared" si="27"/>
        <v>1.331007876</v>
      </c>
      <c r="W20" s="195">
        <f t="shared" si="8"/>
        <v>18.54767413</v>
      </c>
      <c r="X20" s="152">
        <f t="shared" si="28"/>
        <v>0.8382862992</v>
      </c>
      <c r="Y20" s="152"/>
      <c r="Z20" s="152">
        <f t="shared" si="29"/>
        <v>2.252860078</v>
      </c>
      <c r="AA20" s="152"/>
      <c r="AB20" s="153">
        <f t="shared" si="31"/>
        <v>2.252860078</v>
      </c>
      <c r="AC20" s="151">
        <f t="shared" si="13"/>
        <v>0.006775014357</v>
      </c>
      <c r="AD20" s="195">
        <f t="shared" si="14"/>
        <v>0.09441022912</v>
      </c>
      <c r="AE20" s="152">
        <f t="shared" si="32"/>
        <v>0.004266993317</v>
      </c>
      <c r="AF20" s="152"/>
      <c r="AG20" s="152">
        <f t="shared" si="33"/>
        <v>0.07267290576</v>
      </c>
      <c r="AH20" s="152"/>
      <c r="AI20" s="152">
        <f t="shared" si="35"/>
        <v>0.07267290576</v>
      </c>
      <c r="AJ20" s="152">
        <f t="shared" si="19"/>
        <v>0.1011852435</v>
      </c>
      <c r="AK20" s="153">
        <f t="shared" si="20"/>
        <v>0.07693989907</v>
      </c>
      <c r="AL20" s="74"/>
      <c r="AM20" s="36" t="s">
        <v>155</v>
      </c>
      <c r="AN20" s="151">
        <f t="shared" si="21"/>
        <v>156.8888889</v>
      </c>
      <c r="AO20" s="154">
        <f>'2022 Snow PPL'!F14</f>
        <v>1.882666667</v>
      </c>
      <c r="AP20" s="155">
        <f>'2022 Snow PPL'!X14/1000</f>
        <v>0.1</v>
      </c>
      <c r="AQ20" s="192">
        <f>'2022 Snow PPL'!V14</f>
        <v>3.1</v>
      </c>
      <c r="AR20" s="154">
        <f>'2022 Snow PPL'!J14</f>
        <v>9.34040404</v>
      </c>
      <c r="AS20" s="156">
        <f>'2022 Snow PPL'!E14</f>
        <v>1835</v>
      </c>
      <c r="AT20" s="7"/>
    </row>
    <row r="21" ht="15.75" customHeight="1">
      <c r="A21" s="74"/>
      <c r="B21" s="36" t="s">
        <v>156</v>
      </c>
      <c r="C21" s="79">
        <v>176.4</v>
      </c>
      <c r="D21" s="80">
        <v>5093.0</v>
      </c>
      <c r="E21" s="80">
        <v>207699.2</v>
      </c>
      <c r="F21" s="126"/>
      <c r="G21" s="89">
        <v>1547404.56</v>
      </c>
      <c r="H21" s="193">
        <v>16995.55</v>
      </c>
      <c r="I21" s="80">
        <v>1.591</v>
      </c>
      <c r="J21" s="89">
        <v>2.753</v>
      </c>
      <c r="K21" s="80">
        <v>0.89</v>
      </c>
      <c r="L21" s="82"/>
      <c r="M21" s="80">
        <v>1.954</v>
      </c>
      <c r="N21" s="80">
        <v>2.927</v>
      </c>
      <c r="O21" s="151">
        <f t="shared" si="22"/>
        <v>28.40743618</v>
      </c>
      <c r="P21" s="152">
        <f t="shared" si="2"/>
        <v>455.6341953</v>
      </c>
      <c r="Q21" s="152">
        <f t="shared" si="36"/>
        <v>21.69016412</v>
      </c>
      <c r="R21" s="152"/>
      <c r="S21" s="152">
        <f t="shared" si="37"/>
        <v>59.9641054</v>
      </c>
      <c r="T21" s="152">
        <f t="shared" ref="T21:T22" si="42">(H21*$Q$3+$Q$4)</f>
        <v>33.35210865</v>
      </c>
      <c r="U21" s="153">
        <f t="shared" si="26"/>
        <v>93.31621405</v>
      </c>
      <c r="V21" s="151">
        <f t="shared" si="27"/>
        <v>0.9163689091</v>
      </c>
      <c r="W21" s="152">
        <f t="shared" si="8"/>
        <v>14.69787727</v>
      </c>
      <c r="X21" s="152">
        <f t="shared" si="28"/>
        <v>0.6996827134</v>
      </c>
      <c r="Y21" s="152"/>
      <c r="Z21" s="152">
        <f t="shared" si="29"/>
        <v>1.934325981</v>
      </c>
      <c r="AA21" s="152">
        <f t="shared" ref="AA21:AA22" si="43">T21*AP21/AQ21</f>
        <v>1.075874473</v>
      </c>
      <c r="AB21" s="153">
        <f t="shared" si="31"/>
        <v>3.010200453</v>
      </c>
      <c r="AC21" s="151">
        <f t="shared" si="13"/>
        <v>0.004664444611</v>
      </c>
      <c r="AD21" s="152">
        <f t="shared" si="14"/>
        <v>0.0748142301</v>
      </c>
      <c r="AE21" s="152">
        <f t="shared" si="32"/>
        <v>0.003561481877</v>
      </c>
      <c r="AF21" s="152"/>
      <c r="AG21" s="152">
        <f t="shared" si="33"/>
        <v>0.06239761228</v>
      </c>
      <c r="AH21" s="152">
        <f t="shared" ref="AH21:AH22" si="44">AA21*AP21/AQ21</f>
        <v>0.03470562815</v>
      </c>
      <c r="AI21" s="152">
        <f t="shared" si="35"/>
        <v>0.09710324043</v>
      </c>
      <c r="AJ21" s="152">
        <f t="shared" si="19"/>
        <v>0.07947867471</v>
      </c>
      <c r="AK21" s="153">
        <f t="shared" si="20"/>
        <v>0.1006647223</v>
      </c>
      <c r="AL21" s="74"/>
      <c r="AM21" s="36" t="s">
        <v>156</v>
      </c>
      <c r="AN21" s="151">
        <f t="shared" si="21"/>
        <v>156.8888889</v>
      </c>
      <c r="AO21" s="154">
        <f>'2022 Snow PPL'!F15</f>
        <v>1.882666667</v>
      </c>
      <c r="AP21" s="155">
        <f>'2022 Snow PPL'!X15/1000</f>
        <v>0.1</v>
      </c>
      <c r="AQ21" s="192">
        <f>'2022 Snow PPL'!V15</f>
        <v>3.1</v>
      </c>
      <c r="AR21" s="154">
        <f>'2022 Snow PPL'!J15</f>
        <v>9.34040404</v>
      </c>
      <c r="AS21" s="156">
        <f>'2022 Snow PPL'!E15</f>
        <v>1835</v>
      </c>
      <c r="AT21" s="7"/>
    </row>
    <row r="22" ht="15.75" customHeight="1">
      <c r="A22" s="74"/>
      <c r="B22" s="36" t="s">
        <v>157</v>
      </c>
      <c r="C22" s="79">
        <v>207.9</v>
      </c>
      <c r="D22" s="80">
        <v>2912.6</v>
      </c>
      <c r="E22" s="80">
        <v>189079.03</v>
      </c>
      <c r="F22" s="126"/>
      <c r="G22" s="89">
        <v>1095470.88</v>
      </c>
      <c r="H22" s="193">
        <v>11354.45</v>
      </c>
      <c r="I22" s="80">
        <v>1.607</v>
      </c>
      <c r="J22" s="89">
        <v>2.781</v>
      </c>
      <c r="K22" s="80">
        <v>0.891</v>
      </c>
      <c r="L22" s="82"/>
      <c r="M22" s="80">
        <v>1.944</v>
      </c>
      <c r="N22" s="80">
        <v>2.917</v>
      </c>
      <c r="O22" s="151">
        <f t="shared" si="22"/>
        <v>31.06771839</v>
      </c>
      <c r="P22" s="152">
        <f t="shared" si="2"/>
        <v>265.1943463</v>
      </c>
      <c r="Q22" s="152">
        <f t="shared" si="36"/>
        <v>20.33745411</v>
      </c>
      <c r="R22" s="152"/>
      <c r="S22" s="152">
        <f t="shared" si="37"/>
        <v>41.9893881</v>
      </c>
      <c r="T22" s="152">
        <f t="shared" si="42"/>
        <v>31.64838844</v>
      </c>
      <c r="U22" s="153">
        <f t="shared" si="26"/>
        <v>73.63777654</v>
      </c>
      <c r="V22" s="151">
        <f t="shared" si="27"/>
        <v>1.002184464</v>
      </c>
      <c r="W22" s="152">
        <f t="shared" si="8"/>
        <v>8.554656334</v>
      </c>
      <c r="X22" s="152">
        <f t="shared" si="28"/>
        <v>0.6560469068</v>
      </c>
      <c r="Y22" s="152"/>
      <c r="Z22" s="152">
        <f t="shared" si="29"/>
        <v>1.35449639</v>
      </c>
      <c r="AA22" s="152">
        <f t="shared" si="43"/>
        <v>1.020915756</v>
      </c>
      <c r="AB22" s="153">
        <f t="shared" si="31"/>
        <v>2.375412146</v>
      </c>
      <c r="AC22" s="151">
        <f t="shared" si="13"/>
        <v>0.01014197399</v>
      </c>
      <c r="AD22" s="152">
        <f t="shared" si="14"/>
        <v>0.08657198866</v>
      </c>
      <c r="AE22" s="152">
        <f t="shared" si="32"/>
        <v>0.006639107774</v>
      </c>
      <c r="AF22" s="152"/>
      <c r="AG22" s="152">
        <f t="shared" si="33"/>
        <v>0.04369343194</v>
      </c>
      <c r="AH22" s="152">
        <f t="shared" si="44"/>
        <v>0.03293276633</v>
      </c>
      <c r="AI22" s="152">
        <f t="shared" si="35"/>
        <v>0.07662619827</v>
      </c>
      <c r="AJ22" s="152">
        <f t="shared" si="19"/>
        <v>0.09671396265</v>
      </c>
      <c r="AK22" s="153">
        <f t="shared" si="20"/>
        <v>0.08326530605</v>
      </c>
      <c r="AL22" s="74"/>
      <c r="AM22" s="36" t="s">
        <v>157</v>
      </c>
      <c r="AN22" s="151">
        <f t="shared" si="21"/>
        <v>342.5</v>
      </c>
      <c r="AO22" s="154">
        <f>'2022 Snow PPL'!F16</f>
        <v>4.11</v>
      </c>
      <c r="AP22" s="155">
        <f>'2022 Snow PPL'!X16/1000</f>
        <v>0.1</v>
      </c>
      <c r="AQ22" s="192">
        <f>'2022 Snow PPL'!V16</f>
        <v>3.1</v>
      </c>
      <c r="AR22" s="154">
        <f>'2022 Snow PPL'!J16</f>
        <v>9.350757576</v>
      </c>
      <c r="AS22" s="156">
        <f>'2022 Snow PPL'!E16</f>
        <v>924</v>
      </c>
      <c r="AT22" s="7"/>
    </row>
    <row r="23" ht="15.75" customHeight="1">
      <c r="A23" s="74"/>
      <c r="B23" s="36" t="s">
        <v>158</v>
      </c>
      <c r="C23" s="79">
        <v>72.3</v>
      </c>
      <c r="D23" s="80">
        <v>910.416</v>
      </c>
      <c r="E23" s="80">
        <v>20860.93</v>
      </c>
      <c r="F23" s="126"/>
      <c r="G23" s="89">
        <v>32149.64</v>
      </c>
      <c r="H23" s="193"/>
      <c r="I23" s="80">
        <v>1.592</v>
      </c>
      <c r="J23" s="89">
        <v>2.819</v>
      </c>
      <c r="K23" s="80">
        <v>0.909</v>
      </c>
      <c r="L23" s="82"/>
      <c r="M23" s="80">
        <v>1.925</v>
      </c>
      <c r="N23" s="80"/>
      <c r="O23" s="151">
        <f t="shared" si="22"/>
        <v>19.6158369</v>
      </c>
      <c r="P23" s="152">
        <f t="shared" si="2"/>
        <v>90.32018627</v>
      </c>
      <c r="Q23" s="152">
        <f t="shared" si="36"/>
        <v>8.116818795</v>
      </c>
      <c r="R23" s="152"/>
      <c r="S23" s="152"/>
      <c r="T23" s="152"/>
      <c r="U23" s="153"/>
      <c r="V23" s="151">
        <f t="shared" si="27"/>
        <v>0.6327689322</v>
      </c>
      <c r="W23" s="152">
        <f t="shared" si="8"/>
        <v>2.913554396</v>
      </c>
      <c r="X23" s="152">
        <f t="shared" si="28"/>
        <v>0.2618328643</v>
      </c>
      <c r="Y23" s="152"/>
      <c r="Z23" s="152"/>
      <c r="AA23" s="152"/>
      <c r="AB23" s="153"/>
      <c r="AC23" s="151">
        <f t="shared" si="13"/>
        <v>0.006403537756</v>
      </c>
      <c r="AD23" s="152">
        <f t="shared" si="14"/>
        <v>0.02948478446</v>
      </c>
      <c r="AE23" s="152">
        <f t="shared" si="32"/>
        <v>0.002649713896</v>
      </c>
      <c r="AF23" s="152"/>
      <c r="AG23" s="152"/>
      <c r="AH23" s="152"/>
      <c r="AI23" s="152"/>
      <c r="AJ23" s="152">
        <f t="shared" si="19"/>
        <v>0.03588832221</v>
      </c>
      <c r="AK23" s="153">
        <f t="shared" si="20"/>
        <v>0.002649713896</v>
      </c>
      <c r="AL23" s="74"/>
      <c r="AM23" s="36" t="s">
        <v>158</v>
      </c>
      <c r="AN23" s="151">
        <f t="shared" si="21"/>
        <v>342.5</v>
      </c>
      <c r="AO23" s="154">
        <f>'2022 Snow PPL'!F17</f>
        <v>4.11</v>
      </c>
      <c r="AP23" s="155">
        <f>'2022 Snow PPL'!X17/1000</f>
        <v>0.1</v>
      </c>
      <c r="AQ23" s="192">
        <f>'2022 Snow PPL'!V17</f>
        <v>3.1</v>
      </c>
      <c r="AR23" s="154">
        <f>'2022 Snow PPL'!J17</f>
        <v>9.350757576</v>
      </c>
      <c r="AS23" s="156">
        <f>'2022 Snow PPL'!E17</f>
        <v>924</v>
      </c>
      <c r="AT23" s="7"/>
    </row>
    <row r="24" ht="15.75" customHeight="1">
      <c r="A24" s="74"/>
      <c r="B24" s="36" t="s">
        <v>159</v>
      </c>
      <c r="C24" s="79">
        <v>205.3</v>
      </c>
      <c r="D24" s="80">
        <v>2990.4</v>
      </c>
      <c r="E24" s="80">
        <v>15494.74</v>
      </c>
      <c r="F24" s="89"/>
      <c r="G24" s="89">
        <v>28333.57</v>
      </c>
      <c r="H24" s="193">
        <v>3826.55</v>
      </c>
      <c r="I24" s="80">
        <v>1.594</v>
      </c>
      <c r="J24" s="89">
        <v>2.779</v>
      </c>
      <c r="K24" s="80">
        <v>0.881</v>
      </c>
      <c r="L24" s="80"/>
      <c r="M24" s="80">
        <v>1.922</v>
      </c>
      <c r="N24" s="80">
        <v>2.929</v>
      </c>
      <c r="O24" s="151">
        <f t="shared" si="22"/>
        <v>30.84813954</v>
      </c>
      <c r="P24" s="152">
        <f t="shared" si="2"/>
        <v>271.9895308</v>
      </c>
      <c r="Q24" s="152">
        <f t="shared" si="36"/>
        <v>7.726978159</v>
      </c>
      <c r="R24" s="152"/>
      <c r="S24" s="152"/>
      <c r="T24" s="152"/>
      <c r="U24" s="153"/>
      <c r="V24" s="151">
        <f t="shared" si="27"/>
        <v>0.9951012754</v>
      </c>
      <c r="W24" s="152">
        <f t="shared" si="8"/>
        <v>8.773855833</v>
      </c>
      <c r="X24" s="152">
        <f t="shared" si="28"/>
        <v>0.24925736</v>
      </c>
      <c r="Y24" s="152"/>
      <c r="Z24" s="152"/>
      <c r="AA24" s="152"/>
      <c r="AB24" s="153"/>
      <c r="AC24" s="151">
        <f t="shared" si="13"/>
        <v>0.01007029306</v>
      </c>
      <c r="AD24" s="152">
        <f t="shared" si="14"/>
        <v>0.08879025855</v>
      </c>
      <c r="AE24" s="152">
        <f t="shared" si="32"/>
        <v>0.002522451458</v>
      </c>
      <c r="AF24" s="152"/>
      <c r="AG24" s="152"/>
      <c r="AH24" s="152"/>
      <c r="AI24" s="152"/>
      <c r="AJ24" s="152">
        <f t="shared" si="19"/>
        <v>0.09886055161</v>
      </c>
      <c r="AK24" s="153">
        <f t="shared" si="20"/>
        <v>0.002522451458</v>
      </c>
      <c r="AL24" s="74"/>
      <c r="AM24" s="36" t="s">
        <v>159</v>
      </c>
      <c r="AN24" s="151">
        <f t="shared" si="21"/>
        <v>342.5</v>
      </c>
      <c r="AO24" s="154">
        <f>'2022 Snow PPL'!F18</f>
        <v>4.11</v>
      </c>
      <c r="AP24" s="155">
        <f>'2022 Snow PPL'!X18/1000</f>
        <v>0.1</v>
      </c>
      <c r="AQ24" s="192">
        <f>'2022 Snow PPL'!V18</f>
        <v>3.1</v>
      </c>
      <c r="AR24" s="154">
        <f>'2022 Snow PPL'!J18</f>
        <v>9.350757576</v>
      </c>
      <c r="AS24" s="156">
        <f>'2022 Snow PPL'!E18</f>
        <v>924</v>
      </c>
      <c r="AT24" s="7"/>
    </row>
    <row r="25" ht="15.75" customHeight="1">
      <c r="A25" s="74"/>
      <c r="B25" s="37" t="s">
        <v>107</v>
      </c>
      <c r="C25" s="91">
        <v>181.9</v>
      </c>
      <c r="D25" s="92">
        <v>1074.2</v>
      </c>
      <c r="E25" s="92">
        <v>188085.37</v>
      </c>
      <c r="F25" s="95">
        <v>9162.29</v>
      </c>
      <c r="G25" s="95">
        <v>706774.86</v>
      </c>
      <c r="H25" s="196">
        <v>13746.66</v>
      </c>
      <c r="I25" s="92">
        <v>1.595</v>
      </c>
      <c r="J25" s="95">
        <v>2.802</v>
      </c>
      <c r="K25" s="92">
        <v>0.897</v>
      </c>
      <c r="L25" s="92">
        <v>2.515</v>
      </c>
      <c r="M25" s="92">
        <v>1.949</v>
      </c>
      <c r="N25" s="92">
        <v>2.956</v>
      </c>
      <c r="O25" s="162">
        <f t="shared" si="22"/>
        <v>28.8719299</v>
      </c>
      <c r="P25" s="163">
        <f t="shared" si="2"/>
        <v>104.6253597</v>
      </c>
      <c r="Q25" s="163">
        <f t="shared" si="36"/>
        <v>20.26526713</v>
      </c>
      <c r="R25" s="163">
        <f>(F25*$O$3+$O$4)</f>
        <v>25.32388512</v>
      </c>
      <c r="S25" s="163">
        <f>(G25*$P$3+$P$4)</f>
        <v>26.52981652</v>
      </c>
      <c r="T25" s="163">
        <f>(H25*$Q$3+$Q$4)</f>
        <v>32.37088166</v>
      </c>
      <c r="U25" s="164">
        <f>SUM(R25:T25)</f>
        <v>84.22458331</v>
      </c>
      <c r="V25" s="162">
        <f t="shared" si="27"/>
        <v>0.3071481904</v>
      </c>
      <c r="W25" s="163">
        <f t="shared" si="8"/>
        <v>1.113035742</v>
      </c>
      <c r="X25" s="163">
        <f t="shared" si="28"/>
        <v>0.2155879482</v>
      </c>
      <c r="Y25" s="163">
        <f>R25*AP25/AQ25</f>
        <v>0.2694030332</v>
      </c>
      <c r="Z25" s="163">
        <f>S25*AP25/AQ25</f>
        <v>0.2822320906</v>
      </c>
      <c r="AA25" s="163">
        <f>T25*AP25/AQ25</f>
        <v>0.3443710815</v>
      </c>
      <c r="AB25" s="164">
        <f>U25*AP25/AQ25</f>
        <v>0.8960062054</v>
      </c>
      <c r="AC25" s="162">
        <f t="shared" si="13"/>
        <v>0.002953268433</v>
      </c>
      <c r="AD25" s="163">
        <f t="shared" si="14"/>
        <v>0.01070197847</v>
      </c>
      <c r="AE25" s="163">
        <f t="shared" si="32"/>
        <v>0.002072905203</v>
      </c>
      <c r="AF25" s="163">
        <f>Y25*AP25/AQ25</f>
        <v>0.002865989715</v>
      </c>
      <c r="AG25" s="163">
        <f>Z25*AP25/AQ25</f>
        <v>0.003002469049</v>
      </c>
      <c r="AH25" s="163">
        <f>AA25*AP25/AQ25</f>
        <v>0.003663522144</v>
      </c>
      <c r="AI25" s="163">
        <f>AB25*AP25/AQ25</f>
        <v>0.009531980908</v>
      </c>
      <c r="AJ25" s="163">
        <f t="shared" si="19"/>
        <v>0.01365524691</v>
      </c>
      <c r="AK25" s="164">
        <f t="shared" si="20"/>
        <v>0.01160488611</v>
      </c>
      <c r="AL25" s="74"/>
      <c r="AM25" s="37" t="s">
        <v>107</v>
      </c>
      <c r="AN25" s="162">
        <f t="shared" si="21"/>
        <v>31.00833333</v>
      </c>
      <c r="AO25" s="165">
        <f>'2022 Snow PPL'!F19</f>
        <v>0.3721</v>
      </c>
      <c r="AP25" s="197">
        <f>'2022 Snow PPL'!X19/1000</f>
        <v>0.1</v>
      </c>
      <c r="AQ25" s="167">
        <f>'2022 Snow PPL'!V19</f>
        <v>9.4</v>
      </c>
      <c r="AR25" s="165">
        <f>'2022 Snow PPL'!J19</f>
        <v>9.374747475</v>
      </c>
      <c r="AS25" s="168">
        <f>'2022 Snow PPL'!E19</f>
        <v>975</v>
      </c>
      <c r="AT25" s="7"/>
    </row>
    <row r="26" ht="15.75" customHeight="1">
      <c r="A26" s="7"/>
      <c r="B26" s="7"/>
      <c r="C26" s="10"/>
      <c r="D26" s="10"/>
      <c r="E26" s="10"/>
      <c r="F26" s="57"/>
      <c r="G26" s="57"/>
      <c r="H26" s="57"/>
      <c r="I26" s="10"/>
      <c r="J26" s="57"/>
      <c r="K26" s="10"/>
      <c r="L26" s="10"/>
      <c r="M26" s="10"/>
      <c r="N26" s="10"/>
      <c r="O26" s="198"/>
      <c r="P26" s="198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7"/>
      <c r="AM26" s="7"/>
      <c r="AN26" s="152"/>
      <c r="AO26" s="152"/>
      <c r="AP26" s="4"/>
      <c r="AQ26" s="4"/>
      <c r="AR26" s="152"/>
      <c r="AS26" s="4"/>
      <c r="AT26" s="7"/>
    </row>
    <row r="27" ht="15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132"/>
      <c r="AQ27" s="132"/>
      <c r="AR27" s="169"/>
      <c r="AS27" s="7"/>
      <c r="AT27" s="7"/>
    </row>
    <row r="28" ht="15.75" customHeight="1">
      <c r="A28" s="7"/>
      <c r="B28" s="1" t="s">
        <v>298</v>
      </c>
      <c r="C28" s="3"/>
      <c r="D28" s="65" t="s">
        <v>0</v>
      </c>
      <c r="E28" s="7" t="s">
        <v>191</v>
      </c>
      <c r="F28" s="3"/>
      <c r="G28" s="3"/>
      <c r="H28" s="3"/>
      <c r="I28" s="3"/>
      <c r="J28" s="3"/>
      <c r="K28" s="18"/>
      <c r="L28" s="18"/>
      <c r="M28" s="3"/>
      <c r="N28" s="3"/>
      <c r="O28" s="7"/>
      <c r="P28" s="7"/>
      <c r="Q28" s="7"/>
      <c r="R28" s="18"/>
      <c r="S28" s="18"/>
      <c r="T28" s="7"/>
      <c r="U28" s="7"/>
      <c r="V28" s="18"/>
      <c r="W28" s="18"/>
      <c r="X28" s="7"/>
      <c r="Y28" s="7"/>
      <c r="Z28" s="7"/>
      <c r="AA28" s="7"/>
      <c r="AB28" s="7"/>
      <c r="AC28" s="18"/>
      <c r="AD28" s="18"/>
      <c r="AE28" s="7"/>
      <c r="AF28" s="7"/>
      <c r="AG28" s="7"/>
      <c r="AH28" s="7"/>
      <c r="AI28" s="7"/>
      <c r="AJ28" s="7"/>
      <c r="AK28" s="7"/>
      <c r="AL28" s="7"/>
      <c r="AM28" s="132"/>
      <c r="AN28" s="132"/>
      <c r="AO28" s="132"/>
      <c r="AP28" s="169"/>
      <c r="AQ28" s="7"/>
      <c r="AR28" s="7"/>
      <c r="AS28" s="169"/>
      <c r="AT28" s="7"/>
    </row>
    <row r="29" ht="15.75" customHeight="1">
      <c r="A29" s="7"/>
      <c r="B29" s="7" t="s">
        <v>299</v>
      </c>
      <c r="C29" s="1"/>
      <c r="D29" s="65" t="s">
        <v>300</v>
      </c>
      <c r="E29" s="7" t="s">
        <v>301</v>
      </c>
      <c r="F29" s="1"/>
      <c r="G29" s="1"/>
      <c r="H29" s="1"/>
      <c r="I29" s="1"/>
      <c r="J29" s="1"/>
      <c r="K29" s="18"/>
      <c r="L29" s="18"/>
      <c r="M29" s="1"/>
      <c r="N29" s="1"/>
      <c r="O29" s="7"/>
      <c r="P29" s="7"/>
      <c r="Q29" s="7"/>
      <c r="R29" s="18"/>
      <c r="S29" s="18"/>
      <c r="T29" s="7"/>
      <c r="U29" s="7"/>
      <c r="V29" s="18"/>
      <c r="W29" s="18"/>
      <c r="X29" s="7"/>
      <c r="Y29" s="7"/>
      <c r="Z29" s="7"/>
      <c r="AA29" s="7"/>
      <c r="AB29" s="7"/>
      <c r="AC29" s="18"/>
      <c r="AD29" s="18"/>
      <c r="AE29" s="7"/>
      <c r="AF29" s="7"/>
      <c r="AG29" s="7"/>
      <c r="AH29" s="7"/>
      <c r="AI29" s="7"/>
      <c r="AJ29" s="7"/>
      <c r="AK29" s="7"/>
      <c r="AL29" s="7"/>
      <c r="AM29" s="132"/>
      <c r="AN29" s="132"/>
      <c r="AO29" s="132"/>
      <c r="AP29" s="7"/>
      <c r="AQ29" s="7"/>
      <c r="AR29" s="7"/>
      <c r="AS29" s="169"/>
      <c r="AT29" s="7"/>
    </row>
    <row r="30" ht="15.75" customHeight="1">
      <c r="A30" s="7"/>
      <c r="B30" s="7" t="s">
        <v>302</v>
      </c>
      <c r="C30" s="56"/>
      <c r="D30" s="65" t="s">
        <v>303</v>
      </c>
      <c r="E30" s="7" t="s">
        <v>304</v>
      </c>
      <c r="F30" s="7"/>
      <c r="G30" s="10"/>
      <c r="H30" s="7"/>
      <c r="I30" s="57"/>
      <c r="J30" s="10"/>
      <c r="K30" s="18"/>
      <c r="L30" s="18"/>
      <c r="M30" s="7"/>
      <c r="N30" s="7"/>
      <c r="O30" s="7"/>
      <c r="P30" s="7"/>
      <c r="Q30" s="7"/>
      <c r="R30" s="18"/>
      <c r="S30" s="18"/>
      <c r="T30" s="7"/>
      <c r="U30" s="7"/>
      <c r="V30" s="18"/>
      <c r="W30" s="18"/>
      <c r="X30" s="7"/>
      <c r="Y30" s="7"/>
      <c r="Z30" s="7"/>
      <c r="AA30" s="7"/>
      <c r="AB30" s="7"/>
      <c r="AC30" s="18"/>
      <c r="AD30" s="18"/>
      <c r="AE30" s="7"/>
      <c r="AF30" s="7"/>
      <c r="AG30" s="7"/>
      <c r="AH30" s="7"/>
      <c r="AI30" s="7"/>
      <c r="AJ30" s="7"/>
      <c r="AK30" s="7"/>
      <c r="AL30" s="7"/>
      <c r="AM30" s="132"/>
      <c r="AN30" s="132"/>
      <c r="AO30" s="132"/>
      <c r="AP30" s="7"/>
      <c r="AQ30" s="7"/>
      <c r="AR30" s="7"/>
      <c r="AS30" s="169"/>
      <c r="AT30" s="7"/>
    </row>
    <row r="31" ht="15.75" customHeight="1">
      <c r="A31" s="7"/>
      <c r="B31" s="7" t="s">
        <v>305</v>
      </c>
      <c r="C31" s="56"/>
      <c r="D31" s="45" t="s">
        <v>306</v>
      </c>
      <c r="E31" s="7" t="s">
        <v>307</v>
      </c>
      <c r="F31" s="7"/>
      <c r="G31" s="10"/>
      <c r="H31" s="7"/>
      <c r="I31" s="57"/>
      <c r="J31" s="10"/>
      <c r="K31" s="18"/>
      <c r="L31" s="18"/>
      <c r="M31" s="7"/>
      <c r="N31" s="7"/>
      <c r="O31" s="7"/>
      <c r="P31" s="7"/>
      <c r="Q31" s="7"/>
      <c r="R31" s="18"/>
      <c r="S31" s="18"/>
      <c r="T31" s="7"/>
      <c r="U31" s="7"/>
      <c r="V31" s="18"/>
      <c r="W31" s="18"/>
      <c r="X31" s="7"/>
      <c r="Y31" s="7"/>
      <c r="Z31" s="7"/>
      <c r="AA31" s="7"/>
      <c r="AB31" s="7"/>
      <c r="AC31" s="18"/>
      <c r="AD31" s="18"/>
      <c r="AE31" s="7"/>
      <c r="AF31" s="7"/>
      <c r="AG31" s="7"/>
      <c r="AH31" s="7"/>
      <c r="AI31" s="7"/>
      <c r="AJ31" s="7"/>
      <c r="AK31" s="7"/>
      <c r="AL31" s="7"/>
      <c r="AM31" s="132"/>
      <c r="AN31" s="132"/>
      <c r="AO31" s="132"/>
      <c r="AP31" s="7"/>
      <c r="AQ31" s="7"/>
      <c r="AR31" s="7"/>
      <c r="AS31" s="169"/>
      <c r="AT31" s="7"/>
    </row>
    <row r="32" ht="15.75" customHeight="1">
      <c r="A32" s="7"/>
      <c r="B32" s="7"/>
      <c r="C32" s="7"/>
      <c r="D32" s="45" t="s">
        <v>308</v>
      </c>
      <c r="E32" s="7" t="s">
        <v>309</v>
      </c>
      <c r="F32" s="7"/>
      <c r="G32" s="7"/>
      <c r="H32" s="7"/>
      <c r="I32" s="7"/>
      <c r="J32" s="7"/>
      <c r="K32" s="18"/>
      <c r="L32" s="18"/>
      <c r="M32" s="7"/>
      <c r="N32" s="7"/>
      <c r="O32" s="7"/>
      <c r="P32" s="7"/>
      <c r="Q32" s="7"/>
      <c r="R32" s="18"/>
      <c r="S32" s="18"/>
      <c r="T32" s="7"/>
      <c r="U32" s="7"/>
      <c r="V32" s="18"/>
      <c r="W32" s="18"/>
      <c r="X32" s="7"/>
      <c r="Y32" s="7"/>
      <c r="Z32" s="7"/>
      <c r="AA32" s="7"/>
      <c r="AB32" s="7"/>
      <c r="AC32" s="18"/>
      <c r="AD32" s="18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132"/>
      <c r="AQ32" s="132"/>
      <c r="AR32" s="7"/>
      <c r="AS32" s="7"/>
      <c r="AT32" s="7"/>
    </row>
    <row r="33" ht="15.75" customHeight="1">
      <c r="A33" s="7"/>
      <c r="B33" s="18"/>
      <c r="C33" s="7"/>
      <c r="D33" s="65" t="s">
        <v>310</v>
      </c>
      <c r="E33" s="7" t="s">
        <v>311</v>
      </c>
      <c r="F33" s="7"/>
      <c r="G33" s="7"/>
      <c r="H33" s="7"/>
      <c r="I33" s="7"/>
      <c r="J33" s="7"/>
      <c r="K33" s="18"/>
      <c r="L33" s="18"/>
      <c r="M33" s="7"/>
      <c r="N33" s="7"/>
      <c r="O33" s="7"/>
      <c r="P33" s="7"/>
      <c r="Q33" s="7"/>
      <c r="R33" s="18"/>
      <c r="S33" s="18"/>
      <c r="T33" s="7"/>
      <c r="U33" s="7"/>
      <c r="V33" s="18"/>
      <c r="W33" s="18"/>
      <c r="X33" s="7"/>
      <c r="Y33" s="7"/>
      <c r="Z33" s="7"/>
      <c r="AA33" s="7"/>
      <c r="AB33" s="7"/>
      <c r="AC33" s="18"/>
      <c r="AD33" s="18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132"/>
      <c r="AQ33" s="132"/>
      <c r="AR33" s="7"/>
      <c r="AS33" s="7"/>
      <c r="AT33" s="7"/>
    </row>
    <row r="34" ht="15.75" customHeight="1">
      <c r="A34" s="7"/>
      <c r="B34" s="18"/>
      <c r="C34" s="7"/>
      <c r="D34" s="65" t="s">
        <v>312</v>
      </c>
      <c r="E34" s="7" t="s">
        <v>313</v>
      </c>
      <c r="F34" s="7"/>
      <c r="G34" s="7"/>
      <c r="H34" s="7"/>
      <c r="I34" s="7"/>
      <c r="J34" s="7"/>
      <c r="K34" s="18"/>
      <c r="L34" s="18"/>
      <c r="M34" s="7"/>
      <c r="N34" s="7"/>
      <c r="O34" s="7"/>
      <c r="P34" s="7"/>
      <c r="Q34" s="7"/>
      <c r="R34" s="18"/>
      <c r="S34" s="18"/>
      <c r="T34" s="7"/>
      <c r="U34" s="7"/>
      <c r="V34" s="18"/>
      <c r="W34" s="18"/>
      <c r="X34" s="7"/>
      <c r="Y34" s="7"/>
      <c r="Z34" s="7"/>
      <c r="AA34" s="7"/>
      <c r="AB34" s="7"/>
      <c r="AC34" s="18"/>
      <c r="AD34" s="18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132"/>
      <c r="AQ34" s="132"/>
      <c r="AR34" s="7"/>
      <c r="AS34" s="7"/>
      <c r="AT34" s="7"/>
    </row>
    <row r="35" ht="15.75" customHeight="1">
      <c r="A35" s="7"/>
      <c r="B35" s="18"/>
      <c r="C35" s="7"/>
      <c r="D35" s="65" t="s">
        <v>314</v>
      </c>
      <c r="E35" s="7" t="s">
        <v>315</v>
      </c>
      <c r="F35" s="7"/>
      <c r="G35" s="7"/>
      <c r="H35" s="7"/>
      <c r="I35" s="7"/>
      <c r="J35" s="7"/>
      <c r="K35" s="18"/>
      <c r="L35" s="18"/>
      <c r="M35" s="7"/>
      <c r="N35" s="7"/>
      <c r="O35" s="7"/>
      <c r="P35" s="7"/>
      <c r="Q35" s="7"/>
      <c r="R35" s="18"/>
      <c r="S35" s="18"/>
      <c r="T35" s="7"/>
      <c r="U35" s="7"/>
      <c r="V35" s="18"/>
      <c r="W35" s="18"/>
      <c r="X35" s="7"/>
      <c r="Y35" s="7"/>
      <c r="Z35" s="7"/>
      <c r="AA35" s="7"/>
      <c r="AB35" s="7"/>
      <c r="AC35" s="18"/>
      <c r="AD35" s="18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132"/>
      <c r="AQ35" s="132"/>
      <c r="AR35" s="7"/>
      <c r="AS35" s="7"/>
      <c r="AT35" s="7"/>
    </row>
    <row r="36" ht="15.75" customHeight="1">
      <c r="A36" s="7"/>
      <c r="B36" s="18"/>
      <c r="C36" s="7"/>
      <c r="D36" s="65" t="s">
        <v>316</v>
      </c>
      <c r="E36" s="7" t="s">
        <v>195</v>
      </c>
      <c r="F36" s="7"/>
      <c r="G36" s="7"/>
      <c r="H36" s="7"/>
      <c r="I36" s="7"/>
      <c r="J36" s="7"/>
      <c r="K36" s="18"/>
      <c r="L36" s="18"/>
      <c r="M36" s="7"/>
      <c r="N36" s="7"/>
      <c r="O36" s="7"/>
      <c r="P36" s="7"/>
      <c r="Q36" s="7"/>
      <c r="R36" s="18"/>
      <c r="S36" s="18"/>
      <c r="T36" s="7"/>
      <c r="U36" s="7"/>
      <c r="V36" s="18"/>
      <c r="W36" s="18"/>
      <c r="X36" s="7"/>
      <c r="Y36" s="7"/>
      <c r="Z36" s="7"/>
      <c r="AA36" s="7"/>
      <c r="AB36" s="7"/>
      <c r="AC36" s="18"/>
      <c r="AD36" s="18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132"/>
      <c r="AQ36" s="132"/>
      <c r="AR36" s="7"/>
      <c r="AS36" s="7"/>
      <c r="AT36" s="7"/>
    </row>
    <row r="37" ht="15.75" customHeight="1">
      <c r="A37" s="7"/>
      <c r="B37" s="7"/>
      <c r="C37" s="7"/>
      <c r="D37" s="46" t="s">
        <v>317</v>
      </c>
      <c r="E37" s="7" t="s">
        <v>318</v>
      </c>
      <c r="F37" s="7"/>
      <c r="G37" s="7"/>
      <c r="H37" s="7"/>
      <c r="I37" s="7"/>
      <c r="J37" s="7"/>
      <c r="K37" s="18"/>
      <c r="L37" s="18"/>
      <c r="M37" s="7"/>
      <c r="N37" s="7"/>
      <c r="O37" s="7"/>
      <c r="P37" s="7"/>
      <c r="Q37" s="7"/>
      <c r="R37" s="18"/>
      <c r="S37" s="18"/>
      <c r="T37" s="7"/>
      <c r="U37" s="7"/>
      <c r="V37" s="18"/>
      <c r="W37" s="18"/>
      <c r="X37" s="7"/>
      <c r="Y37" s="7"/>
      <c r="Z37" s="7"/>
      <c r="AA37" s="7"/>
      <c r="AB37" s="7"/>
      <c r="AC37" s="18"/>
      <c r="AD37" s="18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132"/>
      <c r="AQ37" s="132"/>
      <c r="AR37" s="7"/>
      <c r="AS37" s="7"/>
      <c r="AT37" s="7"/>
    </row>
    <row r="38" ht="15.75" customHeight="1">
      <c r="A38" s="7"/>
      <c r="B38" s="7"/>
      <c r="C38" s="7"/>
      <c r="D38" s="67" t="s">
        <v>319</v>
      </c>
      <c r="E38" s="7" t="s">
        <v>320</v>
      </c>
      <c r="F38" s="7"/>
      <c r="G38" s="7"/>
      <c r="H38" s="7"/>
      <c r="I38" s="7"/>
      <c r="J38" s="7"/>
      <c r="K38" s="18"/>
      <c r="L38" s="18"/>
      <c r="M38" s="7"/>
      <c r="N38" s="7"/>
      <c r="O38" s="7"/>
      <c r="P38" s="7"/>
      <c r="Q38" s="7"/>
      <c r="R38" s="18"/>
      <c r="S38" s="18"/>
      <c r="T38" s="7"/>
      <c r="U38" s="7"/>
      <c r="V38" s="18"/>
      <c r="W38" s="18"/>
      <c r="X38" s="7"/>
      <c r="Y38" s="7"/>
      <c r="Z38" s="7"/>
      <c r="AA38" s="7"/>
      <c r="AB38" s="7"/>
      <c r="AC38" s="18"/>
      <c r="AD38" s="18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132"/>
      <c r="AQ38" s="132"/>
      <c r="AR38" s="7"/>
      <c r="AS38" s="7"/>
      <c r="AT38" s="7"/>
    </row>
    <row r="39" ht="15.75" customHeight="1">
      <c r="A39" s="7"/>
      <c r="B39" s="7"/>
      <c r="C39" s="7"/>
      <c r="D39" s="67" t="s">
        <v>196</v>
      </c>
      <c r="E39" s="7" t="s">
        <v>197</v>
      </c>
      <c r="F39" s="7"/>
      <c r="G39" s="7"/>
      <c r="H39" s="7"/>
      <c r="I39" s="7"/>
      <c r="J39" s="7"/>
      <c r="K39" s="18"/>
      <c r="L39" s="18"/>
      <c r="M39" s="7"/>
      <c r="N39" s="7"/>
      <c r="O39" s="7"/>
      <c r="P39" s="7"/>
      <c r="Q39" s="7"/>
      <c r="R39" s="18"/>
      <c r="S39" s="18"/>
      <c r="T39" s="7"/>
      <c r="U39" s="7"/>
      <c r="V39" s="18"/>
      <c r="W39" s="18"/>
      <c r="X39" s="7"/>
      <c r="Y39" s="7"/>
      <c r="Z39" s="7"/>
      <c r="AA39" s="7"/>
      <c r="AB39" s="7"/>
      <c r="AC39" s="18"/>
      <c r="AD39" s="18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132"/>
      <c r="AQ39" s="132"/>
      <c r="AR39" s="7"/>
      <c r="AS39" s="7"/>
      <c r="AT39" s="7"/>
    </row>
    <row r="40" ht="15.75" customHeight="1">
      <c r="A40" s="7"/>
      <c r="B40" s="7"/>
      <c r="C40" s="7"/>
      <c r="D40" s="67" t="s">
        <v>192</v>
      </c>
      <c r="E40" s="7" t="s">
        <v>193</v>
      </c>
      <c r="F40" s="7"/>
      <c r="G40" s="7"/>
      <c r="H40" s="7"/>
      <c r="I40" s="7"/>
      <c r="J40" s="7"/>
      <c r="K40" s="18"/>
      <c r="L40" s="18"/>
      <c r="M40" s="7"/>
      <c r="N40" s="7"/>
      <c r="O40" s="7"/>
      <c r="P40" s="7"/>
      <c r="Q40" s="7"/>
      <c r="R40" s="18"/>
      <c r="S40" s="18"/>
      <c r="T40" s="7"/>
      <c r="U40" s="7"/>
      <c r="V40" s="18"/>
      <c r="W40" s="18"/>
      <c r="X40" s="7"/>
      <c r="Y40" s="7"/>
      <c r="Z40" s="7"/>
      <c r="AA40" s="7"/>
      <c r="AB40" s="7"/>
      <c r="AC40" s="18"/>
      <c r="AD40" s="18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132"/>
      <c r="AQ40" s="132"/>
      <c r="AR40" s="7"/>
      <c r="AS40" s="7"/>
      <c r="AT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18"/>
      <c r="L41" s="18"/>
      <c r="M41" s="7"/>
      <c r="N41" s="7"/>
      <c r="O41" s="7"/>
      <c r="P41" s="7"/>
      <c r="Q41" s="7"/>
      <c r="R41" s="18"/>
      <c r="S41" s="18"/>
      <c r="T41" s="7"/>
      <c r="U41" s="7"/>
      <c r="V41" s="18"/>
      <c r="W41" s="18"/>
      <c r="X41" s="7"/>
      <c r="Y41" s="7"/>
      <c r="Z41" s="7"/>
      <c r="AA41" s="7"/>
      <c r="AB41" s="7"/>
      <c r="AC41" s="18"/>
      <c r="AD41" s="18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132"/>
      <c r="AP41" s="132"/>
      <c r="AQ41" s="7"/>
      <c r="AR41" s="7"/>
      <c r="AS41" s="7"/>
      <c r="AT41" s="7"/>
    </row>
    <row r="42" ht="15.75" customHeight="1">
      <c r="A42" s="7"/>
      <c r="B42" s="7"/>
      <c r="C42" s="7"/>
      <c r="D42" s="82"/>
      <c r="E42" s="7" t="s">
        <v>208</v>
      </c>
      <c r="F42" s="7"/>
      <c r="G42" s="7"/>
      <c r="H42" s="7"/>
      <c r="I42" s="7"/>
      <c r="J42" s="7"/>
      <c r="K42" s="18"/>
      <c r="L42" s="18"/>
      <c r="M42" s="7"/>
      <c r="N42" s="7"/>
      <c r="O42" s="7"/>
      <c r="P42" s="7"/>
      <c r="Q42" s="7"/>
      <c r="R42" s="18"/>
      <c r="S42" s="18"/>
      <c r="T42" s="7"/>
      <c r="U42" s="7"/>
      <c r="V42" s="18"/>
      <c r="W42" s="18"/>
      <c r="X42" s="7"/>
      <c r="Y42" s="7"/>
      <c r="Z42" s="7"/>
      <c r="AA42" s="7"/>
      <c r="AB42" s="7"/>
      <c r="AC42" s="18"/>
      <c r="AD42" s="18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132"/>
      <c r="AP42" s="132"/>
      <c r="AQ42" s="7"/>
      <c r="AR42" s="7"/>
      <c r="AS42" s="7"/>
      <c r="AT42" s="7"/>
    </row>
    <row r="43" ht="15.75" customHeight="1">
      <c r="A43" s="7"/>
      <c r="B43" s="7"/>
      <c r="C43" s="7"/>
      <c r="D43" s="111"/>
      <c r="E43" s="7" t="s">
        <v>321</v>
      </c>
      <c r="F43" s="7"/>
      <c r="G43" s="7"/>
      <c r="H43" s="7"/>
      <c r="I43" s="7"/>
      <c r="J43" s="7"/>
      <c r="K43" s="18"/>
      <c r="L43" s="18"/>
      <c r="M43" s="7"/>
      <c r="N43" s="7"/>
      <c r="O43" s="7"/>
      <c r="P43" s="7"/>
      <c r="Q43" s="7"/>
      <c r="R43" s="18"/>
      <c r="S43" s="18"/>
      <c r="T43" s="7"/>
      <c r="U43" s="7"/>
      <c r="V43" s="18"/>
      <c r="W43" s="18"/>
      <c r="X43" s="7"/>
      <c r="Y43" s="7"/>
      <c r="Z43" s="7"/>
      <c r="AA43" s="7"/>
      <c r="AB43" s="7"/>
      <c r="AC43" s="18"/>
      <c r="AD43" s="18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132"/>
      <c r="AP43" s="132"/>
      <c r="AQ43" s="7"/>
      <c r="AR43" s="7"/>
      <c r="AS43" s="7"/>
      <c r="AT43" s="7"/>
    </row>
    <row r="44" ht="15.75" customHeight="1">
      <c r="A44" s="7"/>
      <c r="B44" s="7"/>
      <c r="C44" s="7"/>
      <c r="D44" s="170"/>
      <c r="E44" s="7" t="s">
        <v>322</v>
      </c>
      <c r="F44" s="7"/>
      <c r="G44" s="7"/>
      <c r="H44" s="7"/>
      <c r="I44" s="7"/>
      <c r="J44" s="7"/>
      <c r="K44" s="18"/>
      <c r="L44" s="18"/>
      <c r="M44" s="7"/>
      <c r="N44" s="7"/>
      <c r="O44" s="7"/>
      <c r="P44" s="7"/>
      <c r="Q44" s="7"/>
      <c r="R44" s="18"/>
      <c r="S44" s="18"/>
      <c r="T44" s="7"/>
      <c r="U44" s="7"/>
      <c r="V44" s="18"/>
      <c r="W44" s="18"/>
      <c r="X44" s="7"/>
      <c r="Y44" s="7"/>
      <c r="Z44" s="7"/>
      <c r="AA44" s="7"/>
      <c r="AB44" s="7"/>
      <c r="AC44" s="18"/>
      <c r="AD44" s="18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132"/>
      <c r="AP44" s="132"/>
      <c r="AQ44" s="7"/>
      <c r="AR44" s="7"/>
      <c r="AS44" s="7"/>
      <c r="AT44" s="7"/>
    </row>
    <row r="45" ht="15.75" customHeight="1">
      <c r="A45" s="7"/>
      <c r="B45" s="7"/>
      <c r="C45" s="7"/>
      <c r="D45" s="171" t="s">
        <v>323</v>
      </c>
      <c r="E45" s="171" t="s">
        <v>324</v>
      </c>
      <c r="F45" s="7"/>
      <c r="G45" s="7"/>
      <c r="H45" s="7"/>
      <c r="I45" s="7"/>
      <c r="J45" s="7"/>
      <c r="K45" s="18"/>
      <c r="L45" s="18"/>
      <c r="M45" s="7"/>
      <c r="N45" s="7"/>
      <c r="O45" s="7"/>
      <c r="P45" s="7"/>
      <c r="Q45" s="7"/>
      <c r="R45" s="18"/>
      <c r="S45" s="18"/>
      <c r="T45" s="7"/>
      <c r="U45" s="7"/>
      <c r="V45" s="18"/>
      <c r="W45" s="18"/>
      <c r="X45" s="7"/>
      <c r="Y45" s="7"/>
      <c r="Z45" s="7"/>
      <c r="AA45" s="7"/>
      <c r="AB45" s="7"/>
      <c r="AC45" s="18"/>
      <c r="AD45" s="18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32"/>
      <c r="AP45" s="132"/>
      <c r="AQ45" s="7"/>
      <c r="AR45" s="7"/>
      <c r="AS45" s="7"/>
      <c r="AT45" s="7"/>
    </row>
    <row r="46" ht="15.75" customHeight="1">
      <c r="A46" s="7"/>
      <c r="B46" s="7"/>
      <c r="C46" s="7"/>
      <c r="D46" s="7"/>
      <c r="E46" s="171" t="s">
        <v>325</v>
      </c>
      <c r="F46" s="7"/>
      <c r="G46" s="7"/>
      <c r="H46" s="7"/>
      <c r="I46" s="7"/>
      <c r="J46" s="7"/>
      <c r="K46" s="18"/>
      <c r="L46" s="18"/>
      <c r="M46" s="7"/>
      <c r="N46" s="7"/>
      <c r="O46" s="7"/>
      <c r="P46" s="7"/>
      <c r="Q46" s="7"/>
      <c r="R46" s="18"/>
      <c r="S46" s="18"/>
      <c r="T46" s="7"/>
      <c r="U46" s="7"/>
      <c r="V46" s="18"/>
      <c r="W46" s="18"/>
      <c r="X46" s="7"/>
      <c r="Y46" s="7"/>
      <c r="Z46" s="7"/>
      <c r="AA46" s="7"/>
      <c r="AB46" s="7"/>
      <c r="AC46" s="18"/>
      <c r="AD46" s="18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132"/>
      <c r="AQ46" s="132"/>
      <c r="AR46" s="7"/>
      <c r="AS46" s="7"/>
      <c r="AT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132"/>
      <c r="AQ47" s="132"/>
      <c r="AR47" s="7"/>
      <c r="AS47" s="7"/>
      <c r="AT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132"/>
      <c r="AQ48" s="132"/>
      <c r="AR48" s="7"/>
      <c r="AS48" s="7"/>
      <c r="AT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132"/>
      <c r="AQ49" s="132"/>
      <c r="AR49" s="7"/>
      <c r="AS49" s="7"/>
      <c r="AT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132"/>
      <c r="AQ50" s="132"/>
      <c r="AR50" s="7"/>
      <c r="AS50" s="7"/>
      <c r="AT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132"/>
      <c r="AQ51" s="132"/>
      <c r="AR51" s="7"/>
      <c r="AS51" s="7"/>
      <c r="AT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132"/>
      <c r="AQ52" s="132"/>
      <c r="AR52" s="7"/>
      <c r="AS52" s="7"/>
      <c r="AT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132"/>
      <c r="AQ53" s="132"/>
      <c r="AR53" s="7"/>
      <c r="AS53" s="7"/>
      <c r="AT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132"/>
      <c r="AQ54" s="132"/>
      <c r="AR54" s="7"/>
      <c r="AS54" s="7"/>
      <c r="AT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132"/>
      <c r="AQ55" s="132"/>
      <c r="AR55" s="7"/>
      <c r="AS55" s="7"/>
      <c r="AT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132"/>
      <c r="AQ56" s="132"/>
      <c r="AR56" s="7"/>
      <c r="AS56" s="7"/>
      <c r="AT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132"/>
      <c r="AQ57" s="132"/>
      <c r="AR57" s="7"/>
      <c r="AS57" s="7"/>
      <c r="AT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132"/>
      <c r="AQ58" s="132"/>
      <c r="AR58" s="7"/>
      <c r="AS58" s="7"/>
      <c r="AT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132"/>
      <c r="AQ59" s="132"/>
      <c r="AR59" s="7"/>
      <c r="AS59" s="7"/>
      <c r="AT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132"/>
      <c r="AQ60" s="132"/>
      <c r="AR60" s="7"/>
      <c r="AS60" s="7"/>
      <c r="AT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132"/>
      <c r="AQ61" s="132"/>
      <c r="AR61" s="7"/>
      <c r="AS61" s="7"/>
      <c r="AT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132"/>
      <c r="AQ62" s="132"/>
      <c r="AR62" s="7"/>
      <c r="AS62" s="7"/>
      <c r="AT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132"/>
      <c r="AQ63" s="132"/>
      <c r="AR63" s="7"/>
      <c r="AS63" s="7"/>
      <c r="AT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132"/>
      <c r="AQ64" s="132"/>
      <c r="AR64" s="7"/>
      <c r="AS64" s="7"/>
      <c r="AT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132"/>
      <c r="AQ65" s="132"/>
      <c r="AR65" s="7"/>
      <c r="AS65" s="7"/>
      <c r="AT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132"/>
      <c r="AQ66" s="132"/>
      <c r="AR66" s="7"/>
      <c r="AS66" s="7"/>
      <c r="AT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132"/>
      <c r="AQ67" s="132"/>
      <c r="AR67" s="7"/>
      <c r="AS67" s="7"/>
      <c r="AT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132"/>
      <c r="AQ68" s="132"/>
      <c r="AR68" s="7"/>
      <c r="AS68" s="7"/>
      <c r="AT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132"/>
      <c r="AQ69" s="132"/>
      <c r="AR69" s="7"/>
      <c r="AS69" s="7"/>
      <c r="AT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132"/>
      <c r="AQ70" s="132"/>
      <c r="AR70" s="7"/>
      <c r="AS70" s="7"/>
      <c r="AT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132"/>
      <c r="AQ71" s="132"/>
      <c r="AR71" s="7"/>
      <c r="AS71" s="7"/>
      <c r="AT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132"/>
      <c r="AQ72" s="132"/>
      <c r="AR72" s="7"/>
      <c r="AS72" s="7"/>
      <c r="AT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132"/>
      <c r="AQ73" s="132"/>
      <c r="AR73" s="7"/>
      <c r="AS73" s="7"/>
      <c r="AT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132"/>
      <c r="AQ74" s="132"/>
      <c r="AR74" s="7"/>
      <c r="AS74" s="7"/>
      <c r="AT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132"/>
      <c r="AQ75" s="132"/>
      <c r="AR75" s="7"/>
      <c r="AS75" s="7"/>
      <c r="AT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132"/>
      <c r="AQ76" s="132"/>
      <c r="AR76" s="7"/>
      <c r="AS76" s="7"/>
      <c r="AT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132"/>
      <c r="AQ77" s="132"/>
      <c r="AR77" s="7"/>
      <c r="AS77" s="7"/>
      <c r="AT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132"/>
      <c r="AQ78" s="132"/>
      <c r="AR78" s="7"/>
      <c r="AS78" s="7"/>
      <c r="AT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132"/>
      <c r="AQ79" s="132"/>
      <c r="AR79" s="7"/>
      <c r="AS79" s="7"/>
      <c r="AT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132"/>
      <c r="AQ80" s="132"/>
      <c r="AR80" s="7"/>
      <c r="AS80" s="7"/>
      <c r="AT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132"/>
      <c r="AQ81" s="132"/>
      <c r="AR81" s="7"/>
      <c r="AS81" s="7"/>
      <c r="AT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132"/>
      <c r="AQ82" s="132"/>
      <c r="AR82" s="7"/>
      <c r="AS82" s="7"/>
      <c r="AT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132"/>
      <c r="AQ83" s="132"/>
      <c r="AR83" s="7"/>
      <c r="AS83" s="7"/>
      <c r="AT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132"/>
      <c r="AQ84" s="132"/>
      <c r="AR84" s="7"/>
      <c r="AS84" s="7"/>
      <c r="AT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132"/>
      <c r="AQ85" s="132"/>
      <c r="AR85" s="7"/>
      <c r="AS85" s="7"/>
      <c r="AT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132"/>
      <c r="AQ86" s="132"/>
      <c r="AR86" s="7"/>
      <c r="AS86" s="7"/>
      <c r="AT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132"/>
      <c r="AQ87" s="132"/>
      <c r="AR87" s="7"/>
      <c r="AS87" s="7"/>
      <c r="AT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132"/>
      <c r="AQ88" s="132"/>
      <c r="AR88" s="7"/>
      <c r="AS88" s="7"/>
      <c r="AT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132"/>
      <c r="AQ89" s="132"/>
      <c r="AR89" s="7"/>
      <c r="AS89" s="7"/>
      <c r="AT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132"/>
      <c r="AQ90" s="132"/>
      <c r="AR90" s="7"/>
      <c r="AS90" s="7"/>
      <c r="AT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132"/>
      <c r="AQ91" s="132"/>
      <c r="AR91" s="7"/>
      <c r="AS91" s="7"/>
      <c r="AT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132"/>
      <c r="AQ92" s="132"/>
      <c r="AR92" s="7"/>
      <c r="AS92" s="7"/>
      <c r="AT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132"/>
      <c r="AQ93" s="132"/>
      <c r="AR93" s="7"/>
      <c r="AS93" s="7"/>
      <c r="AT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132"/>
      <c r="AQ94" s="132"/>
      <c r="AR94" s="7"/>
      <c r="AS94" s="7"/>
      <c r="AT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132"/>
      <c r="AQ95" s="132"/>
      <c r="AR95" s="7"/>
      <c r="AS95" s="7"/>
      <c r="AT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132"/>
      <c r="AQ96" s="132"/>
      <c r="AR96" s="7"/>
      <c r="AS96" s="7"/>
      <c r="AT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132"/>
      <c r="AQ97" s="132"/>
      <c r="AR97" s="7"/>
      <c r="AS97" s="7"/>
      <c r="AT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132"/>
      <c r="AQ98" s="132"/>
      <c r="AR98" s="7"/>
      <c r="AS98" s="7"/>
      <c r="AT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132"/>
      <c r="AQ99" s="132"/>
      <c r="AR99" s="7"/>
      <c r="AS99" s="7"/>
      <c r="AT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132"/>
      <c r="AQ100" s="132"/>
      <c r="AR100" s="7"/>
      <c r="AS100" s="7"/>
      <c r="AT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132"/>
      <c r="AQ101" s="132"/>
      <c r="AR101" s="7"/>
      <c r="AS101" s="7"/>
      <c r="AT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2"/>
      <c r="AQ102" s="132"/>
      <c r="AR102" s="7"/>
      <c r="AS102" s="7"/>
      <c r="AT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2"/>
      <c r="AQ103" s="132"/>
      <c r="AR103" s="7"/>
      <c r="AS103" s="7"/>
      <c r="AT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132"/>
      <c r="AQ104" s="132"/>
      <c r="AR104" s="7"/>
      <c r="AS104" s="7"/>
      <c r="AT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132"/>
      <c r="AQ105" s="132"/>
      <c r="AR105" s="7"/>
      <c r="AS105" s="7"/>
      <c r="AT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132"/>
      <c r="AQ106" s="132"/>
      <c r="AR106" s="7"/>
      <c r="AS106" s="7"/>
      <c r="AT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132"/>
      <c r="AQ107" s="132"/>
      <c r="AR107" s="7"/>
      <c r="AS107" s="7"/>
      <c r="AT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132"/>
      <c r="AQ108" s="132"/>
      <c r="AR108" s="7"/>
      <c r="AS108" s="7"/>
      <c r="AT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132"/>
      <c r="AQ109" s="132"/>
      <c r="AR109" s="7"/>
      <c r="AS109" s="7"/>
      <c r="AT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132"/>
      <c r="AQ110" s="132"/>
      <c r="AR110" s="7"/>
      <c r="AS110" s="7"/>
      <c r="AT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132"/>
      <c r="AQ111" s="132"/>
      <c r="AR111" s="7"/>
      <c r="AS111" s="7"/>
      <c r="AT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132"/>
      <c r="AQ112" s="132"/>
      <c r="AR112" s="7"/>
      <c r="AS112" s="7"/>
      <c r="AT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132"/>
      <c r="AQ113" s="132"/>
      <c r="AR113" s="7"/>
      <c r="AS113" s="7"/>
      <c r="AT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132"/>
      <c r="AQ114" s="132"/>
      <c r="AR114" s="7"/>
      <c r="AS114" s="7"/>
      <c r="AT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132"/>
      <c r="AQ115" s="132"/>
      <c r="AR115" s="7"/>
      <c r="AS115" s="7"/>
      <c r="AT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132"/>
      <c r="AQ116" s="132"/>
      <c r="AR116" s="7"/>
      <c r="AS116" s="7"/>
      <c r="AT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132"/>
      <c r="AQ117" s="132"/>
      <c r="AR117" s="7"/>
      <c r="AS117" s="7"/>
      <c r="AT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132"/>
      <c r="AQ118" s="132"/>
      <c r="AR118" s="7"/>
      <c r="AS118" s="7"/>
      <c r="AT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132"/>
      <c r="AQ119" s="132"/>
      <c r="AR119" s="7"/>
      <c r="AS119" s="7"/>
      <c r="AT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132"/>
      <c r="AQ120" s="132"/>
      <c r="AR120" s="7"/>
      <c r="AS120" s="7"/>
      <c r="AT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132"/>
      <c r="AQ121" s="132"/>
      <c r="AR121" s="7"/>
      <c r="AS121" s="7"/>
      <c r="AT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132"/>
      <c r="AQ122" s="132"/>
      <c r="AR122" s="7"/>
      <c r="AS122" s="7"/>
      <c r="AT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132"/>
      <c r="AQ123" s="132"/>
      <c r="AR123" s="7"/>
      <c r="AS123" s="7"/>
      <c r="AT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132"/>
      <c r="AQ124" s="132"/>
      <c r="AR124" s="7"/>
      <c r="AS124" s="7"/>
      <c r="AT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132"/>
      <c r="AQ125" s="132"/>
      <c r="AR125" s="7"/>
      <c r="AS125" s="7"/>
      <c r="AT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132"/>
      <c r="AQ126" s="132"/>
      <c r="AR126" s="7"/>
      <c r="AS126" s="7"/>
      <c r="AT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132"/>
      <c r="AQ127" s="132"/>
      <c r="AR127" s="7"/>
      <c r="AS127" s="7"/>
      <c r="AT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132"/>
      <c r="AQ128" s="132"/>
      <c r="AR128" s="7"/>
      <c r="AS128" s="7"/>
      <c r="AT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132"/>
      <c r="AQ129" s="132"/>
      <c r="AR129" s="7"/>
      <c r="AS129" s="7"/>
      <c r="AT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132"/>
      <c r="AQ130" s="132"/>
      <c r="AR130" s="7"/>
      <c r="AS130" s="7"/>
      <c r="AT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132"/>
      <c r="AQ131" s="132"/>
      <c r="AR131" s="7"/>
      <c r="AS131" s="7"/>
      <c r="AT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132"/>
      <c r="AQ132" s="132"/>
      <c r="AR132" s="7"/>
      <c r="AS132" s="7"/>
      <c r="AT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132"/>
      <c r="AQ133" s="132"/>
      <c r="AR133" s="7"/>
      <c r="AS133" s="7"/>
      <c r="AT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132"/>
      <c r="AQ134" s="132"/>
      <c r="AR134" s="7"/>
      <c r="AS134" s="7"/>
      <c r="AT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132"/>
      <c r="AQ135" s="132"/>
      <c r="AR135" s="7"/>
      <c r="AS135" s="7"/>
      <c r="AT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132"/>
      <c r="AQ136" s="132"/>
      <c r="AR136" s="7"/>
      <c r="AS136" s="7"/>
      <c r="AT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132"/>
      <c r="AQ137" s="132"/>
      <c r="AR137" s="7"/>
      <c r="AS137" s="7"/>
      <c r="AT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132"/>
      <c r="AQ138" s="132"/>
      <c r="AR138" s="7"/>
      <c r="AS138" s="7"/>
      <c r="AT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132"/>
      <c r="AQ139" s="132"/>
      <c r="AR139" s="7"/>
      <c r="AS139" s="7"/>
      <c r="AT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132"/>
      <c r="AQ140" s="132"/>
      <c r="AR140" s="7"/>
      <c r="AS140" s="7"/>
      <c r="AT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132"/>
      <c r="AQ141" s="132"/>
      <c r="AR141" s="7"/>
      <c r="AS141" s="7"/>
      <c r="AT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132"/>
      <c r="AQ142" s="132"/>
      <c r="AR142" s="7"/>
      <c r="AS142" s="7"/>
      <c r="AT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132"/>
      <c r="AQ143" s="132"/>
      <c r="AR143" s="7"/>
      <c r="AS143" s="7"/>
      <c r="AT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132"/>
      <c r="AQ144" s="132"/>
      <c r="AR144" s="7"/>
      <c r="AS144" s="7"/>
      <c r="AT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132"/>
      <c r="AQ145" s="132"/>
      <c r="AR145" s="7"/>
      <c r="AS145" s="7"/>
      <c r="AT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132"/>
      <c r="AQ146" s="132"/>
      <c r="AR146" s="7"/>
      <c r="AS146" s="7"/>
      <c r="AT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132"/>
      <c r="AQ147" s="132"/>
      <c r="AR147" s="7"/>
      <c r="AS147" s="7"/>
      <c r="AT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132"/>
      <c r="AQ148" s="132"/>
      <c r="AR148" s="7"/>
      <c r="AS148" s="7"/>
      <c r="AT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132"/>
      <c r="AQ149" s="132"/>
      <c r="AR149" s="7"/>
      <c r="AS149" s="7"/>
      <c r="AT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132"/>
      <c r="AQ150" s="132"/>
      <c r="AR150" s="7"/>
      <c r="AS150" s="7"/>
      <c r="AT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132"/>
      <c r="AQ151" s="132"/>
      <c r="AR151" s="7"/>
      <c r="AS151" s="7"/>
      <c r="AT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132"/>
      <c r="AQ152" s="132"/>
      <c r="AR152" s="7"/>
      <c r="AS152" s="7"/>
      <c r="AT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132"/>
      <c r="AQ153" s="132"/>
      <c r="AR153" s="7"/>
      <c r="AS153" s="7"/>
      <c r="AT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132"/>
      <c r="AQ154" s="132"/>
      <c r="AR154" s="7"/>
      <c r="AS154" s="7"/>
      <c r="AT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132"/>
      <c r="AQ155" s="132"/>
      <c r="AR155" s="7"/>
      <c r="AS155" s="7"/>
      <c r="AT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132"/>
      <c r="AQ156" s="132"/>
      <c r="AR156" s="7"/>
      <c r="AS156" s="7"/>
      <c r="AT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132"/>
      <c r="AQ157" s="132"/>
      <c r="AR157" s="7"/>
      <c r="AS157" s="7"/>
      <c r="AT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132"/>
      <c r="AQ158" s="132"/>
      <c r="AR158" s="7"/>
      <c r="AS158" s="7"/>
      <c r="AT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132"/>
      <c r="AQ159" s="132"/>
      <c r="AR159" s="7"/>
      <c r="AS159" s="7"/>
      <c r="AT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132"/>
      <c r="AQ160" s="132"/>
      <c r="AR160" s="7"/>
      <c r="AS160" s="7"/>
      <c r="AT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132"/>
      <c r="AQ161" s="132"/>
      <c r="AR161" s="7"/>
      <c r="AS161" s="7"/>
      <c r="AT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132"/>
      <c r="AQ162" s="132"/>
      <c r="AR162" s="7"/>
      <c r="AS162" s="7"/>
      <c r="AT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132"/>
      <c r="AQ163" s="132"/>
      <c r="AR163" s="7"/>
      <c r="AS163" s="7"/>
      <c r="AT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132"/>
      <c r="AQ164" s="132"/>
      <c r="AR164" s="7"/>
      <c r="AS164" s="7"/>
      <c r="AT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132"/>
      <c r="AQ165" s="132"/>
      <c r="AR165" s="7"/>
      <c r="AS165" s="7"/>
      <c r="AT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132"/>
      <c r="AQ166" s="132"/>
      <c r="AR166" s="7"/>
      <c r="AS166" s="7"/>
      <c r="AT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132"/>
      <c r="AQ167" s="132"/>
      <c r="AR167" s="7"/>
      <c r="AS167" s="7"/>
      <c r="AT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132"/>
      <c r="AQ168" s="132"/>
      <c r="AR168" s="7"/>
      <c r="AS168" s="7"/>
      <c r="AT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132"/>
      <c r="AQ169" s="132"/>
      <c r="AR169" s="7"/>
      <c r="AS169" s="7"/>
      <c r="AT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132"/>
      <c r="AQ170" s="132"/>
      <c r="AR170" s="7"/>
      <c r="AS170" s="7"/>
      <c r="AT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132"/>
      <c r="AQ171" s="132"/>
      <c r="AR171" s="7"/>
      <c r="AS171" s="7"/>
      <c r="AT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132"/>
      <c r="AQ172" s="132"/>
      <c r="AR172" s="7"/>
      <c r="AS172" s="7"/>
      <c r="AT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132"/>
      <c r="AQ173" s="132"/>
      <c r="AR173" s="7"/>
      <c r="AS173" s="7"/>
      <c r="AT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132"/>
      <c r="AQ174" s="132"/>
      <c r="AR174" s="7"/>
      <c r="AS174" s="7"/>
      <c r="AT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132"/>
      <c r="AQ175" s="132"/>
      <c r="AR175" s="7"/>
      <c r="AS175" s="7"/>
      <c r="AT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132"/>
      <c r="AQ176" s="132"/>
      <c r="AR176" s="7"/>
      <c r="AS176" s="7"/>
      <c r="AT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132"/>
      <c r="AQ177" s="132"/>
      <c r="AR177" s="7"/>
      <c r="AS177" s="7"/>
      <c r="AT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132"/>
      <c r="AQ178" s="132"/>
      <c r="AR178" s="7"/>
      <c r="AS178" s="7"/>
      <c r="AT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132"/>
      <c r="AQ179" s="132"/>
      <c r="AR179" s="7"/>
      <c r="AS179" s="7"/>
      <c r="AT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132"/>
      <c r="AQ180" s="132"/>
      <c r="AR180" s="7"/>
      <c r="AS180" s="7"/>
      <c r="AT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132"/>
      <c r="AQ181" s="132"/>
      <c r="AR181" s="7"/>
      <c r="AS181" s="7"/>
      <c r="AT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132"/>
      <c r="AQ182" s="132"/>
      <c r="AR182" s="7"/>
      <c r="AS182" s="7"/>
      <c r="AT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132"/>
      <c r="AQ183" s="132"/>
      <c r="AR183" s="7"/>
      <c r="AS183" s="7"/>
      <c r="AT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132"/>
      <c r="AQ184" s="132"/>
      <c r="AR184" s="7"/>
      <c r="AS184" s="7"/>
      <c r="AT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132"/>
      <c r="AQ185" s="132"/>
      <c r="AR185" s="7"/>
      <c r="AS185" s="7"/>
      <c r="AT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132"/>
      <c r="AQ186" s="132"/>
      <c r="AR186" s="7"/>
      <c r="AS186" s="7"/>
      <c r="AT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132"/>
      <c r="AQ187" s="132"/>
      <c r="AR187" s="7"/>
      <c r="AS187" s="7"/>
      <c r="AT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132"/>
      <c r="AQ188" s="132"/>
      <c r="AR188" s="7"/>
      <c r="AS188" s="7"/>
      <c r="AT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132"/>
      <c r="AQ189" s="132"/>
      <c r="AR189" s="7"/>
      <c r="AS189" s="7"/>
      <c r="AT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132"/>
      <c r="AQ190" s="132"/>
      <c r="AR190" s="7"/>
      <c r="AS190" s="7"/>
      <c r="AT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132"/>
      <c r="AQ191" s="132"/>
      <c r="AR191" s="7"/>
      <c r="AS191" s="7"/>
      <c r="AT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132"/>
      <c r="AQ192" s="132"/>
      <c r="AR192" s="7"/>
      <c r="AS192" s="7"/>
      <c r="AT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132"/>
      <c r="AQ193" s="132"/>
      <c r="AR193" s="7"/>
      <c r="AS193" s="7"/>
      <c r="AT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132"/>
      <c r="AQ194" s="132"/>
      <c r="AR194" s="7"/>
      <c r="AS194" s="7"/>
      <c r="AT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132"/>
      <c r="AQ195" s="132"/>
      <c r="AR195" s="7"/>
      <c r="AS195" s="7"/>
      <c r="AT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132"/>
      <c r="AQ196" s="132"/>
      <c r="AR196" s="7"/>
      <c r="AS196" s="7"/>
      <c r="AT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132"/>
      <c r="AQ197" s="132"/>
      <c r="AR197" s="7"/>
      <c r="AS197" s="7"/>
      <c r="AT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132"/>
      <c r="AQ198" s="132"/>
      <c r="AR198" s="7"/>
      <c r="AS198" s="7"/>
      <c r="AT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132"/>
      <c r="AQ199" s="132"/>
      <c r="AR199" s="7"/>
      <c r="AS199" s="7"/>
      <c r="AT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132"/>
      <c r="AQ200" s="132"/>
      <c r="AR200" s="7"/>
      <c r="AS200" s="7"/>
      <c r="AT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132"/>
      <c r="AQ201" s="132"/>
      <c r="AR201" s="7"/>
      <c r="AS201" s="7"/>
      <c r="AT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132"/>
      <c r="AQ202" s="132"/>
      <c r="AR202" s="7"/>
      <c r="AS202" s="7"/>
      <c r="AT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132"/>
      <c r="AQ203" s="132"/>
      <c r="AR203" s="7"/>
      <c r="AS203" s="7"/>
      <c r="AT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132"/>
      <c r="AQ204" s="132"/>
      <c r="AR204" s="7"/>
      <c r="AS204" s="7"/>
      <c r="AT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132"/>
      <c r="AQ205" s="132"/>
      <c r="AR205" s="7"/>
      <c r="AS205" s="7"/>
      <c r="AT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132"/>
      <c r="AQ206" s="132"/>
      <c r="AR206" s="7"/>
      <c r="AS206" s="7"/>
      <c r="AT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132"/>
      <c r="AQ207" s="132"/>
      <c r="AR207" s="7"/>
      <c r="AS207" s="7"/>
      <c r="AT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132"/>
      <c r="AQ208" s="132"/>
      <c r="AR208" s="7"/>
      <c r="AS208" s="7"/>
      <c r="AT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132"/>
      <c r="AQ209" s="132"/>
      <c r="AR209" s="7"/>
      <c r="AS209" s="7"/>
      <c r="AT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132"/>
      <c r="AQ210" s="132"/>
      <c r="AR210" s="7"/>
      <c r="AS210" s="7"/>
      <c r="AT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132"/>
      <c r="AQ211" s="132"/>
      <c r="AR211" s="7"/>
      <c r="AS211" s="7"/>
      <c r="AT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132"/>
      <c r="AQ212" s="132"/>
      <c r="AR212" s="7"/>
      <c r="AS212" s="7"/>
      <c r="AT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132"/>
      <c r="AQ213" s="132"/>
      <c r="AR213" s="7"/>
      <c r="AS213" s="7"/>
      <c r="AT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132"/>
      <c r="AQ214" s="132"/>
      <c r="AR214" s="7"/>
      <c r="AS214" s="7"/>
      <c r="AT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132"/>
      <c r="AQ215" s="132"/>
      <c r="AR215" s="7"/>
      <c r="AS215" s="7"/>
      <c r="AT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132"/>
      <c r="AQ216" s="132"/>
      <c r="AR216" s="7"/>
      <c r="AS216" s="7"/>
      <c r="AT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132"/>
      <c r="AQ217" s="132"/>
      <c r="AR217" s="7"/>
      <c r="AS217" s="7"/>
      <c r="AT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132"/>
      <c r="AQ218" s="132"/>
      <c r="AR218" s="7"/>
      <c r="AS218" s="7"/>
      <c r="AT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132"/>
      <c r="AQ219" s="132"/>
      <c r="AR219" s="7"/>
      <c r="AS219" s="7"/>
      <c r="AT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132"/>
      <c r="AQ220" s="132"/>
      <c r="AR220" s="7"/>
      <c r="AS220" s="7"/>
      <c r="AT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132"/>
      <c r="AQ221" s="132"/>
      <c r="AR221" s="7"/>
      <c r="AS221" s="7"/>
      <c r="AT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132"/>
      <c r="AQ222" s="132"/>
      <c r="AR222" s="7"/>
      <c r="AS222" s="7"/>
      <c r="AT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132"/>
      <c r="AQ223" s="132"/>
      <c r="AR223" s="7"/>
      <c r="AS223" s="7"/>
      <c r="AT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132"/>
      <c r="AQ224" s="132"/>
      <c r="AR224" s="7"/>
      <c r="AS224" s="7"/>
      <c r="AT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132"/>
      <c r="AQ225" s="132"/>
      <c r="AR225" s="7"/>
      <c r="AS225" s="7"/>
      <c r="AT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132"/>
      <c r="AQ226" s="132"/>
      <c r="AR226" s="7"/>
      <c r="AS226" s="7"/>
      <c r="AT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132"/>
      <c r="AQ227" s="132"/>
      <c r="AR227" s="7"/>
      <c r="AS227" s="7"/>
      <c r="AT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132"/>
      <c r="AQ228" s="132"/>
      <c r="AR228" s="7"/>
      <c r="AS228" s="7"/>
      <c r="AT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132"/>
      <c r="AQ229" s="132"/>
      <c r="AR229" s="7"/>
      <c r="AS229" s="7"/>
      <c r="AT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132"/>
      <c r="AQ230" s="132"/>
      <c r="AR230" s="7"/>
      <c r="AS230" s="7"/>
      <c r="AT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132"/>
      <c r="AQ231" s="132"/>
      <c r="AR231" s="7"/>
      <c r="AS231" s="7"/>
      <c r="AT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132"/>
      <c r="AQ232" s="132"/>
      <c r="AR232" s="7"/>
      <c r="AS232" s="7"/>
      <c r="AT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132"/>
      <c r="AQ233" s="132"/>
      <c r="AR233" s="7"/>
      <c r="AS233" s="7"/>
      <c r="AT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132"/>
      <c r="AQ234" s="132"/>
      <c r="AR234" s="7"/>
      <c r="AS234" s="7"/>
      <c r="AT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132"/>
      <c r="AQ235" s="132"/>
      <c r="AR235" s="7"/>
      <c r="AS235" s="7"/>
      <c r="AT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132"/>
      <c r="AQ236" s="132"/>
      <c r="AR236" s="7"/>
      <c r="AS236" s="7"/>
      <c r="AT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132"/>
      <c r="AQ237" s="132"/>
      <c r="AR237" s="7"/>
      <c r="AS237" s="7"/>
      <c r="AT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132"/>
      <c r="AQ238" s="132"/>
      <c r="AR238" s="7"/>
      <c r="AS238" s="7"/>
      <c r="AT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132"/>
      <c r="AQ239" s="132"/>
      <c r="AR239" s="7"/>
      <c r="AS239" s="7"/>
      <c r="AT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132"/>
      <c r="AQ240" s="132"/>
      <c r="AR240" s="7"/>
      <c r="AS240" s="7"/>
      <c r="AT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132"/>
      <c r="AQ241" s="132"/>
      <c r="AR241" s="7"/>
      <c r="AS241" s="7"/>
      <c r="AT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132"/>
      <c r="AQ242" s="132"/>
      <c r="AR242" s="7"/>
      <c r="AS242" s="7"/>
      <c r="AT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132"/>
      <c r="AQ243" s="132"/>
      <c r="AR243" s="7"/>
      <c r="AS243" s="7"/>
      <c r="AT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132"/>
      <c r="AQ244" s="132"/>
      <c r="AR244" s="7"/>
      <c r="AS244" s="7"/>
      <c r="AT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132"/>
      <c r="AQ245" s="132"/>
      <c r="AR245" s="7"/>
      <c r="AS245" s="7"/>
      <c r="AT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132"/>
      <c r="AQ246" s="132"/>
      <c r="AR246" s="7"/>
      <c r="AS246" s="7"/>
      <c r="AT246" s="7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</row>
  </sheetData>
  <mergeCells count="5">
    <mergeCell ref="C6:N6"/>
    <mergeCell ref="O6:U6"/>
    <mergeCell ref="V6:AB6"/>
    <mergeCell ref="AC6:AK6"/>
    <mergeCell ref="AN6:AS6"/>
  </mergeCells>
  <conditionalFormatting sqref="C8:C25">
    <cfRule type="cellIs" dxfId="2" priority="1" operator="greaterThan">
      <formula>4809.8</formula>
    </cfRule>
  </conditionalFormatting>
  <conditionalFormatting sqref="C8:C25">
    <cfRule type="cellIs" dxfId="1" priority="2" operator="lessThan">
      <formula>10.5</formula>
    </cfRule>
  </conditionalFormatting>
  <conditionalFormatting sqref="D8:D25">
    <cfRule type="cellIs" dxfId="2" priority="3" operator="greaterThan">
      <formula>5182.9</formula>
    </cfRule>
  </conditionalFormatting>
  <conditionalFormatting sqref="D8:D25">
    <cfRule type="cellIs" dxfId="1" priority="4" operator="lessThan">
      <formula>10.1</formula>
    </cfRule>
  </conditionalFormatting>
  <conditionalFormatting sqref="E8:E25">
    <cfRule type="cellIs" dxfId="2" priority="5" operator="greaterThan">
      <formula>6254391.86</formula>
    </cfRule>
  </conditionalFormatting>
  <conditionalFormatting sqref="E8:E25">
    <cfRule type="cellIs" dxfId="1" priority="6" operator="lessThan">
      <formula>9039.65</formula>
    </cfRule>
  </conditionalFormatting>
  <conditionalFormatting sqref="F8:F15">
    <cfRule type="cellIs" dxfId="2" priority="7" operator="greaterThan">
      <formula>339440.36</formula>
    </cfRule>
  </conditionalFormatting>
  <conditionalFormatting sqref="F8:F15">
    <cfRule type="cellIs" dxfId="1" priority="8" operator="lessThan">
      <formula>1911.17</formula>
    </cfRule>
  </conditionalFormatting>
  <conditionalFormatting sqref="F16:F25">
    <cfRule type="cellIs" dxfId="2" priority="9" operator="greaterThan">
      <formula>251958.17</formula>
    </cfRule>
  </conditionalFormatting>
  <conditionalFormatting sqref="F16:F25">
    <cfRule type="cellIs" dxfId="1" priority="10" operator="lessThan">
      <formula>1798.69</formula>
    </cfRule>
  </conditionalFormatting>
  <conditionalFormatting sqref="G8:G15">
    <cfRule type="cellIs" dxfId="2" priority="11" operator="greaterThan">
      <formula>12813582.51</formula>
    </cfRule>
  </conditionalFormatting>
  <conditionalFormatting sqref="G8:G15">
    <cfRule type="cellIs" dxfId="1" priority="12" operator="lessThan">
      <formula>28911.25</formula>
    </cfRule>
  </conditionalFormatting>
  <conditionalFormatting sqref="H8:H15">
    <cfRule type="cellIs" dxfId="2" priority="13" operator="greaterThan">
      <formula>505590.63</formula>
    </cfRule>
  </conditionalFormatting>
  <conditionalFormatting sqref="H8:H15">
    <cfRule type="cellIs" dxfId="1" priority="14" operator="lessThan">
      <formula>3744.55</formula>
    </cfRule>
  </conditionalFormatting>
  <conditionalFormatting sqref="H16:H25">
    <cfRule type="cellIs" dxfId="2" priority="15" operator="greaterThan">
      <formula>1817058.22</formula>
    </cfRule>
  </conditionalFormatting>
  <conditionalFormatting sqref="H16:H25">
    <cfRule type="cellIs" dxfId="1" priority="16" operator="lessThan">
      <formula>8429.82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1" max="1" width="12.63"/>
    <col customWidth="1" min="2" max="2" width="21.63"/>
    <col customWidth="1" min="3" max="3" width="12.63"/>
    <col customWidth="1" min="4" max="4" width="14.0"/>
    <col customWidth="1" min="5" max="6" width="12.63"/>
    <col customWidth="1" min="10" max="11" width="18.63"/>
    <col customWidth="1" min="14" max="14" width="16.13"/>
    <col customWidth="1" min="15" max="15" width="23.5"/>
    <col customWidth="1" min="16" max="16" width="16.88"/>
    <col customWidth="1" min="17" max="17" width="19.63"/>
    <col customWidth="1" min="18" max="18" width="20.0"/>
    <col customWidth="1" min="19" max="19" width="19.5"/>
    <col customWidth="1" min="20" max="21" width="21.5"/>
    <col customWidth="1" min="22" max="22" width="19.13"/>
    <col customWidth="1" min="24" max="24" width="33.88"/>
  </cols>
  <sheetData>
    <row r="1" ht="15.75" customHeight="1">
      <c r="A1" s="1" t="s">
        <v>162</v>
      </c>
      <c r="B1" s="1" t="s">
        <v>0</v>
      </c>
      <c r="C1" s="44" t="s">
        <v>163</v>
      </c>
      <c r="D1" s="44" t="s">
        <v>164</v>
      </c>
      <c r="E1" s="44" t="s">
        <v>165</v>
      </c>
      <c r="F1" s="45" t="s">
        <v>166</v>
      </c>
      <c r="G1" s="44" t="s">
        <v>167</v>
      </c>
      <c r="H1" s="46" t="s">
        <v>168</v>
      </c>
      <c r="I1" s="46" t="s">
        <v>169</v>
      </c>
      <c r="J1" s="44" t="s">
        <v>170</v>
      </c>
      <c r="K1" s="44" t="s">
        <v>171</v>
      </c>
      <c r="L1" s="44" t="s">
        <v>172</v>
      </c>
      <c r="M1" s="47" t="s">
        <v>173</v>
      </c>
      <c r="N1" s="44" t="s">
        <v>174</v>
      </c>
      <c r="O1" s="48" t="s">
        <v>175</v>
      </c>
      <c r="P1" s="48" t="s">
        <v>326</v>
      </c>
      <c r="Q1" s="1" t="s">
        <v>177</v>
      </c>
      <c r="R1" s="1" t="s">
        <v>178</v>
      </c>
      <c r="S1" s="1" t="s">
        <v>179</v>
      </c>
      <c r="T1" s="1" t="s">
        <v>180</v>
      </c>
      <c r="U1" s="1" t="s">
        <v>182</v>
      </c>
      <c r="V1" s="1" t="s">
        <v>183</v>
      </c>
      <c r="W1" s="1" t="s">
        <v>184</v>
      </c>
      <c r="X1" s="44" t="s">
        <v>185</v>
      </c>
      <c r="Y1" s="1" t="s">
        <v>186</v>
      </c>
      <c r="Z1" s="7"/>
      <c r="AA1" s="7"/>
      <c r="AB1" s="7"/>
      <c r="AC1" s="7"/>
      <c r="AD1" s="7"/>
      <c r="AE1" s="7"/>
      <c r="AF1" s="7"/>
      <c r="AG1" s="7"/>
    </row>
    <row r="2" ht="15.75" customHeight="1">
      <c r="A2" s="199" t="s">
        <v>60</v>
      </c>
      <c r="B2" s="199" t="s">
        <v>59</v>
      </c>
      <c r="C2" s="51">
        <v>45019.0</v>
      </c>
      <c r="D2" s="51">
        <v>45023.0</v>
      </c>
      <c r="E2" s="52">
        <f>SUM(20.5,510)</f>
        <v>530.5</v>
      </c>
      <c r="F2" s="200">
        <v>0.25</v>
      </c>
      <c r="G2" s="54">
        <f t="shared" ref="G2:G13" si="1">F2*83.333</f>
        <v>20.83325</v>
      </c>
      <c r="H2" s="52">
        <v>10.6783</v>
      </c>
      <c r="I2" s="52">
        <v>17.8621</v>
      </c>
      <c r="J2" s="56">
        <f t="shared" ref="J2:J13" si="2">(I2-H2)/$B$25</f>
        <v>9.070454545</v>
      </c>
      <c r="K2" s="54">
        <v>11.0</v>
      </c>
      <c r="L2" s="54">
        <f t="shared" ref="L2:L13" si="3">E2*G2/J2*$B$24</f>
        <v>487.3863408</v>
      </c>
      <c r="M2" s="57">
        <f t="shared" ref="M2:M13" si="4">L2/1000</f>
        <v>0.4873863408</v>
      </c>
      <c r="N2" s="57">
        <f t="shared" ref="N2:N13" si="5">M2*12</f>
        <v>5.848636089</v>
      </c>
      <c r="O2" s="173">
        <v>0.2</v>
      </c>
      <c r="P2" s="58">
        <f t="shared" ref="P2:P13" si="6">O2/1000/12*1000*1000/L2*1000</f>
        <v>34.19600689</v>
      </c>
      <c r="Q2" s="55">
        <v>2.5</v>
      </c>
      <c r="R2" s="55">
        <v>2.5</v>
      </c>
      <c r="S2" s="55">
        <v>2.5</v>
      </c>
      <c r="T2" s="52">
        <v>1.7</v>
      </c>
      <c r="U2" s="59">
        <f t="shared" ref="U2:U13" si="7">SUM(Q2:T2)</f>
        <v>9.2</v>
      </c>
      <c r="V2" s="59">
        <f t="shared" ref="V2:V13" si="8">N2*U2/1000</f>
        <v>0.05380745202</v>
      </c>
      <c r="W2" s="52">
        <v>100.0</v>
      </c>
      <c r="X2" s="175">
        <f t="shared" ref="X2:X13" si="9">L2*U2/W2</f>
        <v>44.83954335</v>
      </c>
      <c r="Y2" s="1"/>
      <c r="Z2" s="7"/>
      <c r="AA2" s="7"/>
      <c r="AB2" s="7"/>
      <c r="AC2" s="7"/>
      <c r="AD2" s="7"/>
      <c r="AE2" s="7"/>
      <c r="AF2" s="7"/>
      <c r="AG2" s="7"/>
    </row>
    <row r="3" ht="15.75" customHeight="1">
      <c r="A3" s="199" t="s">
        <v>60</v>
      </c>
      <c r="B3" s="199" t="s">
        <v>160</v>
      </c>
      <c r="C3" s="51">
        <v>45201.0</v>
      </c>
      <c r="D3" s="51">
        <v>45205.0</v>
      </c>
      <c r="E3" s="52">
        <f t="shared" ref="E3:E4" si="10">SUM(520,1000,22,1000,990,510,1000)</f>
        <v>5042</v>
      </c>
      <c r="F3" s="173">
        <f t="shared" ref="F3:F4" si="11">AVERAGE(0.7326,0.3938)</f>
        <v>0.5632</v>
      </c>
      <c r="G3" s="54">
        <f t="shared" si="1"/>
        <v>46.9331456</v>
      </c>
      <c r="H3" s="55">
        <v>10.7165</v>
      </c>
      <c r="I3" s="55">
        <v>17.8891</v>
      </c>
      <c r="J3" s="56">
        <f t="shared" si="2"/>
        <v>9.056313131</v>
      </c>
      <c r="K3" s="54">
        <v>11.0</v>
      </c>
      <c r="L3" s="54">
        <f t="shared" si="3"/>
        <v>10451.79939</v>
      </c>
      <c r="M3" s="57">
        <f t="shared" si="4"/>
        <v>10.45179939</v>
      </c>
      <c r="N3" s="57">
        <f t="shared" si="5"/>
        <v>125.4215927</v>
      </c>
      <c r="O3" s="173">
        <v>0.2</v>
      </c>
      <c r="P3" s="174">
        <f t="shared" si="6"/>
        <v>1.594621753</v>
      </c>
      <c r="Q3" s="55">
        <v>2.5</v>
      </c>
      <c r="R3" s="55">
        <v>2.5</v>
      </c>
      <c r="S3" s="55"/>
      <c r="T3" s="52"/>
      <c r="U3" s="59">
        <f t="shared" si="7"/>
        <v>5</v>
      </c>
      <c r="V3" s="59">
        <f t="shared" si="8"/>
        <v>0.6271079633</v>
      </c>
      <c r="W3" s="52">
        <v>100.0</v>
      </c>
      <c r="X3" s="175">
        <f t="shared" si="9"/>
        <v>522.5899694</v>
      </c>
      <c r="Y3" s="7"/>
      <c r="Z3" s="7"/>
      <c r="AA3" s="7"/>
      <c r="AB3" s="7"/>
      <c r="AC3" s="7"/>
      <c r="AD3" s="7"/>
      <c r="AE3" s="7"/>
      <c r="AF3" s="7"/>
      <c r="AG3" s="7"/>
    </row>
    <row r="4" ht="15.75" customHeight="1">
      <c r="A4" s="199" t="s">
        <v>60</v>
      </c>
      <c r="B4" s="199" t="s">
        <v>161</v>
      </c>
      <c r="C4" s="51">
        <v>45201.0</v>
      </c>
      <c r="D4" s="51">
        <v>45205.0</v>
      </c>
      <c r="E4" s="52">
        <f t="shared" si="10"/>
        <v>5042</v>
      </c>
      <c r="F4" s="173">
        <f t="shared" si="11"/>
        <v>0.5632</v>
      </c>
      <c r="G4" s="54">
        <f t="shared" si="1"/>
        <v>46.9331456</v>
      </c>
      <c r="H4" s="55">
        <v>10.7165</v>
      </c>
      <c r="I4" s="55">
        <v>17.8891</v>
      </c>
      <c r="J4" s="56">
        <f t="shared" si="2"/>
        <v>9.056313131</v>
      </c>
      <c r="K4" s="54">
        <v>11.0</v>
      </c>
      <c r="L4" s="54">
        <f t="shared" si="3"/>
        <v>10451.79939</v>
      </c>
      <c r="M4" s="57">
        <f t="shared" si="4"/>
        <v>10.45179939</v>
      </c>
      <c r="N4" s="57">
        <f t="shared" si="5"/>
        <v>125.4215927</v>
      </c>
      <c r="O4" s="173">
        <v>0.2</v>
      </c>
      <c r="P4" s="174">
        <f t="shared" si="6"/>
        <v>1.594621753</v>
      </c>
      <c r="Q4" s="55">
        <v>2.5</v>
      </c>
      <c r="R4" s="55">
        <v>1.6</v>
      </c>
      <c r="S4" s="55"/>
      <c r="T4" s="52"/>
      <c r="U4" s="59">
        <f t="shared" si="7"/>
        <v>4.1</v>
      </c>
      <c r="V4" s="59">
        <f t="shared" si="8"/>
        <v>0.5142285299</v>
      </c>
      <c r="W4" s="52">
        <v>100.0</v>
      </c>
      <c r="X4" s="175">
        <f t="shared" si="9"/>
        <v>428.5237749</v>
      </c>
      <c r="Y4" s="7"/>
      <c r="Z4" s="7"/>
      <c r="AA4" s="7"/>
      <c r="AB4" s="7"/>
      <c r="AC4" s="7"/>
      <c r="AD4" s="7"/>
      <c r="AE4" s="7"/>
      <c r="AF4" s="7"/>
      <c r="AG4" s="7"/>
    </row>
    <row r="5" ht="15.75" customHeight="1">
      <c r="A5" s="199" t="s">
        <v>52</v>
      </c>
      <c r="B5" s="199" t="s">
        <v>50</v>
      </c>
      <c r="C5" s="51">
        <v>45230.0</v>
      </c>
      <c r="D5" s="51">
        <v>45231.0</v>
      </c>
      <c r="E5" s="52">
        <f>SUM(23.5,990,1000,640)</f>
        <v>2653.5</v>
      </c>
      <c r="F5" s="201">
        <v>0.1</v>
      </c>
      <c r="G5" s="54">
        <f t="shared" si="1"/>
        <v>8.3333</v>
      </c>
      <c r="H5" s="55">
        <v>10.7554</v>
      </c>
      <c r="I5" s="55">
        <v>17.9451</v>
      </c>
      <c r="J5" s="56">
        <f t="shared" si="2"/>
        <v>9.07790404</v>
      </c>
      <c r="K5" s="54">
        <v>11.0</v>
      </c>
      <c r="L5" s="54">
        <f t="shared" si="3"/>
        <v>974.3399556</v>
      </c>
      <c r="M5" s="57">
        <f t="shared" si="4"/>
        <v>0.9743399556</v>
      </c>
      <c r="N5" s="57">
        <f t="shared" si="5"/>
        <v>11.69207947</v>
      </c>
      <c r="O5" s="173">
        <v>0.2</v>
      </c>
      <c r="P5" s="58">
        <f t="shared" si="6"/>
        <v>17.10559705</v>
      </c>
      <c r="Q5" s="55">
        <v>2.5</v>
      </c>
      <c r="R5" s="55">
        <v>2.5</v>
      </c>
      <c r="S5" s="55">
        <v>2.5</v>
      </c>
      <c r="T5" s="52">
        <v>1.8</v>
      </c>
      <c r="U5" s="59">
        <f t="shared" si="7"/>
        <v>9.3</v>
      </c>
      <c r="V5" s="59">
        <f t="shared" si="8"/>
        <v>0.108736339</v>
      </c>
      <c r="W5" s="52">
        <v>100.0</v>
      </c>
      <c r="X5" s="175">
        <f t="shared" si="9"/>
        <v>90.61361587</v>
      </c>
      <c r="Y5" s="7"/>
      <c r="Z5" s="7"/>
      <c r="AA5" s="7"/>
      <c r="AB5" s="7"/>
      <c r="AC5" s="7"/>
      <c r="AD5" s="7"/>
      <c r="AE5" s="7"/>
      <c r="AF5" s="7"/>
      <c r="AG5" s="7"/>
    </row>
    <row r="6" ht="15.75" customHeight="1">
      <c r="A6" s="199" t="s">
        <v>60</v>
      </c>
      <c r="B6" s="199" t="s">
        <v>64</v>
      </c>
      <c r="C6" s="51">
        <v>45230.0</v>
      </c>
      <c r="D6" s="51">
        <v>45231.0</v>
      </c>
      <c r="E6" s="52">
        <f>SUM(23.5,1000,880,180)</f>
        <v>2083.5</v>
      </c>
      <c r="F6" s="53">
        <v>0.2008</v>
      </c>
      <c r="G6" s="54">
        <f t="shared" si="1"/>
        <v>16.7332664</v>
      </c>
      <c r="H6" s="55">
        <v>10.7294</v>
      </c>
      <c r="I6" s="55">
        <v>17.9114</v>
      </c>
      <c r="J6" s="56">
        <f t="shared" si="2"/>
        <v>9.068181818</v>
      </c>
      <c r="K6" s="54">
        <v>11.0</v>
      </c>
      <c r="L6" s="54">
        <f t="shared" si="3"/>
        <v>1537.850089</v>
      </c>
      <c r="M6" s="57">
        <f t="shared" si="4"/>
        <v>1.537850089</v>
      </c>
      <c r="N6" s="57">
        <f t="shared" si="5"/>
        <v>18.45420107</v>
      </c>
      <c r="O6" s="173">
        <v>0.2</v>
      </c>
      <c r="P6" s="58">
        <f t="shared" si="6"/>
        <v>10.83764067</v>
      </c>
      <c r="Q6" s="55">
        <v>2.5</v>
      </c>
      <c r="R6" s="55">
        <v>2.5</v>
      </c>
      <c r="S6" s="55">
        <v>2.5</v>
      </c>
      <c r="T6" s="52">
        <v>1.8</v>
      </c>
      <c r="U6" s="59">
        <f t="shared" si="7"/>
        <v>9.3</v>
      </c>
      <c r="V6" s="59">
        <f t="shared" si="8"/>
        <v>0.17162407</v>
      </c>
      <c r="W6" s="52">
        <v>100.0</v>
      </c>
      <c r="X6" s="175">
        <f t="shared" si="9"/>
        <v>143.0200583</v>
      </c>
      <c r="Y6" s="7"/>
      <c r="Z6" s="7"/>
      <c r="AA6" s="7"/>
      <c r="AB6" s="7"/>
      <c r="AC6" s="7"/>
      <c r="AD6" s="7"/>
      <c r="AE6" s="7"/>
      <c r="AF6" s="7"/>
      <c r="AG6" s="7"/>
    </row>
    <row r="7" ht="15.75" customHeight="1">
      <c r="A7" s="199" t="s">
        <v>60</v>
      </c>
      <c r="B7" s="199" t="s">
        <v>67</v>
      </c>
      <c r="C7" s="51">
        <v>45201.0</v>
      </c>
      <c r="D7" s="51">
        <v>45202.0</v>
      </c>
      <c r="E7" s="52">
        <f>SUM(24.5,1000,750,590)</f>
        <v>2364.5</v>
      </c>
      <c r="F7" s="201">
        <v>0.1</v>
      </c>
      <c r="G7" s="54">
        <f t="shared" si="1"/>
        <v>8.3333</v>
      </c>
      <c r="H7" s="55">
        <v>10.7098</v>
      </c>
      <c r="I7" s="55">
        <v>17.7789</v>
      </c>
      <c r="J7" s="56">
        <f t="shared" si="2"/>
        <v>8.925631313</v>
      </c>
      <c r="K7" s="54">
        <v>11.0</v>
      </c>
      <c r="L7" s="54">
        <f t="shared" si="3"/>
        <v>883.0339125</v>
      </c>
      <c r="M7" s="57">
        <f t="shared" si="4"/>
        <v>0.8830339125</v>
      </c>
      <c r="N7" s="57">
        <f t="shared" si="5"/>
        <v>10.59640695</v>
      </c>
      <c r="O7" s="173">
        <v>0.2</v>
      </c>
      <c r="P7" s="58">
        <f t="shared" si="6"/>
        <v>18.8743223</v>
      </c>
      <c r="Q7" s="55">
        <v>2.5</v>
      </c>
      <c r="R7" s="55">
        <v>2.5</v>
      </c>
      <c r="S7" s="55">
        <v>2.5</v>
      </c>
      <c r="T7" s="52">
        <v>1.55</v>
      </c>
      <c r="U7" s="59">
        <f t="shared" si="7"/>
        <v>9.05</v>
      </c>
      <c r="V7" s="59">
        <f t="shared" si="8"/>
        <v>0.0958974829</v>
      </c>
      <c r="W7" s="52">
        <v>100.0</v>
      </c>
      <c r="X7" s="175">
        <f t="shared" si="9"/>
        <v>79.91456908</v>
      </c>
      <c r="Y7" s="7" t="s">
        <v>343</v>
      </c>
      <c r="Z7" s="7"/>
      <c r="AA7" s="7"/>
      <c r="AB7" s="7"/>
      <c r="AC7" s="7"/>
      <c r="AD7" s="7"/>
      <c r="AE7" s="7"/>
      <c r="AF7" s="7"/>
      <c r="AG7" s="7"/>
    </row>
    <row r="8" ht="15.75" customHeight="1">
      <c r="A8" s="199" t="s">
        <v>60</v>
      </c>
      <c r="B8" s="199" t="s">
        <v>69</v>
      </c>
      <c r="C8" s="51">
        <v>45201.0</v>
      </c>
      <c r="D8" s="51">
        <v>45202.0</v>
      </c>
      <c r="E8" s="52">
        <f>SUM(23,990,1000,320)</f>
        <v>2333</v>
      </c>
      <c r="F8" s="201">
        <v>0.1</v>
      </c>
      <c r="G8" s="54">
        <f t="shared" si="1"/>
        <v>8.3333</v>
      </c>
      <c r="H8" s="55">
        <v>10.7094</v>
      </c>
      <c r="I8" s="55">
        <v>18.3044</v>
      </c>
      <c r="J8" s="56">
        <f t="shared" si="2"/>
        <v>9.589646465</v>
      </c>
      <c r="K8" s="54">
        <v>11.0</v>
      </c>
      <c r="L8" s="54">
        <f t="shared" si="3"/>
        <v>810.9407984</v>
      </c>
      <c r="M8" s="57">
        <f t="shared" si="4"/>
        <v>0.8109407984</v>
      </c>
      <c r="N8" s="57">
        <f t="shared" si="5"/>
        <v>9.73128958</v>
      </c>
      <c r="O8" s="173">
        <v>0.2</v>
      </c>
      <c r="P8" s="58">
        <f t="shared" si="6"/>
        <v>20.55226066</v>
      </c>
      <c r="Q8" s="55">
        <v>2.5</v>
      </c>
      <c r="R8" s="55">
        <v>2.5</v>
      </c>
      <c r="S8" s="55">
        <v>2.5</v>
      </c>
      <c r="T8" s="52">
        <v>2.25</v>
      </c>
      <c r="U8" s="59">
        <f t="shared" si="7"/>
        <v>9.75</v>
      </c>
      <c r="V8" s="59">
        <f t="shared" si="8"/>
        <v>0.09488007341</v>
      </c>
      <c r="W8" s="52">
        <v>100.0</v>
      </c>
      <c r="X8" s="175">
        <f t="shared" si="9"/>
        <v>79.06672784</v>
      </c>
      <c r="Y8" s="7"/>
      <c r="Z8" s="7"/>
      <c r="AA8" s="7"/>
      <c r="AB8" s="7"/>
      <c r="AC8" s="7"/>
      <c r="AD8" s="7"/>
      <c r="AE8" s="7"/>
      <c r="AF8" s="7"/>
      <c r="AG8" s="7"/>
    </row>
    <row r="9" ht="15.75" customHeight="1">
      <c r="A9" s="199" t="s">
        <v>60</v>
      </c>
      <c r="B9" s="199" t="s">
        <v>70</v>
      </c>
      <c r="C9" s="51">
        <v>45232.0</v>
      </c>
      <c r="D9" s="51">
        <v>45236.0</v>
      </c>
      <c r="E9" s="52">
        <f>SUM(650,21.5,990,990,590,450,600)</f>
        <v>4291.5</v>
      </c>
      <c r="F9" s="53">
        <v>0.2722</v>
      </c>
      <c r="G9" s="54">
        <f t="shared" si="1"/>
        <v>22.6832426</v>
      </c>
      <c r="H9" s="55">
        <v>10.7021</v>
      </c>
      <c r="I9" s="55">
        <v>18.0546</v>
      </c>
      <c r="J9" s="56">
        <f t="shared" si="2"/>
        <v>9.283459596</v>
      </c>
      <c r="K9" s="54">
        <v>11.0</v>
      </c>
      <c r="L9" s="54">
        <f t="shared" si="3"/>
        <v>4194.34736</v>
      </c>
      <c r="M9" s="57">
        <f t="shared" si="4"/>
        <v>4.19434736</v>
      </c>
      <c r="N9" s="57">
        <f t="shared" si="5"/>
        <v>50.33216832</v>
      </c>
      <c r="O9" s="173">
        <v>0.2</v>
      </c>
      <c r="P9" s="174">
        <f t="shared" si="6"/>
        <v>3.973601907</v>
      </c>
      <c r="Q9" s="55">
        <v>2.5</v>
      </c>
      <c r="R9" s="52">
        <v>2.5</v>
      </c>
      <c r="S9" s="55">
        <v>2.5</v>
      </c>
      <c r="T9" s="52">
        <v>1.9</v>
      </c>
      <c r="U9" s="59">
        <f t="shared" si="7"/>
        <v>9.4</v>
      </c>
      <c r="V9" s="59">
        <f t="shared" si="8"/>
        <v>0.4731223822</v>
      </c>
      <c r="W9" s="52">
        <v>100.0</v>
      </c>
      <c r="X9" s="175">
        <f t="shared" si="9"/>
        <v>394.2686518</v>
      </c>
      <c r="Y9" s="7"/>
      <c r="Z9" s="7"/>
      <c r="AA9" s="7"/>
      <c r="AB9" s="7"/>
      <c r="AC9" s="7"/>
      <c r="AD9" s="7"/>
      <c r="AE9" s="7"/>
      <c r="AF9" s="7"/>
      <c r="AG9" s="7"/>
    </row>
    <row r="10" ht="15.75" customHeight="1">
      <c r="A10" s="199" t="s">
        <v>60</v>
      </c>
      <c r="B10" s="199" t="s">
        <v>71</v>
      </c>
      <c r="C10" s="51">
        <v>45236.0</v>
      </c>
      <c r="D10" s="51">
        <v>45238.0</v>
      </c>
      <c r="E10" s="52">
        <f>SUM(25,990,1000,680,950)</f>
        <v>3645</v>
      </c>
      <c r="F10" s="201">
        <v>0.1</v>
      </c>
      <c r="G10" s="54">
        <f t="shared" si="1"/>
        <v>8.3333</v>
      </c>
      <c r="H10" s="55">
        <v>10.7232</v>
      </c>
      <c r="I10" s="55">
        <v>18.008</v>
      </c>
      <c r="J10" s="56">
        <f t="shared" si="2"/>
        <v>9.197979798</v>
      </c>
      <c r="K10" s="54">
        <v>11.0</v>
      </c>
      <c r="L10" s="54">
        <f t="shared" si="3"/>
        <v>1320.936952</v>
      </c>
      <c r="M10" s="57">
        <f t="shared" si="4"/>
        <v>1.320936952</v>
      </c>
      <c r="N10" s="57">
        <f t="shared" si="5"/>
        <v>15.85124343</v>
      </c>
      <c r="O10" s="173">
        <v>0.2</v>
      </c>
      <c r="P10" s="58">
        <f t="shared" si="6"/>
        <v>12.61730671</v>
      </c>
      <c r="Q10" s="55">
        <v>2.5</v>
      </c>
      <c r="R10" s="52">
        <v>2.5</v>
      </c>
      <c r="S10" s="55">
        <v>2.5</v>
      </c>
      <c r="T10" s="52">
        <v>1.8</v>
      </c>
      <c r="U10" s="59">
        <f t="shared" si="7"/>
        <v>9.3</v>
      </c>
      <c r="V10" s="59">
        <f t="shared" si="8"/>
        <v>0.1474165639</v>
      </c>
      <c r="W10" s="52">
        <v>100.0</v>
      </c>
      <c r="X10" s="175">
        <f t="shared" si="9"/>
        <v>122.8471365</v>
      </c>
      <c r="Y10" s="7"/>
      <c r="Z10" s="7"/>
      <c r="AA10" s="7"/>
      <c r="AB10" s="7"/>
      <c r="AC10" s="7"/>
      <c r="AD10" s="7"/>
      <c r="AE10" s="7"/>
      <c r="AF10" s="7"/>
      <c r="AG10" s="7"/>
    </row>
    <row r="11" ht="15.75" customHeight="1">
      <c r="A11" s="199" t="s">
        <v>52</v>
      </c>
      <c r="B11" s="199" t="s">
        <v>57</v>
      </c>
      <c r="C11" s="51">
        <v>45236.0</v>
      </c>
      <c r="D11" s="51">
        <v>45240.0</v>
      </c>
      <c r="E11" s="52">
        <f>SUM(23.5,710,620,1000,960,820)</f>
        <v>4133.5</v>
      </c>
      <c r="F11" s="52">
        <f>AVERAGE(0.3281,0.3139)</f>
        <v>0.321</v>
      </c>
      <c r="G11" s="54">
        <f t="shared" si="1"/>
        <v>26.749893</v>
      </c>
      <c r="H11" s="55">
        <v>10.7769</v>
      </c>
      <c r="I11" s="55">
        <v>18.0464</v>
      </c>
      <c r="J11" s="56">
        <f t="shared" si="2"/>
        <v>9.178661616</v>
      </c>
      <c r="K11" s="54">
        <v>11.0</v>
      </c>
      <c r="L11" s="54">
        <f t="shared" si="3"/>
        <v>4818.597192</v>
      </c>
      <c r="M11" s="57">
        <f t="shared" si="4"/>
        <v>4.818597192</v>
      </c>
      <c r="N11" s="57">
        <f t="shared" si="5"/>
        <v>57.8231663</v>
      </c>
      <c r="O11" s="173">
        <v>0.2</v>
      </c>
      <c r="P11" s="174">
        <f t="shared" si="6"/>
        <v>3.458821313</v>
      </c>
      <c r="Q11" s="55">
        <v>2.5</v>
      </c>
      <c r="R11" s="52">
        <v>2.5</v>
      </c>
      <c r="S11" s="55">
        <v>2.5</v>
      </c>
      <c r="T11" s="52">
        <v>1.75</v>
      </c>
      <c r="U11" s="59">
        <f t="shared" si="7"/>
        <v>9.25</v>
      </c>
      <c r="V11" s="59">
        <f t="shared" si="8"/>
        <v>0.5348642883</v>
      </c>
      <c r="W11" s="52">
        <v>100.0</v>
      </c>
      <c r="X11" s="175">
        <f t="shared" si="9"/>
        <v>445.7202402</v>
      </c>
      <c r="Y11" s="7"/>
      <c r="Z11" s="7"/>
      <c r="AA11" s="7"/>
      <c r="AB11" s="7"/>
      <c r="AC11" s="7"/>
      <c r="AD11" s="7"/>
      <c r="AE11" s="7"/>
      <c r="AF11" s="7"/>
      <c r="AG11" s="7"/>
    </row>
    <row r="12" ht="15.75" customHeight="1">
      <c r="A12" s="199" t="s">
        <v>79</v>
      </c>
      <c r="B12" s="199" t="s">
        <v>78</v>
      </c>
      <c r="C12" s="51">
        <v>45236.0</v>
      </c>
      <c r="D12" s="51">
        <v>45237.0</v>
      </c>
      <c r="E12" s="52">
        <f>SUM(23.5,1000,750)</f>
        <v>1773.5</v>
      </c>
      <c r="F12" s="53">
        <v>0.2863</v>
      </c>
      <c r="G12" s="54">
        <f t="shared" si="1"/>
        <v>23.8582379</v>
      </c>
      <c r="H12" s="55">
        <v>10.7706</v>
      </c>
      <c r="I12" s="55">
        <v>17.9088</v>
      </c>
      <c r="J12" s="56">
        <f t="shared" si="2"/>
        <v>9.012878788</v>
      </c>
      <c r="K12" s="54">
        <v>11.0</v>
      </c>
      <c r="L12" s="54">
        <f t="shared" si="3"/>
        <v>1877.872139</v>
      </c>
      <c r="M12" s="57">
        <f t="shared" si="4"/>
        <v>1.877872139</v>
      </c>
      <c r="N12" s="57">
        <f t="shared" si="5"/>
        <v>22.53446567</v>
      </c>
      <c r="O12" s="173">
        <v>0.2</v>
      </c>
      <c r="P12" s="58">
        <f t="shared" si="6"/>
        <v>8.875293649</v>
      </c>
      <c r="Q12" s="55">
        <v>2.5</v>
      </c>
      <c r="R12" s="52">
        <v>2.5</v>
      </c>
      <c r="S12" s="55">
        <v>2.5</v>
      </c>
      <c r="T12" s="52">
        <v>1.55</v>
      </c>
      <c r="U12" s="59">
        <f t="shared" si="7"/>
        <v>9.05</v>
      </c>
      <c r="V12" s="59">
        <f t="shared" si="8"/>
        <v>0.2039369143</v>
      </c>
      <c r="W12" s="52">
        <v>100.0</v>
      </c>
      <c r="X12" s="175">
        <f t="shared" si="9"/>
        <v>169.9474286</v>
      </c>
      <c r="Y12" s="7"/>
      <c r="Z12" s="7"/>
      <c r="AA12" s="7"/>
      <c r="AB12" s="7"/>
      <c r="AC12" s="7"/>
      <c r="AD12" s="7"/>
      <c r="AE12" s="7"/>
      <c r="AF12" s="7"/>
      <c r="AG12" s="7"/>
    </row>
    <row r="13" ht="15.75" customHeight="1">
      <c r="A13" s="199" t="s">
        <v>79</v>
      </c>
      <c r="B13" s="199" t="s">
        <v>82</v>
      </c>
      <c r="C13" s="51">
        <v>45237.0</v>
      </c>
      <c r="D13" s="51">
        <v>45239.0</v>
      </c>
      <c r="E13" s="52">
        <f>SUM(21.5,1000,920,440,610,990)</f>
        <v>3981.5</v>
      </c>
      <c r="F13" s="53">
        <v>0.2298</v>
      </c>
      <c r="G13" s="54">
        <f t="shared" si="1"/>
        <v>19.1499234</v>
      </c>
      <c r="H13" s="55">
        <v>10.7704</v>
      </c>
      <c r="I13" s="55">
        <v>17.8568</v>
      </c>
      <c r="J13" s="56">
        <f t="shared" si="2"/>
        <v>8.947474747</v>
      </c>
      <c r="K13" s="54">
        <v>11.0</v>
      </c>
      <c r="L13" s="54">
        <f t="shared" si="3"/>
        <v>3408.578271</v>
      </c>
      <c r="M13" s="57">
        <f t="shared" si="4"/>
        <v>3.408578271</v>
      </c>
      <c r="N13" s="57">
        <f t="shared" si="5"/>
        <v>40.90293926</v>
      </c>
      <c r="O13" s="173">
        <v>0.2</v>
      </c>
      <c r="P13" s="174">
        <f t="shared" si="6"/>
        <v>4.88962416</v>
      </c>
      <c r="Q13" s="55">
        <v>2.5</v>
      </c>
      <c r="R13" s="52">
        <v>2.5</v>
      </c>
      <c r="S13" s="55">
        <v>2.5</v>
      </c>
      <c r="T13" s="52">
        <v>1.55</v>
      </c>
      <c r="U13" s="59">
        <f t="shared" si="7"/>
        <v>9.05</v>
      </c>
      <c r="V13" s="59">
        <f t="shared" si="8"/>
        <v>0.3701716003</v>
      </c>
      <c r="W13" s="52">
        <v>100.0</v>
      </c>
      <c r="X13" s="175">
        <f t="shared" si="9"/>
        <v>308.4763335</v>
      </c>
      <c r="Y13" s="7"/>
      <c r="Z13" s="7"/>
      <c r="AA13" s="7"/>
      <c r="AB13" s="7"/>
      <c r="AC13" s="7"/>
      <c r="AD13" s="7"/>
      <c r="AE13" s="7"/>
      <c r="AF13" s="7"/>
      <c r="AG13" s="7"/>
    </row>
    <row r="14" ht="15.7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ht="15.75" customHeight="1">
      <c r="A16" s="65" t="s">
        <v>0</v>
      </c>
      <c r="B16" s="66" t="s">
        <v>191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ht="15.75" customHeight="1">
      <c r="A17" s="67" t="s">
        <v>192</v>
      </c>
      <c r="B17" s="66" t="s">
        <v>193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ht="15.75" customHeight="1">
      <c r="A18" s="46" t="s">
        <v>194</v>
      </c>
      <c r="B18" s="66" t="s">
        <v>195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ht="15.75" customHeight="1">
      <c r="A19" s="67" t="s">
        <v>196</v>
      </c>
      <c r="B19" s="66" t="s">
        <v>197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</row>
    <row r="20" ht="15.75" customHeight="1">
      <c r="A20" s="46" t="s">
        <v>172</v>
      </c>
      <c r="B20" s="66" t="s">
        <v>198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ht="15.75" customHeight="1">
      <c r="A21" s="67" t="s">
        <v>199</v>
      </c>
      <c r="B21" s="66" t="s">
        <v>200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</row>
    <row r="22" ht="15.75" customHeight="1">
      <c r="A22" s="67" t="s">
        <v>201</v>
      </c>
      <c r="B22" s="66" t="s">
        <v>202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ht="15.75" customHeight="1">
      <c r="A23" s="46" t="s">
        <v>203</v>
      </c>
      <c r="B23" s="66" t="s">
        <v>204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</row>
    <row r="24" ht="15.75" customHeight="1">
      <c r="A24" s="1" t="s">
        <v>205</v>
      </c>
      <c r="B24" s="68">
        <v>0.4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ht="15.75" customHeight="1">
      <c r="A25" s="69" t="s">
        <v>344</v>
      </c>
      <c r="B25" s="70">
        <v>0.792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</row>
    <row r="26" ht="15.75" customHeight="1">
      <c r="A26" s="44" t="s">
        <v>185</v>
      </c>
      <c r="B26" s="66" t="s">
        <v>207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</row>
    <row r="27" ht="15.75" customHeight="1">
      <c r="A27" s="44" t="s">
        <v>185</v>
      </c>
      <c r="B27" s="66" t="s">
        <v>207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</row>
    <row r="28" ht="15.75" customHeight="1">
      <c r="A28" s="55"/>
      <c r="B28" s="71" t="s">
        <v>208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</row>
    <row r="29" ht="15.75" customHeight="1">
      <c r="A29" s="49"/>
      <c r="B29" s="72" t="s">
        <v>335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</row>
    <row r="30" ht="15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ht="15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ht="15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ht="15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ht="15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7.63"/>
    <col customWidth="1" min="3" max="3" width="16.0"/>
    <col customWidth="1" min="4" max="4" width="12.63"/>
    <col customWidth="1" min="5" max="5" width="15.13"/>
    <col customWidth="1" min="6" max="7" width="15.63"/>
    <col customWidth="1" min="8" max="9" width="16.13"/>
  </cols>
  <sheetData>
    <row r="1" ht="15.7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2" ht="15.75" customHeight="1">
      <c r="A2" s="7"/>
      <c r="B2" s="105" t="s">
        <v>345</v>
      </c>
      <c r="C2" s="5" t="s">
        <v>210</v>
      </c>
      <c r="D2" s="75"/>
      <c r="E2" s="75"/>
      <c r="F2" s="75"/>
      <c r="G2" s="75"/>
      <c r="H2" s="76"/>
      <c r="I2" s="5" t="s">
        <v>211</v>
      </c>
      <c r="J2" s="75"/>
      <c r="K2" s="75"/>
      <c r="L2" s="75"/>
      <c r="M2" s="75"/>
      <c r="N2" s="76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</row>
    <row r="3" ht="15.75" customHeight="1">
      <c r="A3" s="7"/>
      <c r="B3" s="77" t="s">
        <v>213</v>
      </c>
      <c r="C3" s="1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78" t="s">
        <v>219</v>
      </c>
      <c r="I3" s="1" t="s">
        <v>220</v>
      </c>
      <c r="J3" s="1" t="s">
        <v>221</v>
      </c>
      <c r="K3" s="1" t="s">
        <v>222</v>
      </c>
      <c r="L3" s="1" t="s">
        <v>223</v>
      </c>
      <c r="M3" s="1" t="s">
        <v>224</v>
      </c>
      <c r="N3" s="78" t="s">
        <v>225</v>
      </c>
      <c r="O3" s="48"/>
      <c r="P3" s="48" t="s">
        <v>213</v>
      </c>
      <c r="Q3" s="7" t="s">
        <v>226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15.75" customHeight="1">
      <c r="A4" s="7"/>
      <c r="B4" s="110">
        <v>5000.0</v>
      </c>
      <c r="C4" s="80">
        <v>4740.7</v>
      </c>
      <c r="D4" s="80">
        <v>4981.1</v>
      </c>
      <c r="E4" s="80">
        <v>5239968.22</v>
      </c>
      <c r="F4" s="80">
        <v>369107.67</v>
      </c>
      <c r="G4" s="80">
        <v>1.384218218E7</v>
      </c>
      <c r="H4" s="81">
        <v>1798000.76</v>
      </c>
      <c r="I4" s="80">
        <v>1.54</v>
      </c>
      <c r="J4" s="80">
        <v>2.782</v>
      </c>
      <c r="K4" s="80">
        <v>0.833</v>
      </c>
      <c r="L4" s="80">
        <v>2.44</v>
      </c>
      <c r="M4" s="80">
        <v>1.659</v>
      </c>
      <c r="N4" s="81">
        <v>2.779</v>
      </c>
      <c r="O4" s="48"/>
      <c r="P4" s="48" t="s">
        <v>227</v>
      </c>
      <c r="Q4" s="7" t="s">
        <v>228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15.75" customHeight="1">
      <c r="A5" s="7"/>
      <c r="B5" s="110">
        <v>5000.0</v>
      </c>
      <c r="C5" s="80">
        <v>4775.4</v>
      </c>
      <c r="D5" s="80">
        <v>5142.0</v>
      </c>
      <c r="E5" s="80">
        <v>5244782.62</v>
      </c>
      <c r="F5" s="80">
        <v>320558.93</v>
      </c>
      <c r="G5" s="82"/>
      <c r="H5" s="83"/>
      <c r="I5" s="80">
        <v>1.522</v>
      </c>
      <c r="J5" s="80">
        <v>2.744</v>
      </c>
      <c r="K5" s="80">
        <v>0.826</v>
      </c>
      <c r="L5" s="82">
        <v>2.433</v>
      </c>
      <c r="M5" s="80">
        <v>1.652</v>
      </c>
      <c r="N5" s="83">
        <v>2.772</v>
      </c>
      <c r="O5" s="44"/>
      <c r="P5" s="44" t="s">
        <v>229</v>
      </c>
      <c r="Q5" s="7" t="s">
        <v>230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</row>
    <row r="6" ht="15.75" customHeight="1">
      <c r="A6" s="7"/>
      <c r="B6" s="110">
        <v>2000.0</v>
      </c>
      <c r="C6" s="80">
        <v>1237.9</v>
      </c>
      <c r="D6" s="80">
        <v>1664.8</v>
      </c>
      <c r="E6" s="80">
        <v>2158649.39</v>
      </c>
      <c r="F6" s="80">
        <v>187196.79</v>
      </c>
      <c r="G6" s="82">
        <v>5795835.61</v>
      </c>
      <c r="H6" s="83">
        <v>486731.6</v>
      </c>
      <c r="I6" s="80">
        <v>1.536</v>
      </c>
      <c r="J6" s="84">
        <v>2.822</v>
      </c>
      <c r="K6" s="80">
        <v>0.837</v>
      </c>
      <c r="L6" s="82">
        <v>2.455</v>
      </c>
      <c r="M6" s="80">
        <v>1.674</v>
      </c>
      <c r="N6" s="83">
        <v>2.783</v>
      </c>
      <c r="O6" s="48"/>
      <c r="P6" s="48" t="s">
        <v>231</v>
      </c>
      <c r="Q6" s="7" t="s">
        <v>232</v>
      </c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</row>
    <row r="7" ht="15.75" customHeight="1">
      <c r="A7" s="7"/>
      <c r="B7" s="110">
        <v>2000.0</v>
      </c>
      <c r="C7" s="80">
        <v>1250.7</v>
      </c>
      <c r="D7" s="80">
        <v>1688.3</v>
      </c>
      <c r="E7" s="80">
        <v>2087193.55</v>
      </c>
      <c r="F7" s="80">
        <v>167875.06</v>
      </c>
      <c r="G7" s="80">
        <v>5699361.24</v>
      </c>
      <c r="H7" s="81">
        <v>512026.6</v>
      </c>
      <c r="I7" s="80">
        <v>1.528</v>
      </c>
      <c r="J7" s="84">
        <v>2.778</v>
      </c>
      <c r="K7" s="80">
        <v>0.836</v>
      </c>
      <c r="L7" s="80">
        <v>2.431</v>
      </c>
      <c r="M7" s="80">
        <v>1.673</v>
      </c>
      <c r="N7" s="83">
        <v>2.771</v>
      </c>
      <c r="O7" s="44"/>
      <c r="P7" s="44" t="s">
        <v>233</v>
      </c>
      <c r="Q7" s="7" t="s">
        <v>234</v>
      </c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</row>
    <row r="8" ht="15.75" customHeight="1">
      <c r="A8" s="7"/>
      <c r="B8" s="110">
        <v>1000.0</v>
      </c>
      <c r="C8" s="80">
        <v>457.0</v>
      </c>
      <c r="D8" s="80">
        <v>693.9</v>
      </c>
      <c r="E8" s="80">
        <v>968860.74</v>
      </c>
      <c r="F8" s="80">
        <v>100229.16</v>
      </c>
      <c r="G8" s="80">
        <v>2817089.16</v>
      </c>
      <c r="H8" s="83">
        <v>172190.76</v>
      </c>
      <c r="I8" s="80">
        <v>1.569</v>
      </c>
      <c r="J8" s="80">
        <v>2.904</v>
      </c>
      <c r="K8" s="80">
        <v>0.837</v>
      </c>
      <c r="L8" s="80">
        <v>2.432</v>
      </c>
      <c r="M8" s="80">
        <v>1.685</v>
      </c>
      <c r="N8" s="81">
        <v>2.783</v>
      </c>
      <c r="O8" s="44"/>
      <c r="P8" s="85">
        <v>100.0</v>
      </c>
      <c r="Q8" s="7" t="s">
        <v>235</v>
      </c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ht="15.75" customHeight="1">
      <c r="A9" s="7"/>
      <c r="B9" s="110">
        <v>1000.0</v>
      </c>
      <c r="C9" s="80">
        <v>462.9</v>
      </c>
      <c r="D9" s="80">
        <v>701.2</v>
      </c>
      <c r="E9" s="80">
        <v>909724.22</v>
      </c>
      <c r="F9" s="80">
        <v>82264.88</v>
      </c>
      <c r="G9" s="80">
        <v>2681438.62</v>
      </c>
      <c r="H9" s="83">
        <v>160020.32</v>
      </c>
      <c r="I9" s="80">
        <v>1.532</v>
      </c>
      <c r="J9" s="84">
        <v>2.803</v>
      </c>
      <c r="K9" s="80">
        <v>0.827</v>
      </c>
      <c r="L9" s="80">
        <v>2.434</v>
      </c>
      <c r="M9" s="80">
        <v>1.675</v>
      </c>
      <c r="N9" s="83">
        <v>2.784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</row>
    <row r="10" ht="15.75" customHeight="1">
      <c r="A10" s="7"/>
      <c r="B10" s="110">
        <v>200.0</v>
      </c>
      <c r="C10" s="80">
        <v>104.3</v>
      </c>
      <c r="D10" s="80">
        <v>138.2</v>
      </c>
      <c r="E10" s="80">
        <v>197285.89</v>
      </c>
      <c r="F10" s="80">
        <v>20443.8</v>
      </c>
      <c r="G10" s="80">
        <v>538706.23</v>
      </c>
      <c r="H10" s="83">
        <v>36630.96</v>
      </c>
      <c r="I10" s="89">
        <v>1.553</v>
      </c>
      <c r="J10" s="80">
        <v>2.934</v>
      </c>
      <c r="K10" s="80">
        <v>0.847</v>
      </c>
      <c r="L10" s="80">
        <v>2.465</v>
      </c>
      <c r="M10" s="80">
        <v>1.695</v>
      </c>
      <c r="N10" s="83">
        <v>2.793</v>
      </c>
      <c r="O10" s="87"/>
      <c r="P10" s="18"/>
      <c r="Q10" s="18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</row>
    <row r="11" ht="15.75" customHeight="1">
      <c r="A11" s="7"/>
      <c r="B11" s="110">
        <v>200.0</v>
      </c>
      <c r="C11" s="80">
        <v>114.8</v>
      </c>
      <c r="D11" s="80">
        <v>139.2</v>
      </c>
      <c r="E11" s="80">
        <v>185533.93</v>
      </c>
      <c r="F11" s="80">
        <v>16662.58</v>
      </c>
      <c r="G11" s="80">
        <v>523234.48</v>
      </c>
      <c r="H11" s="83">
        <v>28205.63</v>
      </c>
      <c r="I11" s="80">
        <v>1.54</v>
      </c>
      <c r="J11" s="80">
        <v>2.831</v>
      </c>
      <c r="K11" s="80">
        <v>0.858</v>
      </c>
      <c r="L11" s="80">
        <v>2.43</v>
      </c>
      <c r="M11" s="80">
        <v>1.672</v>
      </c>
      <c r="N11" s="83">
        <v>2.781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</row>
    <row r="12" ht="15.75" customHeight="1">
      <c r="A12" s="7"/>
      <c r="B12" s="110">
        <v>100.0</v>
      </c>
      <c r="C12" s="80">
        <v>41.5</v>
      </c>
      <c r="D12" s="80">
        <v>52.2</v>
      </c>
      <c r="E12" s="80">
        <v>74170.53</v>
      </c>
      <c r="F12" s="80">
        <v>7392.31</v>
      </c>
      <c r="G12" s="80">
        <v>228282.69</v>
      </c>
      <c r="H12" s="83">
        <v>4643.64</v>
      </c>
      <c r="I12" s="80">
        <v>1.55</v>
      </c>
      <c r="J12" s="80">
        <v>2.983</v>
      </c>
      <c r="K12" s="80">
        <v>0.87</v>
      </c>
      <c r="L12" s="80">
        <v>2.465</v>
      </c>
      <c r="M12" s="80">
        <v>1.753</v>
      </c>
      <c r="N12" s="81">
        <v>2.828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</row>
    <row r="13" ht="15.75" customHeight="1">
      <c r="A13" s="7"/>
      <c r="B13" s="110">
        <v>100.0</v>
      </c>
      <c r="C13" s="80">
        <v>47.5</v>
      </c>
      <c r="D13" s="80">
        <v>52.4</v>
      </c>
      <c r="E13" s="80">
        <v>59416.7</v>
      </c>
      <c r="F13" s="80">
        <v>5501.64</v>
      </c>
      <c r="G13" s="80">
        <v>201179.64</v>
      </c>
      <c r="H13" s="83">
        <v>4884.43</v>
      </c>
      <c r="I13" s="80">
        <v>1.544</v>
      </c>
      <c r="J13" s="80">
        <v>2.856</v>
      </c>
      <c r="K13" s="80">
        <v>0.867</v>
      </c>
      <c r="L13" s="80">
        <v>2.418</v>
      </c>
      <c r="M13" s="80">
        <v>1.682</v>
      </c>
      <c r="N13" s="83">
        <v>2.757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</row>
    <row r="14" ht="15.75" customHeight="1">
      <c r="A14" s="7"/>
      <c r="B14" s="110">
        <v>12.5</v>
      </c>
      <c r="C14" s="80">
        <v>5.1</v>
      </c>
      <c r="D14" s="80">
        <v>6.4</v>
      </c>
      <c r="E14" s="80">
        <v>8017.68</v>
      </c>
      <c r="F14" s="80"/>
      <c r="G14" s="80">
        <v>29210.31</v>
      </c>
      <c r="H14" s="88"/>
      <c r="I14" s="80">
        <v>1.545</v>
      </c>
      <c r="J14" s="89">
        <v>3.034</v>
      </c>
      <c r="K14" s="80">
        <v>0.894</v>
      </c>
      <c r="L14" s="80"/>
      <c r="M14" s="80">
        <v>1.844</v>
      </c>
      <c r="N14" s="83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</row>
    <row r="15" ht="15.75" customHeight="1">
      <c r="A15" s="7"/>
      <c r="B15" s="112">
        <v>12.5</v>
      </c>
      <c r="C15" s="92"/>
      <c r="D15" s="92">
        <v>5.8</v>
      </c>
      <c r="E15" s="92">
        <v>7634.51</v>
      </c>
      <c r="F15" s="93"/>
      <c r="G15" s="93">
        <v>27090.83</v>
      </c>
      <c r="H15" s="94"/>
      <c r="I15" s="92"/>
      <c r="J15" s="95">
        <v>2.885</v>
      </c>
      <c r="K15" s="92">
        <v>0.85</v>
      </c>
      <c r="L15" s="93"/>
      <c r="M15" s="93">
        <v>1.687</v>
      </c>
      <c r="N15" s="96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</row>
    <row r="16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</row>
    <row r="17" ht="15.75" customHeight="1">
      <c r="A17" s="7"/>
      <c r="B17" s="105" t="s">
        <v>346</v>
      </c>
      <c r="C17" s="5" t="s">
        <v>210</v>
      </c>
      <c r="D17" s="75"/>
      <c r="E17" s="75"/>
      <c r="F17" s="75"/>
      <c r="G17" s="75"/>
      <c r="H17" s="76"/>
      <c r="I17" s="5" t="s">
        <v>211</v>
      </c>
      <c r="J17" s="75"/>
      <c r="K17" s="75"/>
      <c r="L17" s="75"/>
      <c r="M17" s="75"/>
      <c r="N17" s="76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</row>
    <row r="18" ht="15.75" customHeight="1">
      <c r="A18" s="7"/>
      <c r="B18" s="77" t="s">
        <v>213</v>
      </c>
      <c r="C18" s="1" t="s">
        <v>214</v>
      </c>
      <c r="D18" s="1" t="s">
        <v>215</v>
      </c>
      <c r="E18" s="1" t="s">
        <v>216</v>
      </c>
      <c r="F18" s="1" t="s">
        <v>217</v>
      </c>
      <c r="G18" s="1" t="s">
        <v>218</v>
      </c>
      <c r="H18" s="78" t="s">
        <v>219</v>
      </c>
      <c r="I18" s="1" t="s">
        <v>220</v>
      </c>
      <c r="J18" s="1" t="s">
        <v>221</v>
      </c>
      <c r="K18" s="1" t="s">
        <v>222</v>
      </c>
      <c r="L18" s="1" t="s">
        <v>223</v>
      </c>
      <c r="M18" s="1" t="s">
        <v>224</v>
      </c>
      <c r="N18" s="78" t="s">
        <v>225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</row>
    <row r="19" ht="15.75" customHeight="1">
      <c r="A19" s="7"/>
      <c r="B19" s="110">
        <v>5000.0</v>
      </c>
      <c r="C19" s="80"/>
      <c r="D19" s="80"/>
      <c r="E19" s="80">
        <v>5431983.17</v>
      </c>
      <c r="F19" s="80">
        <v>235348.38</v>
      </c>
      <c r="G19" s="80">
        <v>1.382086539E7</v>
      </c>
      <c r="H19" s="81">
        <v>1777608.86</v>
      </c>
      <c r="I19" s="80"/>
      <c r="J19" s="80"/>
      <c r="K19" s="80">
        <v>0.825</v>
      </c>
      <c r="L19" s="80">
        <v>2.454</v>
      </c>
      <c r="M19" s="80">
        <v>1.673</v>
      </c>
      <c r="N19" s="81">
        <v>2.793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</row>
    <row r="20" ht="15.75" customHeight="1">
      <c r="A20" s="7"/>
      <c r="B20" s="110">
        <v>5000.0</v>
      </c>
      <c r="C20" s="80"/>
      <c r="D20" s="80"/>
      <c r="E20" s="80">
        <v>5340899.72</v>
      </c>
      <c r="F20" s="80">
        <v>221936.12</v>
      </c>
      <c r="G20" s="82"/>
      <c r="H20" s="83"/>
      <c r="I20" s="80"/>
      <c r="J20" s="80"/>
      <c r="K20" s="80">
        <v>0.823</v>
      </c>
      <c r="L20" s="82">
        <v>2.43</v>
      </c>
      <c r="M20" s="80">
        <v>1.672</v>
      </c>
      <c r="N20" s="83">
        <v>2.781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</row>
    <row r="21" ht="15.75" customHeight="1">
      <c r="A21" s="7"/>
      <c r="B21" s="110">
        <v>2000.0</v>
      </c>
      <c r="C21" s="80"/>
      <c r="D21" s="80"/>
      <c r="E21" s="80">
        <v>2205882.07</v>
      </c>
      <c r="F21" s="80"/>
      <c r="G21" s="80">
        <v>5894327.84</v>
      </c>
      <c r="H21" s="83">
        <v>523970.56</v>
      </c>
      <c r="I21" s="80"/>
      <c r="J21" s="84"/>
      <c r="K21" s="80">
        <v>0.838</v>
      </c>
      <c r="L21" s="80">
        <v>2.445</v>
      </c>
      <c r="M21" s="82">
        <v>1.687</v>
      </c>
      <c r="N21" s="83">
        <v>2.785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</row>
    <row r="22" ht="15.75" customHeight="1">
      <c r="A22" s="7"/>
      <c r="B22" s="110">
        <v>2000.0</v>
      </c>
      <c r="C22" s="80"/>
      <c r="D22" s="80"/>
      <c r="E22" s="80">
        <v>2080679.77</v>
      </c>
      <c r="F22" s="80">
        <v>114752.72</v>
      </c>
      <c r="G22" s="80">
        <v>5538140.39</v>
      </c>
      <c r="H22" s="83">
        <v>485410.61</v>
      </c>
      <c r="I22" s="80"/>
      <c r="J22" s="84"/>
      <c r="K22" s="80">
        <v>0.84</v>
      </c>
      <c r="L22" s="80">
        <v>2.447</v>
      </c>
      <c r="M22" s="80">
        <v>1.677</v>
      </c>
      <c r="N22" s="83">
        <v>2.775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</row>
    <row r="23" ht="15.75" customHeight="1">
      <c r="A23" s="7"/>
      <c r="B23" s="110">
        <v>1000.0</v>
      </c>
      <c r="C23" s="80"/>
      <c r="D23" s="80"/>
      <c r="E23" s="80">
        <v>1010663.6</v>
      </c>
      <c r="F23" s="80">
        <v>74075.16</v>
      </c>
      <c r="G23" s="80">
        <v>2799847.39</v>
      </c>
      <c r="H23" s="81">
        <v>156361.5</v>
      </c>
      <c r="I23" s="80"/>
      <c r="J23" s="80"/>
      <c r="K23" s="80">
        <v>0.839</v>
      </c>
      <c r="L23" s="80">
        <v>2.446</v>
      </c>
      <c r="M23" s="80">
        <v>1.699</v>
      </c>
      <c r="N23" s="81">
        <v>2.796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</row>
    <row r="24" ht="15.75" customHeight="1">
      <c r="A24" s="7"/>
      <c r="B24" s="110">
        <v>1000.0</v>
      </c>
      <c r="C24" s="80"/>
      <c r="D24" s="80"/>
      <c r="E24" s="80">
        <v>935911.31</v>
      </c>
      <c r="F24" s="80">
        <v>73320.85</v>
      </c>
      <c r="G24" s="80">
        <v>2663904.2</v>
      </c>
      <c r="H24" s="83">
        <v>150863.75</v>
      </c>
      <c r="I24" s="80"/>
      <c r="J24" s="84"/>
      <c r="K24" s="80">
        <v>0.848</v>
      </c>
      <c r="L24" s="80">
        <v>2.466</v>
      </c>
      <c r="M24" s="80">
        <v>1.685</v>
      </c>
      <c r="N24" s="83">
        <v>2.783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</row>
    <row r="25" ht="15.75" customHeight="1">
      <c r="A25" s="7"/>
      <c r="B25" s="110">
        <v>200.0</v>
      </c>
      <c r="C25" s="80"/>
      <c r="D25" s="80"/>
      <c r="E25" s="80">
        <v>202539.17</v>
      </c>
      <c r="F25" s="80">
        <v>12176.01</v>
      </c>
      <c r="G25" s="80">
        <v>556982.69</v>
      </c>
      <c r="H25" s="83">
        <v>25893.14</v>
      </c>
      <c r="I25" s="89"/>
      <c r="J25" s="80"/>
      <c r="K25" s="80">
        <v>0.84</v>
      </c>
      <c r="L25" s="80">
        <v>2.459</v>
      </c>
      <c r="M25" s="80">
        <v>1.723</v>
      </c>
      <c r="N25" s="83">
        <v>2.821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</row>
    <row r="26" ht="15.75" customHeight="1">
      <c r="A26" s="7"/>
      <c r="B26" s="110">
        <v>200.0</v>
      </c>
      <c r="C26" s="80"/>
      <c r="D26" s="80"/>
      <c r="E26" s="80">
        <v>195016.1</v>
      </c>
      <c r="F26" s="80">
        <v>10915.45</v>
      </c>
      <c r="G26" s="80">
        <v>532305.26</v>
      </c>
      <c r="H26" s="83">
        <v>25821.95</v>
      </c>
      <c r="I26" s="80"/>
      <c r="J26" s="80"/>
      <c r="K26" s="80">
        <v>0.835</v>
      </c>
      <c r="L26" s="80">
        <v>2.43</v>
      </c>
      <c r="M26" s="80">
        <v>1.683</v>
      </c>
      <c r="N26" s="83">
        <v>2.792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</row>
    <row r="27" ht="15.75" customHeight="1">
      <c r="A27" s="7"/>
      <c r="B27" s="110">
        <v>100.0</v>
      </c>
      <c r="C27" s="80"/>
      <c r="D27" s="80"/>
      <c r="E27" s="80">
        <v>68156.04</v>
      </c>
      <c r="F27" s="80">
        <v>5929.77</v>
      </c>
      <c r="G27" s="80">
        <v>216997.36</v>
      </c>
      <c r="H27" s="81">
        <v>5038.98</v>
      </c>
      <c r="I27" s="80"/>
      <c r="J27" s="80"/>
      <c r="K27" s="80">
        <v>0.864</v>
      </c>
      <c r="L27" s="80">
        <v>2.516</v>
      </c>
      <c r="M27" s="80">
        <v>1.758</v>
      </c>
      <c r="N27" s="81">
        <v>2.832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</row>
    <row r="28" ht="15.75" customHeight="1">
      <c r="A28" s="7"/>
      <c r="B28" s="110">
        <v>100.0</v>
      </c>
      <c r="C28" s="80"/>
      <c r="D28" s="80"/>
      <c r="E28" s="80">
        <v>69041.16</v>
      </c>
      <c r="F28" s="80">
        <v>4227.96</v>
      </c>
      <c r="G28" s="80">
        <v>211247.07</v>
      </c>
      <c r="H28" s="83">
        <v>5221.59</v>
      </c>
      <c r="I28" s="80"/>
      <c r="J28" s="80"/>
      <c r="K28" s="80">
        <v>0.852</v>
      </c>
      <c r="L28" s="80">
        <v>2.447</v>
      </c>
      <c r="M28" s="80">
        <v>1.689</v>
      </c>
      <c r="N28" s="83">
        <v>2.798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</row>
    <row r="29" ht="15.75" customHeight="1">
      <c r="A29" s="7"/>
      <c r="B29" s="110">
        <v>12.5</v>
      </c>
      <c r="C29" s="80"/>
      <c r="D29" s="80"/>
      <c r="E29" s="80">
        <v>8741.1</v>
      </c>
      <c r="F29" s="80"/>
      <c r="G29" s="80">
        <v>27983.41</v>
      </c>
      <c r="H29" s="88">
        <v>307.39</v>
      </c>
      <c r="I29" s="80"/>
      <c r="J29" s="89"/>
      <c r="K29" s="80">
        <v>0.919</v>
      </c>
      <c r="L29" s="80"/>
      <c r="M29" s="80">
        <v>1.858</v>
      </c>
      <c r="N29" s="83">
        <v>2.854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</row>
    <row r="30" ht="15.75" customHeight="1">
      <c r="A30" s="7"/>
      <c r="B30" s="112">
        <v>12.5</v>
      </c>
      <c r="C30" s="92"/>
      <c r="D30" s="92"/>
      <c r="E30" s="92">
        <v>8288.85</v>
      </c>
      <c r="F30" s="93"/>
      <c r="G30" s="93">
        <v>26845.62</v>
      </c>
      <c r="H30" s="94"/>
      <c r="I30" s="92"/>
      <c r="J30" s="95"/>
      <c r="K30" s="92">
        <v>0.914</v>
      </c>
      <c r="L30" s="93"/>
      <c r="M30" s="93">
        <v>1.695</v>
      </c>
      <c r="N30" s="96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</row>
    <row r="31" ht="15.75" customHeight="1">
      <c r="A31" s="7"/>
      <c r="B31" s="7"/>
      <c r="C31" s="1"/>
      <c r="D31" s="1"/>
      <c r="E31" s="1"/>
      <c r="F31" s="1"/>
      <c r="G31" s="1"/>
      <c r="H31" s="1"/>
      <c r="I31" s="18"/>
      <c r="J31" s="7"/>
      <c r="K31" s="10"/>
      <c r="L31" s="10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</row>
    <row r="32" ht="15.75" customHeight="1">
      <c r="A32" s="7"/>
      <c r="B32" s="97"/>
      <c r="C32" s="98" t="s">
        <v>236</v>
      </c>
      <c r="D32" s="98" t="s">
        <v>237</v>
      </c>
      <c r="E32" s="98" t="s">
        <v>238</v>
      </c>
      <c r="F32" s="98" t="s">
        <v>239</v>
      </c>
      <c r="G32" s="98" t="s">
        <v>240</v>
      </c>
      <c r="H32" s="99" t="s">
        <v>241</v>
      </c>
      <c r="I32" s="18"/>
      <c r="J32" s="7"/>
      <c r="K32" s="10"/>
      <c r="L32" s="10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</row>
    <row r="33" ht="15.75" customHeight="1">
      <c r="A33" s="7"/>
      <c r="B33" s="100" t="s">
        <v>242</v>
      </c>
      <c r="C33" s="92">
        <v>14.2</v>
      </c>
      <c r="D33" s="92">
        <v>13.6</v>
      </c>
      <c r="E33" s="92">
        <v>12.2</v>
      </c>
      <c r="F33" s="92">
        <v>11.6</v>
      </c>
      <c r="G33" s="92">
        <v>11.7</v>
      </c>
      <c r="H33" s="94">
        <v>11.6</v>
      </c>
      <c r="I33" s="101" t="s">
        <v>347</v>
      </c>
      <c r="J33" s="7"/>
      <c r="K33" s="7"/>
      <c r="L33" s="44"/>
      <c r="M33" s="7"/>
      <c r="N33" s="7"/>
      <c r="O33" s="7"/>
      <c r="P33" s="73"/>
      <c r="Q33" s="73"/>
      <c r="R33" s="73"/>
      <c r="S33" s="73"/>
      <c r="T33" s="73"/>
      <c r="U33" s="73"/>
      <c r="V33" s="73"/>
      <c r="W33" s="73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</row>
    <row r="34" ht="15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10"/>
      <c r="L34" s="10"/>
      <c r="M34" s="4"/>
      <c r="N34" s="4"/>
      <c r="O34" s="4"/>
      <c r="P34" s="102" t="s">
        <v>244</v>
      </c>
      <c r="Q34" s="103" t="s">
        <v>245</v>
      </c>
      <c r="R34" s="103" t="s">
        <v>246</v>
      </c>
      <c r="S34" s="103" t="s">
        <v>247</v>
      </c>
      <c r="T34" s="103" t="s">
        <v>248</v>
      </c>
      <c r="U34" s="103" t="s">
        <v>249</v>
      </c>
      <c r="V34" s="25" t="s">
        <v>250</v>
      </c>
      <c r="W34" s="104" t="s">
        <v>251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</row>
    <row r="35" ht="15.75" customHeight="1">
      <c r="A35" s="7"/>
      <c r="B35" s="105" t="s">
        <v>213</v>
      </c>
      <c r="C35" s="98" t="s">
        <v>22</v>
      </c>
      <c r="D35" s="98" t="s">
        <v>23</v>
      </c>
      <c r="E35" s="98" t="s">
        <v>24</v>
      </c>
      <c r="F35" s="98" t="s">
        <v>25</v>
      </c>
      <c r="G35" s="98" t="s">
        <v>252</v>
      </c>
      <c r="H35" s="99" t="s">
        <v>27</v>
      </c>
      <c r="I35" s="7"/>
      <c r="J35" s="7"/>
      <c r="K35" s="10"/>
      <c r="L35" s="10"/>
      <c r="M35" s="4"/>
      <c r="N35" s="4"/>
      <c r="O35" s="4"/>
      <c r="P35" s="106" t="s">
        <v>253</v>
      </c>
      <c r="Q35" s="107" t="s">
        <v>254</v>
      </c>
      <c r="R35" s="107" t="s">
        <v>255</v>
      </c>
      <c r="S35" s="107" t="s">
        <v>246</v>
      </c>
      <c r="T35" s="107" t="s">
        <v>256</v>
      </c>
      <c r="U35" s="107" t="s">
        <v>257</v>
      </c>
      <c r="V35" s="108"/>
      <c r="W35" s="109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</row>
    <row r="36" ht="15.75" customHeight="1">
      <c r="A36" s="7"/>
      <c r="B36" s="110">
        <v>5000.0</v>
      </c>
      <c r="C36" s="57">
        <f>C33/1000/$C$60*1000*1000/$P$8*1000</f>
        <v>414.9983926</v>
      </c>
      <c r="D36" s="57">
        <f>D33*1000*1000/$P$8/$C$61</f>
        <v>456.1309364</v>
      </c>
      <c r="E36" s="7">
        <f>E33*1000*1000/$P$8/$C$62</f>
        <v>497.6544972</v>
      </c>
      <c r="F36" s="7">
        <f t="shared" ref="F36:H36" si="1">F33*1000*1000/$P$8/$C$63</f>
        <v>552.0129438</v>
      </c>
      <c r="G36" s="7">
        <f t="shared" si="1"/>
        <v>556.771676</v>
      </c>
      <c r="H36" s="74">
        <f t="shared" si="1"/>
        <v>552.0129438</v>
      </c>
      <c r="I36" s="7"/>
      <c r="J36" s="7"/>
      <c r="K36" s="10"/>
      <c r="L36" s="10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</row>
    <row r="37" ht="15.75" customHeight="1">
      <c r="A37" s="7"/>
      <c r="B37" s="110">
        <v>5000.0</v>
      </c>
      <c r="C37" s="57">
        <f>C33/1000/342.17*1000*1000/$P$8*1000</f>
        <v>414.9983926</v>
      </c>
      <c r="D37" s="57">
        <f t="shared" ref="D37:H37" si="2">D33*1000*1000/$P$8/298.16</f>
        <v>456.1309364</v>
      </c>
      <c r="E37" s="7">
        <f t="shared" si="2"/>
        <v>409.1762812</v>
      </c>
      <c r="F37" s="7">
        <f t="shared" si="2"/>
        <v>389.0528575</v>
      </c>
      <c r="G37" s="7">
        <f t="shared" si="2"/>
        <v>392.4067615</v>
      </c>
      <c r="H37" s="74">
        <f t="shared" si="2"/>
        <v>389.0528575</v>
      </c>
      <c r="I37" s="7"/>
      <c r="J37" s="7"/>
      <c r="K37" s="10"/>
      <c r="L37" s="10"/>
      <c r="M37" s="7"/>
      <c r="N37" s="7"/>
      <c r="O37" s="7"/>
      <c r="P37" s="82"/>
      <c r="Q37" s="7" t="s">
        <v>208</v>
      </c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</row>
    <row r="38" ht="15.75" customHeight="1">
      <c r="A38" s="7"/>
      <c r="B38" s="110">
        <v>2000.0</v>
      </c>
      <c r="C38" s="57">
        <f t="shared" ref="C38:C47" si="3">B38*$C$36/$B$36</f>
        <v>165.999357</v>
      </c>
      <c r="D38" s="57">
        <f t="shared" ref="D38:D40" si="4">B38*$D$36/$B$36</f>
        <v>182.4523746</v>
      </c>
      <c r="E38" s="7">
        <f t="shared" ref="E38:E47" si="5">B38*$E$36/$B$36</f>
        <v>199.0617989</v>
      </c>
      <c r="F38" s="7">
        <f t="shared" ref="F38:F45" si="6">B38*$F$36/$B$36</f>
        <v>220.8051775</v>
      </c>
      <c r="G38" s="7">
        <f t="shared" ref="G38:G47" si="7">B38*$G$36/$B$36</f>
        <v>222.7086704</v>
      </c>
      <c r="H38" s="74">
        <f t="shared" ref="H38:H45" si="8">B38*$H$36/$B$36</f>
        <v>220.8051775</v>
      </c>
      <c r="I38" s="7"/>
      <c r="J38" s="7"/>
      <c r="K38" s="10"/>
      <c r="L38" s="10"/>
      <c r="M38" s="7"/>
      <c r="N38" s="7"/>
      <c r="O38" s="7"/>
      <c r="P38" s="111"/>
      <c r="Q38" s="7" t="s">
        <v>258</v>
      </c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</row>
    <row r="39" ht="15.75" customHeight="1">
      <c r="A39" s="7"/>
      <c r="B39" s="110">
        <v>2000.0</v>
      </c>
      <c r="C39" s="57">
        <f t="shared" si="3"/>
        <v>165.999357</v>
      </c>
      <c r="D39" s="57">
        <f t="shared" si="4"/>
        <v>182.4523746</v>
      </c>
      <c r="E39" s="7">
        <f t="shared" si="5"/>
        <v>199.0617989</v>
      </c>
      <c r="F39" s="7">
        <f t="shared" si="6"/>
        <v>220.8051775</v>
      </c>
      <c r="G39" s="7">
        <f t="shared" si="7"/>
        <v>222.7086704</v>
      </c>
      <c r="H39" s="74">
        <f t="shared" si="8"/>
        <v>220.8051775</v>
      </c>
      <c r="I39" s="7"/>
      <c r="J39" s="7"/>
      <c r="K39" s="10"/>
      <c r="L39" s="10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</row>
    <row r="40" ht="15.75" customHeight="1">
      <c r="A40" s="7"/>
      <c r="B40" s="110">
        <v>1000.0</v>
      </c>
      <c r="C40" s="57">
        <f t="shared" si="3"/>
        <v>82.99967852</v>
      </c>
      <c r="D40" s="57">
        <f t="shared" si="4"/>
        <v>91.22618728</v>
      </c>
      <c r="E40" s="7">
        <f t="shared" si="5"/>
        <v>99.53089945</v>
      </c>
      <c r="F40" s="7">
        <f t="shared" si="6"/>
        <v>110.4025888</v>
      </c>
      <c r="G40" s="7">
        <f t="shared" si="7"/>
        <v>111.3543352</v>
      </c>
      <c r="H40" s="74">
        <f t="shared" si="8"/>
        <v>110.4025888</v>
      </c>
      <c r="I40" s="7"/>
      <c r="J40" s="7"/>
      <c r="K40" s="10"/>
      <c r="L40" s="10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</row>
    <row r="41" ht="15.75" customHeight="1">
      <c r="A41" s="7"/>
      <c r="B41" s="110">
        <v>1000.0</v>
      </c>
      <c r="C41" s="57">
        <f t="shared" si="3"/>
        <v>82.99967852</v>
      </c>
      <c r="D41" s="57">
        <f>B40*$D$36/$B$36</f>
        <v>91.22618728</v>
      </c>
      <c r="E41" s="7">
        <f t="shared" si="5"/>
        <v>99.53089945</v>
      </c>
      <c r="F41" s="7">
        <f t="shared" si="6"/>
        <v>110.4025888</v>
      </c>
      <c r="G41" s="7">
        <f t="shared" si="7"/>
        <v>111.3543352</v>
      </c>
      <c r="H41" s="74">
        <f t="shared" si="8"/>
        <v>110.4025888</v>
      </c>
      <c r="I41" s="7"/>
      <c r="J41" s="7"/>
      <c r="K41" s="10"/>
      <c r="L41" s="10"/>
      <c r="M41" s="7"/>
      <c r="N41" s="7"/>
      <c r="O41" s="7"/>
      <c r="P41" s="7" t="s">
        <v>259</v>
      </c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</row>
    <row r="42" ht="15.75" customHeight="1">
      <c r="A42" s="7"/>
      <c r="B42" s="110">
        <v>200.0</v>
      </c>
      <c r="C42" s="57">
        <f t="shared" si="3"/>
        <v>16.5999357</v>
      </c>
      <c r="D42" s="57">
        <f>B42*$D$36/$B$36</f>
        <v>18.24523746</v>
      </c>
      <c r="E42" s="7">
        <f t="shared" si="5"/>
        <v>19.90617989</v>
      </c>
      <c r="F42" s="7">
        <f t="shared" si="6"/>
        <v>22.08051775</v>
      </c>
      <c r="G42" s="7">
        <f t="shared" si="7"/>
        <v>22.27086704</v>
      </c>
      <c r="H42" s="74">
        <f t="shared" si="8"/>
        <v>22.08051775</v>
      </c>
      <c r="I42" s="7"/>
      <c r="J42" s="7"/>
      <c r="K42" s="10"/>
      <c r="L42" s="1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</row>
    <row r="43" ht="15.75" customHeight="1">
      <c r="A43" s="7"/>
      <c r="B43" s="110">
        <v>200.0</v>
      </c>
      <c r="C43" s="57">
        <f t="shared" si="3"/>
        <v>16.5999357</v>
      </c>
      <c r="D43" s="57">
        <f>B42*$D$36/$B$36</f>
        <v>18.24523746</v>
      </c>
      <c r="E43" s="7">
        <f t="shared" si="5"/>
        <v>19.90617989</v>
      </c>
      <c r="F43" s="7">
        <f t="shared" si="6"/>
        <v>22.08051775</v>
      </c>
      <c r="G43" s="7">
        <f t="shared" si="7"/>
        <v>22.27086704</v>
      </c>
      <c r="H43" s="74">
        <f t="shared" si="8"/>
        <v>22.08051775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</row>
    <row r="44" ht="15.75" customHeight="1">
      <c r="A44" s="7"/>
      <c r="B44" s="110">
        <v>100.0</v>
      </c>
      <c r="C44" s="57">
        <f t="shared" si="3"/>
        <v>8.299967852</v>
      </c>
      <c r="D44" s="57">
        <f>B44*$D$36/$B$36</f>
        <v>9.122618728</v>
      </c>
      <c r="E44" s="7">
        <f t="shared" si="5"/>
        <v>9.953089945</v>
      </c>
      <c r="F44" s="7">
        <f t="shared" si="6"/>
        <v>11.04025888</v>
      </c>
      <c r="G44" s="7">
        <f t="shared" si="7"/>
        <v>11.13543352</v>
      </c>
      <c r="H44" s="74">
        <f t="shared" si="8"/>
        <v>11.04025888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</row>
    <row r="45" ht="15.75" customHeight="1">
      <c r="A45" s="7"/>
      <c r="B45" s="110">
        <v>100.0</v>
      </c>
      <c r="C45" s="57">
        <f t="shared" si="3"/>
        <v>8.299967852</v>
      </c>
      <c r="D45" s="57">
        <f>B44*$D$36/$B$36</f>
        <v>9.122618728</v>
      </c>
      <c r="E45" s="7">
        <f t="shared" si="5"/>
        <v>9.953089945</v>
      </c>
      <c r="F45" s="7">
        <f t="shared" si="6"/>
        <v>11.04025888</v>
      </c>
      <c r="G45" s="7">
        <f t="shared" si="7"/>
        <v>11.13543352</v>
      </c>
      <c r="H45" s="74">
        <f t="shared" si="8"/>
        <v>11.04025888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</row>
    <row r="46" ht="15.75" customHeight="1">
      <c r="A46" s="7"/>
      <c r="B46" s="110">
        <v>12.5</v>
      </c>
      <c r="C46" s="57">
        <f t="shared" si="3"/>
        <v>1.037495982</v>
      </c>
      <c r="D46" s="57">
        <f t="shared" ref="D46:D47" si="9">B46*$D$36/$B$36</f>
        <v>1.140327341</v>
      </c>
      <c r="E46" s="7">
        <f t="shared" si="5"/>
        <v>1.244136243</v>
      </c>
      <c r="F46" s="7">
        <f>B47*$F$36/$B$36</f>
        <v>1.380032359</v>
      </c>
      <c r="G46" s="7">
        <f t="shared" si="7"/>
        <v>1.39192919</v>
      </c>
      <c r="H46" s="74">
        <f>B47*$H$36/$B$36</f>
        <v>1.380032359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</row>
    <row r="47" ht="15.75" customHeight="1">
      <c r="A47" s="7"/>
      <c r="B47" s="112">
        <v>12.5</v>
      </c>
      <c r="C47" s="113">
        <f t="shared" si="3"/>
        <v>1.037495982</v>
      </c>
      <c r="D47" s="113">
        <f t="shared" si="9"/>
        <v>1.140327341</v>
      </c>
      <c r="E47" s="73">
        <f t="shared" si="5"/>
        <v>1.244136243</v>
      </c>
      <c r="F47" s="73">
        <f>B47*$F$36/$B$36</f>
        <v>1.380032359</v>
      </c>
      <c r="G47" s="73">
        <f t="shared" si="7"/>
        <v>1.39192919</v>
      </c>
      <c r="H47" s="114">
        <f>B47*$H$36/$B$36</f>
        <v>1.380032359</v>
      </c>
      <c r="I47" s="7"/>
      <c r="J47" s="7"/>
      <c r="K47" s="7"/>
      <c r="L47" s="7"/>
      <c r="M47" s="7"/>
      <c r="N47" s="7"/>
      <c r="O47" s="7"/>
      <c r="P47" s="7"/>
      <c r="Q47" s="7" t="s">
        <v>260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</row>
    <row r="49" ht="15.75" customHeight="1">
      <c r="A49" s="7"/>
      <c r="B49" s="23" t="s">
        <v>345</v>
      </c>
      <c r="C49" s="98" t="s">
        <v>34</v>
      </c>
      <c r="D49" s="98" t="s">
        <v>35</v>
      </c>
      <c r="E49" s="98" t="s">
        <v>36</v>
      </c>
      <c r="F49" s="98" t="s">
        <v>261</v>
      </c>
      <c r="G49" s="98" t="s">
        <v>262</v>
      </c>
      <c r="H49" s="99" t="s">
        <v>263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</row>
    <row r="50" ht="15.75" customHeight="1">
      <c r="A50" s="7"/>
      <c r="B50" s="179" t="s">
        <v>264</v>
      </c>
      <c r="C50" s="115">
        <f t="shared" ref="C50:H50" si="10">SLOPE(C36:C47,C4:C15)</f>
        <v>0.08462111311</v>
      </c>
      <c r="D50" s="115">
        <f t="shared" si="10"/>
        <v>0.08924094166</v>
      </c>
      <c r="E50" s="116">
        <f t="shared" si="10"/>
        <v>0.00008604754435</v>
      </c>
      <c r="F50" s="116">
        <f t="shared" si="10"/>
        <v>0.001370365339</v>
      </c>
      <c r="G50" s="116">
        <f t="shared" si="10"/>
        <v>0.00003984127387</v>
      </c>
      <c r="H50" s="117">
        <f t="shared" si="10"/>
        <v>0.0003002598261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</row>
    <row r="51" ht="15.75" customHeight="1">
      <c r="A51" s="7"/>
      <c r="B51" s="179" t="s">
        <v>265</v>
      </c>
      <c r="C51" s="115">
        <f t="shared" ref="C51:H51" si="11">INTERCEPT(C36:C47,C4:C15)</f>
        <v>23.51225348</v>
      </c>
      <c r="D51" s="115">
        <f t="shared" si="11"/>
        <v>12.86064739</v>
      </c>
      <c r="E51" s="115">
        <f t="shared" si="11"/>
        <v>7.605129326</v>
      </c>
      <c r="F51" s="115">
        <f t="shared" si="11"/>
        <v>-8.055269955</v>
      </c>
      <c r="G51" s="115">
        <f t="shared" si="11"/>
        <v>0.3899847788</v>
      </c>
      <c r="H51" s="118">
        <f t="shared" si="11"/>
        <v>35.42636773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</row>
    <row r="52" ht="15.75" customHeight="1">
      <c r="A52" s="7"/>
      <c r="B52" s="182" t="s">
        <v>266</v>
      </c>
      <c r="C52" s="120">
        <f t="shared" ref="C52:H52" si="12">RSQ(C36:C47,C4:C15)</f>
        <v>0.9766355837</v>
      </c>
      <c r="D52" s="120">
        <f t="shared" si="12"/>
        <v>0.9931766741</v>
      </c>
      <c r="E52" s="120">
        <f t="shared" si="12"/>
        <v>0.9852034309</v>
      </c>
      <c r="F52" s="120">
        <f t="shared" si="12"/>
        <v>0.9795240207</v>
      </c>
      <c r="G52" s="120">
        <f t="shared" si="12"/>
        <v>0.9994679345</v>
      </c>
      <c r="H52" s="121">
        <f t="shared" si="12"/>
        <v>0.9725128845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</row>
    <row r="54" ht="15.75" customHeight="1">
      <c r="A54" s="7"/>
      <c r="B54" s="23" t="s">
        <v>346</v>
      </c>
      <c r="C54" s="98" t="s">
        <v>34</v>
      </c>
      <c r="D54" s="98" t="s">
        <v>35</v>
      </c>
      <c r="E54" s="98" t="s">
        <v>36</v>
      </c>
      <c r="F54" s="98" t="s">
        <v>261</v>
      </c>
      <c r="G54" s="98" t="s">
        <v>262</v>
      </c>
      <c r="H54" s="99" t="s">
        <v>263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</row>
    <row r="55" ht="15.75" customHeight="1">
      <c r="A55" s="7"/>
      <c r="B55" s="179" t="s">
        <v>264</v>
      </c>
      <c r="C55" s="115" t="str">
        <f t="shared" ref="C55:H55" si="13">SLOPE(C36:C47,C19:C30)</f>
        <v>#N/A</v>
      </c>
      <c r="D55" s="115" t="str">
        <f t="shared" si="13"/>
        <v>#N/A</v>
      </c>
      <c r="E55" s="116">
        <f t="shared" si="13"/>
        <v>0.00008394021978</v>
      </c>
      <c r="F55" s="116">
        <f t="shared" si="13"/>
        <v>0.002079055546</v>
      </c>
      <c r="G55" s="116">
        <f t="shared" si="13"/>
        <v>0.00003993243469</v>
      </c>
      <c r="H55" s="117">
        <f t="shared" si="13"/>
        <v>0.0003065903982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</row>
    <row r="56" ht="15.75" customHeight="1">
      <c r="A56" s="7"/>
      <c r="B56" s="179" t="s">
        <v>265</v>
      </c>
      <c r="C56" s="115" t="str">
        <f t="shared" ref="C56:H56" si="14">INTERCEPT(C36:C47,C19:C30)</f>
        <v>#N/A</v>
      </c>
      <c r="D56" s="115" t="str">
        <f t="shared" si="14"/>
        <v>#N/A</v>
      </c>
      <c r="E56" s="115">
        <f t="shared" si="14"/>
        <v>7.701435292</v>
      </c>
      <c r="F56" s="115">
        <f t="shared" si="14"/>
        <v>-12.88342783</v>
      </c>
      <c r="G56" s="115">
        <f t="shared" si="14"/>
        <v>0.4634480535</v>
      </c>
      <c r="H56" s="118">
        <f t="shared" si="14"/>
        <v>31.4297982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</row>
    <row r="57" ht="15.75" customHeight="1">
      <c r="A57" s="7"/>
      <c r="B57" s="182" t="s">
        <v>266</v>
      </c>
      <c r="C57" s="120" t="str">
        <f t="shared" ref="C57:H57" si="15">RSQ(C36:C47,C19:C30)</f>
        <v>#N/A</v>
      </c>
      <c r="D57" s="120" t="str">
        <f t="shared" si="15"/>
        <v>#N/A</v>
      </c>
      <c r="E57" s="120">
        <f t="shared" si="15"/>
        <v>0.9869340004</v>
      </c>
      <c r="F57" s="120">
        <f t="shared" si="15"/>
        <v>0.9607055511</v>
      </c>
      <c r="G57" s="120">
        <f t="shared" si="15"/>
        <v>0.9992088901</v>
      </c>
      <c r="H57" s="121">
        <f t="shared" si="15"/>
        <v>0.9712666826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</row>
    <row r="59" ht="15.75" customHeight="1">
      <c r="A59" s="7"/>
      <c r="B59" s="105" t="s">
        <v>267</v>
      </c>
      <c r="C59" s="98" t="s">
        <v>268</v>
      </c>
      <c r="D59" s="99" t="s">
        <v>269</v>
      </c>
      <c r="E59" s="101" t="s">
        <v>348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</row>
    <row r="60" ht="15.75" customHeight="1">
      <c r="A60" s="7"/>
      <c r="B60" s="36" t="s">
        <v>34</v>
      </c>
      <c r="C60" s="10">
        <v>342.17</v>
      </c>
      <c r="D60" s="122">
        <v>12.0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</row>
    <row r="61" ht="15.75" customHeight="1">
      <c r="A61" s="7"/>
      <c r="B61" s="36" t="s">
        <v>35</v>
      </c>
      <c r="C61" s="10">
        <v>298.16</v>
      </c>
      <c r="D61" s="122">
        <v>11.0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</row>
    <row r="62" ht="15.75" customHeight="1">
      <c r="A62" s="7"/>
      <c r="B62" s="36" t="s">
        <v>36</v>
      </c>
      <c r="C62" s="10">
        <v>245.15</v>
      </c>
      <c r="D62" s="122">
        <v>10.0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</row>
    <row r="63" ht="15.75" customHeight="1">
      <c r="A63" s="7"/>
      <c r="B63" s="37" t="s">
        <v>37</v>
      </c>
      <c r="C63" s="90">
        <v>210.14</v>
      </c>
      <c r="D63" s="123">
        <v>9.0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</sheetData>
  <mergeCells count="6">
    <mergeCell ref="C2:H2"/>
    <mergeCell ref="I2:N2"/>
    <mergeCell ref="C17:H17"/>
    <mergeCell ref="I17:N17"/>
    <mergeCell ref="V34:V35"/>
    <mergeCell ref="W34:W35"/>
  </mergeCells>
  <hyperlinks>
    <hyperlink r:id="rId2" location="gid=62411718" ref="I33"/>
    <hyperlink r:id="rId3" location="gid=62411718" ref="E59"/>
  </hyperlinks>
  <printOptions/>
  <pageMargins bottom="0.75" footer="0.0" header="0.0" left="0.7" right="0.7" top="0.75"/>
  <pageSetup orientation="landscape"/>
  <drawing r:id="rId4"/>
  <legacy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2.63"/>
    <col customWidth="1" min="2" max="2" width="24.63"/>
    <col customWidth="1" min="3" max="3" width="18.38"/>
    <col customWidth="1" min="4" max="5" width="12.63"/>
    <col customWidth="1" min="6" max="6" width="14.88"/>
    <col customWidth="1" min="7" max="7" width="15.88"/>
    <col customWidth="1" min="8" max="8" width="15.5"/>
    <col customWidth="1" hidden="1" min="9" max="9" width="14.5"/>
    <col customWidth="1" hidden="1" min="10" max="10" width="13.88"/>
    <col customWidth="1" hidden="1" min="11" max="11" width="19.63"/>
    <col customWidth="1" hidden="1" min="12" max="12" width="15.38"/>
    <col customWidth="1" hidden="1" min="13" max="13" width="15.63"/>
    <col customWidth="1" hidden="1" min="14" max="14" width="15.88"/>
    <col customWidth="1" min="18" max="19" width="14.13"/>
    <col customWidth="1" min="20" max="20" width="14.0"/>
    <col customWidth="1" min="25" max="25" width="14.0"/>
    <col customWidth="1" min="26" max="26" width="13.63"/>
    <col customWidth="1" min="27" max="27" width="13.38"/>
    <col customWidth="1" min="31" max="37" width="17.13"/>
    <col customWidth="1" min="39" max="39" width="25.13"/>
    <col customWidth="1" min="43" max="43" width="18.38"/>
  </cols>
  <sheetData>
    <row r="1" ht="15.75" customHeight="1">
      <c r="A1" s="184" t="s">
        <v>275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132"/>
      <c r="AQ1" s="132"/>
      <c r="AR1" s="7"/>
      <c r="AS1" s="7"/>
      <c r="AT1" s="7"/>
    </row>
    <row r="2" ht="15.75" customHeight="1">
      <c r="A2" s="183" t="s">
        <v>340</v>
      </c>
      <c r="B2" s="7"/>
      <c r="C2" s="23" t="s">
        <v>345</v>
      </c>
      <c r="D2" s="133" t="s">
        <v>34</v>
      </c>
      <c r="E2" s="133" t="s">
        <v>35</v>
      </c>
      <c r="F2" s="134" t="s">
        <v>36</v>
      </c>
      <c r="G2" s="134" t="s">
        <v>261</v>
      </c>
      <c r="H2" s="134" t="s">
        <v>349</v>
      </c>
      <c r="I2" s="135" t="s">
        <v>263</v>
      </c>
      <c r="J2" s="18"/>
      <c r="K2" s="23" t="s">
        <v>346</v>
      </c>
      <c r="L2" s="133" t="s">
        <v>34</v>
      </c>
      <c r="M2" s="133" t="s">
        <v>35</v>
      </c>
      <c r="N2" s="134" t="s">
        <v>36</v>
      </c>
      <c r="O2" s="134" t="s">
        <v>261</v>
      </c>
      <c r="P2" s="134" t="s">
        <v>350</v>
      </c>
      <c r="Q2" s="135" t="s">
        <v>263</v>
      </c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132"/>
      <c r="AQ2" s="132"/>
      <c r="AR2" s="7"/>
      <c r="AS2" s="7"/>
      <c r="AT2" s="7"/>
    </row>
    <row r="3" ht="15.75" customHeight="1">
      <c r="A3" s="7"/>
      <c r="B3" s="7"/>
      <c r="C3" s="41" t="s">
        <v>276</v>
      </c>
      <c r="D3" s="136">
        <f>'2023 Snow BPCA Calibr'!C50</f>
        <v>0.08462111311</v>
      </c>
      <c r="E3" s="136">
        <f>'2023 Snow BPCA Calibr'!D50</f>
        <v>0.08924094166</v>
      </c>
      <c r="F3" s="137">
        <f>'2023 Snow BPCA Calibr'!E50</f>
        <v>0.00008604754435</v>
      </c>
      <c r="G3" s="137">
        <f>'2023 Snow BPCA Calibr'!F50</f>
        <v>0.001370365339</v>
      </c>
      <c r="H3" s="137">
        <f>'2023 Snow BPCA Calibr'!G50</f>
        <v>0.00003984127387</v>
      </c>
      <c r="I3" s="138">
        <f>'2023 Snow BPCA Calibr'!H50</f>
        <v>0.0003002598261</v>
      </c>
      <c r="J3" s="18"/>
      <c r="K3" s="41" t="s">
        <v>276</v>
      </c>
      <c r="L3" s="136" t="str">
        <f>'2023 Snow BPCA Calibr'!C55</f>
        <v>#N/A</v>
      </c>
      <c r="M3" s="136" t="str">
        <f>'2023 Snow BPCA Calibr'!D55</f>
        <v>#N/A</v>
      </c>
      <c r="N3" s="136">
        <f>'2023 Snow BPCA Calibr'!E55</f>
        <v>0.00008394021978</v>
      </c>
      <c r="O3" s="136">
        <f>'2023 Snow BPCA Calibr'!F55</f>
        <v>0.002079055546</v>
      </c>
      <c r="P3" s="136">
        <f>'2023 Snow BPCA Calibr'!G55</f>
        <v>0.00003993243469</v>
      </c>
      <c r="Q3" s="139">
        <f>'2023 Snow BPCA Calibr'!H55</f>
        <v>0.0003065903982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132"/>
      <c r="AQ3" s="132"/>
      <c r="AR3" s="7"/>
      <c r="AS3" s="7"/>
      <c r="AT3" s="7"/>
    </row>
    <row r="4" ht="15.75" customHeight="1">
      <c r="A4" s="7"/>
      <c r="B4" s="7"/>
      <c r="C4" s="43" t="s">
        <v>277</v>
      </c>
      <c r="D4" s="140">
        <f>'2023 Snow BPCA Calibr'!C51</f>
        <v>23.51225348</v>
      </c>
      <c r="E4" s="140">
        <f>'2023 Snow BPCA Calibr'!D51</f>
        <v>12.86064739</v>
      </c>
      <c r="F4" s="140">
        <f>'2023 Snow BPCA Calibr'!E51</f>
        <v>7.605129326</v>
      </c>
      <c r="G4" s="140">
        <f>'2023 Snow BPCA Calibr'!F51</f>
        <v>-8.055269955</v>
      </c>
      <c r="H4" s="140">
        <f>'2023 Snow BPCA Calibr'!G51</f>
        <v>0.3899847788</v>
      </c>
      <c r="I4" s="141">
        <f>'2023 Snow BPCA Calibr'!H51</f>
        <v>35.42636773</v>
      </c>
      <c r="J4" s="18"/>
      <c r="K4" s="43" t="s">
        <v>277</v>
      </c>
      <c r="L4" s="140" t="str">
        <f>'2023 Snow BPCA Calibr'!C56</f>
        <v>#N/A</v>
      </c>
      <c r="M4" s="140" t="str">
        <f>'2023 Snow BPCA Calibr'!D56</f>
        <v>#N/A</v>
      </c>
      <c r="N4" s="140">
        <f>'2023 Snow BPCA Calibr'!E56</f>
        <v>7.701435292</v>
      </c>
      <c r="O4" s="140">
        <f>'2023 Snow BPCA Calibr'!F56</f>
        <v>-12.88342783</v>
      </c>
      <c r="P4" s="140">
        <f>'2023 Snow BPCA Calibr'!G56</f>
        <v>0.4634480535</v>
      </c>
      <c r="Q4" s="141">
        <f>'2023 Snow BPCA Calibr'!H56</f>
        <v>31.4297982</v>
      </c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132"/>
      <c r="AQ4" s="132"/>
      <c r="AR4" s="7"/>
      <c r="AS4" s="7"/>
      <c r="AT4" s="7"/>
    </row>
    <row r="5" ht="15.75" customHeight="1">
      <c r="A5" s="7"/>
      <c r="B5" s="7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3"/>
      <c r="AN5" s="73"/>
      <c r="AO5" s="73"/>
      <c r="AP5" s="142"/>
      <c r="AQ5" s="142"/>
      <c r="AR5" s="73"/>
      <c r="AS5" s="73"/>
      <c r="AT5" s="7"/>
    </row>
    <row r="6" ht="15.75" customHeight="1">
      <c r="A6" s="7"/>
      <c r="B6" s="202"/>
      <c r="C6" s="3" t="s">
        <v>278</v>
      </c>
      <c r="N6" s="185"/>
      <c r="O6" s="24" t="s">
        <v>279</v>
      </c>
      <c r="P6" s="75"/>
      <c r="Q6" s="75"/>
      <c r="R6" s="75"/>
      <c r="S6" s="75"/>
      <c r="T6" s="75"/>
      <c r="U6" s="76"/>
      <c r="V6" s="186" t="s">
        <v>280</v>
      </c>
      <c r="W6" s="20"/>
      <c r="X6" s="20"/>
      <c r="Y6" s="20"/>
      <c r="Z6" s="20"/>
      <c r="AA6" s="20"/>
      <c r="AB6" s="21"/>
      <c r="AC6" s="24" t="s">
        <v>143</v>
      </c>
      <c r="AD6" s="75"/>
      <c r="AE6" s="75"/>
      <c r="AF6" s="75"/>
      <c r="AG6" s="75"/>
      <c r="AH6" s="75"/>
      <c r="AI6" s="75"/>
      <c r="AJ6" s="75"/>
      <c r="AK6" s="76"/>
      <c r="AL6" s="187"/>
      <c r="AM6" s="188"/>
      <c r="AN6" s="189" t="s">
        <v>351</v>
      </c>
      <c r="AS6" s="185"/>
      <c r="AT6" s="132"/>
    </row>
    <row r="7" ht="15.75" customHeight="1">
      <c r="A7" s="7"/>
      <c r="B7" s="179" t="s">
        <v>0</v>
      </c>
      <c r="C7" s="5" t="s">
        <v>282</v>
      </c>
      <c r="D7" s="5" t="s">
        <v>283</v>
      </c>
      <c r="E7" s="5" t="s">
        <v>284</v>
      </c>
      <c r="F7" s="98" t="s">
        <v>285</v>
      </c>
      <c r="G7" s="98" t="s">
        <v>286</v>
      </c>
      <c r="H7" s="190" t="s">
        <v>287</v>
      </c>
      <c r="I7" s="5" t="s">
        <v>288</v>
      </c>
      <c r="J7" s="5" t="s">
        <v>289</v>
      </c>
      <c r="K7" s="5" t="s">
        <v>290</v>
      </c>
      <c r="L7" s="98" t="s">
        <v>291</v>
      </c>
      <c r="M7" s="98" t="s">
        <v>292</v>
      </c>
      <c r="N7" s="98" t="s">
        <v>293</v>
      </c>
      <c r="O7" s="24" t="s">
        <v>22</v>
      </c>
      <c r="P7" s="5" t="s">
        <v>23</v>
      </c>
      <c r="Q7" s="5" t="s">
        <v>24</v>
      </c>
      <c r="R7" s="133" t="s">
        <v>25</v>
      </c>
      <c r="S7" s="133" t="s">
        <v>26</v>
      </c>
      <c r="T7" s="133" t="s">
        <v>27</v>
      </c>
      <c r="U7" s="26" t="s">
        <v>28</v>
      </c>
      <c r="V7" s="5" t="s">
        <v>22</v>
      </c>
      <c r="W7" s="5" t="s">
        <v>23</v>
      </c>
      <c r="X7" s="5" t="s">
        <v>24</v>
      </c>
      <c r="Y7" s="133" t="s">
        <v>25</v>
      </c>
      <c r="Z7" s="133" t="s">
        <v>26</v>
      </c>
      <c r="AA7" s="133" t="s">
        <v>27</v>
      </c>
      <c r="AB7" s="5" t="s">
        <v>28</v>
      </c>
      <c r="AC7" s="24" t="s">
        <v>22</v>
      </c>
      <c r="AD7" s="5" t="s">
        <v>23</v>
      </c>
      <c r="AE7" s="5" t="s">
        <v>24</v>
      </c>
      <c r="AF7" s="133" t="s">
        <v>25</v>
      </c>
      <c r="AG7" s="133" t="s">
        <v>26</v>
      </c>
      <c r="AH7" s="133" t="s">
        <v>27</v>
      </c>
      <c r="AI7" s="5" t="s">
        <v>28</v>
      </c>
      <c r="AJ7" s="5" t="s">
        <v>41</v>
      </c>
      <c r="AK7" s="26" t="s">
        <v>42</v>
      </c>
      <c r="AL7" s="74"/>
      <c r="AM7" s="105" t="s">
        <v>0</v>
      </c>
      <c r="AN7" s="105" t="s">
        <v>294</v>
      </c>
      <c r="AO7" s="148" t="s">
        <v>295</v>
      </c>
      <c r="AP7" s="98" t="s">
        <v>296</v>
      </c>
      <c r="AQ7" s="149" t="s">
        <v>297</v>
      </c>
      <c r="AR7" s="149" t="s">
        <v>196</v>
      </c>
      <c r="AS7" s="99" t="s">
        <v>192</v>
      </c>
      <c r="AT7" s="7"/>
    </row>
    <row r="8" ht="15.75" customHeight="1">
      <c r="A8" s="7" t="s">
        <v>352</v>
      </c>
      <c r="B8" s="41" t="s">
        <v>59</v>
      </c>
      <c r="C8" s="80">
        <v>95.9</v>
      </c>
      <c r="D8" s="80">
        <v>1010.6</v>
      </c>
      <c r="E8" s="80">
        <v>44133.93</v>
      </c>
      <c r="F8" s="126"/>
      <c r="G8" s="89">
        <v>278104.74</v>
      </c>
      <c r="H8" s="191">
        <v>5890.75</v>
      </c>
      <c r="I8" s="80">
        <v>1.602</v>
      </c>
      <c r="J8" s="89">
        <v>2.628</v>
      </c>
      <c r="K8" s="80">
        <v>0.86</v>
      </c>
      <c r="L8" s="80"/>
      <c r="M8" s="80">
        <v>1.675</v>
      </c>
      <c r="N8" s="80">
        <v>2.772</v>
      </c>
      <c r="O8" s="151">
        <f t="shared" ref="O8:O19" si="1">C8*$D$3+$D$4</f>
        <v>31.62741823</v>
      </c>
      <c r="P8" s="152">
        <f t="shared" ref="P8:P19" si="2">D8*$E$3+$E$4</f>
        <v>103.047543</v>
      </c>
      <c r="Q8" s="152">
        <f t="shared" ref="Q8:Q15" si="3">E8*$F$3+$F$4</f>
        <v>11.40274563</v>
      </c>
      <c r="R8" s="152"/>
      <c r="S8" s="152">
        <f t="shared" ref="S8:S15" si="4">(G8*$H$3+$H$4)</f>
        <v>11.47003189</v>
      </c>
      <c r="T8" s="152">
        <f>(H8*$I$3+$I$4)</f>
        <v>37.1951233</v>
      </c>
      <c r="U8" s="153">
        <f t="shared" ref="U8:U15" si="5">SUM(R8:T8)</f>
        <v>48.66515519</v>
      </c>
      <c r="V8" s="152">
        <f t="shared" ref="V8:V19" si="6">O8*AP8/AQ8</f>
        <v>0.3437762851</v>
      </c>
      <c r="W8" s="152">
        <f t="shared" ref="W8:W19" si="7">P8*AP8/AQ8</f>
        <v>1.120081989</v>
      </c>
      <c r="X8" s="152">
        <f t="shared" ref="X8:X19" si="8">Q8*AP8/AQ8</f>
        <v>0.1239428872</v>
      </c>
      <c r="Y8" s="152"/>
      <c r="Z8" s="152">
        <f t="shared" ref="Z8:Z15" si="9">S8*AP8/AQ8</f>
        <v>0.1246742597</v>
      </c>
      <c r="AA8" s="152">
        <f>T8*AP8/AQ8</f>
        <v>0.4042948185</v>
      </c>
      <c r="AB8" s="152">
        <f t="shared" ref="AB8:AB15" si="10">U8*AP8/AQ8</f>
        <v>0.5289690782</v>
      </c>
      <c r="AC8" s="151">
        <f t="shared" ref="AC8:AC19" si="11">V8*AR8/AS8</f>
        <v>0.005877864595</v>
      </c>
      <c r="AD8" s="152">
        <f t="shared" ref="AD8:AD19" si="12">W8*AR8/AS8</f>
        <v>0.01915108911</v>
      </c>
      <c r="AE8" s="152">
        <f t="shared" ref="AE8:AE19" si="13">X8*AR8/AS8</f>
        <v>0.002119167436</v>
      </c>
      <c r="AF8" s="152"/>
      <c r="AG8" s="152">
        <f t="shared" ref="AG8:AG15" si="14">Z8*AP8/AQ8</f>
        <v>0.001355154996</v>
      </c>
      <c r="AH8" s="152">
        <f>AA8*AP8/AQ8</f>
        <v>0.004394508897</v>
      </c>
      <c r="AI8" s="152">
        <f t="shared" ref="AI8:AI15" si="15">AB8*AP8/AQ8</f>
        <v>0.005749663893</v>
      </c>
      <c r="AJ8" s="152">
        <f t="shared" ref="AJ8:AJ19" si="16">AC8+AD8</f>
        <v>0.0250289537</v>
      </c>
      <c r="AK8" s="153">
        <f t="shared" ref="AK8:AK19" si="17">AE8+AI8</f>
        <v>0.00786883133</v>
      </c>
      <c r="AL8" s="74"/>
      <c r="AM8" s="36" t="s">
        <v>59</v>
      </c>
      <c r="AN8" s="151">
        <f t="shared" ref="AN8:AN19" si="18">AO8/12*1000</f>
        <v>20.83333333</v>
      </c>
      <c r="AO8" s="154">
        <f>'2023 Snow PPL'!F2</f>
        <v>0.25</v>
      </c>
      <c r="AP8" s="155">
        <f>'2023 Snow PPL'!W2/1000</f>
        <v>0.1</v>
      </c>
      <c r="AQ8" s="155">
        <f>'2023 Snow PPL'!U2</f>
        <v>9.2</v>
      </c>
      <c r="AR8" s="154">
        <f>'2023 Snow PPL'!J2</f>
        <v>9.070454545</v>
      </c>
      <c r="AS8" s="156">
        <f>'2023 Snow PPL'!E2</f>
        <v>530.5</v>
      </c>
      <c r="AT8" s="7"/>
    </row>
    <row r="9" ht="15.75" customHeight="1">
      <c r="A9" s="7"/>
      <c r="B9" s="41" t="s">
        <v>160</v>
      </c>
      <c r="C9" s="80">
        <v>615.8</v>
      </c>
      <c r="D9" s="80">
        <v>2076.1</v>
      </c>
      <c r="E9" s="80">
        <v>97867.58</v>
      </c>
      <c r="F9" s="126">
        <v>9492.24</v>
      </c>
      <c r="G9" s="89">
        <v>930690.67</v>
      </c>
      <c r="H9" s="193"/>
      <c r="I9" s="80">
        <v>1.635</v>
      </c>
      <c r="J9" s="89">
        <v>2.4</v>
      </c>
      <c r="K9" s="80">
        <v>0.834</v>
      </c>
      <c r="L9" s="82">
        <v>2.441</v>
      </c>
      <c r="M9" s="80">
        <v>1.671</v>
      </c>
      <c r="N9" s="80"/>
      <c r="O9" s="151">
        <f t="shared" si="1"/>
        <v>75.62193494</v>
      </c>
      <c r="P9" s="152">
        <f t="shared" si="2"/>
        <v>198.1337664</v>
      </c>
      <c r="Q9" s="152">
        <f t="shared" si="3"/>
        <v>16.02639426</v>
      </c>
      <c r="R9" s="152">
        <f>(F9*$G$3+$G$4)</f>
        <v>4.952566732</v>
      </c>
      <c r="S9" s="152">
        <f t="shared" si="4"/>
        <v>37.46988665</v>
      </c>
      <c r="T9" s="152"/>
      <c r="U9" s="153">
        <f t="shared" si="5"/>
        <v>42.42245338</v>
      </c>
      <c r="V9" s="152">
        <f t="shared" si="6"/>
        <v>1.512438699</v>
      </c>
      <c r="W9" s="152">
        <f t="shared" si="7"/>
        <v>3.962675327</v>
      </c>
      <c r="X9" s="152">
        <f t="shared" si="8"/>
        <v>0.3205278851</v>
      </c>
      <c r="Y9" s="152">
        <f>R9*AP9/AQ9</f>
        <v>0.09905133464</v>
      </c>
      <c r="Z9" s="152">
        <f t="shared" si="9"/>
        <v>0.7493977329</v>
      </c>
      <c r="AA9" s="152"/>
      <c r="AB9" s="152">
        <f t="shared" si="10"/>
        <v>0.8484490676</v>
      </c>
      <c r="AC9" s="151">
        <f t="shared" si="11"/>
        <v>0.002716604214</v>
      </c>
      <c r="AD9" s="152">
        <f t="shared" si="12"/>
        <v>0.007117657398</v>
      </c>
      <c r="AE9" s="152">
        <f t="shared" si="13"/>
        <v>0.0005757240966</v>
      </c>
      <c r="AF9" s="152">
        <f>Y9*AP9/AQ9</f>
        <v>0.001981026693</v>
      </c>
      <c r="AG9" s="152">
        <f t="shared" si="14"/>
        <v>0.01498795466</v>
      </c>
      <c r="AH9" s="152"/>
      <c r="AI9" s="152">
        <f t="shared" si="15"/>
        <v>0.01696898135</v>
      </c>
      <c r="AJ9" s="152">
        <f t="shared" si="16"/>
        <v>0.009834261612</v>
      </c>
      <c r="AK9" s="153">
        <f t="shared" si="17"/>
        <v>0.01754470545</v>
      </c>
      <c r="AL9" s="74"/>
      <c r="AM9" s="36" t="s">
        <v>160</v>
      </c>
      <c r="AN9" s="151">
        <f t="shared" si="18"/>
        <v>46.93333333</v>
      </c>
      <c r="AO9" s="154">
        <f>'2023 Snow PPL'!F3</f>
        <v>0.5632</v>
      </c>
      <c r="AP9" s="155">
        <f>'2023 Snow PPL'!W3/1000</f>
        <v>0.1</v>
      </c>
      <c r="AQ9" s="155">
        <f>'2023 Snow PPL'!U3</f>
        <v>5</v>
      </c>
      <c r="AR9" s="154">
        <f>'2023 Snow PPL'!J3</f>
        <v>9.056313131</v>
      </c>
      <c r="AS9" s="156">
        <f>'2023 Snow PPL'!E3</f>
        <v>5042</v>
      </c>
      <c r="AT9" s="7"/>
    </row>
    <row r="10" ht="15.75" customHeight="1">
      <c r="A10" s="7"/>
      <c r="B10" s="42" t="s">
        <v>161</v>
      </c>
      <c r="C10" s="80">
        <v>469.7</v>
      </c>
      <c r="D10" s="80">
        <v>12519.1</v>
      </c>
      <c r="E10" s="80">
        <v>92948.0</v>
      </c>
      <c r="F10" s="89"/>
      <c r="G10" s="89">
        <v>755770.73</v>
      </c>
      <c r="H10" s="193">
        <v>8112.45</v>
      </c>
      <c r="I10" s="80">
        <v>1.643</v>
      </c>
      <c r="J10" s="89">
        <v>2.518</v>
      </c>
      <c r="K10" s="80">
        <v>0.868</v>
      </c>
      <c r="L10" s="80"/>
      <c r="M10" s="80">
        <v>1.694</v>
      </c>
      <c r="N10" s="80">
        <v>2.791</v>
      </c>
      <c r="O10" s="151">
        <f t="shared" si="1"/>
        <v>63.25879031</v>
      </c>
      <c r="P10" s="195">
        <f t="shared" si="2"/>
        <v>1130.07692</v>
      </c>
      <c r="Q10" s="152">
        <f t="shared" si="3"/>
        <v>15.60307648</v>
      </c>
      <c r="R10" s="152"/>
      <c r="S10" s="152">
        <f t="shared" si="4"/>
        <v>30.50085341</v>
      </c>
      <c r="T10" s="152">
        <f>(H10*$I$3+$I$4)</f>
        <v>37.86221056</v>
      </c>
      <c r="U10" s="153">
        <f t="shared" si="5"/>
        <v>68.36306397</v>
      </c>
      <c r="V10" s="152">
        <f t="shared" si="6"/>
        <v>1.542897325</v>
      </c>
      <c r="W10" s="195">
        <f t="shared" si="7"/>
        <v>27.56285171</v>
      </c>
      <c r="X10" s="152">
        <f t="shared" si="8"/>
        <v>0.380562841</v>
      </c>
      <c r="Y10" s="152"/>
      <c r="Z10" s="152">
        <f t="shared" si="9"/>
        <v>0.7439232539</v>
      </c>
      <c r="AA10" s="152">
        <f>T10*AP10/AQ10</f>
        <v>0.9234685503</v>
      </c>
      <c r="AB10" s="152">
        <f t="shared" si="10"/>
        <v>1.667391804</v>
      </c>
      <c r="AC10" s="151">
        <f t="shared" si="11"/>
        <v>0.002771313229</v>
      </c>
      <c r="AD10" s="195">
        <f t="shared" si="12"/>
        <v>0.04950769851</v>
      </c>
      <c r="AE10" s="152">
        <f t="shared" si="13"/>
        <v>0.0006835573689</v>
      </c>
      <c r="AF10" s="152"/>
      <c r="AG10" s="152">
        <f t="shared" si="14"/>
        <v>0.01814446961</v>
      </c>
      <c r="AH10" s="152">
        <f>AA10*AP10/AQ10</f>
        <v>0.02252362318</v>
      </c>
      <c r="AI10" s="152">
        <f t="shared" si="15"/>
        <v>0.04066809279</v>
      </c>
      <c r="AJ10" s="152">
        <f t="shared" si="16"/>
        <v>0.05227901174</v>
      </c>
      <c r="AK10" s="153">
        <f t="shared" si="17"/>
        <v>0.04135165015</v>
      </c>
      <c r="AL10" s="74"/>
      <c r="AM10" s="32" t="s">
        <v>161</v>
      </c>
      <c r="AN10" s="151">
        <f t="shared" si="18"/>
        <v>46.93333333</v>
      </c>
      <c r="AO10" s="154">
        <f>'2023 Snow PPL'!F4</f>
        <v>0.5632</v>
      </c>
      <c r="AP10" s="155">
        <f>'2023 Snow PPL'!W4/1000</f>
        <v>0.1</v>
      </c>
      <c r="AQ10" s="155">
        <f>'2023 Snow PPL'!U4</f>
        <v>4.1</v>
      </c>
      <c r="AR10" s="154">
        <f>'2023 Snow PPL'!J4</f>
        <v>9.056313131</v>
      </c>
      <c r="AS10" s="156">
        <f>'2023 Snow PPL'!E4</f>
        <v>5042</v>
      </c>
      <c r="AT10" s="7"/>
    </row>
    <row r="11" ht="15.75" customHeight="1">
      <c r="A11" s="7"/>
      <c r="B11" s="42" t="s">
        <v>50</v>
      </c>
      <c r="C11" s="80">
        <v>181.5</v>
      </c>
      <c r="D11" s="80">
        <v>1958.4</v>
      </c>
      <c r="E11" s="80">
        <v>141426.8</v>
      </c>
      <c r="F11" s="89"/>
      <c r="G11" s="89">
        <v>2626524.67</v>
      </c>
      <c r="H11" s="193"/>
      <c r="I11" s="80">
        <v>1.625</v>
      </c>
      <c r="J11" s="89">
        <v>2.555</v>
      </c>
      <c r="K11" s="80">
        <v>0.833</v>
      </c>
      <c r="L11" s="80"/>
      <c r="M11" s="80">
        <v>1.671</v>
      </c>
      <c r="N11" s="80"/>
      <c r="O11" s="151">
        <f t="shared" si="1"/>
        <v>38.87098551</v>
      </c>
      <c r="P11" s="152">
        <f t="shared" si="2"/>
        <v>187.6301075</v>
      </c>
      <c r="Q11" s="152">
        <f t="shared" si="3"/>
        <v>19.77455817</v>
      </c>
      <c r="R11" s="152"/>
      <c r="S11" s="152">
        <f t="shared" si="4"/>
        <v>105.0340735</v>
      </c>
      <c r="T11" s="152"/>
      <c r="U11" s="153">
        <f t="shared" si="5"/>
        <v>105.0340735</v>
      </c>
      <c r="V11" s="152">
        <f t="shared" si="6"/>
        <v>0.4179675861</v>
      </c>
      <c r="W11" s="152">
        <f t="shared" si="7"/>
        <v>2.017528038</v>
      </c>
      <c r="X11" s="152">
        <f t="shared" si="8"/>
        <v>0.2126296578</v>
      </c>
      <c r="Y11" s="152"/>
      <c r="Z11" s="152">
        <f t="shared" si="9"/>
        <v>1.129398639</v>
      </c>
      <c r="AA11" s="152"/>
      <c r="AB11" s="152">
        <f t="shared" si="10"/>
        <v>1.129398639</v>
      </c>
      <c r="AC11" s="151">
        <f t="shared" si="11"/>
        <v>0.001429911302</v>
      </c>
      <c r="AD11" s="152">
        <f t="shared" si="12"/>
        <v>0.00690217672</v>
      </c>
      <c r="AE11" s="152">
        <f t="shared" si="13"/>
        <v>0.0007274285394</v>
      </c>
      <c r="AF11" s="152"/>
      <c r="AG11" s="152">
        <f t="shared" si="14"/>
        <v>0.01214407139</v>
      </c>
      <c r="AH11" s="152"/>
      <c r="AI11" s="152">
        <f t="shared" si="15"/>
        <v>0.01214407139</v>
      </c>
      <c r="AJ11" s="152">
        <f t="shared" si="16"/>
        <v>0.008332088022</v>
      </c>
      <c r="AK11" s="153">
        <f t="shared" si="17"/>
        <v>0.01287149993</v>
      </c>
      <c r="AL11" s="74"/>
      <c r="AM11" s="32" t="s">
        <v>50</v>
      </c>
      <c r="AN11" s="151">
        <f t="shared" si="18"/>
        <v>8.333333333</v>
      </c>
      <c r="AO11" s="154">
        <f>'2023 Snow PPL'!F5</f>
        <v>0.1</v>
      </c>
      <c r="AP11" s="155">
        <f>'2023 Snow PPL'!W5/1000</f>
        <v>0.1</v>
      </c>
      <c r="AQ11" s="155">
        <f>'2023 Snow PPL'!U5</f>
        <v>9.3</v>
      </c>
      <c r="AR11" s="154">
        <f>'2023 Snow PPL'!J5</f>
        <v>9.07790404</v>
      </c>
      <c r="AS11" s="156">
        <f>'2023 Snow PPL'!E5</f>
        <v>2653.5</v>
      </c>
      <c r="AT11" s="7"/>
    </row>
    <row r="12" ht="15.75" customHeight="1">
      <c r="A12" s="7"/>
      <c r="B12" s="42" t="s">
        <v>64</v>
      </c>
      <c r="C12" s="80">
        <v>76.0</v>
      </c>
      <c r="D12" s="80">
        <v>815.4</v>
      </c>
      <c r="E12" s="82">
        <v>102566.6</v>
      </c>
      <c r="F12" s="126"/>
      <c r="G12" s="126">
        <v>2356375.91</v>
      </c>
      <c r="H12" s="191"/>
      <c r="I12" s="80">
        <v>1.483</v>
      </c>
      <c r="J12" s="89">
        <v>2.447</v>
      </c>
      <c r="K12" s="82">
        <v>0.859</v>
      </c>
      <c r="L12" s="82"/>
      <c r="M12" s="82">
        <v>1.674</v>
      </c>
      <c r="N12" s="82"/>
      <c r="O12" s="151">
        <f t="shared" si="1"/>
        <v>29.94345808</v>
      </c>
      <c r="P12" s="152">
        <f t="shared" si="2"/>
        <v>85.62771122</v>
      </c>
      <c r="Q12" s="152">
        <f t="shared" si="3"/>
        <v>16.43073339</v>
      </c>
      <c r="R12" s="152"/>
      <c r="S12" s="152">
        <f t="shared" si="4"/>
        <v>94.27100274</v>
      </c>
      <c r="T12" s="152"/>
      <c r="U12" s="153">
        <f t="shared" si="5"/>
        <v>94.27100274</v>
      </c>
      <c r="V12" s="152">
        <f t="shared" si="6"/>
        <v>0.3219726675</v>
      </c>
      <c r="W12" s="152">
        <f t="shared" si="7"/>
        <v>0.9207280776</v>
      </c>
      <c r="X12" s="152">
        <f t="shared" si="8"/>
        <v>0.1766745526</v>
      </c>
      <c r="Y12" s="152"/>
      <c r="Z12" s="152">
        <f t="shared" si="9"/>
        <v>1.013666696</v>
      </c>
      <c r="AA12" s="152"/>
      <c r="AB12" s="152">
        <f t="shared" si="10"/>
        <v>1.013666696</v>
      </c>
      <c r="AC12" s="151">
        <f t="shared" si="11"/>
        <v>0.001401347103</v>
      </c>
      <c r="AD12" s="152">
        <f t="shared" si="12"/>
        <v>0.004007357626</v>
      </c>
      <c r="AE12" s="152">
        <f t="shared" si="13"/>
        <v>0.000768954627</v>
      </c>
      <c r="AF12" s="152"/>
      <c r="AG12" s="152">
        <f t="shared" si="14"/>
        <v>0.01089964189</v>
      </c>
      <c r="AH12" s="152"/>
      <c r="AI12" s="152">
        <f t="shared" si="15"/>
        <v>0.01089964189</v>
      </c>
      <c r="AJ12" s="152">
        <f t="shared" si="16"/>
        <v>0.005408704729</v>
      </c>
      <c r="AK12" s="153">
        <f t="shared" si="17"/>
        <v>0.01166859652</v>
      </c>
      <c r="AL12" s="74"/>
      <c r="AM12" s="32" t="s">
        <v>64</v>
      </c>
      <c r="AN12" s="151">
        <f t="shared" si="18"/>
        <v>16.73333333</v>
      </c>
      <c r="AO12" s="154">
        <f>'2023 Snow PPL'!F6</f>
        <v>0.2008</v>
      </c>
      <c r="AP12" s="155">
        <f>'2023 Snow PPL'!W6/1000</f>
        <v>0.1</v>
      </c>
      <c r="AQ12" s="155">
        <f>'2023 Snow PPL'!U6</f>
        <v>9.3</v>
      </c>
      <c r="AR12" s="154">
        <f>'2023 Snow PPL'!J6</f>
        <v>9.068181818</v>
      </c>
      <c r="AS12" s="156">
        <f>'2023 Snow PPL'!E6</f>
        <v>2083.5</v>
      </c>
      <c r="AT12" s="7"/>
    </row>
    <row r="13" ht="15.75" customHeight="1">
      <c r="A13" s="7"/>
      <c r="B13" s="41" t="s">
        <v>67</v>
      </c>
      <c r="C13" s="80">
        <v>284.6</v>
      </c>
      <c r="D13" s="80">
        <v>1579.6</v>
      </c>
      <c r="E13" s="80"/>
      <c r="F13" s="126"/>
      <c r="G13" s="89">
        <v>328412.83</v>
      </c>
      <c r="H13" s="193">
        <v>162136.16</v>
      </c>
      <c r="I13" s="80">
        <v>1.567</v>
      </c>
      <c r="J13" s="89">
        <v>2.609</v>
      </c>
      <c r="K13" s="80"/>
      <c r="L13" s="82"/>
      <c r="M13" s="80">
        <v>1.688</v>
      </c>
      <c r="N13" s="80">
        <v>2.729</v>
      </c>
      <c r="O13" s="151">
        <f t="shared" si="1"/>
        <v>47.59542227</v>
      </c>
      <c r="P13" s="152">
        <f t="shared" si="2"/>
        <v>153.8256388</v>
      </c>
      <c r="Q13" s="152">
        <f t="shared" si="3"/>
        <v>7.605129326</v>
      </c>
      <c r="R13" s="152"/>
      <c r="S13" s="152">
        <f t="shared" si="4"/>
        <v>13.47437028</v>
      </c>
      <c r="T13" s="152">
        <f>(H13*$I$3+$I$4)</f>
        <v>84.10934294</v>
      </c>
      <c r="U13" s="153">
        <f t="shared" si="5"/>
        <v>97.58371322</v>
      </c>
      <c r="V13" s="152">
        <f t="shared" si="6"/>
        <v>0.5259162682</v>
      </c>
      <c r="W13" s="152">
        <f t="shared" si="7"/>
        <v>1.699730816</v>
      </c>
      <c r="X13" s="152">
        <f t="shared" si="8"/>
        <v>0.08403457819</v>
      </c>
      <c r="Y13" s="152"/>
      <c r="Z13" s="152">
        <f t="shared" si="9"/>
        <v>0.1488880694</v>
      </c>
      <c r="AA13" s="152">
        <f>T13*AP13/AQ13</f>
        <v>0.9293850048</v>
      </c>
      <c r="AB13" s="152">
        <f t="shared" si="10"/>
        <v>1.078273074</v>
      </c>
      <c r="AC13" s="151">
        <f t="shared" si="11"/>
        <v>0.001985254689</v>
      </c>
      <c r="AD13" s="152">
        <f t="shared" si="12"/>
        <v>0.006416227783</v>
      </c>
      <c r="AE13" s="152">
        <f t="shared" si="13"/>
        <v>0.0003172178738</v>
      </c>
      <c r="AF13" s="152"/>
      <c r="AG13" s="152">
        <f t="shared" si="14"/>
        <v>0.001645172037</v>
      </c>
      <c r="AH13" s="152">
        <f>AA13*AP13/AQ13</f>
        <v>0.01026944757</v>
      </c>
      <c r="AI13" s="152">
        <f t="shared" si="15"/>
        <v>0.0119146196</v>
      </c>
      <c r="AJ13" s="152">
        <f t="shared" si="16"/>
        <v>0.008401482472</v>
      </c>
      <c r="AK13" s="153">
        <f t="shared" si="17"/>
        <v>0.01223183748</v>
      </c>
      <c r="AL13" s="74"/>
      <c r="AM13" s="36" t="s">
        <v>67</v>
      </c>
      <c r="AN13" s="151">
        <f t="shared" si="18"/>
        <v>8.333333333</v>
      </c>
      <c r="AO13" s="154">
        <f>'2023 Snow PPL'!F7</f>
        <v>0.1</v>
      </c>
      <c r="AP13" s="155">
        <f>'2023 Snow PPL'!W7/1000</f>
        <v>0.1</v>
      </c>
      <c r="AQ13" s="155">
        <f>'2023 Snow PPL'!U7</f>
        <v>9.05</v>
      </c>
      <c r="AR13" s="154">
        <f>'2023 Snow PPL'!J7</f>
        <v>8.925631313</v>
      </c>
      <c r="AS13" s="156">
        <f>'2023 Snow PPL'!E7</f>
        <v>2364.5</v>
      </c>
      <c r="AT13" s="7"/>
    </row>
    <row r="14" ht="15.75" customHeight="1">
      <c r="A14" s="7"/>
      <c r="B14" s="41" t="s">
        <v>69</v>
      </c>
      <c r="C14" s="80">
        <v>344.2</v>
      </c>
      <c r="D14" s="80">
        <v>5115.7</v>
      </c>
      <c r="E14" s="80">
        <v>104761.26</v>
      </c>
      <c r="F14" s="126"/>
      <c r="G14" s="89">
        <v>2337725.47</v>
      </c>
      <c r="H14" s="193"/>
      <c r="I14" s="80">
        <v>1.644</v>
      </c>
      <c r="J14" s="89">
        <v>2.587</v>
      </c>
      <c r="K14" s="80">
        <v>0.866</v>
      </c>
      <c r="L14" s="82"/>
      <c r="M14" s="80">
        <v>1.67</v>
      </c>
      <c r="N14" s="80"/>
      <c r="O14" s="151">
        <f t="shared" si="1"/>
        <v>52.63884062</v>
      </c>
      <c r="P14" s="152">
        <f t="shared" si="2"/>
        <v>469.3905326</v>
      </c>
      <c r="Q14" s="152">
        <f t="shared" si="3"/>
        <v>16.61957849</v>
      </c>
      <c r="R14" s="152"/>
      <c r="S14" s="152">
        <f t="shared" si="4"/>
        <v>93.52794545</v>
      </c>
      <c r="T14" s="152"/>
      <c r="U14" s="153">
        <f t="shared" si="5"/>
        <v>93.52794545</v>
      </c>
      <c r="V14" s="152">
        <f t="shared" si="6"/>
        <v>0.5398855448</v>
      </c>
      <c r="W14" s="152">
        <f t="shared" si="7"/>
        <v>4.814261873</v>
      </c>
      <c r="X14" s="152">
        <f t="shared" si="8"/>
        <v>0.1704572153</v>
      </c>
      <c r="Y14" s="152"/>
      <c r="Z14" s="152">
        <f t="shared" si="9"/>
        <v>0.959260979</v>
      </c>
      <c r="AA14" s="152"/>
      <c r="AB14" s="152">
        <f t="shared" si="10"/>
        <v>0.959260979</v>
      </c>
      <c r="AC14" s="151">
        <f t="shared" si="11"/>
        <v>0.002219164812</v>
      </c>
      <c r="AD14" s="152">
        <f t="shared" si="12"/>
        <v>0.01978871382</v>
      </c>
      <c r="AE14" s="152">
        <f t="shared" si="13"/>
        <v>0.0007006534214</v>
      </c>
      <c r="AF14" s="152"/>
      <c r="AG14" s="152">
        <f t="shared" si="14"/>
        <v>0.009838574143</v>
      </c>
      <c r="AH14" s="152"/>
      <c r="AI14" s="152">
        <f t="shared" si="15"/>
        <v>0.009838574143</v>
      </c>
      <c r="AJ14" s="152">
        <f t="shared" si="16"/>
        <v>0.02200787864</v>
      </c>
      <c r="AK14" s="153">
        <f t="shared" si="17"/>
        <v>0.01053922756</v>
      </c>
      <c r="AL14" s="74"/>
      <c r="AM14" s="36" t="s">
        <v>69</v>
      </c>
      <c r="AN14" s="151">
        <f t="shared" si="18"/>
        <v>8.333333333</v>
      </c>
      <c r="AO14" s="154">
        <f>'2023 Snow PPL'!F8</f>
        <v>0.1</v>
      </c>
      <c r="AP14" s="155">
        <f>'2023 Snow PPL'!W8/1000</f>
        <v>0.1</v>
      </c>
      <c r="AQ14" s="155">
        <f>'2023 Snow PPL'!U8</f>
        <v>9.75</v>
      </c>
      <c r="AR14" s="154">
        <f>'2023 Snow PPL'!J8</f>
        <v>9.589646465</v>
      </c>
      <c r="AS14" s="156">
        <f>'2023 Snow PPL'!E8</f>
        <v>2333</v>
      </c>
      <c r="AT14" s="7"/>
    </row>
    <row r="15" ht="15.75" customHeight="1">
      <c r="A15" s="7"/>
      <c r="B15" s="41" t="s">
        <v>70</v>
      </c>
      <c r="C15" s="80">
        <v>538.4</v>
      </c>
      <c r="D15" s="80">
        <v>7644.3</v>
      </c>
      <c r="E15" s="80">
        <v>130335.27</v>
      </c>
      <c r="F15" s="126"/>
      <c r="G15" s="89">
        <v>1532489.84</v>
      </c>
      <c r="H15" s="193"/>
      <c r="I15" s="80">
        <v>1.635</v>
      </c>
      <c r="J15" s="89">
        <v>2.562</v>
      </c>
      <c r="K15" s="80">
        <v>0.836</v>
      </c>
      <c r="L15" s="82"/>
      <c r="M15" s="80">
        <v>1.674</v>
      </c>
      <c r="N15" s="80"/>
      <c r="O15" s="151">
        <f t="shared" si="1"/>
        <v>69.07226078</v>
      </c>
      <c r="P15" s="195">
        <f t="shared" si="2"/>
        <v>695.0451777</v>
      </c>
      <c r="Q15" s="152">
        <f t="shared" si="3"/>
        <v>18.82015925</v>
      </c>
      <c r="R15" s="152"/>
      <c r="S15" s="152">
        <f t="shared" si="4"/>
        <v>61.44633219</v>
      </c>
      <c r="T15" s="152"/>
      <c r="U15" s="153">
        <f t="shared" si="5"/>
        <v>61.44633219</v>
      </c>
      <c r="V15" s="152">
        <f t="shared" si="6"/>
        <v>0.7348112849</v>
      </c>
      <c r="W15" s="195">
        <f t="shared" si="7"/>
        <v>7.394097635</v>
      </c>
      <c r="X15" s="152">
        <f t="shared" si="8"/>
        <v>0.2002144601</v>
      </c>
      <c r="Y15" s="152"/>
      <c r="Z15" s="152">
        <f t="shared" si="9"/>
        <v>0.653684385</v>
      </c>
      <c r="AA15" s="152"/>
      <c r="AB15" s="152">
        <f t="shared" si="10"/>
        <v>0.653684385</v>
      </c>
      <c r="AC15" s="151">
        <f t="shared" si="11"/>
        <v>0.001589558633</v>
      </c>
      <c r="AD15" s="195">
        <f t="shared" si="12"/>
        <v>0.01599506155</v>
      </c>
      <c r="AE15" s="152">
        <f t="shared" si="13"/>
        <v>0.0004331079695</v>
      </c>
      <c r="AF15" s="152"/>
      <c r="AG15" s="152">
        <f t="shared" si="14"/>
        <v>0.006954089202</v>
      </c>
      <c r="AH15" s="152"/>
      <c r="AI15" s="152">
        <f t="shared" si="15"/>
        <v>0.006954089202</v>
      </c>
      <c r="AJ15" s="152">
        <f t="shared" si="16"/>
        <v>0.01758462018</v>
      </c>
      <c r="AK15" s="153">
        <f t="shared" si="17"/>
        <v>0.007387197172</v>
      </c>
      <c r="AL15" s="74"/>
      <c r="AM15" s="36" t="s">
        <v>70</v>
      </c>
      <c r="AN15" s="151">
        <f t="shared" si="18"/>
        <v>22.68333333</v>
      </c>
      <c r="AO15" s="154">
        <f>'2023 Snow PPL'!F9</f>
        <v>0.2722</v>
      </c>
      <c r="AP15" s="155">
        <f>'2023 Snow PPL'!W9/1000</f>
        <v>0.1</v>
      </c>
      <c r="AQ15" s="155">
        <f>'2023 Snow PPL'!U9</f>
        <v>9.4</v>
      </c>
      <c r="AR15" s="154">
        <f>'2023 Snow PPL'!J9</f>
        <v>9.283459596</v>
      </c>
      <c r="AS15" s="156">
        <f>'2023 Snow PPL'!E9</f>
        <v>4291.5</v>
      </c>
      <c r="AT15" s="7"/>
    </row>
    <row r="16" ht="15.75" customHeight="1">
      <c r="A16" s="7" t="s">
        <v>353</v>
      </c>
      <c r="B16" s="41" t="s">
        <v>71</v>
      </c>
      <c r="C16" s="80">
        <v>493.4</v>
      </c>
      <c r="D16" s="80">
        <v>5769.1</v>
      </c>
      <c r="E16" s="80">
        <v>119472.59</v>
      </c>
      <c r="F16" s="126"/>
      <c r="G16" s="89">
        <v>22453.85</v>
      </c>
      <c r="H16" s="193"/>
      <c r="I16" s="80">
        <v>1.637</v>
      </c>
      <c r="J16" s="89">
        <v>2.573</v>
      </c>
      <c r="K16" s="80">
        <v>0.849</v>
      </c>
      <c r="L16" s="82"/>
      <c r="M16" s="80">
        <v>1.686</v>
      </c>
      <c r="N16" s="80"/>
      <c r="O16" s="151">
        <f t="shared" si="1"/>
        <v>65.26431069</v>
      </c>
      <c r="P16" s="195">
        <f t="shared" si="2"/>
        <v>527.7005639</v>
      </c>
      <c r="Q16" s="152">
        <f t="shared" ref="Q16:Q19" si="19">E16*$N$3+$N$4</f>
        <v>17.72999075</v>
      </c>
      <c r="R16" s="152"/>
      <c r="S16" s="152"/>
      <c r="T16" s="152"/>
      <c r="U16" s="153"/>
      <c r="V16" s="152">
        <f t="shared" si="6"/>
        <v>0.7017667816</v>
      </c>
      <c r="W16" s="195">
        <f t="shared" si="7"/>
        <v>5.674199612</v>
      </c>
      <c r="X16" s="152">
        <f t="shared" si="8"/>
        <v>0.1906450619</v>
      </c>
      <c r="Y16" s="152"/>
      <c r="Z16" s="152"/>
      <c r="AA16" s="152"/>
      <c r="AB16" s="152"/>
      <c r="AC16" s="151">
        <f t="shared" si="11"/>
        <v>0.001770874261</v>
      </c>
      <c r="AD16" s="195">
        <f t="shared" si="12"/>
        <v>0.01431856609</v>
      </c>
      <c r="AE16" s="152">
        <f t="shared" si="13"/>
        <v>0.0004810835193</v>
      </c>
      <c r="AF16" s="152"/>
      <c r="AG16" s="152"/>
      <c r="AH16" s="152"/>
      <c r="AI16" s="152"/>
      <c r="AJ16" s="152">
        <f t="shared" si="16"/>
        <v>0.01608944035</v>
      </c>
      <c r="AK16" s="153">
        <f t="shared" si="17"/>
        <v>0.0004810835193</v>
      </c>
      <c r="AL16" s="74"/>
      <c r="AM16" s="36" t="s">
        <v>71</v>
      </c>
      <c r="AN16" s="151">
        <f t="shared" si="18"/>
        <v>8.333333333</v>
      </c>
      <c r="AO16" s="154">
        <f>'2023 Snow PPL'!F10</f>
        <v>0.1</v>
      </c>
      <c r="AP16" s="155">
        <f>'2023 Snow PPL'!W10/1000</f>
        <v>0.1</v>
      </c>
      <c r="AQ16" s="155">
        <f>'2023 Snow PPL'!U10</f>
        <v>9.3</v>
      </c>
      <c r="AR16" s="154">
        <f>'2023 Snow PPL'!J10</f>
        <v>9.197979798</v>
      </c>
      <c r="AS16" s="156">
        <f>'2023 Snow PPL'!E10</f>
        <v>3645</v>
      </c>
      <c r="AT16" s="7"/>
    </row>
    <row r="17" ht="15.75" customHeight="1">
      <c r="A17" s="7"/>
      <c r="B17" s="41" t="s">
        <v>57</v>
      </c>
      <c r="C17" s="80">
        <v>796.0</v>
      </c>
      <c r="D17" s="80">
        <v>8141.7</v>
      </c>
      <c r="E17" s="80">
        <v>513206.42</v>
      </c>
      <c r="F17" s="126"/>
      <c r="G17" s="89">
        <v>1.352226721E7</v>
      </c>
      <c r="H17" s="193"/>
      <c r="I17" s="80">
        <v>1.624</v>
      </c>
      <c r="J17" s="89">
        <v>2.554</v>
      </c>
      <c r="K17" s="80">
        <v>0.846</v>
      </c>
      <c r="L17" s="82"/>
      <c r="M17" s="80">
        <v>1.66</v>
      </c>
      <c r="N17" s="80"/>
      <c r="O17" s="151">
        <f t="shared" si="1"/>
        <v>90.87065952</v>
      </c>
      <c r="P17" s="195">
        <f t="shared" si="2"/>
        <v>739.4336221</v>
      </c>
      <c r="Q17" s="152">
        <f t="shared" si="19"/>
        <v>50.78009498</v>
      </c>
      <c r="R17" s="152"/>
      <c r="S17" s="152">
        <f t="shared" ref="S17:S19" si="20">(G17*$P$3+$P$4)</f>
        <v>540.4405002</v>
      </c>
      <c r="T17" s="152"/>
      <c r="U17" s="153">
        <f t="shared" ref="U17:U19" si="21">SUM(R17:T17)</f>
        <v>540.4405002</v>
      </c>
      <c r="V17" s="152">
        <f t="shared" si="6"/>
        <v>0.9823855083</v>
      </c>
      <c r="W17" s="195">
        <f t="shared" si="7"/>
        <v>7.993876996</v>
      </c>
      <c r="X17" s="152">
        <f t="shared" si="8"/>
        <v>0.5489739998</v>
      </c>
      <c r="Y17" s="152"/>
      <c r="Z17" s="152">
        <f t="shared" ref="Z17:Z19" si="22">S17*AP17/AQ17</f>
        <v>5.842600002</v>
      </c>
      <c r="AA17" s="152"/>
      <c r="AB17" s="152">
        <f t="shared" ref="AB17:AB19" si="23">U17*AP17/AQ17</f>
        <v>5.842600002</v>
      </c>
      <c r="AC17" s="151">
        <f t="shared" si="11"/>
        <v>0.002181440464</v>
      </c>
      <c r="AD17" s="195">
        <f t="shared" si="12"/>
        <v>0.01775083874</v>
      </c>
      <c r="AE17" s="152">
        <f t="shared" si="13"/>
        <v>0.001219026631</v>
      </c>
      <c r="AF17" s="152"/>
      <c r="AG17" s="152">
        <f t="shared" ref="AG17:AG19" si="24">Z17*AP17/AQ17</f>
        <v>0.06316324327</v>
      </c>
      <c r="AH17" s="152"/>
      <c r="AI17" s="152">
        <f t="shared" ref="AI17:AI19" si="25">AB17*AP17/AQ17</f>
        <v>0.06316324327</v>
      </c>
      <c r="AJ17" s="152">
        <f t="shared" si="16"/>
        <v>0.01993227921</v>
      </c>
      <c r="AK17" s="153">
        <f t="shared" si="17"/>
        <v>0.0643822699</v>
      </c>
      <c r="AL17" s="74"/>
      <c r="AM17" s="36" t="s">
        <v>57</v>
      </c>
      <c r="AN17" s="151">
        <f t="shared" si="18"/>
        <v>26.75</v>
      </c>
      <c r="AO17" s="154">
        <f>'2023 Snow PPL'!F11</f>
        <v>0.321</v>
      </c>
      <c r="AP17" s="155">
        <f>'2023 Snow PPL'!W11/1000</f>
        <v>0.1</v>
      </c>
      <c r="AQ17" s="155">
        <f>'2023 Snow PPL'!U11</f>
        <v>9.25</v>
      </c>
      <c r="AR17" s="154">
        <f>'2023 Snow PPL'!J11</f>
        <v>9.178661616</v>
      </c>
      <c r="AS17" s="156">
        <f>'2023 Snow PPL'!E11</f>
        <v>4133.5</v>
      </c>
      <c r="AT17" s="7"/>
    </row>
    <row r="18" ht="15.75" customHeight="1">
      <c r="A18" s="7"/>
      <c r="B18" s="41" t="s">
        <v>78</v>
      </c>
      <c r="C18" s="80">
        <v>178.3</v>
      </c>
      <c r="D18" s="80">
        <v>1170.2</v>
      </c>
      <c r="E18" s="80">
        <v>66676.9</v>
      </c>
      <c r="F18" s="126"/>
      <c r="G18" s="89">
        <v>466087.75</v>
      </c>
      <c r="H18" s="193">
        <v>7704.17</v>
      </c>
      <c r="I18" s="80">
        <v>1.622</v>
      </c>
      <c r="J18" s="89">
        <v>2.602</v>
      </c>
      <c r="K18" s="80">
        <v>0.85</v>
      </c>
      <c r="L18" s="82"/>
      <c r="M18" s="80">
        <v>1.687</v>
      </c>
      <c r="N18" s="80">
        <v>2.796</v>
      </c>
      <c r="O18" s="151">
        <f t="shared" si="1"/>
        <v>38.60019795</v>
      </c>
      <c r="P18" s="152">
        <f t="shared" si="2"/>
        <v>117.2903973</v>
      </c>
      <c r="Q18" s="152">
        <f t="shared" si="19"/>
        <v>13.29830893</v>
      </c>
      <c r="R18" s="152"/>
      <c r="S18" s="152">
        <f t="shared" si="20"/>
        <v>19.07546669</v>
      </c>
      <c r="T18" s="152">
        <f t="shared" ref="T18:T19" si="26">(H18*$Q$3+$Q$4)</f>
        <v>33.79182275</v>
      </c>
      <c r="U18" s="153">
        <f t="shared" si="21"/>
        <v>52.86728944</v>
      </c>
      <c r="V18" s="152">
        <f t="shared" si="6"/>
        <v>0.4265215243</v>
      </c>
      <c r="W18" s="152">
        <f t="shared" si="7"/>
        <v>1.29602649</v>
      </c>
      <c r="X18" s="152">
        <f t="shared" si="8"/>
        <v>0.1469426401</v>
      </c>
      <c r="Y18" s="152"/>
      <c r="Z18" s="152">
        <f t="shared" si="22"/>
        <v>0.2107786374</v>
      </c>
      <c r="AA18" s="152">
        <f t="shared" ref="AA18:AA19" si="27">T18*AP18/AQ18</f>
        <v>0.3733903066</v>
      </c>
      <c r="AB18" s="152">
        <f t="shared" si="23"/>
        <v>0.584168944</v>
      </c>
      <c r="AC18" s="151">
        <f t="shared" si="11"/>
        <v>0.002167570792</v>
      </c>
      <c r="AD18" s="152">
        <f t="shared" si="12"/>
        <v>0.006586371389</v>
      </c>
      <c r="AE18" s="152">
        <f t="shared" si="13"/>
        <v>0.0007467585026</v>
      </c>
      <c r="AF18" s="152"/>
      <c r="AG18" s="152">
        <f t="shared" si="24"/>
        <v>0.002329045718</v>
      </c>
      <c r="AH18" s="152">
        <f t="shared" ref="AH18:AH19" si="28">AA18*AP18/AQ18</f>
        <v>0.004125859741</v>
      </c>
      <c r="AI18" s="152">
        <f t="shared" si="25"/>
        <v>0.006454905459</v>
      </c>
      <c r="AJ18" s="152">
        <f t="shared" si="16"/>
        <v>0.00875394218</v>
      </c>
      <c r="AK18" s="153">
        <f t="shared" si="17"/>
        <v>0.007201663962</v>
      </c>
      <c r="AL18" s="74"/>
      <c r="AM18" s="36" t="s">
        <v>78</v>
      </c>
      <c r="AN18" s="151">
        <f t="shared" si="18"/>
        <v>23.85833333</v>
      </c>
      <c r="AO18" s="154">
        <f>'2023 Snow PPL'!F12</f>
        <v>0.2863</v>
      </c>
      <c r="AP18" s="155">
        <f>'2023 Snow PPL'!W12/1000</f>
        <v>0.1</v>
      </c>
      <c r="AQ18" s="155">
        <f>'2023 Snow PPL'!U12</f>
        <v>9.05</v>
      </c>
      <c r="AR18" s="154">
        <f>'2023 Snow PPL'!J12</f>
        <v>9.012878788</v>
      </c>
      <c r="AS18" s="156">
        <f>'2023 Snow PPL'!E12</f>
        <v>1773.5</v>
      </c>
      <c r="AT18" s="7"/>
    </row>
    <row r="19" ht="15.75" customHeight="1">
      <c r="A19" s="7"/>
      <c r="B19" s="43" t="s">
        <v>82</v>
      </c>
      <c r="C19" s="92">
        <v>755.0</v>
      </c>
      <c r="D19" s="92">
        <v>9251.1</v>
      </c>
      <c r="E19" s="92">
        <v>120063.26</v>
      </c>
      <c r="F19" s="128"/>
      <c r="G19" s="95">
        <v>766660.16</v>
      </c>
      <c r="H19" s="196">
        <v>11785.52</v>
      </c>
      <c r="I19" s="92">
        <v>1.637</v>
      </c>
      <c r="J19" s="95">
        <v>2.559</v>
      </c>
      <c r="K19" s="92">
        <v>0.844</v>
      </c>
      <c r="L19" s="93"/>
      <c r="M19" s="92">
        <v>1.692</v>
      </c>
      <c r="N19" s="92">
        <v>2.778</v>
      </c>
      <c r="O19" s="162">
        <f t="shared" si="1"/>
        <v>87.40119388</v>
      </c>
      <c r="P19" s="203">
        <f t="shared" si="2"/>
        <v>838.4375228</v>
      </c>
      <c r="Q19" s="163">
        <f t="shared" si="19"/>
        <v>17.77957172</v>
      </c>
      <c r="R19" s="163"/>
      <c r="S19" s="163">
        <f t="shared" si="20"/>
        <v>31.07805482</v>
      </c>
      <c r="T19" s="163">
        <f t="shared" si="26"/>
        <v>35.04312547</v>
      </c>
      <c r="U19" s="164">
        <f t="shared" si="21"/>
        <v>66.12118029</v>
      </c>
      <c r="V19" s="163">
        <f t="shared" si="6"/>
        <v>0.9657590484</v>
      </c>
      <c r="W19" s="203">
        <f t="shared" si="7"/>
        <v>9.264503014</v>
      </c>
      <c r="X19" s="163">
        <f t="shared" si="8"/>
        <v>0.1964593561</v>
      </c>
      <c r="Y19" s="163"/>
      <c r="Z19" s="163">
        <f t="shared" si="22"/>
        <v>0.3434039206</v>
      </c>
      <c r="AA19" s="163">
        <f t="shared" si="27"/>
        <v>0.387216856</v>
      </c>
      <c r="AB19" s="163">
        <f t="shared" si="23"/>
        <v>0.7306207767</v>
      </c>
      <c r="AC19" s="162">
        <f t="shared" si="11"/>
        <v>0.002170313876</v>
      </c>
      <c r="AD19" s="203">
        <f t="shared" si="12"/>
        <v>0.02081976812</v>
      </c>
      <c r="AE19" s="163">
        <f t="shared" si="13"/>
        <v>0.0004414956994</v>
      </c>
      <c r="AF19" s="163"/>
      <c r="AG19" s="163">
        <f t="shared" si="24"/>
        <v>0.00379451846</v>
      </c>
      <c r="AH19" s="163">
        <f t="shared" si="28"/>
        <v>0.004278639293</v>
      </c>
      <c r="AI19" s="163">
        <f t="shared" si="25"/>
        <v>0.008073157753</v>
      </c>
      <c r="AJ19" s="163">
        <f t="shared" si="16"/>
        <v>0.02299008199</v>
      </c>
      <c r="AK19" s="164">
        <f t="shared" si="17"/>
        <v>0.008514653453</v>
      </c>
      <c r="AL19" s="74"/>
      <c r="AM19" s="37" t="s">
        <v>82</v>
      </c>
      <c r="AN19" s="162">
        <f t="shared" si="18"/>
        <v>19.15</v>
      </c>
      <c r="AO19" s="165">
        <f>'2023 Snow PPL'!F13</f>
        <v>0.2298</v>
      </c>
      <c r="AP19" s="197">
        <f>'2023 Snow PPL'!W13/1000</f>
        <v>0.1</v>
      </c>
      <c r="AQ19" s="197">
        <f>'2023 Snow PPL'!U13</f>
        <v>9.05</v>
      </c>
      <c r="AR19" s="165">
        <f>'2023 Snow PPL'!J13</f>
        <v>8.947474747</v>
      </c>
      <c r="AS19" s="168">
        <f>'2023 Snow PPL'!E13</f>
        <v>3981.5</v>
      </c>
      <c r="AT19" s="7"/>
    </row>
    <row r="20" ht="15.75" customHeight="1">
      <c r="A20" s="7"/>
      <c r="B20" s="7"/>
      <c r="C20" s="10"/>
      <c r="D20" s="10"/>
      <c r="E20" s="10"/>
      <c r="F20" s="57"/>
      <c r="G20" s="57"/>
      <c r="H20" s="57"/>
      <c r="I20" s="10"/>
      <c r="J20" s="57"/>
      <c r="K20" s="10"/>
      <c r="L20" s="10"/>
      <c r="M20" s="10"/>
      <c r="N20" s="10"/>
      <c r="O20" s="198"/>
      <c r="P20" s="198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7"/>
      <c r="AM20" s="7"/>
      <c r="AN20" s="152"/>
      <c r="AO20" s="152"/>
      <c r="AP20" s="4"/>
      <c r="AQ20" s="4"/>
      <c r="AR20" s="152"/>
      <c r="AS20" s="4"/>
      <c r="AT20" s="7"/>
    </row>
    <row r="21" ht="15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132"/>
      <c r="AQ21" s="132"/>
      <c r="AR21" s="169"/>
      <c r="AS21" s="7"/>
      <c r="AT21" s="7"/>
    </row>
    <row r="22" ht="15.75" customHeight="1">
      <c r="A22" s="7"/>
      <c r="B22" s="1" t="s">
        <v>298</v>
      </c>
      <c r="C22" s="3"/>
      <c r="D22" s="65" t="s">
        <v>0</v>
      </c>
      <c r="E22" s="7" t="s">
        <v>191</v>
      </c>
      <c r="F22" s="3"/>
      <c r="G22" s="3"/>
      <c r="H22" s="3"/>
      <c r="I22" s="3"/>
      <c r="J22" s="3"/>
      <c r="K22" s="3"/>
      <c r="L22" s="3"/>
      <c r="M22" s="3"/>
      <c r="N22" s="3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132"/>
      <c r="AN22" s="132"/>
      <c r="AO22" s="132"/>
      <c r="AP22" s="169"/>
      <c r="AQ22" s="7"/>
      <c r="AR22" s="7"/>
      <c r="AS22" s="169"/>
      <c r="AT22" s="7"/>
    </row>
    <row r="23" ht="15.75" customHeight="1">
      <c r="A23" s="7"/>
      <c r="B23" s="7" t="s">
        <v>299</v>
      </c>
      <c r="C23" s="3"/>
      <c r="D23" s="65" t="s">
        <v>300</v>
      </c>
      <c r="E23" s="7" t="s">
        <v>301</v>
      </c>
      <c r="F23" s="3"/>
      <c r="G23" s="3"/>
      <c r="H23" s="3"/>
      <c r="I23" s="3"/>
      <c r="J23" s="3"/>
      <c r="K23" s="3"/>
      <c r="L23" s="3"/>
      <c r="M23" s="3"/>
      <c r="N23" s="3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132"/>
      <c r="AN23" s="132"/>
      <c r="AO23" s="132"/>
      <c r="AP23" s="7"/>
      <c r="AQ23" s="7"/>
      <c r="AR23" s="7"/>
      <c r="AS23" s="169"/>
      <c r="AT23" s="7"/>
    </row>
    <row r="24" ht="15.75" customHeight="1">
      <c r="A24" s="7"/>
      <c r="B24" s="7" t="s">
        <v>302</v>
      </c>
      <c r="C24" s="3"/>
      <c r="D24" s="65" t="s">
        <v>303</v>
      </c>
      <c r="E24" s="7" t="s">
        <v>304</v>
      </c>
      <c r="F24" s="3"/>
      <c r="G24" s="3"/>
      <c r="H24" s="3"/>
      <c r="I24" s="3"/>
      <c r="J24" s="3"/>
      <c r="K24" s="3"/>
      <c r="L24" s="3"/>
      <c r="M24" s="3"/>
      <c r="N24" s="3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132"/>
      <c r="AN24" s="132"/>
      <c r="AO24" s="132"/>
      <c r="AP24" s="7"/>
      <c r="AQ24" s="7"/>
      <c r="AR24" s="7"/>
      <c r="AS24" s="169"/>
      <c r="AT24" s="7"/>
    </row>
    <row r="25" ht="15.75" customHeight="1">
      <c r="A25" s="7"/>
      <c r="B25" s="7" t="s">
        <v>305</v>
      </c>
      <c r="C25" s="3"/>
      <c r="D25" s="45" t="s">
        <v>306</v>
      </c>
      <c r="E25" s="7" t="s">
        <v>307</v>
      </c>
      <c r="F25" s="3"/>
      <c r="G25" s="3"/>
      <c r="H25" s="3"/>
      <c r="I25" s="3"/>
      <c r="J25" s="3"/>
      <c r="K25" s="3"/>
      <c r="L25" s="3"/>
      <c r="M25" s="3"/>
      <c r="N25" s="3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132"/>
      <c r="AN25" s="132"/>
      <c r="AO25" s="132"/>
      <c r="AP25" s="7"/>
      <c r="AQ25" s="7"/>
      <c r="AR25" s="7"/>
      <c r="AS25" s="169"/>
      <c r="AT25" s="7"/>
    </row>
    <row r="26" ht="15.75" customHeight="1">
      <c r="A26" s="7"/>
      <c r="B26" s="7"/>
      <c r="C26" s="3"/>
      <c r="D26" s="45" t="s">
        <v>308</v>
      </c>
      <c r="E26" s="7" t="s">
        <v>309</v>
      </c>
      <c r="F26" s="3"/>
      <c r="G26" s="3"/>
      <c r="H26" s="3"/>
      <c r="I26" s="3"/>
      <c r="J26" s="3"/>
      <c r="K26" s="3"/>
      <c r="L26" s="3"/>
      <c r="M26" s="3"/>
      <c r="N26" s="3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132"/>
      <c r="AQ26" s="132"/>
      <c r="AR26" s="7"/>
      <c r="AS26" s="7"/>
      <c r="AT26" s="7"/>
    </row>
    <row r="27" ht="15.75" customHeight="1">
      <c r="A27" s="7"/>
      <c r="B27" s="18"/>
      <c r="C27" s="3"/>
      <c r="D27" s="65" t="s">
        <v>310</v>
      </c>
      <c r="E27" s="7" t="s">
        <v>311</v>
      </c>
      <c r="F27" s="3"/>
      <c r="G27" s="3"/>
      <c r="H27" s="3"/>
      <c r="I27" s="3"/>
      <c r="J27" s="3"/>
      <c r="K27" s="3"/>
      <c r="L27" s="3"/>
      <c r="M27" s="3"/>
      <c r="N27" s="3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18"/>
      <c r="AB27" s="18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132"/>
      <c r="AQ27" s="132"/>
      <c r="AR27" s="7"/>
      <c r="AS27" s="7"/>
      <c r="AT27" s="7"/>
    </row>
    <row r="28" ht="15.75" customHeight="1">
      <c r="A28" s="7"/>
      <c r="B28" s="18"/>
      <c r="C28" s="3"/>
      <c r="D28" s="65" t="s">
        <v>312</v>
      </c>
      <c r="E28" s="7" t="s">
        <v>313</v>
      </c>
      <c r="F28" s="3"/>
      <c r="G28" s="3"/>
      <c r="H28" s="3"/>
      <c r="I28" s="3"/>
      <c r="J28" s="3"/>
      <c r="K28" s="3"/>
      <c r="L28" s="3"/>
      <c r="M28" s="3"/>
      <c r="N28" s="3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18"/>
      <c r="AB28" s="18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132"/>
      <c r="AQ28" s="132"/>
      <c r="AR28" s="7"/>
      <c r="AS28" s="7"/>
      <c r="AT28" s="7"/>
    </row>
    <row r="29" ht="15.75" customHeight="1">
      <c r="A29" s="7"/>
      <c r="B29" s="18"/>
      <c r="C29" s="3"/>
      <c r="D29" s="65" t="s">
        <v>314</v>
      </c>
      <c r="E29" s="7" t="s">
        <v>315</v>
      </c>
      <c r="F29" s="3"/>
      <c r="G29" s="3"/>
      <c r="H29" s="3"/>
      <c r="I29" s="3"/>
      <c r="J29" s="3"/>
      <c r="K29" s="3"/>
      <c r="L29" s="3"/>
      <c r="M29" s="3"/>
      <c r="N29" s="3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18"/>
      <c r="AB29" s="18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132"/>
      <c r="AQ29" s="132"/>
      <c r="AR29" s="7"/>
      <c r="AS29" s="7"/>
      <c r="AT29" s="7"/>
    </row>
    <row r="30" ht="15.75" customHeight="1">
      <c r="A30" s="7"/>
      <c r="B30" s="18"/>
      <c r="C30" s="7"/>
      <c r="D30" s="65" t="s">
        <v>316</v>
      </c>
      <c r="E30" s="7" t="s">
        <v>195</v>
      </c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18"/>
      <c r="AB30" s="18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132"/>
      <c r="AQ30" s="132"/>
      <c r="AR30" s="7"/>
      <c r="AS30" s="7"/>
      <c r="AT30" s="7"/>
    </row>
    <row r="31" ht="15.75" customHeight="1">
      <c r="A31" s="7"/>
      <c r="B31" s="7"/>
      <c r="C31" s="7"/>
      <c r="D31" s="46" t="s">
        <v>317</v>
      </c>
      <c r="E31" s="7" t="s">
        <v>318</v>
      </c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18"/>
      <c r="AB31" s="18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132"/>
      <c r="AQ31" s="132"/>
      <c r="AR31" s="7"/>
      <c r="AS31" s="7"/>
      <c r="AT31" s="7"/>
    </row>
    <row r="32" ht="15.75" customHeight="1">
      <c r="A32" s="7"/>
      <c r="B32" s="7"/>
      <c r="C32" s="7"/>
      <c r="D32" s="67" t="s">
        <v>319</v>
      </c>
      <c r="E32" s="7" t="s">
        <v>320</v>
      </c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18"/>
      <c r="AB32" s="18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132"/>
      <c r="AQ32" s="132"/>
      <c r="AR32" s="7"/>
      <c r="AS32" s="7"/>
      <c r="AT32" s="7"/>
    </row>
    <row r="33" ht="15.75" customHeight="1">
      <c r="A33" s="7"/>
      <c r="B33" s="7"/>
      <c r="C33" s="7"/>
      <c r="D33" s="67" t="s">
        <v>196</v>
      </c>
      <c r="E33" s="7" t="s">
        <v>197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18"/>
      <c r="AB33" s="18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132"/>
      <c r="AQ33" s="132"/>
      <c r="AR33" s="7"/>
      <c r="AS33" s="7"/>
      <c r="AT33" s="7"/>
    </row>
    <row r="34" ht="15.75" customHeight="1">
      <c r="A34" s="7"/>
      <c r="B34" s="7"/>
      <c r="C34" s="7"/>
      <c r="D34" s="67" t="s">
        <v>192</v>
      </c>
      <c r="E34" s="7" t="s">
        <v>193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18"/>
      <c r="AB34" s="18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132"/>
      <c r="AQ34" s="132"/>
      <c r="AR34" s="7"/>
      <c r="AS34" s="7"/>
      <c r="AT34" s="7"/>
    </row>
    <row r="35" ht="15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18"/>
      <c r="AB35" s="18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132"/>
      <c r="AP35" s="132"/>
      <c r="AQ35" s="7"/>
      <c r="AR35" s="7"/>
      <c r="AS35" s="7"/>
      <c r="AT35" s="7"/>
    </row>
    <row r="36" ht="15.75" customHeight="1">
      <c r="A36" s="7"/>
      <c r="B36" s="7"/>
      <c r="C36" s="7"/>
      <c r="D36" s="82"/>
      <c r="E36" s="7" t="s">
        <v>208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18"/>
      <c r="AB36" s="18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132"/>
      <c r="AP36" s="132"/>
      <c r="AQ36" s="7"/>
      <c r="AR36" s="7"/>
      <c r="AS36" s="7"/>
      <c r="AT36" s="7"/>
    </row>
    <row r="37" ht="15.75" customHeight="1">
      <c r="A37" s="7"/>
      <c r="B37" s="7"/>
      <c r="C37" s="7"/>
      <c r="D37" s="111"/>
      <c r="E37" s="7" t="s">
        <v>321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18"/>
      <c r="AB37" s="18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132"/>
      <c r="AP37" s="132"/>
      <c r="AQ37" s="7"/>
      <c r="AR37" s="7"/>
      <c r="AS37" s="7"/>
      <c r="AT37" s="7"/>
    </row>
    <row r="38" ht="15.75" customHeight="1">
      <c r="A38" s="7"/>
      <c r="B38" s="7"/>
      <c r="C38" s="7"/>
      <c r="D38" s="170"/>
      <c r="E38" s="7" t="s">
        <v>322</v>
      </c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18"/>
      <c r="AB38" s="18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132"/>
      <c r="AP38" s="132"/>
      <c r="AQ38" s="7"/>
      <c r="AR38" s="7"/>
      <c r="AS38" s="7"/>
      <c r="AT38" s="7"/>
    </row>
    <row r="39" ht="15.75" customHeight="1">
      <c r="A39" s="7"/>
      <c r="B39" s="7"/>
      <c r="C39" s="7"/>
      <c r="D39" s="171" t="s">
        <v>323</v>
      </c>
      <c r="E39" s="171" t="s">
        <v>324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18"/>
      <c r="AB39" s="18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132"/>
      <c r="AP39" s="132"/>
      <c r="AQ39" s="7"/>
      <c r="AR39" s="7"/>
      <c r="AS39" s="7"/>
      <c r="AT39" s="7"/>
    </row>
    <row r="40" ht="15.75" customHeight="1">
      <c r="A40" s="7"/>
      <c r="B40" s="7"/>
      <c r="C40" s="7"/>
      <c r="D40" s="7"/>
      <c r="E40" s="171" t="s">
        <v>325</v>
      </c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18"/>
      <c r="AB40" s="18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132"/>
      <c r="AQ40" s="132"/>
      <c r="AR40" s="7"/>
      <c r="AS40" s="7"/>
      <c r="AT40" s="7"/>
    </row>
    <row r="41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18"/>
      <c r="AB41" s="18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132"/>
      <c r="AQ41" s="132"/>
      <c r="AR41" s="7"/>
      <c r="AS41" s="7"/>
      <c r="AT41" s="7"/>
    </row>
    <row r="42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18"/>
      <c r="AB42" s="18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132"/>
      <c r="AQ42" s="132"/>
      <c r="AR42" s="7"/>
      <c r="AS42" s="7"/>
      <c r="AT42" s="7"/>
    </row>
    <row r="43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18"/>
      <c r="AB43" s="18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132"/>
      <c r="AQ43" s="132"/>
      <c r="AR43" s="7"/>
      <c r="AS43" s="7"/>
      <c r="AT43" s="7"/>
    </row>
    <row r="44" ht="15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18"/>
      <c r="AB44" s="18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132"/>
      <c r="AQ44" s="132"/>
      <c r="AR44" s="7"/>
      <c r="AS44" s="7"/>
      <c r="AT44" s="7"/>
    </row>
    <row r="45" ht="15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18"/>
      <c r="AB45" s="18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132"/>
      <c r="AQ45" s="132"/>
      <c r="AR45" s="7"/>
      <c r="AS45" s="7"/>
      <c r="AT45" s="7"/>
    </row>
    <row r="46" ht="15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132"/>
      <c r="AQ46" s="132"/>
      <c r="AR46" s="7"/>
      <c r="AS46" s="7"/>
      <c r="AT46" s="7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132"/>
      <c r="AQ47" s="132"/>
      <c r="AR47" s="7"/>
      <c r="AS47" s="7"/>
      <c r="AT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132"/>
      <c r="AQ48" s="132"/>
      <c r="AR48" s="7"/>
      <c r="AS48" s="7"/>
      <c r="AT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132"/>
      <c r="AQ49" s="132"/>
      <c r="AR49" s="7"/>
      <c r="AS49" s="7"/>
      <c r="AT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132"/>
      <c r="AQ50" s="132"/>
      <c r="AR50" s="7"/>
      <c r="AS50" s="7"/>
      <c r="AT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132"/>
      <c r="AQ51" s="132"/>
      <c r="AR51" s="7"/>
      <c r="AS51" s="7"/>
      <c r="AT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132"/>
      <c r="AQ52" s="132"/>
      <c r="AR52" s="7"/>
      <c r="AS52" s="7"/>
      <c r="AT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132"/>
      <c r="AQ53" s="132"/>
      <c r="AR53" s="7"/>
      <c r="AS53" s="7"/>
      <c r="AT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132"/>
      <c r="AQ54" s="132"/>
      <c r="AR54" s="7"/>
      <c r="AS54" s="7"/>
      <c r="AT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132"/>
      <c r="AQ55" s="132"/>
      <c r="AR55" s="7"/>
      <c r="AS55" s="7"/>
      <c r="AT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132"/>
      <c r="AQ56" s="132"/>
      <c r="AR56" s="7"/>
      <c r="AS56" s="7"/>
      <c r="AT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132"/>
      <c r="AQ57" s="132"/>
      <c r="AR57" s="7"/>
      <c r="AS57" s="7"/>
      <c r="AT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132"/>
      <c r="AQ58" s="132"/>
      <c r="AR58" s="7"/>
      <c r="AS58" s="7"/>
      <c r="AT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132"/>
      <c r="AQ59" s="132"/>
      <c r="AR59" s="7"/>
      <c r="AS59" s="7"/>
      <c r="AT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132"/>
      <c r="AQ60" s="132"/>
      <c r="AR60" s="7"/>
      <c r="AS60" s="7"/>
      <c r="AT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132"/>
      <c r="AQ61" s="132"/>
      <c r="AR61" s="7"/>
      <c r="AS61" s="7"/>
      <c r="AT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132"/>
      <c r="AQ62" s="132"/>
      <c r="AR62" s="7"/>
      <c r="AS62" s="7"/>
      <c r="AT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132"/>
      <c r="AQ63" s="132"/>
      <c r="AR63" s="7"/>
      <c r="AS63" s="7"/>
      <c r="AT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132"/>
      <c r="AQ64" s="132"/>
      <c r="AR64" s="7"/>
      <c r="AS64" s="7"/>
      <c r="AT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132"/>
      <c r="AQ65" s="132"/>
      <c r="AR65" s="7"/>
      <c r="AS65" s="7"/>
      <c r="AT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132"/>
      <c r="AQ66" s="132"/>
      <c r="AR66" s="7"/>
      <c r="AS66" s="7"/>
      <c r="AT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132"/>
      <c r="AQ67" s="132"/>
      <c r="AR67" s="7"/>
      <c r="AS67" s="7"/>
      <c r="AT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132"/>
      <c r="AQ68" s="132"/>
      <c r="AR68" s="7"/>
      <c r="AS68" s="7"/>
      <c r="AT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132"/>
      <c r="AQ69" s="132"/>
      <c r="AR69" s="7"/>
      <c r="AS69" s="7"/>
      <c r="AT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132"/>
      <c r="AQ70" s="132"/>
      <c r="AR70" s="7"/>
      <c r="AS70" s="7"/>
      <c r="AT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132"/>
      <c r="AQ71" s="132"/>
      <c r="AR71" s="7"/>
      <c r="AS71" s="7"/>
      <c r="AT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132"/>
      <c r="AQ72" s="132"/>
      <c r="AR72" s="7"/>
      <c r="AS72" s="7"/>
      <c r="AT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132"/>
      <c r="AQ73" s="132"/>
      <c r="AR73" s="7"/>
      <c r="AS73" s="7"/>
      <c r="AT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132"/>
      <c r="AQ74" s="132"/>
      <c r="AR74" s="7"/>
      <c r="AS74" s="7"/>
      <c r="AT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132"/>
      <c r="AQ75" s="132"/>
      <c r="AR75" s="7"/>
      <c r="AS75" s="7"/>
      <c r="AT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132"/>
      <c r="AQ76" s="132"/>
      <c r="AR76" s="7"/>
      <c r="AS76" s="7"/>
      <c r="AT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132"/>
      <c r="AQ77" s="132"/>
      <c r="AR77" s="7"/>
      <c r="AS77" s="7"/>
      <c r="AT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132"/>
      <c r="AQ78" s="132"/>
      <c r="AR78" s="7"/>
      <c r="AS78" s="7"/>
      <c r="AT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132"/>
      <c r="AQ79" s="132"/>
      <c r="AR79" s="7"/>
      <c r="AS79" s="7"/>
      <c r="AT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132"/>
      <c r="AQ80" s="132"/>
      <c r="AR80" s="7"/>
      <c r="AS80" s="7"/>
      <c r="AT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132"/>
      <c r="AQ81" s="132"/>
      <c r="AR81" s="7"/>
      <c r="AS81" s="7"/>
      <c r="AT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132"/>
      <c r="AQ82" s="132"/>
      <c r="AR82" s="7"/>
      <c r="AS82" s="7"/>
      <c r="AT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132"/>
      <c r="AQ83" s="132"/>
      <c r="AR83" s="7"/>
      <c r="AS83" s="7"/>
      <c r="AT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132"/>
      <c r="AQ84" s="132"/>
      <c r="AR84" s="7"/>
      <c r="AS84" s="7"/>
      <c r="AT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132"/>
      <c r="AQ85" s="132"/>
      <c r="AR85" s="7"/>
      <c r="AS85" s="7"/>
      <c r="AT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132"/>
      <c r="AQ86" s="132"/>
      <c r="AR86" s="7"/>
      <c r="AS86" s="7"/>
      <c r="AT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132"/>
      <c r="AQ87" s="132"/>
      <c r="AR87" s="7"/>
      <c r="AS87" s="7"/>
      <c r="AT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132"/>
      <c r="AQ88" s="132"/>
      <c r="AR88" s="7"/>
      <c r="AS88" s="7"/>
      <c r="AT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132"/>
      <c r="AQ89" s="132"/>
      <c r="AR89" s="7"/>
      <c r="AS89" s="7"/>
      <c r="AT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132"/>
      <c r="AQ90" s="132"/>
      <c r="AR90" s="7"/>
      <c r="AS90" s="7"/>
      <c r="AT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132"/>
      <c r="AQ91" s="132"/>
      <c r="AR91" s="7"/>
      <c r="AS91" s="7"/>
      <c r="AT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132"/>
      <c r="AQ92" s="132"/>
      <c r="AR92" s="7"/>
      <c r="AS92" s="7"/>
      <c r="AT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132"/>
      <c r="AQ93" s="132"/>
      <c r="AR93" s="7"/>
      <c r="AS93" s="7"/>
      <c r="AT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132"/>
      <c r="AQ94" s="132"/>
      <c r="AR94" s="7"/>
      <c r="AS94" s="7"/>
      <c r="AT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132"/>
      <c r="AQ95" s="132"/>
      <c r="AR95" s="7"/>
      <c r="AS95" s="7"/>
      <c r="AT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132"/>
      <c r="AQ96" s="132"/>
      <c r="AR96" s="7"/>
      <c r="AS96" s="7"/>
      <c r="AT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132"/>
      <c r="AQ97" s="132"/>
      <c r="AR97" s="7"/>
      <c r="AS97" s="7"/>
      <c r="AT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132"/>
      <c r="AQ98" s="132"/>
      <c r="AR98" s="7"/>
      <c r="AS98" s="7"/>
      <c r="AT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132"/>
      <c r="AQ99" s="132"/>
      <c r="AR99" s="7"/>
      <c r="AS99" s="7"/>
      <c r="AT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132"/>
      <c r="AQ100" s="132"/>
      <c r="AR100" s="7"/>
      <c r="AS100" s="7"/>
      <c r="AT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132"/>
      <c r="AQ101" s="132"/>
      <c r="AR101" s="7"/>
      <c r="AS101" s="7"/>
      <c r="AT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2"/>
      <c r="AQ102" s="132"/>
      <c r="AR102" s="7"/>
      <c r="AS102" s="7"/>
      <c r="AT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2"/>
      <c r="AQ103" s="132"/>
      <c r="AR103" s="7"/>
      <c r="AS103" s="7"/>
      <c r="AT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132"/>
      <c r="AQ104" s="132"/>
      <c r="AR104" s="7"/>
      <c r="AS104" s="7"/>
      <c r="AT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132"/>
      <c r="AQ105" s="132"/>
      <c r="AR105" s="7"/>
      <c r="AS105" s="7"/>
      <c r="AT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132"/>
      <c r="AQ106" s="132"/>
      <c r="AR106" s="7"/>
      <c r="AS106" s="7"/>
      <c r="AT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132"/>
      <c r="AQ107" s="132"/>
      <c r="AR107" s="7"/>
      <c r="AS107" s="7"/>
      <c r="AT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132"/>
      <c r="AQ108" s="132"/>
      <c r="AR108" s="7"/>
      <c r="AS108" s="7"/>
      <c r="AT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132"/>
      <c r="AQ109" s="132"/>
      <c r="AR109" s="7"/>
      <c r="AS109" s="7"/>
      <c r="AT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132"/>
      <c r="AQ110" s="132"/>
      <c r="AR110" s="7"/>
      <c r="AS110" s="7"/>
      <c r="AT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132"/>
      <c r="AQ111" s="132"/>
      <c r="AR111" s="7"/>
      <c r="AS111" s="7"/>
      <c r="AT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132"/>
      <c r="AQ112" s="132"/>
      <c r="AR112" s="7"/>
      <c r="AS112" s="7"/>
      <c r="AT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132"/>
      <c r="AQ113" s="132"/>
      <c r="AR113" s="7"/>
      <c r="AS113" s="7"/>
      <c r="AT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132"/>
      <c r="AQ114" s="132"/>
      <c r="AR114" s="7"/>
      <c r="AS114" s="7"/>
      <c r="AT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132"/>
      <c r="AQ115" s="132"/>
      <c r="AR115" s="7"/>
      <c r="AS115" s="7"/>
      <c r="AT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132"/>
      <c r="AQ116" s="132"/>
      <c r="AR116" s="7"/>
      <c r="AS116" s="7"/>
      <c r="AT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132"/>
      <c r="AQ117" s="132"/>
      <c r="AR117" s="7"/>
      <c r="AS117" s="7"/>
      <c r="AT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132"/>
      <c r="AQ118" s="132"/>
      <c r="AR118" s="7"/>
      <c r="AS118" s="7"/>
      <c r="AT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132"/>
      <c r="AQ119" s="132"/>
      <c r="AR119" s="7"/>
      <c r="AS119" s="7"/>
      <c r="AT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132"/>
      <c r="AQ120" s="132"/>
      <c r="AR120" s="7"/>
      <c r="AS120" s="7"/>
      <c r="AT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132"/>
      <c r="AQ121" s="132"/>
      <c r="AR121" s="7"/>
      <c r="AS121" s="7"/>
      <c r="AT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132"/>
      <c r="AQ122" s="132"/>
      <c r="AR122" s="7"/>
      <c r="AS122" s="7"/>
      <c r="AT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132"/>
      <c r="AQ123" s="132"/>
      <c r="AR123" s="7"/>
      <c r="AS123" s="7"/>
      <c r="AT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132"/>
      <c r="AQ124" s="132"/>
      <c r="AR124" s="7"/>
      <c r="AS124" s="7"/>
      <c r="AT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132"/>
      <c r="AQ125" s="132"/>
      <c r="AR125" s="7"/>
      <c r="AS125" s="7"/>
      <c r="AT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132"/>
      <c r="AQ126" s="132"/>
      <c r="AR126" s="7"/>
      <c r="AS126" s="7"/>
      <c r="AT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132"/>
      <c r="AQ127" s="132"/>
      <c r="AR127" s="7"/>
      <c r="AS127" s="7"/>
      <c r="AT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132"/>
      <c r="AQ128" s="132"/>
      <c r="AR128" s="7"/>
      <c r="AS128" s="7"/>
      <c r="AT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132"/>
      <c r="AQ129" s="132"/>
      <c r="AR129" s="7"/>
      <c r="AS129" s="7"/>
      <c r="AT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132"/>
      <c r="AQ130" s="132"/>
      <c r="AR130" s="7"/>
      <c r="AS130" s="7"/>
      <c r="AT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132"/>
      <c r="AQ131" s="132"/>
      <c r="AR131" s="7"/>
      <c r="AS131" s="7"/>
      <c r="AT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132"/>
      <c r="AQ132" s="132"/>
      <c r="AR132" s="7"/>
      <c r="AS132" s="7"/>
      <c r="AT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132"/>
      <c r="AQ133" s="132"/>
      <c r="AR133" s="7"/>
      <c r="AS133" s="7"/>
      <c r="AT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132"/>
      <c r="AQ134" s="132"/>
      <c r="AR134" s="7"/>
      <c r="AS134" s="7"/>
      <c r="AT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132"/>
      <c r="AQ135" s="132"/>
      <c r="AR135" s="7"/>
      <c r="AS135" s="7"/>
      <c r="AT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132"/>
      <c r="AQ136" s="132"/>
      <c r="AR136" s="7"/>
      <c r="AS136" s="7"/>
      <c r="AT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132"/>
      <c r="AQ137" s="132"/>
      <c r="AR137" s="7"/>
      <c r="AS137" s="7"/>
      <c r="AT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132"/>
      <c r="AQ138" s="132"/>
      <c r="AR138" s="7"/>
      <c r="AS138" s="7"/>
      <c r="AT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132"/>
      <c r="AQ139" s="132"/>
      <c r="AR139" s="7"/>
      <c r="AS139" s="7"/>
      <c r="AT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132"/>
      <c r="AQ140" s="132"/>
      <c r="AR140" s="7"/>
      <c r="AS140" s="7"/>
      <c r="AT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132"/>
      <c r="AQ141" s="132"/>
      <c r="AR141" s="7"/>
      <c r="AS141" s="7"/>
      <c r="AT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132"/>
      <c r="AQ142" s="132"/>
      <c r="AR142" s="7"/>
      <c r="AS142" s="7"/>
      <c r="AT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132"/>
      <c r="AQ143" s="132"/>
      <c r="AR143" s="7"/>
      <c r="AS143" s="7"/>
      <c r="AT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132"/>
      <c r="AQ144" s="132"/>
      <c r="AR144" s="7"/>
      <c r="AS144" s="7"/>
      <c r="AT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132"/>
      <c r="AQ145" s="132"/>
      <c r="AR145" s="7"/>
      <c r="AS145" s="7"/>
      <c r="AT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132"/>
      <c r="AQ146" s="132"/>
      <c r="AR146" s="7"/>
      <c r="AS146" s="7"/>
      <c r="AT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132"/>
      <c r="AQ147" s="132"/>
      <c r="AR147" s="7"/>
      <c r="AS147" s="7"/>
      <c r="AT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132"/>
      <c r="AQ148" s="132"/>
      <c r="AR148" s="7"/>
      <c r="AS148" s="7"/>
      <c r="AT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132"/>
      <c r="AQ149" s="132"/>
      <c r="AR149" s="7"/>
      <c r="AS149" s="7"/>
      <c r="AT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132"/>
      <c r="AQ150" s="132"/>
      <c r="AR150" s="7"/>
      <c r="AS150" s="7"/>
      <c r="AT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132"/>
      <c r="AQ151" s="132"/>
      <c r="AR151" s="7"/>
      <c r="AS151" s="7"/>
      <c r="AT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132"/>
      <c r="AQ152" s="132"/>
      <c r="AR152" s="7"/>
      <c r="AS152" s="7"/>
      <c r="AT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132"/>
      <c r="AQ153" s="132"/>
      <c r="AR153" s="7"/>
      <c r="AS153" s="7"/>
      <c r="AT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132"/>
      <c r="AQ154" s="132"/>
      <c r="AR154" s="7"/>
      <c r="AS154" s="7"/>
      <c r="AT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132"/>
      <c r="AQ155" s="132"/>
      <c r="AR155" s="7"/>
      <c r="AS155" s="7"/>
      <c r="AT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132"/>
      <c r="AQ156" s="132"/>
      <c r="AR156" s="7"/>
      <c r="AS156" s="7"/>
      <c r="AT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132"/>
      <c r="AQ157" s="132"/>
      <c r="AR157" s="7"/>
      <c r="AS157" s="7"/>
      <c r="AT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132"/>
      <c r="AQ158" s="132"/>
      <c r="AR158" s="7"/>
      <c r="AS158" s="7"/>
      <c r="AT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132"/>
      <c r="AQ159" s="132"/>
      <c r="AR159" s="7"/>
      <c r="AS159" s="7"/>
      <c r="AT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132"/>
      <c r="AQ160" s="132"/>
      <c r="AR160" s="7"/>
      <c r="AS160" s="7"/>
      <c r="AT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132"/>
      <c r="AQ161" s="132"/>
      <c r="AR161" s="7"/>
      <c r="AS161" s="7"/>
      <c r="AT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132"/>
      <c r="AQ162" s="132"/>
      <c r="AR162" s="7"/>
      <c r="AS162" s="7"/>
      <c r="AT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132"/>
      <c r="AQ163" s="132"/>
      <c r="AR163" s="7"/>
      <c r="AS163" s="7"/>
      <c r="AT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132"/>
      <c r="AQ164" s="132"/>
      <c r="AR164" s="7"/>
      <c r="AS164" s="7"/>
      <c r="AT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132"/>
      <c r="AQ165" s="132"/>
      <c r="AR165" s="7"/>
      <c r="AS165" s="7"/>
      <c r="AT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132"/>
      <c r="AQ166" s="132"/>
      <c r="AR166" s="7"/>
      <c r="AS166" s="7"/>
      <c r="AT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132"/>
      <c r="AQ167" s="132"/>
      <c r="AR167" s="7"/>
      <c r="AS167" s="7"/>
      <c r="AT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132"/>
      <c r="AQ168" s="132"/>
      <c r="AR168" s="7"/>
      <c r="AS168" s="7"/>
      <c r="AT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132"/>
      <c r="AQ169" s="132"/>
      <c r="AR169" s="7"/>
      <c r="AS169" s="7"/>
      <c r="AT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132"/>
      <c r="AQ170" s="132"/>
      <c r="AR170" s="7"/>
      <c r="AS170" s="7"/>
      <c r="AT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132"/>
      <c r="AQ171" s="132"/>
      <c r="AR171" s="7"/>
      <c r="AS171" s="7"/>
      <c r="AT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132"/>
      <c r="AQ172" s="132"/>
      <c r="AR172" s="7"/>
      <c r="AS172" s="7"/>
      <c r="AT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132"/>
      <c r="AQ173" s="132"/>
      <c r="AR173" s="7"/>
      <c r="AS173" s="7"/>
      <c r="AT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132"/>
      <c r="AQ174" s="132"/>
      <c r="AR174" s="7"/>
      <c r="AS174" s="7"/>
      <c r="AT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132"/>
      <c r="AQ175" s="132"/>
      <c r="AR175" s="7"/>
      <c r="AS175" s="7"/>
      <c r="AT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132"/>
      <c r="AQ176" s="132"/>
      <c r="AR176" s="7"/>
      <c r="AS176" s="7"/>
      <c r="AT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132"/>
      <c r="AQ177" s="132"/>
      <c r="AR177" s="7"/>
      <c r="AS177" s="7"/>
      <c r="AT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132"/>
      <c r="AQ178" s="132"/>
      <c r="AR178" s="7"/>
      <c r="AS178" s="7"/>
      <c r="AT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132"/>
      <c r="AQ179" s="132"/>
      <c r="AR179" s="7"/>
      <c r="AS179" s="7"/>
      <c r="AT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132"/>
      <c r="AQ180" s="132"/>
      <c r="AR180" s="7"/>
      <c r="AS180" s="7"/>
      <c r="AT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132"/>
      <c r="AQ181" s="132"/>
      <c r="AR181" s="7"/>
      <c r="AS181" s="7"/>
      <c r="AT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132"/>
      <c r="AQ182" s="132"/>
      <c r="AR182" s="7"/>
      <c r="AS182" s="7"/>
      <c r="AT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132"/>
      <c r="AQ183" s="132"/>
      <c r="AR183" s="7"/>
      <c r="AS183" s="7"/>
      <c r="AT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132"/>
      <c r="AQ184" s="132"/>
      <c r="AR184" s="7"/>
      <c r="AS184" s="7"/>
      <c r="AT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132"/>
      <c r="AQ185" s="132"/>
      <c r="AR185" s="7"/>
      <c r="AS185" s="7"/>
      <c r="AT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132"/>
      <c r="AQ186" s="132"/>
      <c r="AR186" s="7"/>
      <c r="AS186" s="7"/>
      <c r="AT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132"/>
      <c r="AQ187" s="132"/>
      <c r="AR187" s="7"/>
      <c r="AS187" s="7"/>
      <c r="AT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132"/>
      <c r="AQ188" s="132"/>
      <c r="AR188" s="7"/>
      <c r="AS188" s="7"/>
      <c r="AT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132"/>
      <c r="AQ189" s="132"/>
      <c r="AR189" s="7"/>
      <c r="AS189" s="7"/>
      <c r="AT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132"/>
      <c r="AQ190" s="132"/>
      <c r="AR190" s="7"/>
      <c r="AS190" s="7"/>
      <c r="AT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132"/>
      <c r="AQ191" s="132"/>
      <c r="AR191" s="7"/>
      <c r="AS191" s="7"/>
      <c r="AT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132"/>
      <c r="AQ192" s="132"/>
      <c r="AR192" s="7"/>
      <c r="AS192" s="7"/>
      <c r="AT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132"/>
      <c r="AQ193" s="132"/>
      <c r="AR193" s="7"/>
      <c r="AS193" s="7"/>
      <c r="AT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132"/>
      <c r="AQ194" s="132"/>
      <c r="AR194" s="7"/>
      <c r="AS194" s="7"/>
      <c r="AT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132"/>
      <c r="AQ195" s="132"/>
      <c r="AR195" s="7"/>
      <c r="AS195" s="7"/>
      <c r="AT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132"/>
      <c r="AQ196" s="132"/>
      <c r="AR196" s="7"/>
      <c r="AS196" s="7"/>
      <c r="AT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132"/>
      <c r="AQ197" s="132"/>
      <c r="AR197" s="7"/>
      <c r="AS197" s="7"/>
      <c r="AT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132"/>
      <c r="AQ198" s="132"/>
      <c r="AR198" s="7"/>
      <c r="AS198" s="7"/>
      <c r="AT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132"/>
      <c r="AQ199" s="132"/>
      <c r="AR199" s="7"/>
      <c r="AS199" s="7"/>
      <c r="AT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132"/>
      <c r="AQ200" s="132"/>
      <c r="AR200" s="7"/>
      <c r="AS200" s="7"/>
      <c r="AT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132"/>
      <c r="AQ201" s="132"/>
      <c r="AR201" s="7"/>
      <c r="AS201" s="7"/>
      <c r="AT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132"/>
      <c r="AQ202" s="132"/>
      <c r="AR202" s="7"/>
      <c r="AS202" s="7"/>
      <c r="AT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132"/>
      <c r="AQ203" s="132"/>
      <c r="AR203" s="7"/>
      <c r="AS203" s="7"/>
      <c r="AT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132"/>
      <c r="AQ204" s="132"/>
      <c r="AR204" s="7"/>
      <c r="AS204" s="7"/>
      <c r="AT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132"/>
      <c r="AQ205" s="132"/>
      <c r="AR205" s="7"/>
      <c r="AS205" s="7"/>
      <c r="AT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132"/>
      <c r="AQ206" s="132"/>
      <c r="AR206" s="7"/>
      <c r="AS206" s="7"/>
      <c r="AT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132"/>
      <c r="AQ207" s="132"/>
      <c r="AR207" s="7"/>
      <c r="AS207" s="7"/>
      <c r="AT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132"/>
      <c r="AQ208" s="132"/>
      <c r="AR208" s="7"/>
      <c r="AS208" s="7"/>
      <c r="AT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132"/>
      <c r="AQ209" s="132"/>
      <c r="AR209" s="7"/>
      <c r="AS209" s="7"/>
      <c r="AT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132"/>
      <c r="AQ210" s="132"/>
      <c r="AR210" s="7"/>
      <c r="AS210" s="7"/>
      <c r="AT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132"/>
      <c r="AQ211" s="132"/>
      <c r="AR211" s="7"/>
      <c r="AS211" s="7"/>
      <c r="AT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132"/>
      <c r="AQ212" s="132"/>
      <c r="AR212" s="7"/>
      <c r="AS212" s="7"/>
      <c r="AT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132"/>
      <c r="AQ213" s="132"/>
      <c r="AR213" s="7"/>
      <c r="AS213" s="7"/>
      <c r="AT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132"/>
      <c r="AQ214" s="132"/>
      <c r="AR214" s="7"/>
      <c r="AS214" s="7"/>
      <c r="AT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132"/>
      <c r="AQ215" s="132"/>
      <c r="AR215" s="7"/>
      <c r="AS215" s="7"/>
      <c r="AT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132"/>
      <c r="AQ216" s="132"/>
      <c r="AR216" s="7"/>
      <c r="AS216" s="7"/>
      <c r="AT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132"/>
      <c r="AQ217" s="132"/>
      <c r="AR217" s="7"/>
      <c r="AS217" s="7"/>
      <c r="AT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132"/>
      <c r="AQ218" s="132"/>
      <c r="AR218" s="7"/>
      <c r="AS218" s="7"/>
      <c r="AT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132"/>
      <c r="AQ219" s="132"/>
      <c r="AR219" s="7"/>
      <c r="AS219" s="7"/>
      <c r="AT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132"/>
      <c r="AQ220" s="132"/>
      <c r="AR220" s="7"/>
      <c r="AS220" s="7"/>
      <c r="AT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132"/>
      <c r="AQ221" s="132"/>
      <c r="AR221" s="7"/>
      <c r="AS221" s="7"/>
      <c r="AT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132"/>
      <c r="AQ222" s="132"/>
      <c r="AR222" s="7"/>
      <c r="AS222" s="7"/>
      <c r="AT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132"/>
      <c r="AQ223" s="132"/>
      <c r="AR223" s="7"/>
      <c r="AS223" s="7"/>
      <c r="AT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132"/>
      <c r="AQ224" s="132"/>
      <c r="AR224" s="7"/>
      <c r="AS224" s="7"/>
      <c r="AT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132"/>
      <c r="AQ225" s="132"/>
      <c r="AR225" s="7"/>
      <c r="AS225" s="7"/>
      <c r="AT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132"/>
      <c r="AQ226" s="132"/>
      <c r="AR226" s="7"/>
      <c r="AS226" s="7"/>
      <c r="AT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132"/>
      <c r="AQ227" s="132"/>
      <c r="AR227" s="7"/>
      <c r="AS227" s="7"/>
      <c r="AT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132"/>
      <c r="AQ228" s="132"/>
      <c r="AR228" s="7"/>
      <c r="AS228" s="7"/>
      <c r="AT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132"/>
      <c r="AQ229" s="132"/>
      <c r="AR229" s="7"/>
      <c r="AS229" s="7"/>
      <c r="AT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132"/>
      <c r="AQ230" s="132"/>
      <c r="AR230" s="7"/>
      <c r="AS230" s="7"/>
      <c r="AT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132"/>
      <c r="AQ231" s="132"/>
      <c r="AR231" s="7"/>
      <c r="AS231" s="7"/>
      <c r="AT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132"/>
      <c r="AQ232" s="132"/>
      <c r="AR232" s="7"/>
      <c r="AS232" s="7"/>
      <c r="AT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132"/>
      <c r="AQ233" s="132"/>
      <c r="AR233" s="7"/>
      <c r="AS233" s="7"/>
      <c r="AT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132"/>
      <c r="AQ234" s="132"/>
      <c r="AR234" s="7"/>
      <c r="AS234" s="7"/>
      <c r="AT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132"/>
      <c r="AQ235" s="132"/>
      <c r="AR235" s="7"/>
      <c r="AS235" s="7"/>
      <c r="AT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132"/>
      <c r="AQ236" s="132"/>
      <c r="AR236" s="7"/>
      <c r="AS236" s="7"/>
      <c r="AT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132"/>
      <c r="AQ237" s="132"/>
      <c r="AR237" s="7"/>
      <c r="AS237" s="7"/>
      <c r="AT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132"/>
      <c r="AQ238" s="132"/>
      <c r="AR238" s="7"/>
      <c r="AS238" s="7"/>
      <c r="AT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132"/>
      <c r="AQ239" s="132"/>
      <c r="AR239" s="7"/>
      <c r="AS239" s="7"/>
      <c r="AT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132"/>
      <c r="AQ240" s="132"/>
      <c r="AR240" s="7"/>
      <c r="AS240" s="7"/>
      <c r="AT240" s="7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</row>
  </sheetData>
  <mergeCells count="5">
    <mergeCell ref="C6:N6"/>
    <mergeCell ref="O6:U6"/>
    <mergeCell ref="V6:AB6"/>
    <mergeCell ref="AC6:AK6"/>
    <mergeCell ref="AN6:AS6"/>
  </mergeCells>
  <conditionalFormatting sqref="C8:C19">
    <cfRule type="cellIs" dxfId="2" priority="1" operator="greaterThan">
      <formula>4775.4</formula>
    </cfRule>
  </conditionalFormatting>
  <conditionalFormatting sqref="C8:C19">
    <cfRule type="cellIs" dxfId="1" priority="2" operator="lessThan">
      <formula>5.1</formula>
    </cfRule>
  </conditionalFormatting>
  <conditionalFormatting sqref="D8:D19">
    <cfRule type="cellIs" dxfId="2" priority="3" operator="greaterThan">
      <formula>5142</formula>
    </cfRule>
  </conditionalFormatting>
  <conditionalFormatting sqref="D8:D19">
    <cfRule type="cellIs" dxfId="1" priority="4" operator="lessThan">
      <formula>5.8</formula>
    </cfRule>
  </conditionalFormatting>
  <conditionalFormatting sqref="E8:E15">
    <cfRule type="cellIs" dxfId="2" priority="5" operator="greaterThan">
      <formula>5244782.62</formula>
    </cfRule>
  </conditionalFormatting>
  <conditionalFormatting sqref="E8:E15">
    <cfRule type="cellIs" dxfId="1" priority="6" operator="lessThan">
      <formula>7634.51</formula>
    </cfRule>
  </conditionalFormatting>
  <conditionalFormatting sqref="E16:E19">
    <cfRule type="cellIs" dxfId="2" priority="7" operator="greaterThan">
      <formula>5431983.17</formula>
    </cfRule>
  </conditionalFormatting>
  <conditionalFormatting sqref="E16:E19">
    <cfRule type="cellIs" dxfId="1" priority="8" operator="lessThan">
      <formula>8288.85</formula>
    </cfRule>
  </conditionalFormatting>
  <conditionalFormatting sqref="F8:F15">
    <cfRule type="cellIs" dxfId="2" priority="9" operator="greaterThan">
      <formula>369107.67</formula>
    </cfRule>
  </conditionalFormatting>
  <conditionalFormatting sqref="F8:F15">
    <cfRule type="cellIs" dxfId="1" priority="10" operator="lessThan">
      <formula>5501.64</formula>
    </cfRule>
  </conditionalFormatting>
  <conditionalFormatting sqref="G8:G15">
    <cfRule type="cellIs" dxfId="2" priority="11" operator="greaterThan">
      <formula>13842182.18</formula>
    </cfRule>
  </conditionalFormatting>
  <conditionalFormatting sqref="G8:G15">
    <cfRule type="cellIs" dxfId="1" priority="12" operator="lessThan">
      <formula>27090.83</formula>
    </cfRule>
  </conditionalFormatting>
  <conditionalFormatting sqref="G16:G19">
    <cfRule type="cellIs" dxfId="2" priority="13" operator="greaterThan">
      <formula>13820865.39</formula>
    </cfRule>
  </conditionalFormatting>
  <conditionalFormatting sqref="G16:G19">
    <cfRule type="cellIs" dxfId="1" priority="14" operator="lessThan">
      <formula>26845.62</formula>
    </cfRule>
  </conditionalFormatting>
  <conditionalFormatting sqref="H8:H15">
    <cfRule type="cellIs" dxfId="2" priority="15" operator="greaterThan">
      <formula>1798000.76</formula>
    </cfRule>
  </conditionalFormatting>
  <conditionalFormatting sqref="H8:H15">
    <cfRule type="cellIs" dxfId="1" priority="16" operator="lessThan">
      <formula>4643.64</formula>
    </cfRule>
  </conditionalFormatting>
  <conditionalFormatting sqref="H16:H19">
    <cfRule type="cellIs" dxfId="2" priority="17" operator="greaterThan">
      <formula>1777608.86</formula>
    </cfRule>
  </conditionalFormatting>
  <conditionalFormatting sqref="H16:H19">
    <cfRule type="cellIs" dxfId="1" priority="18" operator="lessThan">
      <formula>307.39</formula>
    </cfRule>
  </conditionalFormatting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7.63"/>
    <col customWidth="1" min="3" max="3" width="16.0"/>
    <col customWidth="1" min="4" max="4" width="12.63"/>
    <col customWidth="1" min="5" max="5" width="16.13"/>
    <col customWidth="1" min="6" max="6" width="12.63"/>
  </cols>
  <sheetData>
    <row r="1" ht="15.75" customHeight="1">
      <c r="A1" s="7" t="s">
        <v>354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ht="15.75" customHeight="1">
      <c r="A2" s="7"/>
      <c r="B2" s="105" t="s">
        <v>355</v>
      </c>
      <c r="C2" s="24" t="s">
        <v>210</v>
      </c>
      <c r="D2" s="76"/>
      <c r="E2" s="24" t="s">
        <v>211</v>
      </c>
      <c r="F2" s="76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ht="15.75" customHeight="1">
      <c r="A3" s="7"/>
      <c r="B3" s="77" t="s">
        <v>213</v>
      </c>
      <c r="C3" s="77" t="s">
        <v>214</v>
      </c>
      <c r="D3" s="1" t="s">
        <v>215</v>
      </c>
      <c r="E3" s="77" t="s">
        <v>220</v>
      </c>
      <c r="F3" s="78" t="s">
        <v>221</v>
      </c>
      <c r="G3" s="48"/>
      <c r="H3" s="48" t="s">
        <v>213</v>
      </c>
      <c r="I3" s="7" t="s">
        <v>226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ht="15.75" customHeight="1">
      <c r="A4" s="7"/>
      <c r="B4" s="110">
        <v>10000.0</v>
      </c>
      <c r="C4" s="79">
        <v>8175.2</v>
      </c>
      <c r="D4" s="80">
        <v>11053.8</v>
      </c>
      <c r="E4" s="79">
        <v>1.568</v>
      </c>
      <c r="F4" s="81">
        <v>2.733</v>
      </c>
      <c r="G4" s="48"/>
      <c r="H4" s="4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ht="15.75" customHeight="1">
      <c r="A5" s="7"/>
      <c r="B5" s="110">
        <v>10000.0</v>
      </c>
      <c r="C5" s="79">
        <v>7516.0</v>
      </c>
      <c r="D5" s="80">
        <v>10395.4</v>
      </c>
      <c r="E5" s="79">
        <v>1.502</v>
      </c>
      <c r="F5" s="81">
        <v>2.484</v>
      </c>
      <c r="G5" s="48"/>
      <c r="H5" s="4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ht="15.75" customHeight="1">
      <c r="A6" s="7"/>
      <c r="B6" s="110">
        <v>10000.0</v>
      </c>
      <c r="C6" s="79"/>
      <c r="D6" s="80"/>
      <c r="E6" s="79"/>
      <c r="F6" s="81"/>
      <c r="G6" s="48"/>
      <c r="H6" s="4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ht="15.75" customHeight="1">
      <c r="A7" s="7"/>
      <c r="B7" s="110">
        <v>5000.0</v>
      </c>
      <c r="C7" s="79">
        <v>4131.1</v>
      </c>
      <c r="D7" s="80">
        <v>5225.8</v>
      </c>
      <c r="E7" s="79">
        <v>1.525</v>
      </c>
      <c r="F7" s="81">
        <v>2.726</v>
      </c>
      <c r="G7" s="48"/>
      <c r="H7" s="48" t="s">
        <v>227</v>
      </c>
      <c r="I7" s="7" t="s">
        <v>228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ht="15.75" customHeight="1">
      <c r="A8" s="7"/>
      <c r="B8" s="110">
        <v>5000.0</v>
      </c>
      <c r="C8" s="79">
        <v>3878.7</v>
      </c>
      <c r="D8" s="80">
        <v>4393.0</v>
      </c>
      <c r="E8" s="79">
        <v>1.472</v>
      </c>
      <c r="F8" s="81">
        <v>2.485</v>
      </c>
      <c r="G8" s="44"/>
      <c r="H8" s="44" t="s">
        <v>229</v>
      </c>
      <c r="I8" s="7" t="s">
        <v>230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ht="15.75" customHeight="1">
      <c r="A9" s="7"/>
      <c r="B9" s="110">
        <v>5000.0</v>
      </c>
      <c r="C9" s="79"/>
      <c r="D9" s="80"/>
      <c r="E9" s="79"/>
      <c r="F9" s="81"/>
      <c r="G9" s="48"/>
      <c r="H9" s="48" t="s">
        <v>231</v>
      </c>
      <c r="I9" s="7" t="s">
        <v>232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ht="15.75" customHeight="1">
      <c r="A10" s="7"/>
      <c r="B10" s="110">
        <v>2000.0</v>
      </c>
      <c r="C10" s="79">
        <v>1059.6</v>
      </c>
      <c r="D10" s="80">
        <v>1702.1</v>
      </c>
      <c r="E10" s="79">
        <v>1.539</v>
      </c>
      <c r="F10" s="81">
        <v>2.783</v>
      </c>
      <c r="G10" s="48"/>
      <c r="H10" s="44" t="s">
        <v>233</v>
      </c>
      <c r="I10" s="7" t="s">
        <v>234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ht="15.75" customHeight="1">
      <c r="A11" s="7"/>
      <c r="B11" s="110">
        <v>2000.0</v>
      </c>
      <c r="C11" s="79">
        <v>1020.9</v>
      </c>
      <c r="D11" s="80">
        <v>1379.3</v>
      </c>
      <c r="E11" s="79">
        <v>1.488</v>
      </c>
      <c r="F11" s="81">
        <v>2.539</v>
      </c>
      <c r="G11" s="44"/>
      <c r="H11" s="85">
        <v>100.0</v>
      </c>
      <c r="I11" s="7" t="s">
        <v>235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ht="15.75" customHeight="1">
      <c r="A12" s="7"/>
      <c r="B12" s="110">
        <v>2000.0</v>
      </c>
      <c r="C12" s="79"/>
      <c r="D12" s="80"/>
      <c r="E12" s="79"/>
      <c r="F12" s="81"/>
      <c r="G12" s="44"/>
      <c r="H12" s="18"/>
      <c r="I12" s="18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ht="15.75" customHeight="1">
      <c r="A13" s="7"/>
      <c r="B13" s="110">
        <v>1000.0</v>
      </c>
      <c r="C13" s="79">
        <v>398.4</v>
      </c>
      <c r="D13" s="80">
        <v>623.1</v>
      </c>
      <c r="E13" s="79">
        <v>1.537</v>
      </c>
      <c r="F13" s="81">
        <v>2.81</v>
      </c>
      <c r="G13" s="44"/>
      <c r="H13" s="18"/>
      <c r="I13" s="18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ht="15.75" customHeight="1">
      <c r="A14" s="7"/>
      <c r="B14" s="110">
        <v>1000.0</v>
      </c>
      <c r="C14" s="79">
        <v>377.2</v>
      </c>
      <c r="D14" s="80">
        <v>582.2</v>
      </c>
      <c r="E14" s="79">
        <v>1.477</v>
      </c>
      <c r="F14" s="88">
        <v>2.536</v>
      </c>
      <c r="G14" s="7"/>
      <c r="H14" s="102" t="s">
        <v>244</v>
      </c>
      <c r="I14" s="103" t="s">
        <v>245</v>
      </c>
      <c r="J14" s="103" t="s">
        <v>246</v>
      </c>
      <c r="K14" s="103" t="s">
        <v>247</v>
      </c>
      <c r="L14" s="103" t="s">
        <v>248</v>
      </c>
      <c r="M14" s="103" t="s">
        <v>249</v>
      </c>
      <c r="N14" s="204" t="s">
        <v>250</v>
      </c>
      <c r="O14" s="205" t="s">
        <v>251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ht="15.75" customHeight="1">
      <c r="A15" s="7"/>
      <c r="B15" s="110">
        <v>1000.0</v>
      </c>
      <c r="C15" s="79"/>
      <c r="D15" s="80"/>
      <c r="E15" s="86"/>
      <c r="F15" s="81"/>
      <c r="G15" s="87"/>
      <c r="H15" s="106" t="s">
        <v>253</v>
      </c>
      <c r="I15" s="107" t="s">
        <v>254</v>
      </c>
      <c r="J15" s="107" t="s">
        <v>255</v>
      </c>
      <c r="K15" s="107" t="s">
        <v>246</v>
      </c>
      <c r="L15" s="107" t="s">
        <v>256</v>
      </c>
      <c r="M15" s="107" t="s">
        <v>257</v>
      </c>
      <c r="N15" s="108"/>
      <c r="O15" s="109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ht="15.75" customHeight="1">
      <c r="A16" s="7"/>
      <c r="B16" s="110">
        <v>200.0</v>
      </c>
      <c r="C16" s="79">
        <v>105.1</v>
      </c>
      <c r="D16" s="80">
        <v>128.4</v>
      </c>
      <c r="E16" s="86">
        <v>1.542</v>
      </c>
      <c r="F16" s="81">
        <v>2.847</v>
      </c>
      <c r="G16" s="87"/>
      <c r="H16" s="18"/>
      <c r="I16" s="18"/>
      <c r="J16" s="18"/>
      <c r="K16" s="18"/>
      <c r="L16" s="18"/>
      <c r="M16" s="18"/>
      <c r="N16" s="4"/>
      <c r="O16" s="206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ht="15.75" customHeight="1">
      <c r="A17" s="7"/>
      <c r="B17" s="110">
        <v>200.0</v>
      </c>
      <c r="C17" s="79">
        <v>101.3</v>
      </c>
      <c r="D17" s="80">
        <v>129.1</v>
      </c>
      <c r="E17" s="79">
        <v>1.504</v>
      </c>
      <c r="F17" s="81">
        <v>2.593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ht="15.75" customHeight="1">
      <c r="A18" s="7"/>
      <c r="B18" s="110">
        <v>200.0</v>
      </c>
      <c r="C18" s="79"/>
      <c r="D18" s="80"/>
      <c r="E18" s="79"/>
      <c r="F18" s="81"/>
      <c r="G18" s="7"/>
      <c r="H18" s="82"/>
      <c r="I18" s="7" t="s">
        <v>208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ht="15.75" customHeight="1">
      <c r="A19" s="7"/>
      <c r="B19" s="110">
        <v>100.0</v>
      </c>
      <c r="C19" s="79">
        <v>39.6</v>
      </c>
      <c r="D19" s="80">
        <v>50.1</v>
      </c>
      <c r="E19" s="79">
        <v>1.545</v>
      </c>
      <c r="F19" s="81">
        <v>2.892</v>
      </c>
      <c r="G19" s="7"/>
      <c r="H19" s="111"/>
      <c r="I19" s="7" t="s">
        <v>258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ht="15.75" customHeight="1">
      <c r="A20" s="7"/>
      <c r="B20" s="110">
        <v>100.0</v>
      </c>
      <c r="C20" s="79">
        <v>40.6</v>
      </c>
      <c r="D20" s="80">
        <v>50.8</v>
      </c>
      <c r="E20" s="79">
        <v>1.477</v>
      </c>
      <c r="F20" s="81">
        <v>2.573</v>
      </c>
      <c r="G20" s="7"/>
      <c r="H20" s="18"/>
      <c r="I20" s="18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ht="15.75" customHeight="1">
      <c r="A21" s="7"/>
      <c r="B21" s="110">
        <v>100.0</v>
      </c>
      <c r="C21" s="79"/>
      <c r="D21" s="80"/>
      <c r="E21" s="79"/>
      <c r="F21" s="20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ht="15.75" customHeight="1">
      <c r="A22" s="7"/>
      <c r="B22" s="110">
        <v>12.5</v>
      </c>
      <c r="C22" s="79">
        <v>10.0</v>
      </c>
      <c r="D22" s="80">
        <v>8.9</v>
      </c>
      <c r="E22" s="79">
        <v>1.499</v>
      </c>
      <c r="F22" s="207">
        <v>2.945</v>
      </c>
      <c r="G22" s="7"/>
      <c r="H22" s="7" t="s">
        <v>259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ht="15.75" customHeight="1">
      <c r="A23" s="7"/>
      <c r="B23" s="110">
        <v>12.5</v>
      </c>
      <c r="C23" s="79">
        <v>14.4</v>
      </c>
      <c r="D23" s="80">
        <v>10.4</v>
      </c>
      <c r="E23" s="79">
        <v>1.443</v>
      </c>
      <c r="F23" s="207">
        <v>2.587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ht="15.75" customHeight="1">
      <c r="A24" s="7"/>
      <c r="B24" s="112">
        <v>12.5</v>
      </c>
      <c r="C24" s="91"/>
      <c r="D24" s="92"/>
      <c r="E24" s="91"/>
      <c r="F24" s="208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ht="15.75" customHeight="1">
      <c r="A25" s="7"/>
      <c r="B25" s="7"/>
      <c r="C25" s="7"/>
      <c r="D25" s="7"/>
      <c r="E25" s="7"/>
      <c r="F25" s="7"/>
      <c r="G25" s="7"/>
      <c r="H25" s="18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ht="15.75" customHeight="1">
      <c r="A26" s="7"/>
      <c r="B26" s="23" t="s">
        <v>356</v>
      </c>
      <c r="C26" s="5" t="s">
        <v>210</v>
      </c>
      <c r="D26" s="76"/>
      <c r="E26" s="24" t="s">
        <v>211</v>
      </c>
      <c r="F26" s="76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ht="15.75" customHeight="1">
      <c r="A27" s="7"/>
      <c r="B27" s="179" t="s">
        <v>213</v>
      </c>
      <c r="C27" s="1" t="s">
        <v>214</v>
      </c>
      <c r="D27" s="1" t="s">
        <v>215</v>
      </c>
      <c r="E27" s="77" t="s">
        <v>220</v>
      </c>
      <c r="F27" s="78" t="s">
        <v>221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ht="15.75" customHeight="1">
      <c r="A28" s="7"/>
      <c r="B28" s="180">
        <v>10000.0</v>
      </c>
      <c r="C28" s="80">
        <v>7787.5</v>
      </c>
      <c r="D28" s="80">
        <v>8852.2</v>
      </c>
      <c r="E28" s="79">
        <v>1.512</v>
      </c>
      <c r="F28" s="81">
        <v>2.482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ht="15.75" customHeight="1">
      <c r="A29" s="7"/>
      <c r="B29" s="180">
        <v>10000.0</v>
      </c>
      <c r="C29" s="80"/>
      <c r="D29" s="80"/>
      <c r="E29" s="79"/>
      <c r="F29" s="81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ht="15.75" customHeight="1">
      <c r="A30" s="7"/>
      <c r="B30" s="180">
        <v>10000.0</v>
      </c>
      <c r="C30" s="80"/>
      <c r="D30" s="80"/>
      <c r="E30" s="79"/>
      <c r="F30" s="81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ht="15.75" customHeight="1">
      <c r="A31" s="7"/>
      <c r="B31" s="180">
        <v>5000.0</v>
      </c>
      <c r="C31" s="80">
        <v>4089.0</v>
      </c>
      <c r="D31" s="80">
        <v>4508.9</v>
      </c>
      <c r="E31" s="79">
        <v>1.525</v>
      </c>
      <c r="F31" s="81">
        <v>2.568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ht="15.75" customHeight="1">
      <c r="A32" s="7"/>
      <c r="B32" s="180">
        <v>5000.0</v>
      </c>
      <c r="C32" s="80"/>
      <c r="D32" s="80"/>
      <c r="E32" s="79"/>
      <c r="F32" s="81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ht="15.75" customHeight="1">
      <c r="A33" s="7"/>
      <c r="B33" s="180">
        <v>5000.0</v>
      </c>
      <c r="C33" s="82"/>
      <c r="D33" s="80"/>
      <c r="E33" s="124"/>
      <c r="F33" s="88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ht="15.75" customHeight="1">
      <c r="A34" s="7"/>
      <c r="B34" s="180">
        <v>2000.0</v>
      </c>
      <c r="C34" s="82">
        <v>1080.0</v>
      </c>
      <c r="D34" s="80">
        <v>1536.3</v>
      </c>
      <c r="E34" s="124">
        <v>1.52</v>
      </c>
      <c r="F34" s="88">
        <v>2.644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ht="15.75" customHeight="1">
      <c r="A35" s="7"/>
      <c r="B35" s="180">
        <v>2000.0</v>
      </c>
      <c r="C35" s="80"/>
      <c r="D35" s="80"/>
      <c r="E35" s="79"/>
      <c r="F35" s="81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ht="15.75" customHeight="1">
      <c r="A36" s="7"/>
      <c r="B36" s="180">
        <v>2000.0</v>
      </c>
      <c r="C36" s="80"/>
      <c r="D36" s="80"/>
      <c r="E36" s="79"/>
      <c r="F36" s="81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ht="15.75" customHeight="1">
      <c r="A37" s="7"/>
      <c r="B37" s="180">
        <v>1000.0</v>
      </c>
      <c r="C37" s="80">
        <v>404.6</v>
      </c>
      <c r="D37" s="80">
        <v>646.4</v>
      </c>
      <c r="E37" s="79">
        <v>1.462</v>
      </c>
      <c r="F37" s="81">
        <v>2.577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ht="15.75" customHeight="1">
      <c r="A38" s="7"/>
      <c r="B38" s="180">
        <v>1000.0</v>
      </c>
      <c r="C38" s="80"/>
      <c r="D38" s="80"/>
      <c r="E38" s="79"/>
      <c r="F38" s="88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ht="15.75" customHeight="1">
      <c r="A39" s="7"/>
      <c r="B39" s="180">
        <v>1000.0</v>
      </c>
      <c r="C39" s="80"/>
      <c r="D39" s="80"/>
      <c r="E39" s="86"/>
      <c r="F39" s="81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ht="15.75" customHeight="1">
      <c r="A40" s="7"/>
      <c r="B40" s="180">
        <v>200.0</v>
      </c>
      <c r="C40" s="80">
        <v>109.5</v>
      </c>
      <c r="D40" s="80">
        <v>135.2</v>
      </c>
      <c r="E40" s="86">
        <v>1.509</v>
      </c>
      <c r="F40" s="81">
        <v>2.631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ht="15.75" customHeight="1">
      <c r="A41" s="7"/>
      <c r="B41" s="180">
        <v>200.0</v>
      </c>
      <c r="C41" s="80"/>
      <c r="D41" s="80"/>
      <c r="E41" s="79"/>
      <c r="F41" s="81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ht="15.75" customHeight="1">
      <c r="A42" s="7"/>
      <c r="B42" s="180">
        <v>200.0</v>
      </c>
      <c r="C42" s="80"/>
      <c r="D42" s="80"/>
      <c r="E42" s="79"/>
      <c r="F42" s="81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ht="15.75" customHeight="1">
      <c r="A43" s="7"/>
      <c r="B43" s="180">
        <v>100.0</v>
      </c>
      <c r="C43" s="80">
        <v>46.8</v>
      </c>
      <c r="D43" s="80">
        <v>55.1</v>
      </c>
      <c r="E43" s="79">
        <v>1.506</v>
      </c>
      <c r="F43" s="81">
        <v>2.639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ht="15.75" customHeight="1">
      <c r="A44" s="7"/>
      <c r="B44" s="180">
        <v>100.0</v>
      </c>
      <c r="C44" s="80"/>
      <c r="D44" s="80"/>
      <c r="E44" s="79"/>
      <c r="F44" s="81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ht="15.75" customHeight="1">
      <c r="A45" s="7"/>
      <c r="B45" s="180">
        <v>100.0</v>
      </c>
      <c r="C45" s="80"/>
      <c r="D45" s="80"/>
      <c r="E45" s="209"/>
      <c r="F45" s="81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ht="15.75" customHeight="1">
      <c r="A46" s="7"/>
      <c r="B46" s="180">
        <v>12.5</v>
      </c>
      <c r="C46" s="80">
        <v>12.6</v>
      </c>
      <c r="D46" s="80">
        <v>10.7</v>
      </c>
      <c r="E46" s="209">
        <v>1.504</v>
      </c>
      <c r="F46" s="81">
        <v>2.649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ht="15.75" customHeight="1">
      <c r="A47" s="7"/>
      <c r="B47" s="180">
        <v>12.5</v>
      </c>
      <c r="C47" s="80"/>
      <c r="D47" s="80"/>
      <c r="E47" s="209"/>
      <c r="F47" s="81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ht="15.75" customHeight="1">
      <c r="A48" s="7"/>
      <c r="B48" s="181">
        <v>12.5</v>
      </c>
      <c r="C48" s="92"/>
      <c r="D48" s="92"/>
      <c r="E48" s="91"/>
      <c r="F48" s="208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ht="15.75" customHeight="1">
      <c r="A49" s="7"/>
      <c r="B49" s="7"/>
      <c r="C49" s="1"/>
      <c r="D49" s="1"/>
      <c r="E49" s="18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ht="15.75" customHeight="1">
      <c r="A50" s="7"/>
      <c r="B50" s="105" t="s">
        <v>357</v>
      </c>
      <c r="C50" s="24" t="s">
        <v>210</v>
      </c>
      <c r="D50" s="76"/>
      <c r="E50" s="24" t="s">
        <v>211</v>
      </c>
      <c r="F50" s="76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ht="15.75" customHeight="1">
      <c r="A51" s="7"/>
      <c r="B51" s="77" t="s">
        <v>213</v>
      </c>
      <c r="C51" s="77" t="s">
        <v>214</v>
      </c>
      <c r="D51" s="1" t="s">
        <v>215</v>
      </c>
      <c r="E51" s="77" t="s">
        <v>220</v>
      </c>
      <c r="F51" s="78" t="s">
        <v>221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ht="15.75" customHeight="1">
      <c r="A52" s="7"/>
      <c r="B52" s="110">
        <v>10000.0</v>
      </c>
      <c r="C52" s="79">
        <v>8300.5</v>
      </c>
      <c r="D52" s="80">
        <v>10683.9</v>
      </c>
      <c r="E52" s="79">
        <v>1.574</v>
      </c>
      <c r="F52" s="81">
        <v>2.751</v>
      </c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ht="15.75" customHeight="1">
      <c r="A53" s="7"/>
      <c r="B53" s="110">
        <v>10000.0</v>
      </c>
      <c r="C53" s="79">
        <v>8335.6</v>
      </c>
      <c r="D53" s="80">
        <v>8882.4</v>
      </c>
      <c r="E53" s="79">
        <v>1.55</v>
      </c>
      <c r="F53" s="81">
        <v>2.733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ht="15.75" customHeight="1">
      <c r="A54" s="7"/>
      <c r="B54" s="110">
        <v>10000.0</v>
      </c>
      <c r="C54" s="79">
        <v>8096.6</v>
      </c>
      <c r="D54" s="80">
        <v>9000.4</v>
      </c>
      <c r="E54" s="79">
        <v>1.528</v>
      </c>
      <c r="F54" s="81">
        <v>2.632</v>
      </c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ht="15.75" customHeight="1">
      <c r="A55" s="7"/>
      <c r="B55" s="110">
        <v>5000.0</v>
      </c>
      <c r="C55" s="79">
        <v>4168.1</v>
      </c>
      <c r="D55" s="80">
        <v>4595.5</v>
      </c>
      <c r="E55" s="79">
        <v>1.536</v>
      </c>
      <c r="F55" s="81">
        <v>2.755</v>
      </c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ht="15.75" customHeight="1">
      <c r="A56" s="7"/>
      <c r="B56" s="110">
        <v>5000.0</v>
      </c>
      <c r="C56" s="79">
        <v>4033.3</v>
      </c>
      <c r="D56" s="80">
        <v>4594.7</v>
      </c>
      <c r="E56" s="79">
        <v>1.515</v>
      </c>
      <c r="F56" s="81">
        <v>2.731</v>
      </c>
      <c r="G56" s="4"/>
      <c r="H56" s="18"/>
      <c r="I56" s="18"/>
      <c r="J56" s="18"/>
      <c r="K56" s="18"/>
      <c r="L56" s="18"/>
      <c r="M56" s="18"/>
      <c r="N56" s="18"/>
      <c r="O56" s="18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ht="15.75" customHeight="1">
      <c r="A57" s="7"/>
      <c r="B57" s="110">
        <v>5000.0</v>
      </c>
      <c r="C57" s="79">
        <v>4004.2</v>
      </c>
      <c r="D57" s="80">
        <v>4441.2</v>
      </c>
      <c r="E57" s="79">
        <v>1.496</v>
      </c>
      <c r="F57" s="88">
        <v>2.617</v>
      </c>
      <c r="G57" s="4"/>
      <c r="H57" s="18"/>
      <c r="I57" s="18"/>
      <c r="J57" s="18"/>
      <c r="K57" s="18"/>
      <c r="L57" s="18"/>
      <c r="M57" s="18"/>
      <c r="N57" s="18"/>
      <c r="O57" s="18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ht="15.75" customHeight="1">
      <c r="A58" s="7"/>
      <c r="B58" s="110">
        <v>2000.0</v>
      </c>
      <c r="C58" s="79">
        <v>1090.5</v>
      </c>
      <c r="D58" s="80">
        <v>1497.0</v>
      </c>
      <c r="E58" s="79">
        <v>1.543</v>
      </c>
      <c r="F58" s="88">
        <v>2.78</v>
      </c>
      <c r="G58" s="4"/>
      <c r="H58" s="18"/>
      <c r="I58" s="18"/>
      <c r="J58" s="18"/>
      <c r="K58" s="18"/>
      <c r="L58" s="18"/>
      <c r="M58" s="18"/>
      <c r="N58" s="18"/>
      <c r="O58" s="18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ht="15.75" customHeight="1">
      <c r="A59" s="7"/>
      <c r="B59" s="110">
        <v>2000.0</v>
      </c>
      <c r="C59" s="79">
        <v>1034.9</v>
      </c>
      <c r="D59" s="80">
        <v>1475.1</v>
      </c>
      <c r="E59" s="79">
        <v>1.517</v>
      </c>
      <c r="F59" s="81">
        <v>2.74</v>
      </c>
      <c r="G59" s="7"/>
      <c r="H59" s="18"/>
      <c r="I59" s="18"/>
      <c r="J59" s="18"/>
      <c r="K59" s="18"/>
      <c r="L59" s="18"/>
      <c r="M59" s="18"/>
      <c r="N59" s="18"/>
      <c r="O59" s="18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ht="15.75" customHeight="1">
      <c r="A60" s="7"/>
      <c r="B60" s="110">
        <v>2000.0</v>
      </c>
      <c r="C60" s="79">
        <v>1021.3</v>
      </c>
      <c r="D60" s="80">
        <v>1493.0</v>
      </c>
      <c r="E60" s="79">
        <v>1.499</v>
      </c>
      <c r="F60" s="81">
        <v>2.642</v>
      </c>
      <c r="G60" s="7"/>
      <c r="H60" s="18"/>
      <c r="I60" s="18"/>
      <c r="J60" s="18"/>
      <c r="K60" s="18"/>
      <c r="L60" s="18"/>
      <c r="M60" s="18"/>
      <c r="N60" s="18"/>
      <c r="O60" s="18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ht="15.75" customHeight="1">
      <c r="A61" s="7"/>
      <c r="B61" s="110">
        <v>1000.0</v>
      </c>
      <c r="C61" s="79">
        <v>403.8</v>
      </c>
      <c r="D61" s="80">
        <v>627.7</v>
      </c>
      <c r="E61" s="79">
        <v>1.545</v>
      </c>
      <c r="F61" s="81">
        <v>2.8</v>
      </c>
      <c r="G61" s="7"/>
      <c r="H61" s="18"/>
      <c r="I61" s="18"/>
      <c r="J61" s="18"/>
      <c r="K61" s="18"/>
      <c r="L61" s="18"/>
      <c r="M61" s="18"/>
      <c r="N61" s="18"/>
      <c r="O61" s="18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ht="15.75" customHeight="1">
      <c r="A62" s="7"/>
      <c r="B62" s="110">
        <v>1000.0</v>
      </c>
      <c r="C62" s="79">
        <v>387.8</v>
      </c>
      <c r="D62" s="80">
        <v>608.2</v>
      </c>
      <c r="E62" s="79">
        <v>1.518</v>
      </c>
      <c r="F62" s="88">
        <v>2.757</v>
      </c>
      <c r="G62" s="7"/>
      <c r="H62" s="18"/>
      <c r="I62" s="18"/>
      <c r="J62" s="18"/>
      <c r="K62" s="18"/>
      <c r="L62" s="18"/>
      <c r="M62" s="18"/>
      <c r="N62" s="18"/>
      <c r="O62" s="18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ht="15.75" customHeight="1">
      <c r="A63" s="7"/>
      <c r="B63" s="110">
        <v>1000.0</v>
      </c>
      <c r="C63" s="79">
        <v>381.5</v>
      </c>
      <c r="D63" s="80">
        <v>615.2</v>
      </c>
      <c r="E63" s="86">
        <v>1.502</v>
      </c>
      <c r="F63" s="81">
        <v>2.669</v>
      </c>
      <c r="G63" s="7"/>
      <c r="H63" s="18"/>
      <c r="I63" s="18"/>
      <c r="J63" s="18"/>
      <c r="K63" s="18"/>
      <c r="L63" s="18"/>
      <c r="M63" s="18"/>
      <c r="N63" s="18"/>
      <c r="O63" s="18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ht="15.75" customHeight="1">
      <c r="A64" s="7"/>
      <c r="B64" s="110">
        <v>200.0</v>
      </c>
      <c r="C64" s="79">
        <v>103.1</v>
      </c>
      <c r="D64" s="80">
        <v>135.1</v>
      </c>
      <c r="E64" s="86">
        <v>1.545</v>
      </c>
      <c r="F64" s="81">
        <v>2.819</v>
      </c>
      <c r="G64" s="7"/>
      <c r="H64" s="18"/>
      <c r="I64" s="18"/>
      <c r="J64" s="18"/>
      <c r="K64" s="18"/>
      <c r="L64" s="18"/>
      <c r="M64" s="18"/>
      <c r="N64" s="18"/>
      <c r="O64" s="18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ht="15.75" customHeight="1">
      <c r="A65" s="7"/>
      <c r="B65" s="110">
        <v>200.0</v>
      </c>
      <c r="C65" s="79">
        <v>97.1</v>
      </c>
      <c r="D65" s="80">
        <v>130.4</v>
      </c>
      <c r="E65" s="79">
        <v>1.517</v>
      </c>
      <c r="F65" s="81">
        <v>2.744</v>
      </c>
      <c r="G65" s="7"/>
      <c r="H65" s="18"/>
      <c r="I65" s="18"/>
      <c r="J65" s="18"/>
      <c r="K65" s="18"/>
      <c r="L65" s="18"/>
      <c r="M65" s="18"/>
      <c r="N65" s="18"/>
      <c r="O65" s="18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ht="15.75" customHeight="1">
      <c r="A66" s="7"/>
      <c r="B66" s="110">
        <v>200.0</v>
      </c>
      <c r="C66" s="79">
        <v>93.8</v>
      </c>
      <c r="D66" s="80">
        <v>134.6</v>
      </c>
      <c r="E66" s="79">
        <v>1.503</v>
      </c>
      <c r="F66" s="81">
        <v>2.676</v>
      </c>
      <c r="G66" s="7"/>
      <c r="H66" s="18"/>
      <c r="I66" s="18"/>
      <c r="J66" s="18"/>
      <c r="K66" s="18"/>
      <c r="L66" s="18"/>
      <c r="M66" s="18"/>
      <c r="N66" s="18"/>
      <c r="O66" s="18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ht="15.75" customHeight="1">
      <c r="A67" s="7"/>
      <c r="B67" s="110">
        <v>100.0</v>
      </c>
      <c r="C67" s="79">
        <v>40.0</v>
      </c>
      <c r="D67" s="80">
        <v>52.0</v>
      </c>
      <c r="E67" s="79">
        <v>1.544</v>
      </c>
      <c r="F67" s="81">
        <v>2.84</v>
      </c>
      <c r="G67" s="7"/>
      <c r="H67" s="18"/>
      <c r="I67" s="18"/>
      <c r="J67" s="18"/>
      <c r="K67" s="18"/>
      <c r="L67" s="18"/>
      <c r="M67" s="18"/>
      <c r="N67" s="18"/>
      <c r="O67" s="18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ht="15.75" customHeight="1">
      <c r="A68" s="7"/>
      <c r="B68" s="110">
        <v>100.0</v>
      </c>
      <c r="C68" s="79">
        <v>36.1</v>
      </c>
      <c r="D68" s="80">
        <v>53.9</v>
      </c>
      <c r="E68" s="79">
        <v>1.516</v>
      </c>
      <c r="F68" s="81">
        <v>2.743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ht="15.75" customHeight="1">
      <c r="A69" s="7"/>
      <c r="B69" s="110">
        <v>100.0</v>
      </c>
      <c r="C69" s="79">
        <v>31.9</v>
      </c>
      <c r="D69" s="80">
        <v>51.0</v>
      </c>
      <c r="E69" s="209">
        <v>1.503</v>
      </c>
      <c r="F69" s="81">
        <v>2.684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ht="15.75" customHeight="1">
      <c r="A70" s="7"/>
      <c r="B70" s="110">
        <v>12.5</v>
      </c>
      <c r="C70" s="79">
        <v>15.1</v>
      </c>
      <c r="D70" s="80">
        <v>11.9</v>
      </c>
      <c r="E70" s="209">
        <v>1.541</v>
      </c>
      <c r="F70" s="81">
        <v>2.87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ht="15.75" customHeight="1">
      <c r="A71" s="7"/>
      <c r="B71" s="110">
        <v>12.5</v>
      </c>
      <c r="C71" s="79">
        <v>13.8</v>
      </c>
      <c r="D71" s="80">
        <v>11.5</v>
      </c>
      <c r="E71" s="79">
        <v>1.513</v>
      </c>
      <c r="F71" s="207">
        <v>2.75</v>
      </c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ht="15.75" customHeight="1">
      <c r="A72" s="7"/>
      <c r="B72" s="112">
        <v>12.5</v>
      </c>
      <c r="C72" s="91">
        <v>11.0</v>
      </c>
      <c r="D72" s="92">
        <v>10.1</v>
      </c>
      <c r="E72" s="91">
        <v>1.499</v>
      </c>
      <c r="F72" s="208">
        <v>2.677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ht="15.75" customHeight="1">
      <c r="A73" s="7"/>
      <c r="B73" s="18"/>
      <c r="C73" s="18"/>
      <c r="D73" s="18"/>
      <c r="E73" s="18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ht="15.75" customHeight="1">
      <c r="A74" s="7"/>
      <c r="B74" s="97"/>
      <c r="C74" s="98" t="s">
        <v>236</v>
      </c>
      <c r="D74" s="99" t="s">
        <v>237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ht="15.75" customHeight="1">
      <c r="A75" s="7"/>
      <c r="B75" s="100" t="s">
        <v>242</v>
      </c>
      <c r="C75" s="92">
        <v>14.2</v>
      </c>
      <c r="D75" s="94">
        <v>13.6</v>
      </c>
      <c r="E75" s="101" t="s">
        <v>358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ht="15.75" customHeight="1">
      <c r="A77" s="7"/>
      <c r="B77" s="105" t="s">
        <v>213</v>
      </c>
      <c r="C77" s="98" t="s">
        <v>22</v>
      </c>
      <c r="D77" s="99" t="s">
        <v>23</v>
      </c>
      <c r="E77" s="7"/>
      <c r="F77" s="7"/>
      <c r="G77" s="7"/>
      <c r="H77" s="7"/>
      <c r="I77" s="7" t="s">
        <v>260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ht="15.75" customHeight="1">
      <c r="A78" s="7"/>
      <c r="B78" s="110">
        <v>10000.0</v>
      </c>
      <c r="C78" s="57">
        <f t="shared" ref="C78:D78" si="1">C81*2</f>
        <v>829.9967852</v>
      </c>
      <c r="D78" s="129">
        <f t="shared" si="1"/>
        <v>912.2618728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ht="15.75" customHeight="1">
      <c r="A79" s="7"/>
      <c r="B79" s="110">
        <v>10000.0</v>
      </c>
      <c r="C79" s="57">
        <f t="shared" ref="C79:D79" si="2">C82*2</f>
        <v>829.9967852</v>
      </c>
      <c r="D79" s="129">
        <f t="shared" si="2"/>
        <v>912.2618728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ht="15.75" customHeight="1">
      <c r="A80" s="7"/>
      <c r="B80" s="110">
        <v>10000.0</v>
      </c>
      <c r="C80" s="57">
        <f t="shared" ref="C80:D80" si="3">C83*2</f>
        <v>829.9967852</v>
      </c>
      <c r="D80" s="129">
        <f t="shared" si="3"/>
        <v>912.2618728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ht="15.75" customHeight="1">
      <c r="A81" s="7"/>
      <c r="B81" s="110">
        <v>5000.0</v>
      </c>
      <c r="C81" s="57">
        <f>C75/1000/$C$116*1000*1000/$H$11*1000</f>
        <v>414.9983926</v>
      </c>
      <c r="D81" s="129">
        <f>D75*1000*1000/$H$11/$C$117</f>
        <v>456.1309364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ht="15.75" customHeight="1">
      <c r="A82" s="7"/>
      <c r="B82" s="110">
        <v>5000.0</v>
      </c>
      <c r="C82" s="57">
        <f>C75/1000/$C$116*1000*1000/$H$11*1000</f>
        <v>414.9983926</v>
      </c>
      <c r="D82" s="129">
        <f>D75*1000*1000/$H$11/$C$117</f>
        <v>456.1309364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ht="15.75" customHeight="1">
      <c r="A83" s="7"/>
      <c r="B83" s="110">
        <v>5000.0</v>
      </c>
      <c r="C83" s="57">
        <f>C75/1000/$C$116*1000*1000/$H$11*1000</f>
        <v>414.9983926</v>
      </c>
      <c r="D83" s="129">
        <f>D75*1000*1000/$H$11/$C$117</f>
        <v>456.1309364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ht="15.75" customHeight="1">
      <c r="A84" s="7"/>
      <c r="B84" s="110">
        <v>2000.0</v>
      </c>
      <c r="C84" s="178">
        <f>B84*$C$81/$B$81</f>
        <v>165.999357</v>
      </c>
      <c r="D84" s="129">
        <f t="shared" ref="D84:D87" si="4">B84*$D$81/$B$81</f>
        <v>182.4523746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ht="15.75" customHeight="1">
      <c r="A85" s="7"/>
      <c r="B85" s="110">
        <v>2000.0</v>
      </c>
      <c r="C85" s="57">
        <f>B84*$C$81/$B$81</f>
        <v>165.999357</v>
      </c>
      <c r="D85" s="129">
        <f t="shared" si="4"/>
        <v>182.4523746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ht="15.75" customHeight="1">
      <c r="A86" s="7"/>
      <c r="B86" s="110">
        <v>2000.0</v>
      </c>
      <c r="C86" s="57">
        <f t="shared" ref="C86:C98" si="5">B86*$C$81/$B$81</f>
        <v>165.999357</v>
      </c>
      <c r="D86" s="129">
        <f t="shared" si="4"/>
        <v>182.4523746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ht="15.75" customHeight="1">
      <c r="A87" s="7"/>
      <c r="B87" s="110">
        <v>1000.0</v>
      </c>
      <c r="C87" s="57">
        <f t="shared" si="5"/>
        <v>82.99967852</v>
      </c>
      <c r="D87" s="129">
        <f t="shared" si="4"/>
        <v>91.22618728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ht="15.75" customHeight="1">
      <c r="A88" s="7"/>
      <c r="B88" s="110">
        <v>1000.0</v>
      </c>
      <c r="C88" s="57">
        <f t="shared" si="5"/>
        <v>82.99967852</v>
      </c>
      <c r="D88" s="129">
        <f t="shared" ref="D88:D89" si="6">B87*$D$81/$B$81</f>
        <v>91.22618728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ht="15.75" customHeight="1">
      <c r="A89" s="7"/>
      <c r="B89" s="110">
        <v>1000.0</v>
      </c>
      <c r="C89" s="57">
        <f t="shared" si="5"/>
        <v>82.99967852</v>
      </c>
      <c r="D89" s="129">
        <f t="shared" si="6"/>
        <v>91.22618728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ht="15.75" customHeight="1">
      <c r="A90" s="7"/>
      <c r="B90" s="110">
        <v>200.0</v>
      </c>
      <c r="C90" s="57">
        <f t="shared" si="5"/>
        <v>16.5999357</v>
      </c>
      <c r="D90" s="129">
        <f>B90*$D$81/$B$81</f>
        <v>18.24523746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ht="15.75" customHeight="1">
      <c r="A91" s="7"/>
      <c r="B91" s="110">
        <v>200.0</v>
      </c>
      <c r="C91" s="57">
        <f t="shared" si="5"/>
        <v>16.5999357</v>
      </c>
      <c r="D91" s="129">
        <f t="shared" ref="D91:D92" si="7">B90*$D$81/$B$81</f>
        <v>18.24523746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ht="15.75" customHeight="1">
      <c r="A92" s="7"/>
      <c r="B92" s="110">
        <v>200.0</v>
      </c>
      <c r="C92" s="57">
        <f t="shared" si="5"/>
        <v>16.5999357</v>
      </c>
      <c r="D92" s="129">
        <f t="shared" si="7"/>
        <v>18.24523746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ht="15.75" customHeight="1">
      <c r="A93" s="7"/>
      <c r="B93" s="110">
        <v>100.0</v>
      </c>
      <c r="C93" s="57">
        <f t="shared" si="5"/>
        <v>8.299967852</v>
      </c>
      <c r="D93" s="129">
        <f>B93*$D$81/$B$81</f>
        <v>9.122618728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ht="15.75" customHeight="1">
      <c r="A94" s="7"/>
      <c r="B94" s="110">
        <v>100.0</v>
      </c>
      <c r="C94" s="57">
        <f t="shared" si="5"/>
        <v>8.299967852</v>
      </c>
      <c r="D94" s="129">
        <f t="shared" ref="D94:D95" si="8">B93*$D$81/$B$81</f>
        <v>9.122618728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ht="15.75" customHeight="1">
      <c r="A95" s="7"/>
      <c r="B95" s="110">
        <v>100.0</v>
      </c>
      <c r="C95" s="57">
        <f t="shared" si="5"/>
        <v>8.299967852</v>
      </c>
      <c r="D95" s="129">
        <f t="shared" si="8"/>
        <v>9.122618728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ht="15.75" customHeight="1">
      <c r="A96" s="7"/>
      <c r="B96" s="110">
        <v>12.5</v>
      </c>
      <c r="C96" s="57">
        <f t="shared" si="5"/>
        <v>1.037495982</v>
      </c>
      <c r="D96" s="129">
        <f t="shared" ref="D96:D98" si="9">B96*$D$81/$B$81</f>
        <v>1.140327341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ht="15.75" customHeight="1">
      <c r="A97" s="7"/>
      <c r="B97" s="110">
        <v>12.5</v>
      </c>
      <c r="C97" s="57">
        <f t="shared" si="5"/>
        <v>1.037495982</v>
      </c>
      <c r="D97" s="129">
        <f t="shared" si="9"/>
        <v>1.140327341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ht="15.75" customHeight="1">
      <c r="A98" s="7"/>
      <c r="B98" s="112">
        <v>12.5</v>
      </c>
      <c r="C98" s="113">
        <f t="shared" si="5"/>
        <v>1.037495982</v>
      </c>
      <c r="D98" s="130">
        <f t="shared" si="9"/>
        <v>1.140327341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ht="15.75" customHeight="1">
      <c r="A100" s="7"/>
      <c r="B100" s="105" t="s">
        <v>355</v>
      </c>
      <c r="C100" s="98" t="s">
        <v>34</v>
      </c>
      <c r="D100" s="99" t="s">
        <v>35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ht="15.75" customHeight="1">
      <c r="A101" s="7"/>
      <c r="B101" s="77" t="s">
        <v>264</v>
      </c>
      <c r="C101" s="115">
        <f t="shared" ref="C101:D101" si="10">SLOPE(C78:C98,C4:C24)</f>
        <v>0.1027403138</v>
      </c>
      <c r="D101" s="118">
        <f t="shared" si="10"/>
        <v>0.08422008912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ht="15.75" customHeight="1">
      <c r="A102" s="7"/>
      <c r="B102" s="77" t="s">
        <v>265</v>
      </c>
      <c r="C102" s="115">
        <f t="shared" ref="C102:D102" si="11">INTERCEPT(C78:C98,C4:C24)</f>
        <v>19.95901431</v>
      </c>
      <c r="D102" s="118">
        <f t="shared" si="11"/>
        <v>23.69808548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ht="15.75" customHeight="1">
      <c r="A103" s="7"/>
      <c r="B103" s="119" t="s">
        <v>266</v>
      </c>
      <c r="C103" s="120">
        <f t="shared" ref="C103:D103" si="12">RSQ(C81:C98,C7:C24)</f>
        <v>0.9738299382</v>
      </c>
      <c r="D103" s="121">
        <f t="shared" si="12"/>
        <v>0.979521367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ht="15.75" customHeight="1">
      <c r="A105" s="7"/>
      <c r="B105" s="105" t="s">
        <v>359</v>
      </c>
      <c r="C105" s="98" t="s">
        <v>34</v>
      </c>
      <c r="D105" s="99" t="s">
        <v>35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ht="15.75" customHeight="1">
      <c r="A106" s="7"/>
      <c r="B106" s="77" t="s">
        <v>264</v>
      </c>
      <c r="C106" s="115">
        <f t="shared" ref="C106:D106" si="13">SLOPE(C78:C98,C28:C48)</f>
        <v>0.1034628788</v>
      </c>
      <c r="D106" s="118">
        <f t="shared" si="13"/>
        <v>0.1016520438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ht="15.75" customHeight="1">
      <c r="A107" s="7"/>
      <c r="B107" s="77" t="s">
        <v>265</v>
      </c>
      <c r="C107" s="115">
        <f t="shared" ref="C107:D107" si="14">INTERCEPT(C78:C98,C28:C48)</f>
        <v>17.15412332</v>
      </c>
      <c r="D107" s="118">
        <f t="shared" si="14"/>
        <v>10.01263642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ht="15.75" customHeight="1">
      <c r="A108" s="7"/>
      <c r="B108" s="119" t="s">
        <v>266</v>
      </c>
      <c r="C108" s="120">
        <f>RSQ(C31:C48,C81:C98)</f>
        <v>0.9763217696</v>
      </c>
      <c r="D108" s="121">
        <f>RSQ(D81:D98,D31:D48)</f>
        <v>0.9947957953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ht="15.75" customHeight="1">
      <c r="A109" s="7"/>
      <c r="B109" s="18"/>
      <c r="C109" s="18"/>
      <c r="D109" s="18"/>
      <c r="E109" s="1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ht="15.75" customHeight="1">
      <c r="A110" s="7"/>
      <c r="B110" s="105" t="s">
        <v>360</v>
      </c>
      <c r="C110" s="98" t="s">
        <v>34</v>
      </c>
      <c r="D110" s="99" t="s">
        <v>35</v>
      </c>
      <c r="E110" s="18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ht="15.75" customHeight="1">
      <c r="A111" s="7"/>
      <c r="B111" s="77" t="s">
        <v>264</v>
      </c>
      <c r="C111" s="115">
        <f t="shared" ref="C111:D111" si="15">SLOPE(C78:C98,C52:C72)</f>
        <v>0.09830676273</v>
      </c>
      <c r="D111" s="118">
        <f t="shared" si="15"/>
        <v>0.09409733367</v>
      </c>
      <c r="E111" s="1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ht="15.75" customHeight="1">
      <c r="A112" s="7"/>
      <c r="B112" s="77" t="s">
        <v>265</v>
      </c>
      <c r="C112" s="115">
        <f t="shared" ref="C112:D112" si="16">INTERCEPT(C78:C98,C52:C72)</f>
        <v>21.92394442</v>
      </c>
      <c r="D112" s="118">
        <f t="shared" si="16"/>
        <v>18.62418635</v>
      </c>
      <c r="E112" s="18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ht="15.75" customHeight="1">
      <c r="A113" s="7"/>
      <c r="B113" s="119" t="s">
        <v>266</v>
      </c>
      <c r="C113" s="120">
        <f t="shared" ref="C113:D113" si="17">RSQ(C55:C72,C81:C98)</f>
        <v>0.9743178181</v>
      </c>
      <c r="D113" s="121">
        <f t="shared" si="17"/>
        <v>0.9922925132</v>
      </c>
      <c r="E113" s="1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ht="15.75" customHeight="1">
      <c r="A114" s="7"/>
      <c r="B114" s="18"/>
      <c r="C114" s="18"/>
      <c r="D114" s="18"/>
      <c r="E114" s="18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ht="15.75" customHeight="1">
      <c r="A115" s="7"/>
      <c r="B115" s="105" t="s">
        <v>267</v>
      </c>
      <c r="C115" s="98" t="s">
        <v>268</v>
      </c>
      <c r="D115" s="99" t="s">
        <v>269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ht="15.75" customHeight="1">
      <c r="A116" s="7"/>
      <c r="B116" s="36" t="s">
        <v>34</v>
      </c>
      <c r="C116" s="10">
        <v>342.17</v>
      </c>
      <c r="D116" s="122">
        <v>12.0</v>
      </c>
      <c r="E116" s="101" t="s">
        <v>361</v>
      </c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ht="15.75" customHeight="1">
      <c r="A117" s="7"/>
      <c r="B117" s="36" t="s">
        <v>35</v>
      </c>
      <c r="C117" s="10">
        <v>298.16</v>
      </c>
      <c r="D117" s="122">
        <v>11.0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ht="15.75" customHeight="1">
      <c r="A118" s="7"/>
      <c r="B118" s="36" t="s">
        <v>36</v>
      </c>
      <c r="C118" s="10">
        <v>245.15</v>
      </c>
      <c r="D118" s="122">
        <v>10.0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ht="15.75" customHeight="1">
      <c r="A119" s="7"/>
      <c r="B119" s="37" t="s">
        <v>37</v>
      </c>
      <c r="C119" s="90">
        <v>210.14</v>
      </c>
      <c r="D119" s="123">
        <v>9.0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ht="15.75" customHeight="1">
      <c r="A121" s="7"/>
      <c r="B121" s="1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ht="15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ht="15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ht="15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ht="15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ht="15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ht="15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ht="15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ht="15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ht="15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ht="15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ht="15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ht="15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ht="15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ht="15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ht="15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ht="15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ht="15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ht="15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ht="15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ht="15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ht="15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ht="15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ht="15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ht="15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ht="15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ht="15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ht="15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ht="15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ht="15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ht="15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ht="15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ht="15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ht="15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ht="15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ht="15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ht="15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ht="15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ht="15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ht="15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ht="15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ht="15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ht="15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ht="15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ht="15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ht="15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ht="15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ht="15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ht="15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ht="15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ht="15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ht="15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ht="15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ht="15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ht="15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ht="15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ht="15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ht="15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ht="15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ht="15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ht="15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ht="15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ht="15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ht="15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ht="15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ht="15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ht="15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ht="15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ht="15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ht="15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ht="15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ht="15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ht="15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ht="15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ht="15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ht="15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ht="15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ht="15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ht="15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ht="15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ht="15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ht="15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ht="15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ht="15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ht="15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ht="15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ht="15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ht="15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ht="15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ht="15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ht="15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ht="15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ht="15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ht="15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ht="15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ht="15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ht="15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ht="15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ht="15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ht="15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ht="15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ht="15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ht="15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ht="15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ht="15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ht="15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ht="15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ht="15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ht="15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ht="15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ht="15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ht="15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ht="15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ht="15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ht="15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ht="15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ht="15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ht="15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ht="15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ht="15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ht="15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ht="15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ht="15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ht="15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ht="15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ht="15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ht="15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ht="15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ht="15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ht="15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ht="15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ht="15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ht="15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ht="15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ht="15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ht="15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ht="15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ht="15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ht="15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ht="15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ht="15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ht="15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ht="15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ht="15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ht="15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ht="15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ht="15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ht="15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ht="15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ht="15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ht="15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ht="15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ht="15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ht="15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ht="15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ht="15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ht="15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ht="15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ht="15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ht="15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ht="15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ht="15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ht="15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ht="15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ht="15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ht="15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ht="15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ht="15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ht="15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ht="15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ht="15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ht="15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ht="15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ht="15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ht="15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</sheetData>
  <mergeCells count="8">
    <mergeCell ref="C2:D2"/>
    <mergeCell ref="E2:F2"/>
    <mergeCell ref="N14:N15"/>
    <mergeCell ref="O14:O15"/>
    <mergeCell ref="C26:D26"/>
    <mergeCell ref="E26:F26"/>
    <mergeCell ref="C50:D50"/>
    <mergeCell ref="E50:F50"/>
  </mergeCells>
  <hyperlinks>
    <hyperlink r:id="rId1" location="gid=62411718" ref="E75"/>
    <hyperlink r:id="rId2" location="gid=62411718" ref="E116"/>
  </hyperlinks>
  <printOptions/>
  <pageMargins bottom="0.75" footer="0.0" header="0.0" left="0.7" right="0.7" top="0.75"/>
  <pageSetup orientation="landscape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12.63"/>
    <col customWidth="1" min="2" max="2" width="25.63"/>
    <col customWidth="1" min="3" max="6" width="12.63"/>
    <col customWidth="1" min="14" max="14" width="24.13"/>
    <col customWidth="1" min="18" max="18" width="16.5"/>
  </cols>
  <sheetData>
    <row r="1" ht="15.75" customHeight="1">
      <c r="A1" s="7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5.75" customHeight="1">
      <c r="A2" s="7"/>
      <c r="B2" s="97" t="s">
        <v>362</v>
      </c>
      <c r="C2" s="133" t="s">
        <v>214</v>
      </c>
      <c r="D2" s="210" t="s">
        <v>215</v>
      </c>
      <c r="E2" s="7"/>
      <c r="F2" s="97" t="s">
        <v>363</v>
      </c>
      <c r="G2" s="133" t="s">
        <v>214</v>
      </c>
      <c r="H2" s="210" t="s">
        <v>215</v>
      </c>
      <c r="I2" s="18"/>
      <c r="J2" s="97" t="s">
        <v>364</v>
      </c>
      <c r="K2" s="133" t="s">
        <v>214</v>
      </c>
      <c r="L2" s="210" t="s">
        <v>215</v>
      </c>
      <c r="M2" s="7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5.75" customHeight="1">
      <c r="A3" s="7"/>
      <c r="B3" s="36" t="s">
        <v>276</v>
      </c>
      <c r="C3" s="136">
        <f>'Auto Dilution Runs BPCA Calibr'!C101</f>
        <v>0.1027403138</v>
      </c>
      <c r="D3" s="139">
        <f>'Auto Dilution Runs BPCA Calibr'!D101</f>
        <v>0.08422008912</v>
      </c>
      <c r="E3" s="10"/>
      <c r="F3" s="36" t="s">
        <v>276</v>
      </c>
      <c r="G3" s="136">
        <f>'Auto Dilution Runs BPCA Calibr'!C106</f>
        <v>0.1034628788</v>
      </c>
      <c r="H3" s="139">
        <f>'Auto Dilution Runs BPCA Calibr'!D106</f>
        <v>0.1016520438</v>
      </c>
      <c r="I3" s="18"/>
      <c r="J3" s="36" t="s">
        <v>276</v>
      </c>
      <c r="K3" s="136">
        <f>'Auto Dilution Runs BPCA Calibr'!C111</f>
        <v>0.09830676273</v>
      </c>
      <c r="L3" s="139">
        <f>'Auto Dilution Runs BPCA Calibr'!D111</f>
        <v>0.09409733367</v>
      </c>
      <c r="M3" s="10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5.75" customHeight="1">
      <c r="A4" s="7"/>
      <c r="B4" s="37" t="s">
        <v>277</v>
      </c>
      <c r="C4" s="140">
        <f>'Auto Dilution Runs BPCA Calibr'!C102</f>
        <v>19.95901431</v>
      </c>
      <c r="D4" s="141">
        <f>'Auto Dilution Runs BPCA Calibr'!D102</f>
        <v>23.69808548</v>
      </c>
      <c r="E4" s="57"/>
      <c r="F4" s="37" t="s">
        <v>277</v>
      </c>
      <c r="G4" s="140">
        <f>'Auto Dilution Runs BPCA Calibr'!C107</f>
        <v>17.15412332</v>
      </c>
      <c r="H4" s="141">
        <f>'Auto Dilution Runs BPCA Calibr'!D107</f>
        <v>10.01263642</v>
      </c>
      <c r="I4" s="18"/>
      <c r="J4" s="37" t="s">
        <v>277</v>
      </c>
      <c r="K4" s="140">
        <f>'Auto Dilution Runs BPCA Calibr'!C112</f>
        <v>21.92394442</v>
      </c>
      <c r="L4" s="141">
        <f>'Auto Dilution Runs BPCA Calibr'!D112</f>
        <v>18.62418635</v>
      </c>
      <c r="M4" s="57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5.75" customHeight="1">
      <c r="A5" s="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5.75" customHeight="1">
      <c r="A6" s="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5.75" customHeight="1">
      <c r="A7" s="7"/>
      <c r="B7" s="97"/>
      <c r="C7" s="186" t="s">
        <v>278</v>
      </c>
      <c r="D7" s="20"/>
      <c r="E7" s="20"/>
      <c r="F7" s="21"/>
      <c r="G7" s="186" t="s">
        <v>279</v>
      </c>
      <c r="H7" s="21"/>
      <c r="I7" s="186" t="s">
        <v>280</v>
      </c>
      <c r="J7" s="21"/>
      <c r="K7" s="186" t="s">
        <v>143</v>
      </c>
      <c r="L7" s="21"/>
      <c r="M7" s="18"/>
      <c r="N7" s="19" t="s">
        <v>365</v>
      </c>
      <c r="O7" s="20"/>
      <c r="P7" s="20"/>
      <c r="Q7" s="20"/>
      <c r="R7" s="20"/>
      <c r="S7" s="20"/>
      <c r="T7" s="21"/>
      <c r="U7" s="18"/>
      <c r="V7" s="18"/>
      <c r="W7" s="18"/>
      <c r="X7" s="18"/>
      <c r="Y7" s="18"/>
      <c r="Z7" s="18"/>
    </row>
    <row r="8" ht="15.75" customHeight="1">
      <c r="A8" s="7"/>
      <c r="B8" s="179" t="s">
        <v>0</v>
      </c>
      <c r="C8" s="3" t="s">
        <v>282</v>
      </c>
      <c r="D8" s="3" t="s">
        <v>283</v>
      </c>
      <c r="E8" s="146" t="s">
        <v>288</v>
      </c>
      <c r="F8" s="3" t="s">
        <v>289</v>
      </c>
      <c r="G8" s="211" t="s">
        <v>22</v>
      </c>
      <c r="H8" s="212" t="s">
        <v>23</v>
      </c>
      <c r="I8" s="24" t="s">
        <v>22</v>
      </c>
      <c r="J8" s="26" t="s">
        <v>23</v>
      </c>
      <c r="K8" s="24" t="s">
        <v>22</v>
      </c>
      <c r="L8" s="26" t="s">
        <v>23</v>
      </c>
      <c r="M8" s="18"/>
      <c r="N8" s="23" t="s">
        <v>0</v>
      </c>
      <c r="O8" s="24" t="s">
        <v>294</v>
      </c>
      <c r="P8" s="5" t="s">
        <v>295</v>
      </c>
      <c r="Q8" s="5" t="s">
        <v>296</v>
      </c>
      <c r="R8" s="5" t="s">
        <v>297</v>
      </c>
      <c r="S8" s="5" t="s">
        <v>196</v>
      </c>
      <c r="T8" s="26" t="s">
        <v>192</v>
      </c>
      <c r="U8" s="18"/>
      <c r="V8" s="18"/>
      <c r="W8" s="18"/>
      <c r="X8" s="18"/>
      <c r="Y8" s="18"/>
      <c r="Z8" s="18"/>
    </row>
    <row r="9" ht="15.75" customHeight="1">
      <c r="A9" s="7" t="s">
        <v>362</v>
      </c>
      <c r="B9" s="41" t="s">
        <v>366</v>
      </c>
      <c r="C9" s="80">
        <f>1970*2</f>
        <v>3940</v>
      </c>
      <c r="D9" s="80">
        <f>3945*2</f>
        <v>7890</v>
      </c>
      <c r="E9" s="150">
        <v>1.475</v>
      </c>
      <c r="F9" s="89">
        <v>2.588</v>
      </c>
      <c r="G9" s="213">
        <f>C9*$C$3+$C$4</f>
        <v>424.7558507</v>
      </c>
      <c r="H9" s="214">
        <f>D9*$D$3+$D$4</f>
        <v>688.1945886</v>
      </c>
      <c r="I9" s="33">
        <f t="shared" ref="I9:I20" si="1">G9*Q9/R9</f>
        <v>4.693434815</v>
      </c>
      <c r="J9" s="35">
        <f t="shared" ref="J9:J20" si="2">H9*Q9/R9</f>
        <v>7.604360096</v>
      </c>
      <c r="K9" s="33">
        <f t="shared" ref="K9:K20" si="3">I9*S9/T9</f>
        <v>0.04820209704</v>
      </c>
      <c r="L9" s="35">
        <f t="shared" ref="L9:L20" si="4">J9*S9/T9</f>
        <v>0.07809762311</v>
      </c>
      <c r="M9" s="34"/>
      <c r="N9" s="41" t="s">
        <v>366</v>
      </c>
      <c r="O9" s="124">
        <v>70.2583</v>
      </c>
      <c r="P9" s="82">
        <v>0.8431</v>
      </c>
      <c r="Q9" s="82">
        <v>0.1</v>
      </c>
      <c r="R9" s="82">
        <v>9.05</v>
      </c>
      <c r="S9" s="82">
        <v>9.2431</v>
      </c>
      <c r="T9" s="83">
        <v>900.0</v>
      </c>
      <c r="U9" s="18"/>
      <c r="V9" s="18"/>
      <c r="W9" s="18"/>
      <c r="X9" s="18"/>
      <c r="Y9" s="18"/>
      <c r="Z9" s="18"/>
    </row>
    <row r="10" ht="15.75" customHeight="1">
      <c r="A10" s="7" t="s">
        <v>363</v>
      </c>
      <c r="B10" s="41" t="s">
        <v>367</v>
      </c>
      <c r="C10" s="80">
        <f>2659.2*2</f>
        <v>5318.4</v>
      </c>
      <c r="D10" s="80">
        <f>5065.7*2</f>
        <v>10131.4</v>
      </c>
      <c r="E10" s="150">
        <v>1.438</v>
      </c>
      <c r="F10" s="89">
        <v>2.417</v>
      </c>
      <c r="G10" s="213">
        <f>C10*$G$3+$G$4</f>
        <v>567.4110977</v>
      </c>
      <c r="H10" s="214">
        <f>D10*$H$3+$H$4</f>
        <v>1039.890153</v>
      </c>
      <c r="I10" s="33">
        <f t="shared" si="1"/>
        <v>6.304567753</v>
      </c>
      <c r="J10" s="35">
        <f t="shared" si="2"/>
        <v>11.55433504</v>
      </c>
      <c r="K10" s="33">
        <f t="shared" si="3"/>
        <v>0.06075108458</v>
      </c>
      <c r="L10" s="35">
        <f t="shared" si="4"/>
        <v>0.1113380667</v>
      </c>
      <c r="M10" s="34"/>
      <c r="N10" s="41" t="s">
        <v>367</v>
      </c>
      <c r="O10" s="124">
        <v>75.1</v>
      </c>
      <c r="P10" s="82">
        <v>0.9012</v>
      </c>
      <c r="Q10" s="82">
        <v>0.1</v>
      </c>
      <c r="R10" s="82">
        <v>9.0</v>
      </c>
      <c r="S10" s="82">
        <v>9.0097</v>
      </c>
      <c r="T10" s="83">
        <v>935.0</v>
      </c>
      <c r="U10" s="18"/>
      <c r="V10" s="18"/>
      <c r="W10" s="18"/>
      <c r="X10" s="18"/>
      <c r="Y10" s="18"/>
      <c r="Z10" s="18"/>
    </row>
    <row r="11" ht="15.75" customHeight="1">
      <c r="A11" s="7" t="s">
        <v>364</v>
      </c>
      <c r="B11" s="32" t="s">
        <v>152</v>
      </c>
      <c r="C11" s="79">
        <f>290.2*2</f>
        <v>580.4</v>
      </c>
      <c r="D11" s="80">
        <f>2124.3*2</f>
        <v>4248.6</v>
      </c>
      <c r="E11" s="150">
        <v>1.599</v>
      </c>
      <c r="F11" s="89">
        <v>2.502</v>
      </c>
      <c r="G11" s="215">
        <f t="shared" ref="G11:G14" si="5">C11*$K$3+$K$4</f>
        <v>78.98118951</v>
      </c>
      <c r="H11" s="216">
        <f t="shared" ref="H11:H14" si="6">D11*$L$3+$L$4</f>
        <v>418.4061182</v>
      </c>
      <c r="I11" s="28">
        <f t="shared" si="1"/>
        <v>1.716982381</v>
      </c>
      <c r="J11" s="30">
        <f t="shared" si="2"/>
        <v>9.095785178</v>
      </c>
      <c r="K11" s="28">
        <f t="shared" si="3"/>
        <v>0.00275118429</v>
      </c>
      <c r="L11" s="30">
        <f t="shared" si="4"/>
        <v>0.01457451257</v>
      </c>
      <c r="M11" s="10"/>
      <c r="N11" s="41" t="s">
        <v>152</v>
      </c>
      <c r="O11" s="124">
        <v>39.1667</v>
      </c>
      <c r="P11" s="82">
        <v>0.47</v>
      </c>
      <c r="Q11" s="82">
        <v>0.1</v>
      </c>
      <c r="R11" s="82">
        <v>4.6</v>
      </c>
      <c r="S11" s="82">
        <v>9.1878</v>
      </c>
      <c r="T11" s="83">
        <v>5734.0</v>
      </c>
      <c r="U11" s="18"/>
      <c r="V11" s="18"/>
      <c r="W11" s="18"/>
      <c r="X11" s="18"/>
      <c r="Y11" s="18"/>
      <c r="Z11" s="18"/>
    </row>
    <row r="12" ht="15.75" customHeight="1">
      <c r="A12" s="7" t="s">
        <v>364</v>
      </c>
      <c r="B12" s="32" t="s">
        <v>112</v>
      </c>
      <c r="C12" s="79">
        <f>518.8*2</f>
        <v>1037.6</v>
      </c>
      <c r="D12" s="80">
        <f>2300.9*2</f>
        <v>4601.8</v>
      </c>
      <c r="E12" s="150">
        <v>1.582</v>
      </c>
      <c r="F12" s="89">
        <v>2.492</v>
      </c>
      <c r="G12" s="213">
        <f t="shared" si="5"/>
        <v>123.9270414</v>
      </c>
      <c r="H12" s="214">
        <f t="shared" si="6"/>
        <v>451.6412964</v>
      </c>
      <c r="I12" s="33">
        <f t="shared" si="1"/>
        <v>1.357360804</v>
      </c>
      <c r="J12" s="35">
        <f t="shared" si="2"/>
        <v>4.946783093</v>
      </c>
      <c r="K12" s="33">
        <f t="shared" si="3"/>
        <v>0.003761356287</v>
      </c>
      <c r="L12" s="35">
        <f t="shared" si="4"/>
        <v>0.01370793501</v>
      </c>
      <c r="M12" s="7"/>
      <c r="N12" s="41" t="s">
        <v>112</v>
      </c>
      <c r="O12" s="124">
        <v>36.25</v>
      </c>
      <c r="P12" s="82">
        <v>0.435</v>
      </c>
      <c r="Q12" s="82">
        <v>0.1</v>
      </c>
      <c r="R12" s="82">
        <v>9.13</v>
      </c>
      <c r="S12" s="82">
        <v>9.103</v>
      </c>
      <c r="T12" s="83">
        <v>3285.0</v>
      </c>
      <c r="U12" s="18"/>
      <c r="V12" s="18"/>
      <c r="W12" s="18"/>
      <c r="X12" s="18"/>
      <c r="Y12" s="18"/>
      <c r="Z12" s="18"/>
    </row>
    <row r="13" ht="15.75" customHeight="1">
      <c r="A13" s="7" t="s">
        <v>364</v>
      </c>
      <c r="B13" s="32" t="s">
        <v>83</v>
      </c>
      <c r="C13" s="79">
        <f>279.8*2</f>
        <v>559.6</v>
      </c>
      <c r="D13" s="80">
        <f>2229.3*2</f>
        <v>4458.6</v>
      </c>
      <c r="E13" s="150">
        <v>1.601</v>
      </c>
      <c r="F13" s="89">
        <v>2.488</v>
      </c>
      <c r="G13" s="213">
        <f t="shared" si="5"/>
        <v>76.93640885</v>
      </c>
      <c r="H13" s="214">
        <f t="shared" si="6"/>
        <v>438.1665583</v>
      </c>
      <c r="I13" s="33">
        <f t="shared" si="1"/>
        <v>0.8317449605</v>
      </c>
      <c r="J13" s="35">
        <f t="shared" si="2"/>
        <v>4.736935765</v>
      </c>
      <c r="K13" s="33">
        <f t="shared" si="3"/>
        <v>0.002550610042</v>
      </c>
      <c r="L13" s="35">
        <f t="shared" si="4"/>
        <v>0.0145261787</v>
      </c>
      <c r="M13" s="10"/>
      <c r="N13" s="41" t="s">
        <v>83</v>
      </c>
      <c r="O13" s="124">
        <v>29.9604</v>
      </c>
      <c r="P13" s="82">
        <v>0.3595</v>
      </c>
      <c r="Q13" s="82">
        <v>0.1</v>
      </c>
      <c r="R13" s="82">
        <v>9.25</v>
      </c>
      <c r="S13" s="82">
        <v>9.1292</v>
      </c>
      <c r="T13" s="83">
        <v>2977.0</v>
      </c>
      <c r="U13" s="18"/>
      <c r="V13" s="18"/>
      <c r="W13" s="18"/>
      <c r="X13" s="18"/>
      <c r="Y13" s="18"/>
      <c r="Z13" s="18"/>
    </row>
    <row r="14" ht="15.75" customHeight="1">
      <c r="A14" s="7" t="s">
        <v>364</v>
      </c>
      <c r="B14" s="36" t="s">
        <v>131</v>
      </c>
      <c r="C14" s="79">
        <f>407.1*2</f>
        <v>814.2</v>
      </c>
      <c r="D14" s="80">
        <f>3979.6*2</f>
        <v>7959.2</v>
      </c>
      <c r="E14" s="150">
        <v>1.586</v>
      </c>
      <c r="F14" s="89">
        <v>2.456</v>
      </c>
      <c r="G14" s="213">
        <f t="shared" si="5"/>
        <v>101.9653106</v>
      </c>
      <c r="H14" s="214">
        <f t="shared" si="6"/>
        <v>767.5636845</v>
      </c>
      <c r="I14" s="33">
        <f t="shared" si="1"/>
        <v>1.172015065</v>
      </c>
      <c r="J14" s="35">
        <f t="shared" si="2"/>
        <v>8.822571086</v>
      </c>
      <c r="K14" s="33">
        <f t="shared" si="3"/>
        <v>0.002643521566</v>
      </c>
      <c r="L14" s="35">
        <f t="shared" si="4"/>
        <v>0.01989962214</v>
      </c>
      <c r="M14" s="10"/>
      <c r="N14" s="41" t="s">
        <v>131</v>
      </c>
      <c r="O14" s="124">
        <v>24.4444</v>
      </c>
      <c r="P14" s="82">
        <v>0.2933</v>
      </c>
      <c r="Q14" s="82">
        <v>0.1</v>
      </c>
      <c r="R14" s="82">
        <v>8.7</v>
      </c>
      <c r="S14" s="82">
        <v>8.7402</v>
      </c>
      <c r="T14" s="83">
        <v>3875.0</v>
      </c>
      <c r="U14" s="18"/>
      <c r="V14" s="18"/>
      <c r="W14" s="18"/>
      <c r="X14" s="18"/>
      <c r="Y14" s="18"/>
      <c r="Z14" s="18"/>
    </row>
    <row r="15" ht="15.75" customHeight="1">
      <c r="A15" s="7" t="s">
        <v>364</v>
      </c>
      <c r="B15" s="37" t="s">
        <v>155</v>
      </c>
      <c r="C15" s="91">
        <f>410.3*2</f>
        <v>820.6</v>
      </c>
      <c r="D15" s="92">
        <f>3070*2</f>
        <v>6140</v>
      </c>
      <c r="E15" s="159">
        <v>1.605</v>
      </c>
      <c r="F15" s="95">
        <v>2.514</v>
      </c>
      <c r="G15" s="217">
        <f>C15*$G$3+$G$4</f>
        <v>102.0557616</v>
      </c>
      <c r="H15" s="218">
        <f>D15*$H$3+$H$4</f>
        <v>634.1561855</v>
      </c>
      <c r="I15" s="38">
        <f t="shared" si="1"/>
        <v>3.292121343</v>
      </c>
      <c r="J15" s="40">
        <f t="shared" si="2"/>
        <v>20.45665115</v>
      </c>
      <c r="K15" s="38">
        <f t="shared" si="3"/>
        <v>0.01675734615</v>
      </c>
      <c r="L15" s="40">
        <f t="shared" si="4"/>
        <v>0.1041271413</v>
      </c>
      <c r="M15" s="10"/>
      <c r="N15" s="41" t="s">
        <v>155</v>
      </c>
      <c r="O15" s="124">
        <v>156.8889</v>
      </c>
      <c r="P15" s="82">
        <v>1.8827</v>
      </c>
      <c r="Q15" s="82">
        <v>0.1</v>
      </c>
      <c r="R15" s="82">
        <v>3.1</v>
      </c>
      <c r="S15" s="82">
        <v>9.3404</v>
      </c>
      <c r="T15" s="83">
        <v>1835.0</v>
      </c>
      <c r="U15" s="18"/>
      <c r="V15" s="18"/>
      <c r="W15" s="18"/>
      <c r="X15" s="18"/>
      <c r="Y15" s="18"/>
      <c r="Z15" s="18"/>
    </row>
    <row r="16" ht="15.75" customHeight="1">
      <c r="A16" s="7" t="s">
        <v>364</v>
      </c>
      <c r="B16" s="42" t="s">
        <v>161</v>
      </c>
      <c r="C16" s="80">
        <f>251.1*2</f>
        <v>502.2</v>
      </c>
      <c r="D16" s="80">
        <f>5054.9*2</f>
        <v>10109.8</v>
      </c>
      <c r="E16" s="150">
        <v>1.605</v>
      </c>
      <c r="F16" s="89">
        <v>2.495</v>
      </c>
      <c r="G16" s="213">
        <f t="shared" ref="G16:G20" si="7">C16*$K$3+$K$4</f>
        <v>71.29360067</v>
      </c>
      <c r="H16" s="214">
        <f t="shared" ref="H16:H20" si="8">D16*$L$3+$L$4</f>
        <v>969.9294103</v>
      </c>
      <c r="I16" s="33">
        <f t="shared" si="1"/>
        <v>1.738868309</v>
      </c>
      <c r="J16" s="35">
        <f t="shared" si="2"/>
        <v>23.65681489</v>
      </c>
      <c r="K16" s="33">
        <f t="shared" si="3"/>
        <v>0.003123306836</v>
      </c>
      <c r="L16" s="35">
        <f t="shared" si="4"/>
        <v>0.04249171215</v>
      </c>
      <c r="M16" s="10"/>
      <c r="N16" s="41" t="s">
        <v>161</v>
      </c>
      <c r="O16" s="124">
        <v>46.9333</v>
      </c>
      <c r="P16" s="82">
        <v>0.5632</v>
      </c>
      <c r="Q16" s="82">
        <v>0.1</v>
      </c>
      <c r="R16" s="82">
        <v>4.1</v>
      </c>
      <c r="S16" s="82">
        <v>9.0563</v>
      </c>
      <c r="T16" s="83">
        <v>5042.0</v>
      </c>
      <c r="U16" s="18"/>
      <c r="V16" s="18"/>
      <c r="W16" s="18"/>
      <c r="X16" s="18"/>
      <c r="Y16" s="18"/>
      <c r="Z16" s="18"/>
    </row>
    <row r="17" ht="15.75" customHeight="1">
      <c r="A17" s="7" t="s">
        <v>364</v>
      </c>
      <c r="B17" s="41" t="s">
        <v>70</v>
      </c>
      <c r="C17" s="80">
        <f>306.5*2</f>
        <v>613</v>
      </c>
      <c r="D17" s="80">
        <f>3203.5*2</f>
        <v>6407</v>
      </c>
      <c r="E17" s="150">
        <v>1.602</v>
      </c>
      <c r="F17" s="89">
        <v>2.499</v>
      </c>
      <c r="G17" s="213">
        <f t="shared" si="7"/>
        <v>82.18598998</v>
      </c>
      <c r="H17" s="214">
        <f t="shared" si="8"/>
        <v>621.5058032</v>
      </c>
      <c r="I17" s="33">
        <f t="shared" si="1"/>
        <v>0.8743190423</v>
      </c>
      <c r="J17" s="35">
        <f t="shared" si="2"/>
        <v>6.611763864</v>
      </c>
      <c r="K17" s="33">
        <f t="shared" si="3"/>
        <v>0.001891352867</v>
      </c>
      <c r="L17" s="35">
        <f t="shared" si="4"/>
        <v>0.01430276356</v>
      </c>
      <c r="M17" s="10"/>
      <c r="N17" s="41" t="s">
        <v>70</v>
      </c>
      <c r="O17" s="124">
        <v>22.6833</v>
      </c>
      <c r="P17" s="82">
        <v>0.2722</v>
      </c>
      <c r="Q17" s="82">
        <v>0.1</v>
      </c>
      <c r="R17" s="82">
        <v>9.4</v>
      </c>
      <c r="S17" s="82">
        <v>9.2835</v>
      </c>
      <c r="T17" s="83">
        <v>4291.5</v>
      </c>
      <c r="U17" s="18"/>
      <c r="V17" s="18"/>
      <c r="W17" s="18"/>
      <c r="X17" s="18"/>
      <c r="Y17" s="18"/>
      <c r="Z17" s="18"/>
    </row>
    <row r="18" ht="15.75" customHeight="1">
      <c r="A18" s="7" t="s">
        <v>364</v>
      </c>
      <c r="B18" s="41" t="s">
        <v>71</v>
      </c>
      <c r="C18" s="80">
        <f>281.6*2</f>
        <v>563.2</v>
      </c>
      <c r="D18" s="80">
        <f>2621.8*2</f>
        <v>5243.6</v>
      </c>
      <c r="E18" s="150">
        <v>1.603</v>
      </c>
      <c r="F18" s="89">
        <v>2.507</v>
      </c>
      <c r="G18" s="213">
        <f t="shared" si="7"/>
        <v>77.29031319</v>
      </c>
      <c r="H18" s="214">
        <f t="shared" si="8"/>
        <v>512.0329652</v>
      </c>
      <c r="I18" s="33">
        <f t="shared" si="1"/>
        <v>0.8310786365</v>
      </c>
      <c r="J18" s="35">
        <f t="shared" si="2"/>
        <v>5.505730808</v>
      </c>
      <c r="K18" s="33">
        <f t="shared" si="3"/>
        <v>0.002097191028</v>
      </c>
      <c r="L18" s="35">
        <f t="shared" si="4"/>
        <v>0.01389347379</v>
      </c>
      <c r="M18" s="10"/>
      <c r="N18" s="41" t="s">
        <v>71</v>
      </c>
      <c r="O18" s="124">
        <v>8.3333</v>
      </c>
      <c r="P18" s="82">
        <v>0.1</v>
      </c>
      <c r="Q18" s="82">
        <v>0.1</v>
      </c>
      <c r="R18" s="82">
        <v>9.3</v>
      </c>
      <c r="S18" s="82">
        <v>9.198</v>
      </c>
      <c r="T18" s="83">
        <v>3645.0</v>
      </c>
      <c r="U18" s="18"/>
      <c r="V18" s="18"/>
      <c r="W18" s="18"/>
      <c r="X18" s="18"/>
      <c r="Y18" s="18"/>
      <c r="Z18" s="18"/>
    </row>
    <row r="19" ht="15.75" customHeight="1">
      <c r="A19" s="7" t="s">
        <v>364</v>
      </c>
      <c r="B19" s="41" t="s">
        <v>57</v>
      </c>
      <c r="C19" s="80">
        <f>414.2*2</f>
        <v>828.4</v>
      </c>
      <c r="D19" s="80">
        <f>2912.8*2</f>
        <v>5825.6</v>
      </c>
      <c r="E19" s="150">
        <v>1.592</v>
      </c>
      <c r="F19" s="89">
        <v>2.497</v>
      </c>
      <c r="G19" s="213">
        <f t="shared" si="7"/>
        <v>103.3612667</v>
      </c>
      <c r="H19" s="214">
        <f t="shared" si="8"/>
        <v>566.7976134</v>
      </c>
      <c r="I19" s="33">
        <f t="shared" si="1"/>
        <v>1.117419099</v>
      </c>
      <c r="J19" s="35">
        <f t="shared" si="2"/>
        <v>6.127541766</v>
      </c>
      <c r="K19" s="33">
        <f t="shared" si="3"/>
        <v>0.002481300275</v>
      </c>
      <c r="L19" s="35">
        <f t="shared" si="4"/>
        <v>0.01360659674</v>
      </c>
      <c r="M19" s="10"/>
      <c r="N19" s="41" t="s">
        <v>57</v>
      </c>
      <c r="O19" s="124">
        <v>26.75</v>
      </c>
      <c r="P19" s="82">
        <v>0.321</v>
      </c>
      <c r="Q19" s="82">
        <v>0.1</v>
      </c>
      <c r="R19" s="82">
        <v>9.25</v>
      </c>
      <c r="S19" s="82">
        <v>9.1787</v>
      </c>
      <c r="T19" s="83">
        <v>4133.5</v>
      </c>
      <c r="U19" s="18"/>
      <c r="V19" s="18"/>
      <c r="W19" s="18"/>
      <c r="X19" s="18"/>
      <c r="Y19" s="18"/>
      <c r="Z19" s="18"/>
    </row>
    <row r="20" ht="15.75" customHeight="1">
      <c r="A20" s="7" t="s">
        <v>364</v>
      </c>
      <c r="B20" s="43" t="s">
        <v>82</v>
      </c>
      <c r="C20" s="92">
        <f>411*2</f>
        <v>822</v>
      </c>
      <c r="D20" s="92">
        <f>3966.9*2</f>
        <v>7933.8</v>
      </c>
      <c r="E20" s="159">
        <v>1.603</v>
      </c>
      <c r="F20" s="95">
        <v>2.489</v>
      </c>
      <c r="G20" s="217">
        <f t="shared" si="7"/>
        <v>102.7321034</v>
      </c>
      <c r="H20" s="218">
        <f t="shared" si="8"/>
        <v>765.1736122</v>
      </c>
      <c r="I20" s="38">
        <f t="shared" si="1"/>
        <v>1.135161363</v>
      </c>
      <c r="J20" s="40">
        <f t="shared" si="2"/>
        <v>8.454957041</v>
      </c>
      <c r="K20" s="38">
        <f t="shared" si="3"/>
        <v>0.002551012508</v>
      </c>
      <c r="L20" s="40">
        <f t="shared" si="4"/>
        <v>0.01900055962</v>
      </c>
      <c r="M20" s="10"/>
      <c r="N20" s="43" t="s">
        <v>82</v>
      </c>
      <c r="O20" s="127">
        <v>19.15</v>
      </c>
      <c r="P20" s="93">
        <v>0.2298</v>
      </c>
      <c r="Q20" s="93">
        <v>0.1</v>
      </c>
      <c r="R20" s="93">
        <v>9.05</v>
      </c>
      <c r="S20" s="93">
        <v>8.9475</v>
      </c>
      <c r="T20" s="96">
        <v>3981.5</v>
      </c>
      <c r="U20" s="18"/>
      <c r="V20" s="18"/>
      <c r="W20" s="18"/>
      <c r="X20" s="18"/>
      <c r="Y20" s="18"/>
      <c r="Z20" s="18"/>
    </row>
    <row r="21" ht="15.75" customHeight="1">
      <c r="A21" s="7"/>
      <c r="B21" s="7"/>
      <c r="C21" s="10"/>
      <c r="D21" s="10"/>
      <c r="E21" s="10"/>
      <c r="F21" s="57"/>
      <c r="G21" s="178"/>
      <c r="H21" s="178"/>
      <c r="I21" s="10"/>
      <c r="J21" s="57"/>
      <c r="K21" s="10"/>
      <c r="L21" s="10"/>
      <c r="M21" s="10"/>
      <c r="N21" s="7"/>
      <c r="O21" s="7"/>
      <c r="P21" s="7"/>
      <c r="Q21" s="7"/>
      <c r="R21" s="7"/>
      <c r="S21" s="7"/>
      <c r="T21" s="7"/>
      <c r="U21" s="18"/>
      <c r="V21" s="18"/>
      <c r="W21" s="18"/>
      <c r="X21" s="18"/>
      <c r="Y21" s="18"/>
      <c r="Z21" s="18"/>
    </row>
    <row r="22" ht="15.75" customHeight="1">
      <c r="A22" s="7"/>
      <c r="B22" s="18"/>
      <c r="C22" s="18"/>
      <c r="D22" s="18"/>
      <c r="E22" s="18"/>
      <c r="F22" s="18"/>
      <c r="G22" s="178"/>
      <c r="H22" s="57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5.75" customHeight="1">
      <c r="A23" s="7"/>
      <c r="B23" s="18"/>
      <c r="C23" s="18"/>
      <c r="D23" s="18"/>
      <c r="E23" s="18"/>
      <c r="F23" s="18"/>
      <c r="G23" s="178"/>
      <c r="H23" s="178"/>
      <c r="I23" s="18"/>
      <c r="J23" s="18"/>
      <c r="K23" s="18"/>
      <c r="L23" s="18"/>
      <c r="M23" s="18"/>
      <c r="N23" s="7"/>
      <c r="O23" s="7"/>
      <c r="P23" s="7"/>
      <c r="Q23" s="7"/>
      <c r="R23" s="7"/>
      <c r="S23" s="7"/>
      <c r="T23" s="7"/>
      <c r="U23" s="18"/>
      <c r="V23" s="18"/>
      <c r="W23" s="18"/>
      <c r="X23" s="18"/>
      <c r="Y23" s="18"/>
      <c r="Z23" s="18"/>
    </row>
    <row r="24" ht="15.75" customHeight="1">
      <c r="A24" s="7"/>
      <c r="B24" s="18"/>
      <c r="C24" s="18"/>
      <c r="D24" s="18"/>
      <c r="E24" s="18"/>
      <c r="F24" s="18"/>
      <c r="G24" s="178"/>
      <c r="H24" s="17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5.75" customHeight="1">
      <c r="A25" s="7"/>
      <c r="B25" s="18"/>
      <c r="C25" s="18"/>
      <c r="D25" s="18"/>
      <c r="E25" s="18"/>
      <c r="F25" s="18"/>
      <c r="G25" s="178"/>
      <c r="H25" s="178"/>
      <c r="I25" s="18"/>
      <c r="J25" s="18"/>
      <c r="K25" s="18"/>
      <c r="L25" s="18"/>
      <c r="M25" s="18"/>
      <c r="N25" s="7"/>
      <c r="O25" s="7"/>
      <c r="P25" s="7"/>
      <c r="Q25" s="7"/>
      <c r="R25" s="7"/>
      <c r="S25" s="7"/>
      <c r="T25" s="7"/>
      <c r="U25" s="18"/>
      <c r="V25" s="18"/>
      <c r="W25" s="18"/>
      <c r="X25" s="18"/>
      <c r="Y25" s="18"/>
      <c r="Z25" s="18"/>
    </row>
    <row r="26" ht="15.75" customHeight="1">
      <c r="A26" s="7"/>
      <c r="B26" s="18"/>
      <c r="C26" s="18"/>
      <c r="D26" s="18"/>
      <c r="E26" s="18"/>
      <c r="F26" s="18"/>
      <c r="G26" s="178"/>
      <c r="H26" s="178"/>
      <c r="I26" s="18"/>
      <c r="J26" s="18"/>
      <c r="K26" s="18"/>
      <c r="L26" s="18"/>
      <c r="M26" s="18"/>
      <c r="N26" s="7"/>
      <c r="O26" s="7"/>
      <c r="P26" s="7"/>
      <c r="Q26" s="7"/>
      <c r="R26" s="7"/>
      <c r="S26" s="7"/>
      <c r="T26" s="7"/>
      <c r="U26" s="18"/>
      <c r="V26" s="18"/>
      <c r="W26" s="18"/>
      <c r="X26" s="18"/>
      <c r="Y26" s="18"/>
      <c r="Z26" s="18"/>
    </row>
    <row r="27" ht="15.75" customHeight="1">
      <c r="A27" s="7"/>
      <c r="B27" s="18"/>
      <c r="C27" s="18"/>
      <c r="D27" s="18"/>
      <c r="E27" s="18"/>
      <c r="F27" s="18"/>
      <c r="G27" s="178"/>
      <c r="H27" s="17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5.75" customHeight="1">
      <c r="A28" s="7"/>
      <c r="B28" s="18"/>
      <c r="C28" s="18"/>
      <c r="D28" s="18"/>
      <c r="E28" s="18"/>
      <c r="F28" s="18"/>
      <c r="G28" s="178"/>
      <c r="H28" s="178"/>
      <c r="I28" s="18"/>
      <c r="J28" s="18"/>
      <c r="K28" s="18"/>
      <c r="L28" s="18"/>
      <c r="M28" s="18"/>
      <c r="N28" s="7"/>
      <c r="O28" s="7"/>
      <c r="P28" s="7"/>
      <c r="Q28" s="7"/>
      <c r="R28" s="7"/>
      <c r="S28" s="7"/>
      <c r="T28" s="7"/>
      <c r="U28" s="18"/>
      <c r="V28" s="18"/>
      <c r="W28" s="18"/>
      <c r="X28" s="18"/>
      <c r="Y28" s="18"/>
      <c r="Z28" s="18"/>
    </row>
    <row r="29" ht="15.75" customHeight="1">
      <c r="A29" s="7"/>
      <c r="B29" s="18"/>
      <c r="C29" s="18"/>
      <c r="D29" s="18"/>
      <c r="E29" s="18"/>
      <c r="F29" s="18"/>
      <c r="G29" s="178"/>
      <c r="H29" s="178"/>
      <c r="I29" s="18"/>
      <c r="J29" s="18"/>
      <c r="K29" s="18"/>
      <c r="L29" s="18"/>
      <c r="M29" s="18"/>
      <c r="N29" s="7"/>
      <c r="O29" s="7"/>
      <c r="P29" s="7"/>
      <c r="Q29" s="7"/>
      <c r="R29" s="7"/>
      <c r="S29" s="7"/>
      <c r="T29" s="7"/>
      <c r="U29" s="18"/>
      <c r="V29" s="18"/>
      <c r="W29" s="18"/>
      <c r="X29" s="18"/>
      <c r="Y29" s="18"/>
      <c r="Z29" s="18"/>
    </row>
    <row r="30" ht="15.75" customHeight="1">
      <c r="A30" s="7"/>
      <c r="B30" s="18"/>
      <c r="C30" s="18"/>
      <c r="D30" s="18"/>
      <c r="E30" s="18"/>
      <c r="F30" s="18"/>
      <c r="G30" s="178"/>
      <c r="H30" s="178"/>
      <c r="I30" s="18"/>
      <c r="J30" s="18"/>
      <c r="K30" s="18"/>
      <c r="L30" s="18"/>
      <c r="M30" s="18"/>
      <c r="N30" s="7"/>
      <c r="O30" s="7"/>
      <c r="P30" s="7"/>
      <c r="Q30" s="7"/>
      <c r="R30" s="7"/>
      <c r="S30" s="7"/>
      <c r="T30" s="7"/>
      <c r="U30" s="18"/>
      <c r="V30" s="18"/>
      <c r="W30" s="18"/>
      <c r="X30" s="18"/>
      <c r="Y30" s="18"/>
      <c r="Z30" s="18"/>
    </row>
    <row r="31" ht="15.75" customHeight="1">
      <c r="A31" s="7"/>
      <c r="B31" s="18"/>
      <c r="C31" s="18"/>
      <c r="D31" s="18"/>
      <c r="E31" s="18"/>
      <c r="F31" s="18"/>
      <c r="G31" s="178"/>
      <c r="H31" s="178"/>
      <c r="I31" s="18"/>
      <c r="J31" s="18"/>
      <c r="K31" s="18"/>
      <c r="L31" s="18"/>
      <c r="M31" s="18"/>
      <c r="N31" s="7"/>
      <c r="O31" s="7"/>
      <c r="P31" s="7"/>
      <c r="Q31" s="7"/>
      <c r="R31" s="7"/>
      <c r="S31" s="7"/>
      <c r="T31" s="7"/>
      <c r="U31" s="18"/>
      <c r="V31" s="18"/>
      <c r="W31" s="18"/>
      <c r="X31" s="18"/>
      <c r="Y31" s="18"/>
      <c r="Z31" s="18"/>
    </row>
    <row r="32" ht="15.75" customHeight="1">
      <c r="A32" s="7"/>
      <c r="B32" s="18"/>
      <c r="C32" s="18"/>
      <c r="D32" s="18"/>
      <c r="E32" s="18"/>
      <c r="F32" s="18"/>
      <c r="G32" s="178"/>
      <c r="H32" s="178"/>
      <c r="I32" s="18"/>
      <c r="J32" s="18"/>
      <c r="K32" s="18"/>
      <c r="L32" s="18"/>
      <c r="M32" s="18"/>
      <c r="N32" s="7"/>
      <c r="O32" s="7"/>
      <c r="P32" s="7"/>
      <c r="Q32" s="7"/>
      <c r="R32" s="7"/>
      <c r="S32" s="7"/>
      <c r="T32" s="7"/>
      <c r="U32" s="18"/>
      <c r="V32" s="18"/>
      <c r="W32" s="18"/>
      <c r="X32" s="18"/>
      <c r="Y32" s="18"/>
      <c r="Z32" s="18"/>
    </row>
    <row r="33" ht="15.75" customHeight="1">
      <c r="A33" s="7"/>
      <c r="B33" s="18"/>
      <c r="C33" s="18"/>
      <c r="D33" s="18"/>
      <c r="E33" s="18"/>
      <c r="F33" s="18"/>
      <c r="G33" s="178"/>
      <c r="H33" s="178"/>
      <c r="I33" s="18"/>
      <c r="J33" s="18"/>
      <c r="K33" s="18"/>
      <c r="L33" s="18"/>
      <c r="M33" s="18"/>
      <c r="N33" s="7"/>
      <c r="O33" s="7"/>
      <c r="P33" s="7"/>
      <c r="Q33" s="7"/>
      <c r="R33" s="7"/>
      <c r="S33" s="7"/>
      <c r="T33" s="7"/>
      <c r="U33" s="18"/>
      <c r="V33" s="18"/>
      <c r="W33" s="18"/>
      <c r="X33" s="18"/>
      <c r="Y33" s="18"/>
      <c r="Z33" s="18"/>
    </row>
    <row r="34" ht="15.75" customHeight="1">
      <c r="A34" s="7"/>
      <c r="B34" s="18"/>
      <c r="C34" s="18"/>
      <c r="D34" s="18"/>
      <c r="E34" s="18"/>
      <c r="F34" s="18"/>
      <c r="G34" s="178"/>
      <c r="H34" s="17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5.75" customHeight="1">
      <c r="A35" s="7"/>
      <c r="B35" s="18"/>
      <c r="C35" s="18"/>
      <c r="D35" s="18"/>
      <c r="E35" s="18"/>
      <c r="F35" s="18"/>
      <c r="G35" s="178"/>
      <c r="H35" s="178"/>
      <c r="I35" s="18"/>
      <c r="J35" s="18"/>
      <c r="K35" s="18"/>
      <c r="L35" s="18"/>
      <c r="M35" s="18"/>
      <c r="N35" s="7"/>
      <c r="O35" s="7"/>
      <c r="P35" s="7"/>
      <c r="Q35" s="7"/>
      <c r="R35" s="7"/>
      <c r="S35" s="7"/>
      <c r="T35" s="7"/>
      <c r="U35" s="18"/>
      <c r="V35" s="18"/>
      <c r="W35" s="18"/>
      <c r="X35" s="18"/>
      <c r="Y35" s="18"/>
      <c r="Z35" s="18"/>
    </row>
    <row r="36" ht="15.75" customHeight="1">
      <c r="A36" s="7"/>
      <c r="B36" s="18"/>
      <c r="C36" s="18"/>
      <c r="D36" s="18"/>
      <c r="E36" s="18"/>
      <c r="F36" s="18"/>
      <c r="G36" s="178"/>
      <c r="H36" s="178"/>
      <c r="I36" s="18"/>
      <c r="J36" s="18"/>
      <c r="K36" s="18"/>
      <c r="L36" s="18"/>
      <c r="M36" s="18"/>
      <c r="N36" s="7"/>
      <c r="O36" s="7"/>
      <c r="P36" s="7"/>
      <c r="Q36" s="7"/>
      <c r="R36" s="7"/>
      <c r="S36" s="7"/>
      <c r="T36" s="7"/>
      <c r="U36" s="18"/>
      <c r="V36" s="18"/>
      <c r="W36" s="18"/>
      <c r="X36" s="18"/>
      <c r="Y36" s="18"/>
      <c r="Z36" s="18"/>
    </row>
    <row r="37" ht="15.75" customHeight="1">
      <c r="A37" s="7"/>
      <c r="B37" s="18"/>
      <c r="C37" s="18"/>
      <c r="D37" s="18"/>
      <c r="E37" s="18"/>
      <c r="F37" s="18"/>
      <c r="G37" s="178"/>
      <c r="H37" s="178"/>
      <c r="I37" s="18"/>
      <c r="J37" s="18"/>
      <c r="K37" s="18"/>
      <c r="L37" s="18"/>
      <c r="M37" s="18"/>
      <c r="N37" s="7"/>
      <c r="O37" s="7"/>
      <c r="P37" s="7"/>
      <c r="Q37" s="7"/>
      <c r="R37" s="7"/>
      <c r="S37" s="7"/>
      <c r="T37" s="7"/>
      <c r="U37" s="18"/>
      <c r="V37" s="18"/>
      <c r="W37" s="18"/>
      <c r="X37" s="18"/>
      <c r="Y37" s="18"/>
      <c r="Z37" s="18"/>
    </row>
    <row r="38" ht="15.75" customHeight="1">
      <c r="A38" s="7"/>
      <c r="B38" s="18"/>
      <c r="C38" s="18"/>
      <c r="D38" s="18"/>
      <c r="E38" s="18"/>
      <c r="F38" s="18"/>
      <c r="G38" s="178"/>
      <c r="H38" s="178"/>
      <c r="I38" s="18"/>
      <c r="J38" s="18"/>
      <c r="K38" s="18"/>
      <c r="L38" s="18"/>
      <c r="M38" s="18"/>
      <c r="N38" s="7"/>
      <c r="O38" s="7"/>
      <c r="P38" s="7"/>
      <c r="Q38" s="7"/>
      <c r="R38" s="7"/>
      <c r="S38" s="7"/>
      <c r="T38" s="7"/>
      <c r="U38" s="18"/>
      <c r="V38" s="18"/>
      <c r="W38" s="18"/>
      <c r="X38" s="18"/>
      <c r="Y38" s="18"/>
      <c r="Z38" s="18"/>
    </row>
    <row r="39" ht="15.75" customHeight="1">
      <c r="A39" s="7"/>
      <c r="B39" s="18"/>
      <c r="C39" s="18"/>
      <c r="D39" s="18"/>
      <c r="E39" s="18"/>
      <c r="F39" s="18"/>
      <c r="G39" s="178"/>
      <c r="H39" s="178"/>
      <c r="I39" s="18"/>
      <c r="J39" s="18"/>
      <c r="K39" s="18"/>
      <c r="L39" s="18"/>
      <c r="M39" s="18"/>
      <c r="N39" s="7"/>
      <c r="O39" s="7"/>
      <c r="P39" s="7"/>
      <c r="Q39" s="7"/>
      <c r="R39" s="7"/>
      <c r="S39" s="7"/>
      <c r="T39" s="7"/>
      <c r="U39" s="18"/>
      <c r="V39" s="18"/>
      <c r="W39" s="18"/>
      <c r="X39" s="18"/>
      <c r="Y39" s="18"/>
      <c r="Z39" s="18"/>
    </row>
    <row r="40" ht="15.75" customHeight="1">
      <c r="A40" s="7"/>
      <c r="B40" s="18"/>
      <c r="C40" s="18"/>
      <c r="D40" s="18"/>
      <c r="E40" s="18"/>
      <c r="F40" s="18"/>
      <c r="G40" s="178"/>
      <c r="H40" s="178"/>
      <c r="I40" s="18"/>
      <c r="J40" s="18"/>
      <c r="K40" s="18"/>
      <c r="L40" s="18"/>
      <c r="M40" s="18"/>
      <c r="N40" s="7"/>
      <c r="O40" s="7"/>
      <c r="P40" s="7"/>
      <c r="Q40" s="7"/>
      <c r="R40" s="7"/>
      <c r="S40" s="7"/>
      <c r="T40" s="7"/>
      <c r="U40" s="18"/>
      <c r="V40" s="18"/>
      <c r="W40" s="18"/>
      <c r="X40" s="18"/>
      <c r="Y40" s="18"/>
      <c r="Z40" s="18"/>
    </row>
    <row r="41" ht="15.75" customHeight="1">
      <c r="A41" s="7"/>
      <c r="B41" s="18"/>
      <c r="C41" s="18"/>
      <c r="D41" s="18"/>
      <c r="E41" s="18"/>
      <c r="F41" s="18"/>
      <c r="G41" s="178"/>
      <c r="H41" s="178"/>
      <c r="I41" s="18"/>
      <c r="J41" s="18"/>
      <c r="K41" s="18"/>
      <c r="L41" s="18"/>
      <c r="M41" s="18"/>
      <c r="N41" s="7"/>
      <c r="O41" s="7"/>
      <c r="P41" s="7"/>
      <c r="Q41" s="7"/>
      <c r="R41" s="7"/>
      <c r="S41" s="7"/>
      <c r="T41" s="7"/>
      <c r="U41" s="18"/>
      <c r="V41" s="18"/>
      <c r="W41" s="18"/>
      <c r="X41" s="18"/>
      <c r="Y41" s="18"/>
      <c r="Z41" s="18"/>
    </row>
    <row r="42" ht="15.75" customHeight="1">
      <c r="A42" s="7"/>
      <c r="B42" s="18"/>
      <c r="C42" s="18"/>
      <c r="D42" s="18"/>
      <c r="E42" s="18"/>
      <c r="F42" s="18"/>
      <c r="G42" s="178"/>
      <c r="H42" s="178"/>
      <c r="I42" s="18"/>
      <c r="J42" s="18"/>
      <c r="K42" s="18"/>
      <c r="L42" s="18"/>
      <c r="M42" s="18"/>
      <c r="N42" s="7"/>
      <c r="O42" s="7"/>
      <c r="P42" s="7"/>
      <c r="Q42" s="7"/>
      <c r="R42" s="7"/>
      <c r="S42" s="7"/>
      <c r="T42" s="7"/>
      <c r="U42" s="18"/>
      <c r="V42" s="18"/>
      <c r="W42" s="18"/>
      <c r="X42" s="18"/>
      <c r="Y42" s="18"/>
      <c r="Z42" s="18"/>
    </row>
    <row r="43" ht="15.75" customHeight="1">
      <c r="A43" s="7"/>
      <c r="B43" s="18"/>
      <c r="C43" s="18"/>
      <c r="D43" s="18"/>
      <c r="E43" s="18"/>
      <c r="F43" s="18"/>
      <c r="G43" s="178"/>
      <c r="H43" s="178"/>
      <c r="I43" s="18"/>
      <c r="J43" s="18"/>
      <c r="K43" s="18"/>
      <c r="L43" s="18"/>
      <c r="M43" s="18"/>
      <c r="N43" s="7"/>
      <c r="O43" s="7"/>
      <c r="P43" s="7"/>
      <c r="Q43" s="7"/>
      <c r="R43" s="7"/>
      <c r="S43" s="7"/>
      <c r="T43" s="7"/>
      <c r="U43" s="18"/>
      <c r="V43" s="18"/>
      <c r="W43" s="18"/>
      <c r="X43" s="18"/>
      <c r="Y43" s="18"/>
      <c r="Z43" s="18"/>
    </row>
    <row r="44" ht="15.75" customHeight="1">
      <c r="A44" s="7"/>
      <c r="B44" s="18"/>
      <c r="C44" s="18"/>
      <c r="D44" s="18"/>
      <c r="E44" s="18"/>
      <c r="F44" s="18"/>
      <c r="G44" s="178"/>
      <c r="H44" s="178"/>
      <c r="I44" s="18"/>
      <c r="J44" s="18"/>
      <c r="K44" s="18"/>
      <c r="L44" s="18"/>
      <c r="M44" s="18"/>
      <c r="N44" s="7"/>
      <c r="O44" s="7"/>
      <c r="P44" s="7"/>
      <c r="Q44" s="7"/>
      <c r="R44" s="7"/>
      <c r="S44" s="7"/>
      <c r="T44" s="7"/>
      <c r="U44" s="18"/>
      <c r="V44" s="18"/>
      <c r="W44" s="18"/>
      <c r="X44" s="18"/>
      <c r="Y44" s="18"/>
      <c r="Z44" s="18"/>
    </row>
    <row r="45" ht="15.75" customHeight="1">
      <c r="A45" s="7"/>
      <c r="B45" s="18"/>
      <c r="C45" s="18"/>
      <c r="D45" s="18"/>
      <c r="E45" s="18"/>
      <c r="F45" s="18"/>
      <c r="G45" s="178"/>
      <c r="H45" s="178"/>
      <c r="I45" s="18"/>
      <c r="J45" s="18"/>
      <c r="K45" s="18"/>
      <c r="L45" s="18"/>
      <c r="M45" s="18"/>
      <c r="N45" s="7"/>
      <c r="O45" s="7"/>
      <c r="P45" s="7"/>
      <c r="Q45" s="7"/>
      <c r="R45" s="7"/>
      <c r="S45" s="7"/>
      <c r="T45" s="7"/>
      <c r="U45" s="18"/>
      <c r="V45" s="18"/>
      <c r="W45" s="18"/>
      <c r="X45" s="18"/>
      <c r="Y45" s="18"/>
      <c r="Z45" s="18"/>
    </row>
    <row r="46" ht="15.75" customHeight="1">
      <c r="A46" s="7"/>
      <c r="B46" s="18"/>
      <c r="C46" s="18"/>
      <c r="D46" s="18"/>
      <c r="E46" s="18"/>
      <c r="F46" s="18"/>
      <c r="G46" s="178"/>
      <c r="H46" s="178"/>
      <c r="I46" s="18"/>
      <c r="J46" s="18"/>
      <c r="K46" s="18"/>
      <c r="L46" s="18"/>
      <c r="M46" s="18"/>
      <c r="N46" s="7"/>
      <c r="O46" s="7"/>
      <c r="P46" s="7"/>
      <c r="Q46" s="7"/>
      <c r="R46" s="7"/>
      <c r="S46" s="7"/>
      <c r="T46" s="7"/>
      <c r="U46" s="18"/>
      <c r="V46" s="18"/>
      <c r="W46" s="18"/>
      <c r="X46" s="18"/>
      <c r="Y46" s="18"/>
      <c r="Z46" s="18"/>
    </row>
    <row r="47" ht="15.75" customHeight="1">
      <c r="A47" s="7"/>
      <c r="B47" s="18"/>
      <c r="C47" s="18"/>
      <c r="D47" s="18"/>
      <c r="E47" s="18"/>
      <c r="F47" s="18"/>
      <c r="G47" s="178"/>
      <c r="H47" s="178"/>
      <c r="I47" s="18"/>
      <c r="J47" s="18"/>
      <c r="K47" s="18"/>
      <c r="L47" s="18"/>
      <c r="M47" s="18"/>
      <c r="N47" s="7"/>
      <c r="O47" s="7"/>
      <c r="P47" s="7"/>
      <c r="Q47" s="7"/>
      <c r="R47" s="7"/>
      <c r="S47" s="7"/>
      <c r="T47" s="7"/>
      <c r="U47" s="18"/>
      <c r="V47" s="18"/>
      <c r="W47" s="18"/>
      <c r="X47" s="18"/>
      <c r="Y47" s="18"/>
      <c r="Z47" s="18"/>
    </row>
    <row r="48" ht="15.75" customHeight="1">
      <c r="A48" s="7"/>
      <c r="B48" s="18"/>
      <c r="C48" s="18"/>
      <c r="D48" s="18"/>
      <c r="E48" s="18"/>
      <c r="F48" s="18"/>
      <c r="G48" s="178"/>
      <c r="H48" s="178"/>
      <c r="I48" s="18"/>
      <c r="J48" s="18"/>
      <c r="K48" s="18"/>
      <c r="L48" s="18"/>
      <c r="M48" s="18"/>
      <c r="N48" s="7"/>
      <c r="O48" s="7"/>
      <c r="P48" s="7"/>
      <c r="Q48" s="7"/>
      <c r="R48" s="7"/>
      <c r="S48" s="7"/>
      <c r="T48" s="7"/>
      <c r="U48" s="18"/>
      <c r="V48" s="18"/>
      <c r="W48" s="18"/>
      <c r="X48" s="18"/>
      <c r="Y48" s="18"/>
      <c r="Z48" s="18"/>
    </row>
    <row r="49" ht="15.75" customHeight="1">
      <c r="A49" s="7"/>
      <c r="B49" s="18"/>
      <c r="C49" s="18"/>
      <c r="D49" s="18"/>
      <c r="E49" s="18"/>
      <c r="F49" s="18"/>
      <c r="G49" s="178"/>
      <c r="H49" s="178"/>
      <c r="I49" s="18"/>
      <c r="J49" s="18"/>
      <c r="K49" s="18"/>
      <c r="L49" s="18"/>
      <c r="M49" s="18"/>
      <c r="N49" s="7"/>
      <c r="O49" s="7"/>
      <c r="P49" s="7"/>
      <c r="Q49" s="7"/>
      <c r="R49" s="7"/>
      <c r="S49" s="7"/>
      <c r="T49" s="7"/>
      <c r="U49" s="18"/>
      <c r="V49" s="18"/>
      <c r="W49" s="18"/>
      <c r="X49" s="18"/>
      <c r="Y49" s="18"/>
      <c r="Z49" s="18"/>
    </row>
    <row r="50" ht="15.75" customHeight="1">
      <c r="A50" s="7"/>
      <c r="B50" s="18"/>
      <c r="C50" s="18"/>
      <c r="D50" s="18"/>
      <c r="E50" s="18"/>
      <c r="F50" s="18"/>
      <c r="G50" s="178"/>
      <c r="H50" s="178"/>
      <c r="I50" s="18"/>
      <c r="J50" s="18"/>
      <c r="K50" s="18"/>
      <c r="L50" s="18"/>
      <c r="M50" s="18"/>
      <c r="N50" s="7"/>
      <c r="O50" s="7"/>
      <c r="P50" s="7"/>
      <c r="Q50" s="7"/>
      <c r="R50" s="7"/>
      <c r="S50" s="7"/>
      <c r="T50" s="7"/>
      <c r="U50" s="18"/>
      <c r="V50" s="18"/>
      <c r="W50" s="18"/>
      <c r="X50" s="18"/>
      <c r="Y50" s="18"/>
      <c r="Z50" s="18"/>
    </row>
    <row r="51" ht="15.75" customHeight="1">
      <c r="A51" s="7"/>
      <c r="B51" s="18"/>
      <c r="C51" s="18"/>
      <c r="D51" s="18"/>
      <c r="E51" s="18"/>
      <c r="F51" s="18"/>
      <c r="G51" s="178"/>
      <c r="H51" s="178"/>
      <c r="I51" s="18"/>
      <c r="J51" s="18"/>
      <c r="K51" s="18"/>
      <c r="L51" s="18"/>
      <c r="M51" s="18"/>
      <c r="N51" s="7"/>
      <c r="O51" s="7"/>
      <c r="P51" s="7"/>
      <c r="Q51" s="7"/>
      <c r="R51" s="7"/>
      <c r="S51" s="7"/>
      <c r="T51" s="7"/>
      <c r="U51" s="18"/>
      <c r="V51" s="18"/>
      <c r="W51" s="18"/>
      <c r="X51" s="18"/>
      <c r="Y51" s="18"/>
      <c r="Z51" s="18"/>
    </row>
    <row r="52" ht="15.75" customHeight="1">
      <c r="A52" s="7"/>
      <c r="B52" s="18"/>
      <c r="C52" s="18"/>
      <c r="D52" s="18"/>
      <c r="E52" s="18"/>
      <c r="F52" s="18"/>
      <c r="G52" s="178"/>
      <c r="H52" s="178"/>
      <c r="I52" s="18"/>
      <c r="J52" s="18"/>
      <c r="K52" s="18"/>
      <c r="L52" s="18"/>
      <c r="M52" s="18"/>
      <c r="N52" s="7"/>
      <c r="O52" s="7"/>
      <c r="P52" s="7"/>
      <c r="Q52" s="7"/>
      <c r="R52" s="7"/>
      <c r="S52" s="7"/>
      <c r="T52" s="7"/>
      <c r="U52" s="18"/>
      <c r="V52" s="18"/>
      <c r="W52" s="18"/>
      <c r="X52" s="18"/>
      <c r="Y52" s="18"/>
      <c r="Z52" s="18"/>
    </row>
    <row r="53" ht="15.75" customHeight="1">
      <c r="A53" s="7"/>
      <c r="B53" s="18"/>
      <c r="C53" s="18"/>
      <c r="D53" s="18"/>
      <c r="E53" s="18"/>
      <c r="F53" s="18"/>
      <c r="G53" s="178"/>
      <c r="H53" s="17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5.75" customHeight="1">
      <c r="A54" s="7"/>
      <c r="B54" s="18"/>
      <c r="C54" s="18"/>
      <c r="D54" s="18"/>
      <c r="E54" s="18"/>
      <c r="F54" s="18"/>
      <c r="G54" s="178"/>
      <c r="H54" s="178"/>
      <c r="I54" s="18"/>
      <c r="J54" s="18"/>
      <c r="K54" s="18"/>
      <c r="L54" s="18"/>
      <c r="M54" s="18"/>
      <c r="N54" s="7"/>
      <c r="O54" s="7"/>
      <c r="P54" s="7"/>
      <c r="Q54" s="7"/>
      <c r="R54" s="7"/>
      <c r="S54" s="7"/>
      <c r="T54" s="7"/>
      <c r="U54" s="18"/>
      <c r="V54" s="18"/>
      <c r="W54" s="18"/>
      <c r="X54" s="18"/>
      <c r="Y54" s="18"/>
      <c r="Z54" s="18"/>
    </row>
    <row r="55" ht="15.75" customHeight="1">
      <c r="A55" s="7"/>
      <c r="B55" s="18"/>
      <c r="C55" s="18"/>
      <c r="D55" s="18"/>
      <c r="E55" s="18"/>
      <c r="F55" s="18"/>
      <c r="G55" s="178"/>
      <c r="H55" s="178"/>
      <c r="I55" s="18"/>
      <c r="J55" s="18"/>
      <c r="K55" s="18"/>
      <c r="L55" s="18"/>
      <c r="M55" s="18"/>
      <c r="N55" s="7"/>
      <c r="O55" s="7"/>
      <c r="P55" s="7"/>
      <c r="Q55" s="7"/>
      <c r="R55" s="7"/>
      <c r="S55" s="7"/>
      <c r="T55" s="7"/>
      <c r="U55" s="18"/>
      <c r="V55" s="18"/>
      <c r="W55" s="18"/>
      <c r="X55" s="18"/>
      <c r="Y55" s="18"/>
      <c r="Z55" s="18"/>
    </row>
    <row r="56" ht="15.75" customHeight="1">
      <c r="A56" s="7"/>
      <c r="B56" s="18"/>
      <c r="C56" s="18"/>
      <c r="D56" s="18"/>
      <c r="E56" s="18"/>
      <c r="F56" s="18"/>
      <c r="G56" s="178"/>
      <c r="H56" s="178"/>
      <c r="I56" s="18"/>
      <c r="J56" s="18"/>
      <c r="K56" s="18"/>
      <c r="L56" s="18"/>
      <c r="M56" s="18"/>
      <c r="N56" s="7"/>
      <c r="O56" s="7"/>
      <c r="P56" s="7"/>
      <c r="Q56" s="7"/>
      <c r="R56" s="7"/>
      <c r="S56" s="7"/>
      <c r="T56" s="7"/>
      <c r="U56" s="18"/>
      <c r="V56" s="18"/>
      <c r="W56" s="18"/>
      <c r="X56" s="18"/>
      <c r="Y56" s="18"/>
      <c r="Z56" s="18"/>
    </row>
    <row r="57" ht="15.75" customHeight="1">
      <c r="A57" s="7"/>
      <c r="B57" s="18"/>
      <c r="C57" s="18"/>
      <c r="D57" s="18"/>
      <c r="E57" s="18"/>
      <c r="F57" s="18"/>
      <c r="G57" s="178"/>
      <c r="H57" s="178"/>
      <c r="I57" s="18"/>
      <c r="J57" s="18"/>
      <c r="K57" s="18"/>
      <c r="L57" s="18"/>
      <c r="M57" s="18"/>
      <c r="N57" s="7"/>
      <c r="O57" s="7"/>
      <c r="P57" s="7"/>
      <c r="Q57" s="7"/>
      <c r="R57" s="7"/>
      <c r="S57" s="7"/>
      <c r="T57" s="7"/>
      <c r="U57" s="18"/>
      <c r="V57" s="18"/>
      <c r="W57" s="18"/>
      <c r="X57" s="18"/>
      <c r="Y57" s="18"/>
      <c r="Z57" s="18"/>
    </row>
    <row r="58" ht="15.75" customHeight="1">
      <c r="A58" s="7"/>
      <c r="B58" s="18"/>
      <c r="C58" s="18"/>
      <c r="D58" s="18"/>
      <c r="E58" s="18"/>
      <c r="F58" s="18"/>
      <c r="G58" s="178"/>
      <c r="H58" s="178"/>
      <c r="I58" s="18"/>
      <c r="J58" s="18"/>
      <c r="K58" s="18"/>
      <c r="L58" s="18"/>
      <c r="M58" s="18"/>
      <c r="N58" s="7"/>
      <c r="O58" s="7"/>
      <c r="P58" s="7"/>
      <c r="Q58" s="7"/>
      <c r="R58" s="7"/>
      <c r="S58" s="7"/>
      <c r="T58" s="7"/>
      <c r="U58" s="18"/>
      <c r="V58" s="18"/>
      <c r="W58" s="18"/>
      <c r="X58" s="18"/>
      <c r="Y58" s="18"/>
      <c r="Z58" s="18"/>
    </row>
    <row r="59" ht="15.75" customHeight="1">
      <c r="A59" s="7"/>
      <c r="B59" s="18"/>
      <c r="C59" s="18"/>
      <c r="D59" s="18"/>
      <c r="E59" s="18"/>
      <c r="F59" s="18"/>
      <c r="G59" s="178"/>
      <c r="H59" s="178"/>
      <c r="I59" s="18"/>
      <c r="J59" s="18"/>
      <c r="K59" s="18"/>
      <c r="L59" s="18"/>
      <c r="M59" s="18"/>
      <c r="N59" s="7"/>
      <c r="O59" s="7"/>
      <c r="P59" s="7"/>
      <c r="Q59" s="7"/>
      <c r="R59" s="7"/>
      <c r="S59" s="7"/>
      <c r="T59" s="7"/>
      <c r="U59" s="18"/>
      <c r="V59" s="18"/>
      <c r="W59" s="18"/>
      <c r="X59" s="18"/>
      <c r="Y59" s="18"/>
      <c r="Z59" s="18"/>
    </row>
    <row r="60" ht="15.75" customHeight="1">
      <c r="A60" s="7"/>
      <c r="B60" s="18"/>
      <c r="C60" s="18"/>
      <c r="D60" s="18"/>
      <c r="E60" s="18"/>
      <c r="F60" s="18"/>
      <c r="G60" s="178"/>
      <c r="H60" s="178"/>
      <c r="I60" s="18"/>
      <c r="J60" s="18"/>
      <c r="K60" s="18"/>
      <c r="L60" s="18"/>
      <c r="M60" s="18"/>
      <c r="N60" s="7"/>
      <c r="O60" s="7"/>
      <c r="P60" s="7"/>
      <c r="Q60" s="7"/>
      <c r="R60" s="7"/>
      <c r="S60" s="7"/>
      <c r="T60" s="7"/>
      <c r="U60" s="18"/>
      <c r="V60" s="18"/>
      <c r="W60" s="18"/>
      <c r="X60" s="18"/>
      <c r="Y60" s="18"/>
      <c r="Z60" s="18"/>
    </row>
    <row r="61" ht="15.75" customHeight="1">
      <c r="A61" s="7"/>
      <c r="B61" s="18"/>
      <c r="C61" s="18"/>
      <c r="D61" s="18"/>
      <c r="E61" s="18"/>
      <c r="F61" s="18"/>
      <c r="G61" s="178"/>
      <c r="H61" s="178"/>
      <c r="I61" s="18"/>
      <c r="J61" s="18"/>
      <c r="K61" s="18"/>
      <c r="L61" s="18"/>
      <c r="M61" s="18"/>
      <c r="N61" s="7"/>
      <c r="O61" s="7"/>
      <c r="P61" s="7"/>
      <c r="Q61" s="7"/>
      <c r="R61" s="7"/>
      <c r="S61" s="7"/>
      <c r="T61" s="7"/>
      <c r="U61" s="18"/>
      <c r="V61" s="18"/>
      <c r="W61" s="18"/>
      <c r="X61" s="18"/>
      <c r="Y61" s="18"/>
      <c r="Z61" s="18"/>
    </row>
    <row r="62" ht="15.75" customHeight="1">
      <c r="A62" s="7"/>
      <c r="B62" s="18"/>
      <c r="C62" s="18"/>
      <c r="D62" s="18"/>
      <c r="E62" s="18"/>
      <c r="F62" s="18"/>
      <c r="G62" s="178"/>
      <c r="H62" s="178"/>
      <c r="I62" s="18"/>
      <c r="J62" s="18"/>
      <c r="K62" s="18"/>
      <c r="L62" s="18"/>
      <c r="M62" s="18"/>
      <c r="N62" s="7"/>
      <c r="O62" s="7"/>
      <c r="P62" s="7"/>
      <c r="Q62" s="7"/>
      <c r="R62" s="7"/>
      <c r="S62" s="7"/>
      <c r="T62" s="7"/>
      <c r="U62" s="18"/>
      <c r="V62" s="18"/>
      <c r="W62" s="18"/>
      <c r="X62" s="18"/>
      <c r="Y62" s="18"/>
      <c r="Z62" s="18"/>
    </row>
    <row r="63" ht="15.75" customHeight="1">
      <c r="A63" s="7"/>
      <c r="B63" s="18"/>
      <c r="C63" s="18"/>
      <c r="D63" s="18"/>
      <c r="E63" s="18"/>
      <c r="F63" s="18"/>
      <c r="G63" s="178"/>
      <c r="H63" s="178"/>
      <c r="I63" s="18"/>
      <c r="J63" s="18"/>
      <c r="K63" s="18"/>
      <c r="L63" s="18"/>
      <c r="M63" s="18"/>
      <c r="N63" s="7"/>
      <c r="O63" s="7"/>
      <c r="P63" s="7"/>
      <c r="Q63" s="7"/>
      <c r="R63" s="7"/>
      <c r="S63" s="7"/>
      <c r="T63" s="7"/>
      <c r="U63" s="18"/>
      <c r="V63" s="18"/>
      <c r="W63" s="18"/>
      <c r="X63" s="18"/>
      <c r="Y63" s="18"/>
      <c r="Z63" s="18"/>
    </row>
    <row r="64" ht="15.75" customHeight="1">
      <c r="A64" s="7"/>
      <c r="B64" s="18"/>
      <c r="C64" s="18"/>
      <c r="D64" s="18"/>
      <c r="E64" s="18"/>
      <c r="F64" s="18"/>
      <c r="G64" s="178"/>
      <c r="H64" s="178"/>
      <c r="I64" s="18"/>
      <c r="J64" s="18"/>
      <c r="K64" s="18"/>
      <c r="L64" s="18"/>
      <c r="M64" s="18"/>
      <c r="N64" s="7"/>
      <c r="O64" s="7"/>
      <c r="P64" s="7"/>
      <c r="Q64" s="7"/>
      <c r="R64" s="7"/>
      <c r="S64" s="7"/>
      <c r="T64" s="7"/>
      <c r="U64" s="18"/>
      <c r="V64" s="18"/>
      <c r="W64" s="18"/>
      <c r="X64" s="18"/>
      <c r="Y64" s="18"/>
      <c r="Z64" s="18"/>
    </row>
    <row r="65" ht="15.75" customHeight="1">
      <c r="A65" s="7"/>
      <c r="B65" s="18"/>
      <c r="C65" s="18"/>
      <c r="D65" s="18"/>
      <c r="E65" s="18"/>
      <c r="F65" s="18"/>
      <c r="G65" s="178"/>
      <c r="H65" s="17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5.75" customHeight="1">
      <c r="A66" s="7"/>
      <c r="B66" s="18"/>
      <c r="C66" s="18"/>
      <c r="D66" s="18"/>
      <c r="E66" s="18"/>
      <c r="F66" s="18"/>
      <c r="G66" s="178"/>
      <c r="H66" s="17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5.75" customHeight="1">
      <c r="A67" s="7"/>
      <c r="B67" s="18"/>
      <c r="C67" s="18"/>
      <c r="D67" s="18"/>
      <c r="E67" s="18"/>
      <c r="F67" s="18"/>
      <c r="G67" s="178"/>
      <c r="H67" s="17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5.75" customHeight="1">
      <c r="A68" s="7"/>
      <c r="B68" s="18"/>
      <c r="C68" s="18"/>
      <c r="D68" s="18"/>
      <c r="E68" s="18"/>
      <c r="F68" s="18"/>
      <c r="G68" s="178"/>
      <c r="H68" s="17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5.75" customHeight="1">
      <c r="A69" s="7"/>
      <c r="B69" s="18"/>
      <c r="C69" s="18"/>
      <c r="D69" s="18"/>
      <c r="E69" s="18"/>
      <c r="F69" s="18"/>
      <c r="G69" s="178"/>
      <c r="H69" s="17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5.75" customHeight="1">
      <c r="A70" s="7"/>
      <c r="B70" s="18"/>
      <c r="C70" s="18"/>
      <c r="D70" s="18"/>
      <c r="E70" s="18"/>
      <c r="F70" s="18"/>
      <c r="G70" s="178"/>
      <c r="H70" s="17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5.75" customHeight="1">
      <c r="A71" s="7"/>
      <c r="B71" s="18"/>
      <c r="C71" s="18"/>
      <c r="D71" s="18"/>
      <c r="E71" s="18"/>
      <c r="F71" s="18"/>
      <c r="G71" s="178"/>
      <c r="H71" s="17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5.75" customHeight="1">
      <c r="A72" s="7"/>
      <c r="B72" s="18"/>
      <c r="C72" s="18"/>
      <c r="D72" s="18"/>
      <c r="E72" s="18"/>
      <c r="F72" s="18"/>
      <c r="G72" s="178"/>
      <c r="H72" s="17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5.75" customHeight="1">
      <c r="A73" s="7"/>
      <c r="B73" s="18"/>
      <c r="C73" s="18"/>
      <c r="D73" s="18"/>
      <c r="E73" s="18"/>
      <c r="F73" s="18"/>
      <c r="G73" s="178"/>
      <c r="H73" s="17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5.75" customHeight="1">
      <c r="A74" s="7"/>
      <c r="B74" s="18"/>
      <c r="C74" s="18"/>
      <c r="D74" s="18"/>
      <c r="E74" s="18"/>
      <c r="F74" s="18"/>
      <c r="G74" s="178"/>
      <c r="H74" s="17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5.75" customHeight="1">
      <c r="A75" s="7"/>
      <c r="B75" s="18"/>
      <c r="C75" s="18"/>
      <c r="D75" s="18"/>
      <c r="E75" s="18"/>
      <c r="F75" s="18"/>
      <c r="G75" s="178"/>
      <c r="H75" s="17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5.75" customHeight="1">
      <c r="A76" s="7"/>
      <c r="B76" s="18"/>
      <c r="C76" s="18"/>
      <c r="D76" s="18"/>
      <c r="E76" s="18"/>
      <c r="F76" s="18"/>
      <c r="G76" s="178"/>
      <c r="H76" s="17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5.75" customHeight="1">
      <c r="A77" s="7"/>
      <c r="B77" s="18"/>
      <c r="C77" s="18"/>
      <c r="D77" s="18"/>
      <c r="E77" s="18"/>
      <c r="F77" s="18"/>
      <c r="G77" s="178"/>
      <c r="H77" s="17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5.75" customHeight="1">
      <c r="A78" s="7"/>
      <c r="B78" s="18"/>
      <c r="C78" s="18"/>
      <c r="D78" s="18"/>
      <c r="E78" s="18"/>
      <c r="F78" s="18"/>
      <c r="G78" s="178"/>
      <c r="H78" s="17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5.75" customHeight="1">
      <c r="A79" s="7"/>
      <c r="B79" s="18"/>
      <c r="C79" s="18"/>
      <c r="D79" s="18"/>
      <c r="E79" s="18"/>
      <c r="F79" s="18"/>
      <c r="G79" s="178"/>
      <c r="H79" s="17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5.75" customHeight="1">
      <c r="A80" s="7"/>
      <c r="B80" s="18"/>
      <c r="C80" s="18"/>
      <c r="D80" s="18"/>
      <c r="E80" s="18"/>
      <c r="F80" s="18"/>
      <c r="G80" s="178"/>
      <c r="H80" s="17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5.75" customHeight="1">
      <c r="A81" s="7"/>
      <c r="B81" s="18"/>
      <c r="C81" s="18"/>
      <c r="D81" s="18"/>
      <c r="E81" s="18"/>
      <c r="F81" s="18"/>
      <c r="G81" s="178"/>
      <c r="H81" s="17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5.75" customHeight="1">
      <c r="A82" s="7"/>
      <c r="B82" s="18"/>
      <c r="C82" s="18"/>
      <c r="D82" s="18"/>
      <c r="E82" s="18"/>
      <c r="F82" s="18"/>
      <c r="G82" s="178"/>
      <c r="H82" s="17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5.75" customHeight="1">
      <c r="A83" s="7"/>
      <c r="B83" s="18"/>
      <c r="C83" s="18"/>
      <c r="D83" s="18"/>
      <c r="E83" s="18"/>
      <c r="F83" s="18"/>
      <c r="G83" s="178"/>
      <c r="H83" s="17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5.75" customHeight="1">
      <c r="A84" s="7"/>
      <c r="B84" s="18"/>
      <c r="C84" s="18"/>
      <c r="D84" s="18"/>
      <c r="E84" s="18"/>
      <c r="F84" s="18"/>
      <c r="G84" s="178"/>
      <c r="H84" s="17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5.75" customHeight="1">
      <c r="A85" s="7"/>
      <c r="B85" s="18"/>
      <c r="C85" s="18"/>
      <c r="D85" s="18"/>
      <c r="E85" s="18"/>
      <c r="F85" s="18"/>
      <c r="G85" s="178"/>
      <c r="H85" s="17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5.75" customHeight="1">
      <c r="A86" s="7"/>
      <c r="B86" s="18"/>
      <c r="C86" s="18"/>
      <c r="D86" s="18"/>
      <c r="E86" s="18"/>
      <c r="F86" s="18"/>
      <c r="G86" s="178"/>
      <c r="H86" s="17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5.75" customHeight="1">
      <c r="A87" s="7"/>
      <c r="B87" s="18"/>
      <c r="C87" s="18"/>
      <c r="D87" s="18"/>
      <c r="E87" s="18"/>
      <c r="F87" s="18"/>
      <c r="G87" s="178"/>
      <c r="H87" s="17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5.75" customHeight="1">
      <c r="A88" s="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5.75" customHeight="1">
      <c r="A89" s="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5.75" customHeight="1">
      <c r="A90" s="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5.75" customHeight="1">
      <c r="A91" s="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5.75" customHeight="1">
      <c r="A92" s="7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5.75" customHeight="1">
      <c r="A93" s="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5.75" customHeight="1">
      <c r="A94" s="7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5.75" customHeight="1">
      <c r="A95" s="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5.75" customHeight="1">
      <c r="A96" s="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5.75" customHeight="1">
      <c r="A97" s="7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5.75" customHeight="1">
      <c r="A98" s="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5.75" customHeight="1">
      <c r="A99" s="7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5.75" customHeight="1">
      <c r="A100" s="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5.75" customHeight="1">
      <c r="A101" s="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5.75" customHeight="1">
      <c r="A102" s="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5.75" customHeight="1">
      <c r="A103" s="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5.75" customHeight="1">
      <c r="A104" s="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5.75" customHeight="1">
      <c r="A105" s="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5.75" customHeight="1">
      <c r="A106" s="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5.75" customHeight="1">
      <c r="A107" s="7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5.75" customHeight="1">
      <c r="A108" s="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5.75" customHeight="1">
      <c r="A109" s="7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5.75" customHeight="1">
      <c r="A110" s="7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5.75" customHeight="1">
      <c r="A111" s="7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5.75" customHeight="1">
      <c r="A112" s="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5.75" customHeight="1">
      <c r="A113" s="7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5.75" customHeight="1">
      <c r="A114" s="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5.75" customHeight="1">
      <c r="A115" s="7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5.75" customHeight="1">
      <c r="A116" s="7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5.75" customHeight="1">
      <c r="A117" s="7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5.75" customHeight="1">
      <c r="A118" s="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5.75" customHeight="1">
      <c r="A119" s="7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5.75" customHeight="1">
      <c r="A120" s="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5.75" customHeight="1">
      <c r="A121" s="7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5.75" customHeight="1">
      <c r="A122" s="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5.75" customHeight="1">
      <c r="A123" s="7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5.75" customHeight="1">
      <c r="A124" s="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5.75" customHeight="1">
      <c r="A125" s="7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5.75" customHeight="1">
      <c r="A126" s="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5.75" customHeight="1">
      <c r="A127" s="7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5.75" customHeight="1">
      <c r="A128" s="7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5.75" customHeight="1">
      <c r="A129" s="7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5.75" customHeight="1">
      <c r="A130" s="7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5.75" customHeight="1">
      <c r="A131" s="7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5.75" customHeight="1">
      <c r="A132" s="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5.75" customHeight="1">
      <c r="A133" s="7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5.75" customHeight="1">
      <c r="A134" s="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5.75" customHeight="1">
      <c r="A135" s="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5.75" customHeight="1">
      <c r="A136" s="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5.75" customHeight="1">
      <c r="A137" s="7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5.75" customHeight="1">
      <c r="A138" s="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5.75" customHeight="1">
      <c r="A139" s="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5.75" customHeight="1">
      <c r="A140" s="7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5.75" customHeight="1">
      <c r="A141" s="7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5.75" customHeight="1">
      <c r="A142" s="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5.75" customHeight="1">
      <c r="A143" s="7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5.75" customHeight="1">
      <c r="A144" s="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5.75" customHeight="1">
      <c r="A145" s="7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5.75" customHeight="1">
      <c r="A146" s="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5.75" customHeight="1">
      <c r="A147" s="7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5.75" customHeight="1">
      <c r="A148" s="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5.75" customHeight="1">
      <c r="A149" s="7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5.75" customHeight="1">
      <c r="A150" s="7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5.75" customHeight="1">
      <c r="A151" s="7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5.75" customHeight="1">
      <c r="A152" s="7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5.75" customHeight="1">
      <c r="A153" s="7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5.75" customHeight="1">
      <c r="A154" s="7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5.75" customHeight="1">
      <c r="A155" s="7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5.75" customHeight="1">
      <c r="A156" s="7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5.75" customHeight="1">
      <c r="A157" s="7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5.75" customHeight="1">
      <c r="A158" s="7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5.75" customHeight="1">
      <c r="A159" s="7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5.75" customHeight="1">
      <c r="A160" s="7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5.75" customHeight="1">
      <c r="A161" s="7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5.75" customHeight="1">
      <c r="A162" s="7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5.75" customHeight="1">
      <c r="A163" s="7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5.75" customHeight="1">
      <c r="A164" s="7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5.75" customHeight="1">
      <c r="A165" s="7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5.75" customHeight="1">
      <c r="A166" s="7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5.75" customHeight="1">
      <c r="A167" s="7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5.75" customHeight="1">
      <c r="A168" s="7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5.75" customHeight="1">
      <c r="A169" s="7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5.75" customHeight="1">
      <c r="A170" s="7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5.75" customHeight="1">
      <c r="A171" s="7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5.75" customHeight="1">
      <c r="A172" s="7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5.75" customHeight="1">
      <c r="A173" s="7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5.75" customHeight="1">
      <c r="A174" s="7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5.75" customHeight="1">
      <c r="A175" s="7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5.75" customHeight="1">
      <c r="A176" s="7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5.75" customHeight="1">
      <c r="A177" s="7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5.75" customHeight="1">
      <c r="A178" s="7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5.75" customHeight="1">
      <c r="A179" s="7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5.75" customHeight="1">
      <c r="A180" s="7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5.75" customHeight="1">
      <c r="A181" s="7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5.75" customHeight="1">
      <c r="A182" s="7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5.75" customHeight="1">
      <c r="A183" s="7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5.75" customHeight="1">
      <c r="A184" s="7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5.75" customHeight="1">
      <c r="A185" s="7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5.75" customHeight="1">
      <c r="A186" s="7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5.75" customHeight="1">
      <c r="A187" s="7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5.75" customHeight="1">
      <c r="A188" s="7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5.75" customHeight="1">
      <c r="A189" s="7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5.75" customHeight="1">
      <c r="A190" s="7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5.75" customHeight="1">
      <c r="A191" s="7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5.75" customHeight="1">
      <c r="A192" s="7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5.75" customHeight="1">
      <c r="A193" s="7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5.75" customHeight="1">
      <c r="A194" s="7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5.75" customHeight="1">
      <c r="A195" s="7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5.75" customHeight="1">
      <c r="A196" s="7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5.75" customHeight="1">
      <c r="A197" s="7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5.75" customHeight="1">
      <c r="A198" s="7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5.75" customHeight="1">
      <c r="A199" s="7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5.75" customHeight="1">
      <c r="A200" s="7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5.75" customHeight="1">
      <c r="A201" s="7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5.75" customHeight="1">
      <c r="A202" s="7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5.75" customHeight="1">
      <c r="A203" s="7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5.75" customHeight="1">
      <c r="A204" s="7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5.75" customHeight="1">
      <c r="A205" s="7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5.75" customHeight="1">
      <c r="A206" s="7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5.75" customHeight="1">
      <c r="A207" s="7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5.75" customHeight="1">
      <c r="A208" s="7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5.75" customHeight="1">
      <c r="A209" s="7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5.75" customHeight="1">
      <c r="A210" s="7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5.75" customHeight="1">
      <c r="A211" s="7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5.75" customHeight="1">
      <c r="A212" s="7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5.75" customHeight="1">
      <c r="A213" s="7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5.75" customHeight="1">
      <c r="A214" s="7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5.75" customHeight="1">
      <c r="A215" s="7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5.75" customHeight="1">
      <c r="A216" s="7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5.75" customHeight="1">
      <c r="A217" s="7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5.75" customHeight="1">
      <c r="A218" s="7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5.75" customHeight="1">
      <c r="A219" s="7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5.75" customHeight="1">
      <c r="A220" s="7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5">
    <mergeCell ref="C7:F7"/>
    <mergeCell ref="G7:H7"/>
    <mergeCell ref="I7:J7"/>
    <mergeCell ref="K7:L7"/>
    <mergeCell ref="N7:T7"/>
  </mergeCells>
  <conditionalFormatting sqref="A1:A1000 B2 F2 J2">
    <cfRule type="containsText" dxfId="3" priority="1" operator="containsText" text="re-run 1">
      <formula>NOT(ISERROR(SEARCH(("re-run 1"),(A1))))</formula>
    </cfRule>
  </conditionalFormatting>
  <conditionalFormatting sqref="A1:A1000 B2 F2 J2">
    <cfRule type="containsText" dxfId="4" priority="2" operator="containsText" text="re-run 2">
      <formula>NOT(ISERROR(SEARCH(("re-run 2"),(A1))))</formula>
    </cfRule>
  </conditionalFormatting>
  <conditionalFormatting sqref="A1:A1000 B2 F2 J2">
    <cfRule type="containsText" dxfId="5" priority="3" operator="containsText" text="re-run 3">
      <formula>NOT(ISERROR(SEARCH(("re-run 3"),(A1))))</formula>
    </cfRule>
  </conditionalFormatting>
  <conditionalFormatting sqref="G21">
    <cfRule type="cellIs" dxfId="2" priority="4" operator="greaterThan">
      <formula>13820865.39</formula>
    </cfRule>
  </conditionalFormatting>
  <conditionalFormatting sqref="G21">
    <cfRule type="cellIs" dxfId="1" priority="5" operator="lessThan">
      <formula>26845.62</formula>
    </cfRule>
  </conditionalFormatting>
  <conditionalFormatting sqref="H21">
    <cfRule type="cellIs" dxfId="2" priority="6" operator="greaterThan">
      <formula>1777608.86</formula>
    </cfRule>
  </conditionalFormatting>
  <conditionalFormatting sqref="H21">
    <cfRule type="cellIs" dxfId="1" priority="7" operator="lessThan">
      <formula>307.39</formula>
    </cfRule>
  </conditionalFormatting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