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135" windowWidth="11280" windowHeight="7935" tabRatio="743"/>
  </bookViews>
  <sheets>
    <sheet name="Resumen" sheetId="7" r:id="rId1"/>
    <sheet name="Hoja1" sheetId="4" state="hidden" r:id="rId2"/>
    <sheet name="CONDICIONES DE BUSQUEDA" sheetId="2" state="hidden" r:id="rId3"/>
    <sheet name="GASTO DE MOVILIDAD " sheetId="6" state="hidden" r:id="rId4"/>
    <sheet name="Hoja2" sheetId="5" state="hidden" r:id="rId5"/>
    <sheet name="CRONOGRAMA" sheetId="21" state="hidden" r:id="rId6"/>
    <sheet name="Repuestos a reclamar" sheetId="23" state="hidden" r:id="rId7"/>
    <sheet name="IMPLEMENTACION DE REPUESTO" sheetId="20" state="hidden" r:id="rId8"/>
    <sheet name="GOP Repuestos" sheetId="25" state="hidden" r:id="rId9"/>
    <sheet name="Hoja5" sheetId="28" state="hidden" r:id="rId10"/>
    <sheet name="Hoja7" sheetId="30" state="hidden" r:id="rId11"/>
    <sheet name="GOP Prestamo" sheetId="32" state="hidden" r:id="rId12"/>
    <sheet name="SOLICITUD DE REPUESTO" sheetId="3" state="hidden" r:id="rId13"/>
    <sheet name="BD REPUESTO" sheetId="34" r:id="rId14"/>
    <sheet name="RED DE PROVEEDORES" sheetId="1" r:id="rId15"/>
    <sheet name="DINAMICA" sheetId="36" r:id="rId16"/>
    <sheet name="Hoja8" sheetId="37" r:id="rId17"/>
    <sheet name="Hoja9" sheetId="38" state="hidden" r:id="rId18"/>
    <sheet name="Hoja3" sheetId="39" r:id="rId19"/>
  </sheets>
  <definedNames>
    <definedName name="_xlnm._FilterDatabase" localSheetId="13" hidden="1">'BD REPUESTO'!$A$1:$AN$391</definedName>
    <definedName name="_xlnm._FilterDatabase" localSheetId="1" hidden="1">Hoja1!$B$2:$L$14</definedName>
    <definedName name="_xlnm._FilterDatabase" localSheetId="9" hidden="1">Hoja5!$B$2:$Q$48</definedName>
    <definedName name="_xlnm._FilterDatabase" localSheetId="14" hidden="1">'RED DE PROVEEDORES'!$B$3:$O$21</definedName>
    <definedName name="_xlnm._FilterDatabase" localSheetId="12" hidden="1">'SOLICITUD DE REPUESTO'!$A$1:$AM$898</definedName>
  </definedNames>
  <calcPr calcId="145621"/>
  <pivotCaches>
    <pivotCache cacheId="159" r:id="rId20"/>
  </pivotCaches>
</workbook>
</file>

<file path=xl/calcChain.xml><?xml version="1.0" encoding="utf-8"?>
<calcChain xmlns="http://schemas.openxmlformats.org/spreadsheetml/2006/main">
  <c r="G371" i="34" l="1"/>
  <c r="F54" i="7" l="1"/>
  <c r="E54" i="7"/>
  <c r="E55" i="7"/>
  <c r="E56" i="7"/>
  <c r="E57" i="7"/>
  <c r="I54" i="7"/>
  <c r="M52" i="7"/>
  <c r="M51" i="7"/>
  <c r="M49" i="7"/>
  <c r="M50" i="7"/>
  <c r="M45" i="7"/>
  <c r="M44" i="7"/>
  <c r="M42" i="7"/>
  <c r="M39" i="7"/>
  <c r="M37" i="7"/>
  <c r="K16" i="7" l="1"/>
  <c r="J16" i="7"/>
  <c r="L16" i="7"/>
  <c r="N338" i="34"/>
  <c r="N370" i="34"/>
  <c r="N369" i="34"/>
  <c r="AC369" i="34" s="1"/>
  <c r="N368" i="34"/>
  <c r="N366" i="34"/>
  <c r="N364" i="34"/>
  <c r="AC364" i="34" s="1"/>
  <c r="N363" i="34"/>
  <c r="N362" i="34"/>
  <c r="N359" i="34"/>
  <c r="N358" i="34"/>
  <c r="N350" i="34"/>
  <c r="N349" i="34"/>
  <c r="L23" i="7"/>
  <c r="L21" i="7"/>
  <c r="L14" i="7"/>
  <c r="L9" i="7"/>
  <c r="L7" i="7"/>
  <c r="K23" i="7"/>
  <c r="K21" i="7"/>
  <c r="K14" i="7"/>
  <c r="K9" i="7"/>
  <c r="K7" i="7"/>
  <c r="J23" i="7"/>
  <c r="J21" i="7"/>
  <c r="J14" i="7"/>
  <c r="J9" i="7"/>
  <c r="J7" i="7"/>
  <c r="L28" i="7" l="1"/>
  <c r="L31" i="7"/>
  <c r="K28" i="7"/>
  <c r="K31" i="7"/>
  <c r="J28" i="7"/>
  <c r="J31" i="7"/>
  <c r="G317" i="34" l="1"/>
  <c r="Q14" i="38" l="1"/>
  <c r="G381" i="34" l="1"/>
  <c r="G380" i="34"/>
  <c r="G379" i="34"/>
  <c r="G378" i="34"/>
  <c r="G377" i="34"/>
  <c r="G376" i="34"/>
  <c r="G375" i="34"/>
  <c r="G374" i="34"/>
  <c r="G373" i="34"/>
  <c r="G372" i="34"/>
  <c r="G370" i="34"/>
  <c r="G369" i="34"/>
  <c r="G368" i="34"/>
  <c r="G367" i="34"/>
  <c r="G366" i="34"/>
  <c r="G365" i="34"/>
  <c r="G364" i="34"/>
  <c r="G363" i="34"/>
  <c r="G362" i="34"/>
  <c r="G361" i="34"/>
  <c r="G360" i="34"/>
  <c r="G359" i="34"/>
  <c r="G358" i="34"/>
  <c r="G357" i="34"/>
  <c r="G356" i="34"/>
  <c r="G355" i="34"/>
  <c r="G354" i="34"/>
  <c r="G353" i="34"/>
  <c r="G352" i="34"/>
  <c r="G351" i="34"/>
  <c r="G350" i="34"/>
  <c r="G349" i="34"/>
  <c r="G348" i="34"/>
  <c r="G347" i="34"/>
  <c r="G346" i="34"/>
  <c r="G345" i="34"/>
  <c r="G344" i="34"/>
  <c r="G343" i="34"/>
  <c r="G342" i="34"/>
  <c r="G339" i="34"/>
  <c r="G338" i="34"/>
  <c r="G337" i="34"/>
  <c r="G336" i="34"/>
  <c r="G335" i="34"/>
  <c r="G334" i="34"/>
  <c r="G333" i="34"/>
  <c r="G341" i="34"/>
  <c r="G332" i="34"/>
  <c r="G331" i="34"/>
  <c r="G330" i="34"/>
  <c r="G340" i="34"/>
  <c r="G329" i="34"/>
  <c r="G328" i="34"/>
  <c r="G327" i="34"/>
  <c r="G326" i="34"/>
  <c r="G325" i="34"/>
  <c r="G324" i="34"/>
  <c r="G318" i="34"/>
  <c r="G316" i="34"/>
  <c r="G315" i="34"/>
  <c r="G323" i="34"/>
  <c r="G314" i="34"/>
  <c r="G322" i="34"/>
  <c r="G321" i="34"/>
  <c r="G320" i="34"/>
  <c r="G313" i="34"/>
  <c r="G319" i="34"/>
  <c r="G312" i="34"/>
  <c r="G311" i="34"/>
  <c r="G310" i="34"/>
  <c r="G309" i="34"/>
  <c r="G308" i="34"/>
  <c r="G303" i="34"/>
  <c r="G302" i="34"/>
  <c r="G307" i="34"/>
  <c r="G306" i="34"/>
  <c r="G301" i="34"/>
  <c r="G300" i="34"/>
  <c r="G299" i="34"/>
  <c r="G298" i="34"/>
  <c r="G297" i="34"/>
  <c r="G305" i="34"/>
  <c r="G304" i="34"/>
  <c r="G296" i="34"/>
  <c r="G295" i="34"/>
  <c r="G291" i="34"/>
  <c r="G294" i="34"/>
  <c r="G293" i="34"/>
  <c r="G292" i="34"/>
  <c r="G290" i="34"/>
  <c r="G286" i="34"/>
  <c r="G285" i="34"/>
  <c r="G289" i="34"/>
  <c r="G288" i="34"/>
  <c r="G287" i="34"/>
  <c r="G284" i="34"/>
  <c r="G283" i="34"/>
  <c r="G282" i="34"/>
  <c r="G281" i="34"/>
  <c r="G280" i="34"/>
  <c r="G277" i="34"/>
  <c r="G278" i="34"/>
  <c r="G279" i="34" l="1"/>
  <c r="G276" i="34" l="1"/>
  <c r="G275" i="34" l="1"/>
  <c r="N8" i="34" l="1"/>
  <c r="AC8" i="34" s="1"/>
  <c r="M43" i="7"/>
  <c r="M41" i="7"/>
  <c r="N3" i="34"/>
  <c r="AC3" i="34" s="1"/>
  <c r="N4" i="34"/>
  <c r="AC4" i="34" s="1"/>
  <c r="N5" i="34"/>
  <c r="AC5" i="34" s="1"/>
  <c r="N6" i="34"/>
  <c r="AC6" i="34" s="1"/>
  <c r="N7" i="34"/>
  <c r="AC7" i="34" s="1"/>
  <c r="N9" i="34"/>
  <c r="AC9" i="34" s="1"/>
  <c r="N10" i="34"/>
  <c r="AC10" i="34" s="1"/>
  <c r="N11" i="34"/>
  <c r="AC11" i="34" s="1"/>
  <c r="N12" i="34"/>
  <c r="AC12" i="34" s="1"/>
  <c r="N13" i="34"/>
  <c r="AC13" i="34" s="1"/>
  <c r="N14" i="34"/>
  <c r="AC14" i="34" s="1"/>
  <c r="N15" i="34"/>
  <c r="AC15" i="34" s="1"/>
  <c r="N16" i="34"/>
  <c r="AC16" i="34" s="1"/>
  <c r="N17" i="34"/>
  <c r="AC17" i="34" s="1"/>
  <c r="N18" i="34"/>
  <c r="AC18" i="34" s="1"/>
  <c r="N19" i="34"/>
  <c r="AC19" i="34" s="1"/>
  <c r="N20" i="34"/>
  <c r="AC20" i="34" s="1"/>
  <c r="N21" i="34"/>
  <c r="AC21" i="34" s="1"/>
  <c r="N22" i="34"/>
  <c r="AC22" i="34" s="1"/>
  <c r="N23" i="34"/>
  <c r="AC23" i="34" s="1"/>
  <c r="N24" i="34"/>
  <c r="AC24" i="34" s="1"/>
  <c r="N25" i="34"/>
  <c r="AC25" i="34" s="1"/>
  <c r="N26" i="34"/>
  <c r="AC26" i="34" s="1"/>
  <c r="N27" i="34"/>
  <c r="AC27" i="34" s="1"/>
  <c r="N28" i="34"/>
  <c r="AC28" i="34" s="1"/>
  <c r="N29" i="34"/>
  <c r="AC29" i="34" s="1"/>
  <c r="N30" i="34"/>
  <c r="AC30" i="34" s="1"/>
  <c r="N31" i="34"/>
  <c r="AC31" i="34" s="1"/>
  <c r="N32" i="34"/>
  <c r="AC32" i="34" s="1"/>
  <c r="N33" i="34"/>
  <c r="AC33" i="34" s="1"/>
  <c r="N34" i="34"/>
  <c r="AC34" i="34" s="1"/>
  <c r="N35" i="34"/>
  <c r="AC35" i="34" s="1"/>
  <c r="N36" i="34"/>
  <c r="AC36" i="34" s="1"/>
  <c r="N37" i="34"/>
  <c r="AC37" i="34" s="1"/>
  <c r="N38" i="34"/>
  <c r="AC38" i="34" s="1"/>
  <c r="N39" i="34"/>
  <c r="AC39" i="34" s="1"/>
  <c r="N40" i="34"/>
  <c r="AC40" i="34" s="1"/>
  <c r="N41" i="34"/>
  <c r="AC41" i="34" s="1"/>
  <c r="N42" i="34"/>
  <c r="AC42" i="34" s="1"/>
  <c r="N43" i="34"/>
  <c r="AC43" i="34" s="1"/>
  <c r="N44" i="34"/>
  <c r="AC44" i="34" s="1"/>
  <c r="N45" i="34"/>
  <c r="AC45" i="34" s="1"/>
  <c r="N46" i="34"/>
  <c r="AC46" i="34" s="1"/>
  <c r="N47" i="34"/>
  <c r="AC47" i="34" s="1"/>
  <c r="N48" i="34"/>
  <c r="AC48" i="34" s="1"/>
  <c r="N49" i="34"/>
  <c r="AC49" i="34" s="1"/>
  <c r="N50" i="34"/>
  <c r="AC50" i="34" s="1"/>
  <c r="N51" i="34"/>
  <c r="AC51" i="34" s="1"/>
  <c r="N52" i="34"/>
  <c r="AC52" i="34" s="1"/>
  <c r="N53" i="34"/>
  <c r="AC53" i="34" s="1"/>
  <c r="N54" i="34"/>
  <c r="AC54" i="34" s="1"/>
  <c r="N55" i="34"/>
  <c r="AC55" i="34" s="1"/>
  <c r="N56" i="34"/>
  <c r="AC56" i="34" s="1"/>
  <c r="N57" i="34"/>
  <c r="AC57" i="34" s="1"/>
  <c r="N58" i="34"/>
  <c r="AC58" i="34" s="1"/>
  <c r="N59" i="34"/>
  <c r="AC59" i="34" s="1"/>
  <c r="N60" i="34"/>
  <c r="AC60" i="34" s="1"/>
  <c r="N61" i="34"/>
  <c r="AC61" i="34" s="1"/>
  <c r="N62" i="34"/>
  <c r="AC62" i="34" s="1"/>
  <c r="N63" i="34"/>
  <c r="AC63" i="34" s="1"/>
  <c r="N64" i="34"/>
  <c r="AC64" i="34" s="1"/>
  <c r="N65" i="34"/>
  <c r="AC65" i="34" s="1"/>
  <c r="N66" i="34"/>
  <c r="AC66" i="34" s="1"/>
  <c r="N67" i="34"/>
  <c r="AC67" i="34" s="1"/>
  <c r="N68" i="34"/>
  <c r="AC68" i="34" s="1"/>
  <c r="N69" i="34"/>
  <c r="AC69" i="34" s="1"/>
  <c r="N70" i="34"/>
  <c r="AC70" i="34" s="1"/>
  <c r="N71" i="34"/>
  <c r="AC71" i="34" s="1"/>
  <c r="N72" i="34"/>
  <c r="AC72" i="34" s="1"/>
  <c r="N73" i="34"/>
  <c r="AC73" i="34" s="1"/>
  <c r="N74" i="34"/>
  <c r="AC74" i="34" s="1"/>
  <c r="N75" i="34"/>
  <c r="AC75" i="34" s="1"/>
  <c r="N76" i="34"/>
  <c r="AC76" i="34" s="1"/>
  <c r="N77" i="34"/>
  <c r="AC77" i="34" s="1"/>
  <c r="N78" i="34"/>
  <c r="AC78" i="34" s="1"/>
  <c r="N79" i="34"/>
  <c r="AC79" i="34" s="1"/>
  <c r="N80" i="34"/>
  <c r="AC80" i="34" s="1"/>
  <c r="N81" i="34"/>
  <c r="AC81" i="34" s="1"/>
  <c r="N82" i="34"/>
  <c r="AC82" i="34" s="1"/>
  <c r="N83" i="34"/>
  <c r="AC83" i="34" s="1"/>
  <c r="N84" i="34"/>
  <c r="AC84" i="34" s="1"/>
  <c r="N85" i="34"/>
  <c r="AC85" i="34" s="1"/>
  <c r="N86" i="34"/>
  <c r="AC86" i="34" s="1"/>
  <c r="N87" i="34"/>
  <c r="AC87" i="34" s="1"/>
  <c r="N88" i="34"/>
  <c r="AC88" i="34" s="1"/>
  <c r="N89" i="34"/>
  <c r="AC89" i="34" s="1"/>
  <c r="N91" i="34"/>
  <c r="AC91" i="34" s="1"/>
  <c r="N92" i="34"/>
  <c r="AC92" i="34" s="1"/>
  <c r="N90" i="34"/>
  <c r="AC90" i="34" s="1"/>
  <c r="N93" i="34"/>
  <c r="AC93" i="34" s="1"/>
  <c r="N94" i="34"/>
  <c r="AC94" i="34" s="1"/>
  <c r="N95" i="34"/>
  <c r="AC95" i="34" s="1"/>
  <c r="N96" i="34"/>
  <c r="AC96" i="34" s="1"/>
  <c r="N101" i="34"/>
  <c r="AC101" i="34" s="1"/>
  <c r="N100" i="34"/>
  <c r="AC100" i="34" s="1"/>
  <c r="N102" i="34"/>
  <c r="AC102" i="34" s="1"/>
  <c r="N97" i="34"/>
  <c r="AC97" i="34" s="1"/>
  <c r="N98" i="34"/>
  <c r="AC98" i="34" s="1"/>
  <c r="N99" i="34"/>
  <c r="AC99" i="34" s="1"/>
  <c r="N103" i="34"/>
  <c r="AC103" i="34" s="1"/>
  <c r="N104" i="34"/>
  <c r="AC104" i="34" s="1"/>
  <c r="N105" i="34"/>
  <c r="AC105" i="34" s="1"/>
  <c r="N106" i="34"/>
  <c r="AC106" i="34" s="1"/>
  <c r="N109" i="34"/>
  <c r="AC109" i="34" s="1"/>
  <c r="N110" i="34"/>
  <c r="AC110" i="34" s="1"/>
  <c r="N107" i="34"/>
  <c r="AC107" i="34" s="1"/>
  <c r="N108" i="34"/>
  <c r="AC108" i="34" s="1"/>
  <c r="N111" i="34"/>
  <c r="AC111" i="34" s="1"/>
  <c r="N118" i="34"/>
  <c r="AC118" i="34" s="1"/>
  <c r="N117" i="34"/>
  <c r="AC117" i="34" s="1"/>
  <c r="N112" i="34"/>
  <c r="AC112" i="34" s="1"/>
  <c r="N113" i="34"/>
  <c r="AC113" i="34" s="1"/>
  <c r="N114" i="34"/>
  <c r="AC114" i="34" s="1"/>
  <c r="N115" i="34"/>
  <c r="AC115" i="34" s="1"/>
  <c r="N116" i="34"/>
  <c r="AC116" i="34" s="1"/>
  <c r="N119" i="34"/>
  <c r="AC119" i="34" s="1"/>
  <c r="N121" i="34"/>
  <c r="AC121" i="34" s="1"/>
  <c r="N122" i="34"/>
  <c r="AC122" i="34" s="1"/>
  <c r="N123" i="34"/>
  <c r="AC123" i="34" s="1"/>
  <c r="N124" i="34"/>
  <c r="AC124" i="34" s="1"/>
  <c r="N125" i="34"/>
  <c r="AC125" i="34" s="1"/>
  <c r="N131" i="34"/>
  <c r="AC131" i="34" s="1"/>
  <c r="N132" i="34"/>
  <c r="AC132" i="34" s="1"/>
  <c r="N126" i="34"/>
  <c r="AC126" i="34" s="1"/>
  <c r="N127" i="34"/>
  <c r="AC127" i="34" s="1"/>
  <c r="N128" i="34"/>
  <c r="AC128" i="34" s="1"/>
  <c r="N129" i="34"/>
  <c r="AC129" i="34" s="1"/>
  <c r="N130" i="34"/>
  <c r="AC130" i="34" s="1"/>
  <c r="N133" i="34"/>
  <c r="AC133" i="34" s="1"/>
  <c r="N134" i="34"/>
  <c r="AC134" i="34" s="1"/>
  <c r="N135" i="34"/>
  <c r="AC135" i="34" s="1"/>
  <c r="N136" i="34"/>
  <c r="AC136" i="34" s="1"/>
  <c r="N137" i="34"/>
  <c r="AC137" i="34" s="1"/>
  <c r="N138" i="34"/>
  <c r="AC138" i="34" s="1"/>
  <c r="N139" i="34"/>
  <c r="AC139" i="34" s="1"/>
  <c r="N140" i="34"/>
  <c r="AC140" i="34" s="1"/>
  <c r="N141" i="34"/>
  <c r="AC141" i="34" s="1"/>
  <c r="N142" i="34"/>
  <c r="AC142" i="34" s="1"/>
  <c r="N143" i="34"/>
  <c r="AC143" i="34" s="1"/>
  <c r="N144" i="34"/>
  <c r="AC144" i="34" s="1"/>
  <c r="N145" i="34"/>
  <c r="AC145" i="34" s="1"/>
  <c r="N120" i="34"/>
  <c r="AC120" i="34" s="1"/>
  <c r="N146" i="34"/>
  <c r="AC146" i="34" s="1"/>
  <c r="N147" i="34"/>
  <c r="AC147" i="34" s="1"/>
  <c r="N148" i="34"/>
  <c r="AC148" i="34" s="1"/>
  <c r="N149" i="34"/>
  <c r="AC149" i="34" s="1"/>
  <c r="N150" i="34"/>
  <c r="AC150" i="34" s="1"/>
  <c r="N151" i="34"/>
  <c r="AC151" i="34" s="1"/>
  <c r="N152" i="34"/>
  <c r="AC152" i="34" s="1"/>
  <c r="N153" i="34"/>
  <c r="AC153" i="34" s="1"/>
  <c r="N154" i="34"/>
  <c r="AC154" i="34" s="1"/>
  <c r="N155" i="34"/>
  <c r="AC155" i="34" s="1"/>
  <c r="N157" i="34"/>
  <c r="AC157" i="34" s="1"/>
  <c r="N156" i="34"/>
  <c r="AC156" i="34" s="1"/>
  <c r="N158" i="34"/>
  <c r="AC158" i="34" s="1"/>
  <c r="N159" i="34"/>
  <c r="AC159" i="34" s="1"/>
  <c r="N161" i="34"/>
  <c r="AC161" i="34" s="1"/>
  <c r="N164" i="34"/>
  <c r="AC164" i="34" s="1"/>
  <c r="N162" i="34"/>
  <c r="AC162" i="34" s="1"/>
  <c r="N163" i="34"/>
  <c r="AC163" i="34" s="1"/>
  <c r="N160" i="34"/>
  <c r="AC160" i="34" s="1"/>
  <c r="N165" i="34"/>
  <c r="AC165" i="34" s="1"/>
  <c r="N166" i="34"/>
  <c r="AC166" i="34" s="1"/>
  <c r="N167" i="34"/>
  <c r="AC167" i="34" s="1"/>
  <c r="N168" i="34"/>
  <c r="AC168" i="34" s="1"/>
  <c r="N169" i="34"/>
  <c r="AC169" i="34" s="1"/>
  <c r="N173" i="34"/>
  <c r="AC173" i="34" s="1"/>
  <c r="N174" i="34"/>
  <c r="AC174" i="34" s="1"/>
  <c r="N170" i="34"/>
  <c r="AC170" i="34" s="1"/>
  <c r="N171" i="34"/>
  <c r="AC171" i="34" s="1"/>
  <c r="N175" i="34"/>
  <c r="AC175" i="34" s="1"/>
  <c r="N172" i="34"/>
  <c r="AC172" i="34" s="1"/>
  <c r="N176" i="34"/>
  <c r="AC176" i="34" s="1"/>
  <c r="N177" i="34"/>
  <c r="AC177" i="34" s="1"/>
  <c r="N181" i="34"/>
  <c r="AC181" i="34" s="1"/>
  <c r="N178" i="34"/>
  <c r="AC178" i="34" s="1"/>
  <c r="N179" i="34"/>
  <c r="AC179" i="34" s="1"/>
  <c r="N180" i="34"/>
  <c r="AC180" i="34" s="1"/>
  <c r="N182" i="34"/>
  <c r="AC182" i="34" s="1"/>
  <c r="N183" i="34"/>
  <c r="AC183" i="34" s="1"/>
  <c r="N184" i="34"/>
  <c r="AC184" i="34" s="1"/>
  <c r="N185" i="34"/>
  <c r="AC185" i="34" s="1"/>
  <c r="N186" i="34"/>
  <c r="AC186" i="34" s="1"/>
  <c r="N187" i="34"/>
  <c r="AC187" i="34" s="1"/>
  <c r="N188" i="34"/>
  <c r="AC188" i="34" s="1"/>
  <c r="N189" i="34"/>
  <c r="AC189" i="34" s="1"/>
  <c r="N190" i="34"/>
  <c r="AC190" i="34" s="1"/>
  <c r="N191" i="34"/>
  <c r="AC191" i="34" s="1"/>
  <c r="N192" i="34"/>
  <c r="AC192" i="34" s="1"/>
  <c r="N193" i="34"/>
  <c r="AC193" i="34" s="1"/>
  <c r="N194" i="34"/>
  <c r="AC194" i="34" s="1"/>
  <c r="N195" i="34"/>
  <c r="AC195" i="34" s="1"/>
  <c r="N196" i="34"/>
  <c r="AC196" i="34" s="1"/>
  <c r="N197" i="34"/>
  <c r="AC197" i="34" s="1"/>
  <c r="N198" i="34"/>
  <c r="AC198" i="34" s="1"/>
  <c r="N199" i="34"/>
  <c r="AC199" i="34" s="1"/>
  <c r="N200" i="34"/>
  <c r="AC200" i="34" s="1"/>
  <c r="N201" i="34"/>
  <c r="AC201" i="34" s="1"/>
  <c r="N202" i="34"/>
  <c r="AC202" i="34" s="1"/>
  <c r="N203" i="34"/>
  <c r="AC203" i="34" s="1"/>
  <c r="N204" i="34"/>
  <c r="AC204" i="34" s="1"/>
  <c r="N205" i="34"/>
  <c r="AC205" i="34" s="1"/>
  <c r="N206" i="34"/>
  <c r="AC206" i="34" s="1"/>
  <c r="N207" i="34"/>
  <c r="AC207" i="34" s="1"/>
  <c r="N208" i="34"/>
  <c r="AC208" i="34" s="1"/>
  <c r="N209" i="34"/>
  <c r="AC209" i="34" s="1"/>
  <c r="N210" i="34"/>
  <c r="AC210" i="34" s="1"/>
  <c r="N211" i="34"/>
  <c r="AC211" i="34" s="1"/>
  <c r="N212" i="34"/>
  <c r="AC212" i="34" s="1"/>
  <c r="N213" i="34"/>
  <c r="AC213" i="34" s="1"/>
  <c r="N214" i="34"/>
  <c r="AC214" i="34" s="1"/>
  <c r="N217" i="34"/>
  <c r="AC217" i="34" s="1"/>
  <c r="N215" i="34"/>
  <c r="AC215" i="34" s="1"/>
  <c r="N216" i="34"/>
  <c r="AC216" i="34" s="1"/>
  <c r="N218" i="34"/>
  <c r="AC218" i="34" s="1"/>
  <c r="N219" i="34"/>
  <c r="AC219" i="34" s="1"/>
  <c r="N220" i="34"/>
  <c r="AC220" i="34" s="1"/>
  <c r="N221" i="34"/>
  <c r="AC221" i="34" s="1"/>
  <c r="N222" i="34"/>
  <c r="AC222" i="34" s="1"/>
  <c r="N223" i="34"/>
  <c r="AC223" i="34" s="1"/>
  <c r="N224" i="34"/>
  <c r="AC224" i="34" s="1"/>
  <c r="N236" i="34"/>
  <c r="AC236" i="34" s="1"/>
  <c r="N225" i="34"/>
  <c r="AC225" i="34" s="1"/>
  <c r="N226" i="34"/>
  <c r="AC226" i="34" s="1"/>
  <c r="N227" i="34"/>
  <c r="AC227" i="34" s="1"/>
  <c r="N228" i="34"/>
  <c r="AC228" i="34" s="1"/>
  <c r="N229" i="34"/>
  <c r="AC229" i="34" s="1"/>
  <c r="N230" i="34"/>
  <c r="AC230" i="34" s="1"/>
  <c r="N231" i="34"/>
  <c r="AC231" i="34" s="1"/>
  <c r="N232" i="34"/>
  <c r="AC232" i="34" s="1"/>
  <c r="N233" i="34"/>
  <c r="AC233" i="34" s="1"/>
  <c r="N234" i="34"/>
  <c r="AC234" i="34" s="1"/>
  <c r="N235" i="34"/>
  <c r="AC235" i="34" s="1"/>
  <c r="N237" i="34"/>
  <c r="AC237" i="34" s="1"/>
  <c r="N239" i="34"/>
  <c r="AC239" i="34" s="1"/>
  <c r="N238" i="34"/>
  <c r="N240" i="34"/>
  <c r="AC240" i="34" s="1"/>
  <c r="N241" i="34"/>
  <c r="AC241" i="34" s="1"/>
  <c r="N242" i="34"/>
  <c r="AC242" i="34" s="1"/>
  <c r="N243" i="34"/>
  <c r="AC243" i="34" s="1"/>
  <c r="N244" i="34"/>
  <c r="AC244" i="34" s="1"/>
  <c r="N245" i="34"/>
  <c r="N246" i="34"/>
  <c r="N247" i="34"/>
  <c r="AC247" i="34" s="1"/>
  <c r="N249" i="34"/>
  <c r="AC249" i="34" s="1"/>
  <c r="N250" i="34"/>
  <c r="AC250" i="34" s="1"/>
  <c r="N251" i="34"/>
  <c r="AC251" i="34" s="1"/>
  <c r="N253" i="34"/>
  <c r="AC253" i="34" s="1"/>
  <c r="N255" i="34"/>
  <c r="N252" i="34"/>
  <c r="AC252" i="34" s="1"/>
  <c r="N248" i="34"/>
  <c r="AC248" i="34" s="1"/>
  <c r="N254" i="34"/>
  <c r="AC254" i="34" s="1"/>
  <c r="N256" i="34"/>
  <c r="AC256" i="34" s="1"/>
  <c r="N257" i="34"/>
  <c r="AC257" i="34" s="1"/>
  <c r="N258" i="34"/>
  <c r="AC258" i="34" s="1"/>
  <c r="N259" i="34"/>
  <c r="AC259" i="34" s="1"/>
  <c r="N260" i="34"/>
  <c r="AC260" i="34" s="1"/>
  <c r="N261" i="34"/>
  <c r="AC261" i="34" s="1"/>
  <c r="N262" i="34"/>
  <c r="AC262" i="34" s="1"/>
  <c r="N263" i="34"/>
  <c r="AC263" i="34" s="1"/>
  <c r="N264" i="34"/>
  <c r="AC264" i="34" s="1"/>
  <c r="N265" i="34"/>
  <c r="AC265" i="34" s="1"/>
  <c r="N266" i="34"/>
  <c r="AC266" i="34" s="1"/>
  <c r="N267" i="34"/>
  <c r="AC267" i="34" s="1"/>
  <c r="N269" i="34"/>
  <c r="AC269" i="34" s="1"/>
  <c r="N268" i="34"/>
  <c r="AC268" i="34" s="1"/>
  <c r="N270" i="34"/>
  <c r="AC270" i="34" s="1"/>
  <c r="N271" i="34"/>
  <c r="AC271" i="34" s="1"/>
  <c r="N272" i="34"/>
  <c r="AC272" i="34" s="1"/>
  <c r="N273" i="34"/>
  <c r="AC273" i="34" s="1"/>
  <c r="N274" i="34"/>
  <c r="AC274" i="34" s="1"/>
  <c r="N275" i="34"/>
  <c r="AC275" i="34" s="1"/>
  <c r="N276" i="34"/>
  <c r="N278" i="34"/>
  <c r="AC278" i="34" s="1"/>
  <c r="N279" i="34"/>
  <c r="AC279" i="34" s="1"/>
  <c r="N277" i="34"/>
  <c r="AC277" i="34" s="1"/>
  <c r="N280" i="34"/>
  <c r="AC280" i="34" s="1"/>
  <c r="N281" i="34"/>
  <c r="AC281" i="34" s="1"/>
  <c r="N282" i="34"/>
  <c r="AC282" i="34" s="1"/>
  <c r="N283" i="34"/>
  <c r="AC283" i="34" s="1"/>
  <c r="N284" i="34"/>
  <c r="AC284" i="34" s="1"/>
  <c r="N287" i="34"/>
  <c r="AC287" i="34" s="1"/>
  <c r="N288" i="34"/>
  <c r="AC288" i="34" s="1"/>
  <c r="N289" i="34"/>
  <c r="N285" i="34"/>
  <c r="AC285" i="34" s="1"/>
  <c r="N286" i="34"/>
  <c r="AC286" i="34" s="1"/>
  <c r="N290" i="34"/>
  <c r="AC290" i="34" s="1"/>
  <c r="N292" i="34"/>
  <c r="AC292" i="34" s="1"/>
  <c r="N293" i="34"/>
  <c r="AC293" i="34" s="1"/>
  <c r="N294" i="34"/>
  <c r="AC294" i="34" s="1"/>
  <c r="N291" i="34"/>
  <c r="AC291" i="34" s="1"/>
  <c r="N295" i="34"/>
  <c r="AC295" i="34" s="1"/>
  <c r="N296" i="34"/>
  <c r="AC296" i="34" s="1"/>
  <c r="N304" i="34"/>
  <c r="AC304" i="34" s="1"/>
  <c r="N305" i="34"/>
  <c r="AC305" i="34" s="1"/>
  <c r="N297" i="34"/>
  <c r="AC297" i="34" s="1"/>
  <c r="N298" i="34"/>
  <c r="AC298" i="34" s="1"/>
  <c r="N299" i="34"/>
  <c r="AC299" i="34" s="1"/>
  <c r="N300" i="34"/>
  <c r="AC300" i="34" s="1"/>
  <c r="N301" i="34"/>
  <c r="AC301" i="34" s="1"/>
  <c r="N306" i="34"/>
  <c r="AC306" i="34" s="1"/>
  <c r="N307" i="34"/>
  <c r="AC307" i="34" s="1"/>
  <c r="N302" i="34"/>
  <c r="AC302" i="34" s="1"/>
  <c r="N303" i="34"/>
  <c r="AC303" i="34" s="1"/>
  <c r="N308" i="34"/>
  <c r="AC308" i="34" s="1"/>
  <c r="N309" i="34"/>
  <c r="AC309" i="34" s="1"/>
  <c r="N310" i="34"/>
  <c r="N311" i="34"/>
  <c r="AC311" i="34" s="1"/>
  <c r="N312" i="34"/>
  <c r="AC312" i="34" s="1"/>
  <c r="N319" i="34"/>
  <c r="AC319" i="34" s="1"/>
  <c r="N313" i="34"/>
  <c r="AC313" i="34" s="1"/>
  <c r="N320" i="34"/>
  <c r="AC320" i="34" s="1"/>
  <c r="N321" i="34"/>
  <c r="AC321" i="34" s="1"/>
  <c r="N322" i="34"/>
  <c r="AC322" i="34" s="1"/>
  <c r="N314" i="34"/>
  <c r="AC314" i="34" s="1"/>
  <c r="N323" i="34"/>
  <c r="AC323" i="34" s="1"/>
  <c r="N315" i="34"/>
  <c r="AC315" i="34" s="1"/>
  <c r="N316" i="34"/>
  <c r="AC316" i="34" s="1"/>
  <c r="N317" i="34"/>
  <c r="AC317" i="34" s="1"/>
  <c r="N318" i="34"/>
  <c r="AC318" i="34" s="1"/>
  <c r="N324" i="34"/>
  <c r="AC324" i="34" s="1"/>
  <c r="N325" i="34"/>
  <c r="AC325" i="34" s="1"/>
  <c r="N326" i="34"/>
  <c r="AC326" i="34" s="1"/>
  <c r="N327" i="34"/>
  <c r="AC327" i="34" s="1"/>
  <c r="N328" i="34"/>
  <c r="N329" i="34"/>
  <c r="AC329" i="34" s="1"/>
  <c r="N340" i="34"/>
  <c r="N330" i="34"/>
  <c r="AC330" i="34" s="1"/>
  <c r="N331" i="34"/>
  <c r="AC331" i="34" s="1"/>
  <c r="N332" i="34"/>
  <c r="AC332" i="34" s="1"/>
  <c r="N341" i="34"/>
  <c r="AC341" i="34" s="1"/>
  <c r="N333" i="34"/>
  <c r="AC333" i="34" s="1"/>
  <c r="N334" i="34"/>
  <c r="N335" i="34"/>
  <c r="AC335" i="34" s="1"/>
  <c r="N336" i="34"/>
  <c r="AC336" i="34" s="1"/>
  <c r="N337" i="34"/>
  <c r="AC337" i="34" s="1"/>
  <c r="AC338" i="34"/>
  <c r="N339" i="34"/>
  <c r="AC339" i="34" s="1"/>
  <c r="N342" i="34"/>
  <c r="AC342" i="34" s="1"/>
  <c r="N343" i="34"/>
  <c r="AC343" i="34" s="1"/>
  <c r="N344" i="34"/>
  <c r="AC344" i="34" s="1"/>
  <c r="N345" i="34"/>
  <c r="AC345" i="34" s="1"/>
  <c r="N346" i="34"/>
  <c r="AC346" i="34" s="1"/>
  <c r="N347" i="34"/>
  <c r="AC347" i="34" s="1"/>
  <c r="N348" i="34"/>
  <c r="AC348" i="34" s="1"/>
  <c r="AC349" i="34"/>
  <c r="AC350" i="34"/>
  <c r="N351" i="34"/>
  <c r="AC351" i="34" s="1"/>
  <c r="N352" i="34"/>
  <c r="AC352" i="34" s="1"/>
  <c r="N353" i="34"/>
  <c r="AC353" i="34" s="1"/>
  <c r="N354" i="34"/>
  <c r="AC354" i="34" s="1"/>
  <c r="N355" i="34"/>
  <c r="AC355" i="34" s="1"/>
  <c r="N356" i="34"/>
  <c r="AC356" i="34" s="1"/>
  <c r="N357" i="34"/>
  <c r="AC357" i="34" s="1"/>
  <c r="AC358" i="34"/>
  <c r="AC359" i="34"/>
  <c r="N360" i="34"/>
  <c r="AC360" i="34" s="1"/>
  <c r="N361" i="34"/>
  <c r="AC361" i="34" s="1"/>
  <c r="AC362" i="34"/>
  <c r="AC363" i="34"/>
  <c r="N365" i="34"/>
  <c r="AC365" i="34" s="1"/>
  <c r="AC366" i="34"/>
  <c r="N367" i="34"/>
  <c r="AC367" i="34" s="1"/>
  <c r="AC368" i="34"/>
  <c r="AC370" i="34"/>
  <c r="N371" i="34"/>
  <c r="AC371" i="34" s="1"/>
  <c r="N372" i="34"/>
  <c r="AC372" i="34" s="1"/>
  <c r="N373" i="34"/>
  <c r="AC373" i="34" s="1"/>
  <c r="N374" i="34"/>
  <c r="AC374" i="34" s="1"/>
  <c r="N375" i="34"/>
  <c r="AC375" i="34" s="1"/>
  <c r="N376" i="34"/>
  <c r="AC376" i="34" s="1"/>
  <c r="N377" i="34"/>
  <c r="AC377" i="34" s="1"/>
  <c r="N378" i="34"/>
  <c r="AC378" i="34" s="1"/>
  <c r="N379" i="34"/>
  <c r="AC379" i="34" s="1"/>
  <c r="N380" i="34"/>
  <c r="AC380" i="34" s="1"/>
  <c r="N381" i="34"/>
  <c r="AC381" i="34" s="1"/>
  <c r="N382" i="34"/>
  <c r="AC382" i="34" s="1"/>
  <c r="N383" i="34"/>
  <c r="AC383" i="34" s="1"/>
  <c r="N384" i="34"/>
  <c r="AC384" i="34" s="1"/>
  <c r="N385" i="34"/>
  <c r="AC385" i="34" s="1"/>
  <c r="N386" i="34"/>
  <c r="AC386" i="34" s="1"/>
  <c r="N387" i="34"/>
  <c r="AC387" i="34" s="1"/>
  <c r="N388" i="34"/>
  <c r="AC388" i="34" s="1"/>
  <c r="N389" i="34"/>
  <c r="AC389" i="34" s="1"/>
  <c r="N390" i="34"/>
  <c r="AC390" i="34" s="1"/>
  <c r="N391" i="34"/>
  <c r="AC391" i="34" s="1"/>
  <c r="AC334" i="34" l="1"/>
  <c r="L15" i="7" s="1"/>
  <c r="L17" i="7"/>
  <c r="AC289" i="34"/>
  <c r="K17" i="7"/>
  <c r="AC246" i="34"/>
  <c r="J17" i="7"/>
  <c r="AC310" i="34"/>
  <c r="K22" i="7" s="1"/>
  <c r="K24" i="7"/>
  <c r="AC340" i="34"/>
  <c r="L22" i="7" s="1"/>
  <c r="L24" i="7"/>
  <c r="K15" i="7"/>
  <c r="AC328" i="34"/>
  <c r="L8" i="7" s="1"/>
  <c r="L10" i="7"/>
  <c r="AC276" i="34"/>
  <c r="K8" i="7" s="1"/>
  <c r="K10" i="7"/>
  <c r="AC238" i="34"/>
  <c r="J22" i="7" s="1"/>
  <c r="J24" i="7"/>
  <c r="AC245" i="34"/>
  <c r="J8" i="7" s="1"/>
  <c r="J10" i="7"/>
  <c r="AC255" i="34"/>
  <c r="G248" i="34"/>
  <c r="G254" i="34"/>
  <c r="G256" i="34"/>
  <c r="G257" i="34"/>
  <c r="G258" i="34"/>
  <c r="G259" i="34"/>
  <c r="G260" i="34"/>
  <c r="G261" i="34"/>
  <c r="G262" i="34"/>
  <c r="G263" i="34"/>
  <c r="G264" i="34"/>
  <c r="G265" i="34"/>
  <c r="G266" i="34"/>
  <c r="G267" i="34"/>
  <c r="G269" i="34"/>
  <c r="G268" i="34"/>
  <c r="G270" i="34"/>
  <c r="G271" i="34"/>
  <c r="G272" i="34"/>
  <c r="G273" i="34"/>
  <c r="G274" i="34"/>
  <c r="K32" i="7" l="1"/>
  <c r="K34" i="7" s="1"/>
  <c r="J15" i="7"/>
  <c r="J29" i="7" s="1"/>
  <c r="J35" i="7" s="1"/>
  <c r="L32" i="7"/>
  <c r="L34" i="7" s="1"/>
  <c r="K29" i="7"/>
  <c r="K30" i="7" s="1"/>
  <c r="K40" i="7" s="1"/>
  <c r="K46" i="7" s="1"/>
  <c r="L29" i="7"/>
  <c r="L30" i="7" s="1"/>
  <c r="L40" i="7" s="1"/>
  <c r="L46" i="7" s="1"/>
  <c r="J32" i="7"/>
  <c r="J34" i="7" s="1"/>
  <c r="M38" i="7"/>
  <c r="M48" i="7"/>
  <c r="M55" i="7"/>
  <c r="M57" i="7"/>
  <c r="I56" i="7"/>
  <c r="I55" i="7"/>
  <c r="H56" i="7"/>
  <c r="H55" i="7"/>
  <c r="H57" i="7"/>
  <c r="H54" i="7"/>
  <c r="G57" i="7"/>
  <c r="G56" i="7"/>
  <c r="G55" i="7"/>
  <c r="G54" i="7"/>
  <c r="M54" i="7" s="1"/>
  <c r="F57" i="7"/>
  <c r="F56" i="7"/>
  <c r="F55" i="7"/>
  <c r="M56" i="7"/>
  <c r="L35" i="7" l="1"/>
  <c r="K35" i="7"/>
  <c r="J30" i="7"/>
  <c r="J40" i="7" s="1"/>
  <c r="J46" i="7" s="1"/>
  <c r="I23" i="7"/>
  <c r="H23" i="7"/>
  <c r="G23" i="7"/>
  <c r="F23" i="7"/>
  <c r="E23" i="7"/>
  <c r="I21" i="7"/>
  <c r="H21" i="7"/>
  <c r="G21" i="7"/>
  <c r="F21" i="7"/>
  <c r="E21" i="7"/>
  <c r="H17" i="7"/>
  <c r="F17" i="7"/>
  <c r="I16" i="7"/>
  <c r="H16" i="7"/>
  <c r="G16" i="7"/>
  <c r="F16" i="7"/>
  <c r="E16" i="7"/>
  <c r="H15" i="7"/>
  <c r="I14" i="7"/>
  <c r="H14" i="7"/>
  <c r="G14" i="7"/>
  <c r="F14" i="7"/>
  <c r="E14" i="7"/>
  <c r="I9" i="7"/>
  <c r="H9" i="7"/>
  <c r="G9" i="7"/>
  <c r="F9" i="7"/>
  <c r="E9" i="7"/>
  <c r="I7" i="7"/>
  <c r="H7" i="7"/>
  <c r="G7" i="7"/>
  <c r="F7" i="7"/>
  <c r="E7" i="7"/>
  <c r="G15" i="7"/>
  <c r="I17" i="7" l="1"/>
  <c r="H22" i="7"/>
  <c r="E22" i="7"/>
  <c r="F22" i="7"/>
  <c r="I22" i="7"/>
  <c r="G22" i="7"/>
  <c r="G17" i="7"/>
  <c r="F24" i="7"/>
  <c r="E24" i="7"/>
  <c r="G24" i="7"/>
  <c r="H24" i="7"/>
  <c r="F15" i="7"/>
  <c r="E17" i="7"/>
  <c r="I24" i="7"/>
  <c r="E28" i="7"/>
  <c r="M16" i="7"/>
  <c r="M14" i="7"/>
  <c r="M21" i="7"/>
  <c r="M9" i="7"/>
  <c r="M23" i="7"/>
  <c r="M7" i="7"/>
  <c r="I15" i="7"/>
  <c r="M15" i="7" s="1"/>
  <c r="E15" i="7"/>
  <c r="G10" i="7"/>
  <c r="E10" i="7"/>
  <c r="F10" i="7"/>
  <c r="H10" i="7"/>
  <c r="H32" i="7" s="1"/>
  <c r="I10" i="7"/>
  <c r="I28" i="7"/>
  <c r="I31" i="7"/>
  <c r="H28" i="7"/>
  <c r="H31" i="7"/>
  <c r="M17" i="7" l="1"/>
  <c r="M22" i="7"/>
  <c r="I32" i="7"/>
  <c r="I34" i="7" s="1"/>
  <c r="M24" i="7"/>
  <c r="M10" i="7"/>
  <c r="H34" i="7"/>
  <c r="G229" i="34" l="1"/>
  <c r="G230" i="34"/>
  <c r="G231" i="34"/>
  <c r="G232" i="34"/>
  <c r="G233" i="34"/>
  <c r="G234" i="34"/>
  <c r="G235" i="34"/>
  <c r="G237" i="34"/>
  <c r="G239" i="34"/>
  <c r="G238" i="34"/>
  <c r="G240" i="34"/>
  <c r="G241" i="34"/>
  <c r="G242" i="34"/>
  <c r="G243" i="34"/>
  <c r="G244" i="34"/>
  <c r="G245" i="34"/>
  <c r="G246" i="34"/>
  <c r="G247" i="34"/>
  <c r="G249" i="34"/>
  <c r="G250" i="34"/>
  <c r="G251" i="34"/>
  <c r="G253" i="34"/>
  <c r="G255" i="34"/>
  <c r="G252" i="34"/>
  <c r="G227" i="34" l="1"/>
  <c r="G228" i="34"/>
  <c r="G213" i="34" l="1"/>
  <c r="G214" i="34"/>
  <c r="G217" i="34"/>
  <c r="G215" i="34"/>
  <c r="G216" i="34"/>
  <c r="G218" i="34"/>
  <c r="G219" i="34"/>
  <c r="G220" i="34"/>
  <c r="G221" i="34"/>
  <c r="G222" i="34"/>
  <c r="G223" i="34"/>
  <c r="G224" i="34"/>
  <c r="G236" i="34"/>
  <c r="G225" i="34"/>
  <c r="G226" i="34"/>
  <c r="G205" i="34" l="1"/>
  <c r="G206" i="34"/>
  <c r="G207" i="34"/>
  <c r="G208" i="34"/>
  <c r="G209" i="34"/>
  <c r="G210" i="34"/>
  <c r="G211" i="34"/>
  <c r="G212" i="34"/>
  <c r="G204" i="34"/>
  <c r="F8" i="7" l="1"/>
  <c r="I8" i="7"/>
  <c r="I29" i="7" s="1"/>
  <c r="N2" i="34"/>
  <c r="AC2" i="34" s="1"/>
  <c r="E8" i="7" s="1"/>
  <c r="I35" i="7" l="1"/>
  <c r="I30" i="7"/>
  <c r="I40" i="7" s="1"/>
  <c r="I46" i="7" s="1"/>
  <c r="G8" i="7"/>
  <c r="H8" i="7"/>
  <c r="H29" i="7" s="1"/>
  <c r="H35" i="7" l="1"/>
  <c r="H30" i="7"/>
  <c r="H40" i="7" s="1"/>
  <c r="H46" i="7" s="1"/>
  <c r="M8" i="7"/>
  <c r="G28" i="7"/>
  <c r="G31" i="7"/>
  <c r="G870" i="3"/>
  <c r="G869" i="3" l="1"/>
  <c r="G871" i="3"/>
  <c r="G872" i="3"/>
  <c r="G873" i="3"/>
  <c r="G874" i="3"/>
  <c r="G875" i="3"/>
  <c r="G876" i="3"/>
  <c r="G877" i="3"/>
  <c r="G878" i="3"/>
  <c r="G879" i="3"/>
  <c r="G880" i="3"/>
  <c r="G881" i="3"/>
  <c r="G882" i="3"/>
  <c r="G883" i="3"/>
  <c r="G884" i="3"/>
  <c r="G885" i="3"/>
  <c r="G886" i="3"/>
  <c r="G887" i="3"/>
  <c r="G888" i="3"/>
  <c r="G889" i="3"/>
  <c r="G890" i="3"/>
  <c r="G891" i="3"/>
  <c r="G892" i="3"/>
  <c r="G893" i="3"/>
  <c r="G894" i="3"/>
  <c r="G895" i="3"/>
  <c r="G896" i="3"/>
  <c r="O856" i="3" l="1"/>
  <c r="O857" i="3"/>
  <c r="O858" i="3"/>
  <c r="O859" i="3"/>
  <c r="O860" i="3"/>
  <c r="O861" i="3"/>
  <c r="O862" i="3"/>
  <c r="O863" i="3"/>
  <c r="O864" i="3"/>
  <c r="O865" i="3"/>
  <c r="O866" i="3"/>
  <c r="O867" i="3"/>
  <c r="O868" i="3"/>
  <c r="O869" i="3"/>
  <c r="O870" i="3"/>
  <c r="O871" i="3"/>
  <c r="O872" i="3"/>
  <c r="O873" i="3"/>
  <c r="O874" i="3"/>
  <c r="O875" i="3"/>
  <c r="O876" i="3"/>
  <c r="O877" i="3"/>
  <c r="O878" i="3"/>
  <c r="O879" i="3"/>
  <c r="O880" i="3"/>
  <c r="O881" i="3"/>
  <c r="O882" i="3"/>
  <c r="O883" i="3"/>
  <c r="O884" i="3"/>
  <c r="O885" i="3"/>
  <c r="O886" i="3"/>
  <c r="O887" i="3"/>
  <c r="O888" i="3"/>
  <c r="O889" i="3"/>
  <c r="O890" i="3"/>
  <c r="O891" i="3"/>
  <c r="O892" i="3"/>
  <c r="O893" i="3"/>
  <c r="F16" i="23" l="1"/>
  <c r="F28" i="7" l="1"/>
  <c r="M28" i="7" l="1"/>
  <c r="F31" i="7"/>
  <c r="E31" i="7" l="1"/>
  <c r="M31" i="7" s="1"/>
  <c r="G19" i="30" l="1"/>
  <c r="G10" i="30"/>
  <c r="O1" i="28" l="1"/>
  <c r="G761" i="3" l="1"/>
  <c r="G762" i="3"/>
  <c r="G763" i="3"/>
  <c r="G764" i="3"/>
  <c r="G765" i="3"/>
  <c r="G766" i="3"/>
  <c r="G767" i="3"/>
  <c r="G768" i="3"/>
  <c r="G769" i="3"/>
  <c r="G770" i="3"/>
  <c r="G771" i="3"/>
  <c r="G772" i="3"/>
  <c r="G773" i="3"/>
  <c r="G774" i="3"/>
  <c r="G775" i="3"/>
  <c r="G776" i="3"/>
  <c r="G777" i="3"/>
  <c r="G778" i="3"/>
  <c r="G779" i="3"/>
  <c r="G780" i="3"/>
  <c r="G781" i="3"/>
  <c r="G782" i="3"/>
  <c r="G783" i="3"/>
  <c r="G784" i="3"/>
  <c r="G785" i="3"/>
  <c r="G786" i="3"/>
  <c r="G787" i="3"/>
  <c r="G788" i="3"/>
  <c r="G789" i="3"/>
  <c r="G790" i="3"/>
  <c r="G791" i="3"/>
  <c r="G792" i="3"/>
  <c r="G793" i="3"/>
  <c r="G794" i="3"/>
  <c r="G795" i="3"/>
  <c r="G796" i="3"/>
  <c r="G797" i="3"/>
  <c r="G798" i="3"/>
  <c r="G799" i="3"/>
  <c r="G800" i="3"/>
  <c r="G801" i="3"/>
  <c r="G802" i="3"/>
  <c r="G803" i="3"/>
  <c r="G804" i="3"/>
  <c r="G805" i="3"/>
  <c r="G806" i="3"/>
  <c r="G807" i="3"/>
  <c r="G808" i="3"/>
  <c r="G809" i="3"/>
  <c r="G810" i="3"/>
  <c r="G811" i="3"/>
  <c r="G812" i="3"/>
  <c r="G813" i="3"/>
  <c r="G814" i="3"/>
  <c r="G815" i="3"/>
  <c r="G816" i="3"/>
  <c r="G817" i="3"/>
  <c r="G818" i="3"/>
  <c r="G819" i="3"/>
  <c r="G820" i="3"/>
  <c r="G821" i="3"/>
  <c r="G822" i="3"/>
  <c r="G823" i="3"/>
  <c r="G824" i="3"/>
  <c r="G825" i="3"/>
  <c r="G826" i="3"/>
  <c r="G827" i="3"/>
  <c r="G828" i="3"/>
  <c r="G829" i="3"/>
  <c r="G830" i="3"/>
  <c r="G831" i="3"/>
  <c r="G832" i="3"/>
  <c r="G833" i="3"/>
  <c r="G834" i="3"/>
  <c r="G835" i="3"/>
  <c r="G836" i="3"/>
  <c r="G837" i="3"/>
  <c r="G838" i="3"/>
  <c r="G839" i="3"/>
  <c r="G840" i="3"/>
  <c r="G841" i="3"/>
  <c r="G842" i="3"/>
  <c r="G843" i="3"/>
  <c r="G844" i="3"/>
  <c r="G845" i="3"/>
  <c r="G846" i="3"/>
  <c r="G847" i="3"/>
  <c r="G848" i="3"/>
  <c r="G849" i="3"/>
  <c r="G850" i="3"/>
  <c r="G851" i="3"/>
  <c r="G852" i="3"/>
  <c r="G853" i="3"/>
  <c r="G854" i="3"/>
  <c r="G855" i="3"/>
  <c r="G856" i="3"/>
  <c r="G857" i="3"/>
  <c r="G858" i="3"/>
  <c r="G859" i="3"/>
  <c r="G860" i="3"/>
  <c r="G861" i="3"/>
  <c r="G862" i="3"/>
  <c r="G863" i="3"/>
  <c r="G864" i="3"/>
  <c r="G865" i="3"/>
  <c r="G866" i="3"/>
  <c r="G867" i="3"/>
  <c r="G868" i="3"/>
  <c r="G897" i="3"/>
  <c r="O755" i="3" l="1"/>
  <c r="O756" i="3"/>
  <c r="AC756" i="3" s="1"/>
  <c r="O757" i="3"/>
  <c r="O758" i="3"/>
  <c r="AC758" i="3" s="1"/>
  <c r="O759" i="3"/>
  <c r="O760" i="3"/>
  <c r="O761" i="3"/>
  <c r="G732" i="3"/>
  <c r="O678" i="3"/>
  <c r="G678" i="3"/>
  <c r="G745" i="3" l="1"/>
  <c r="O688" i="3" l="1"/>
  <c r="O691" i="3" l="1"/>
  <c r="O712" i="3"/>
  <c r="G715" i="3"/>
  <c r="O598" i="3" l="1"/>
  <c r="O599" i="3"/>
  <c r="AC599" i="3" s="1"/>
  <c r="O600" i="3"/>
  <c r="AC600" i="3" s="1"/>
  <c r="O601" i="3"/>
  <c r="O685" i="3"/>
  <c r="AC685" i="3" s="1"/>
  <c r="G685" i="3"/>
  <c r="G664" i="3" l="1"/>
  <c r="G665" i="3"/>
  <c r="G666" i="3"/>
  <c r="G659" i="3"/>
  <c r="G667" i="3"/>
  <c r="G668" i="3"/>
  <c r="G669" i="3"/>
  <c r="G660" i="3"/>
  <c r="G670" i="3"/>
  <c r="G671" i="3"/>
  <c r="G672" i="3"/>
  <c r="G673" i="3"/>
  <c r="G674" i="3"/>
  <c r="G675" i="3"/>
  <c r="G676" i="3"/>
  <c r="G677" i="3"/>
  <c r="G679" i="3"/>
  <c r="G680" i="3"/>
  <c r="G681" i="3"/>
  <c r="G682" i="3"/>
  <c r="G683" i="3"/>
  <c r="G684" i="3"/>
  <c r="G686" i="3"/>
  <c r="G687" i="3"/>
  <c r="G688" i="3"/>
  <c r="G689" i="3"/>
  <c r="G690" i="3"/>
  <c r="G691" i="3"/>
  <c r="G692" i="3"/>
  <c r="G693" i="3"/>
  <c r="G694" i="3"/>
  <c r="G695" i="3"/>
  <c r="G697" i="3"/>
  <c r="G698" i="3"/>
  <c r="G699" i="3"/>
  <c r="G700" i="3"/>
  <c r="G701" i="3"/>
  <c r="G702" i="3"/>
  <c r="G703" i="3"/>
  <c r="G704" i="3"/>
  <c r="G705" i="3"/>
  <c r="G696" i="3"/>
  <c r="G706" i="3"/>
  <c r="G707" i="3"/>
  <c r="G708" i="3"/>
  <c r="G709" i="3"/>
  <c r="G710" i="3"/>
  <c r="G711" i="3"/>
  <c r="G712" i="3"/>
  <c r="G716" i="3"/>
  <c r="G717" i="3"/>
  <c r="G713" i="3"/>
  <c r="G718" i="3"/>
  <c r="G719" i="3"/>
  <c r="G720" i="3"/>
  <c r="G721" i="3"/>
  <c r="G722" i="3"/>
  <c r="G714" i="3"/>
  <c r="G723" i="3"/>
  <c r="G724" i="3"/>
  <c r="G726" i="3"/>
  <c r="G727" i="3"/>
  <c r="G728" i="3"/>
  <c r="G729" i="3"/>
  <c r="G730" i="3"/>
  <c r="G734" i="3"/>
  <c r="G735" i="3"/>
  <c r="G736" i="3"/>
  <c r="G737" i="3"/>
  <c r="G738" i="3"/>
  <c r="G740" i="3"/>
  <c r="G731" i="3"/>
  <c r="G739" i="3"/>
  <c r="G741" i="3"/>
  <c r="G742" i="3"/>
  <c r="G743" i="3"/>
  <c r="G746" i="3"/>
  <c r="G747" i="3"/>
  <c r="G749" i="3"/>
  <c r="G750" i="3"/>
  <c r="G751" i="3"/>
  <c r="G748" i="3"/>
  <c r="G752" i="3"/>
  <c r="G753" i="3"/>
  <c r="G754" i="3"/>
  <c r="G755" i="3"/>
  <c r="G756" i="3"/>
  <c r="G725" i="3"/>
  <c r="G733" i="3"/>
  <c r="G744" i="3"/>
  <c r="G757" i="3"/>
  <c r="G640" i="3"/>
  <c r="G759" i="3"/>
  <c r="G760" i="3"/>
  <c r="G758" i="3"/>
  <c r="G663" i="3" l="1"/>
  <c r="G662" i="3"/>
  <c r="G658" i="3"/>
  <c r="O661" i="3"/>
  <c r="O658" i="3"/>
  <c r="O662" i="3"/>
  <c r="O663" i="3"/>
  <c r="O664" i="3"/>
  <c r="O665" i="3"/>
  <c r="AC665" i="3" s="1"/>
  <c r="O666" i="3"/>
  <c r="O659" i="3"/>
  <c r="O667" i="3"/>
  <c r="O668" i="3"/>
  <c r="O669" i="3"/>
  <c r="AC669" i="3" s="1"/>
  <c r="O660" i="3"/>
  <c r="O670" i="3"/>
  <c r="O671" i="3"/>
  <c r="O672" i="3"/>
  <c r="O673" i="3"/>
  <c r="O674" i="3"/>
  <c r="O675" i="3"/>
  <c r="O676" i="3"/>
  <c r="O677" i="3"/>
  <c r="O679" i="3"/>
  <c r="AC679" i="3" s="1"/>
  <c r="O680" i="3"/>
  <c r="O681" i="3"/>
  <c r="O682" i="3"/>
  <c r="O683" i="3"/>
  <c r="O684" i="3"/>
  <c r="O686" i="3"/>
  <c r="O689" i="3"/>
  <c r="O690" i="3"/>
  <c r="O697" i="3"/>
  <c r="O698" i="3"/>
  <c r="O699" i="3"/>
  <c r="AC699" i="3" s="1"/>
  <c r="O700" i="3"/>
  <c r="AC700" i="3" s="1"/>
  <c r="O701" i="3"/>
  <c r="O702" i="3"/>
  <c r="O703" i="3"/>
  <c r="O704" i="3"/>
  <c r="O705" i="3"/>
  <c r="O696" i="3"/>
  <c r="O706" i="3"/>
  <c r="O707" i="3"/>
  <c r="O708" i="3"/>
  <c r="O709" i="3"/>
  <c r="O710" i="3"/>
  <c r="O711" i="3"/>
  <c r="O715" i="3"/>
  <c r="O716" i="3"/>
  <c r="O717" i="3"/>
  <c r="O713" i="3"/>
  <c r="O718" i="3"/>
  <c r="O719" i="3"/>
  <c r="O720" i="3"/>
  <c r="O721" i="3"/>
  <c r="O722" i="3"/>
  <c r="AC722" i="3" s="1"/>
  <c r="O714" i="3"/>
  <c r="O723" i="3"/>
  <c r="O724" i="3"/>
  <c r="O726" i="3"/>
  <c r="O727" i="3"/>
  <c r="O728" i="3"/>
  <c r="O729" i="3"/>
  <c r="AC729" i="3" s="1"/>
  <c r="O730" i="3"/>
  <c r="O734" i="3"/>
  <c r="O735" i="3"/>
  <c r="O736" i="3"/>
  <c r="AC736" i="3" s="1"/>
  <c r="O737" i="3"/>
  <c r="O738" i="3"/>
  <c r="O740" i="3"/>
  <c r="O731" i="3"/>
  <c r="O739" i="3"/>
  <c r="O741" i="3"/>
  <c r="AC741" i="3" s="1"/>
  <c r="O742" i="3"/>
  <c r="O743" i="3"/>
  <c r="AC743" i="3" s="1"/>
  <c r="O745" i="3"/>
  <c r="O746" i="3"/>
  <c r="O747" i="3"/>
  <c r="O749" i="3"/>
  <c r="O750" i="3"/>
  <c r="O751" i="3"/>
  <c r="O748" i="3"/>
  <c r="O752" i="3"/>
  <c r="O753" i="3"/>
  <c r="O754" i="3"/>
  <c r="O732" i="3"/>
  <c r="O725" i="3"/>
  <c r="O733" i="3"/>
  <c r="O744" i="3"/>
  <c r="AC757" i="3"/>
  <c r="O640" i="3"/>
  <c r="O762" i="3"/>
  <c r="O763" i="3"/>
  <c r="O764" i="3"/>
  <c r="O765" i="3"/>
  <c r="O766" i="3"/>
  <c r="O767" i="3"/>
  <c r="O768" i="3"/>
  <c r="O769" i="3"/>
  <c r="O770" i="3"/>
  <c r="O771" i="3"/>
  <c r="O772" i="3"/>
  <c r="O773" i="3"/>
  <c r="O774" i="3"/>
  <c r="O775" i="3"/>
  <c r="O776" i="3"/>
  <c r="O777" i="3"/>
  <c r="O778" i="3"/>
  <c r="O779" i="3"/>
  <c r="O780" i="3"/>
  <c r="O781" i="3"/>
  <c r="O782" i="3"/>
  <c r="O783" i="3"/>
  <c r="O784" i="3"/>
  <c r="O785" i="3"/>
  <c r="O786" i="3"/>
  <c r="O787" i="3"/>
  <c r="O788" i="3"/>
  <c r="O789" i="3"/>
  <c r="O790" i="3"/>
  <c r="O791" i="3"/>
  <c r="O792" i="3"/>
  <c r="AC792" i="3" s="1"/>
  <c r="O793" i="3"/>
  <c r="AC793" i="3" s="1"/>
  <c r="O794" i="3"/>
  <c r="O795" i="3"/>
  <c r="O796" i="3"/>
  <c r="O797" i="3"/>
  <c r="O798" i="3"/>
  <c r="O799" i="3"/>
  <c r="O800" i="3"/>
  <c r="O801" i="3"/>
  <c r="O802" i="3"/>
  <c r="O803" i="3"/>
  <c r="O804" i="3"/>
  <c r="AC804" i="3" s="1"/>
  <c r="O805" i="3"/>
  <c r="O806" i="3"/>
  <c r="O807" i="3"/>
  <c r="O808" i="3"/>
  <c r="O809" i="3"/>
  <c r="O810" i="3"/>
  <c r="O811" i="3"/>
  <c r="O812" i="3"/>
  <c r="O813" i="3"/>
  <c r="O814" i="3"/>
  <c r="O815" i="3"/>
  <c r="O816" i="3"/>
  <c r="O817" i="3"/>
  <c r="O818" i="3"/>
  <c r="O819" i="3"/>
  <c r="O820" i="3"/>
  <c r="O821" i="3"/>
  <c r="O822" i="3"/>
  <c r="O823" i="3"/>
  <c r="O824" i="3"/>
  <c r="O825" i="3"/>
  <c r="O826" i="3"/>
  <c r="O827" i="3"/>
  <c r="O828" i="3"/>
  <c r="O829" i="3"/>
  <c r="O830" i="3"/>
  <c r="O831" i="3"/>
  <c r="O832" i="3"/>
  <c r="O833" i="3"/>
  <c r="O834" i="3"/>
  <c r="O835" i="3"/>
  <c r="O836" i="3"/>
  <c r="AC836" i="3" s="1"/>
  <c r="O837" i="3"/>
  <c r="O838" i="3"/>
  <c r="O839" i="3"/>
  <c r="O840" i="3"/>
  <c r="O841" i="3"/>
  <c r="O842" i="3"/>
  <c r="O843" i="3"/>
  <c r="O844" i="3"/>
  <c r="O845" i="3"/>
  <c r="O846" i="3"/>
  <c r="O847" i="3"/>
  <c r="O848" i="3"/>
  <c r="O849" i="3"/>
  <c r="O850" i="3"/>
  <c r="O851" i="3"/>
  <c r="O852" i="3"/>
  <c r="O853" i="3"/>
  <c r="O854" i="3"/>
  <c r="O855" i="3"/>
  <c r="G661" i="3"/>
  <c r="G32" i="7" l="1"/>
  <c r="G34" i="7" s="1"/>
  <c r="AC775" i="3"/>
  <c r="AC720" i="3"/>
  <c r="O11" i="3"/>
  <c r="G9" i="3"/>
  <c r="F32" i="7" l="1"/>
  <c r="F34" i="7" s="1"/>
  <c r="E32" i="7"/>
  <c r="O624" i="3"/>
  <c r="O623" i="3"/>
  <c r="O612" i="3"/>
  <c r="O609" i="3"/>
  <c r="O608" i="3"/>
  <c r="O586" i="3"/>
  <c r="AC586" i="3" s="1"/>
  <c r="O584" i="3"/>
  <c r="O583" i="3"/>
  <c r="O580" i="3"/>
  <c r="O579" i="3"/>
  <c r="O577" i="3"/>
  <c r="O575" i="3"/>
  <c r="O574" i="3"/>
  <c r="O571" i="3"/>
  <c r="O569" i="3"/>
  <c r="O568" i="3"/>
  <c r="AC568" i="3" s="1"/>
  <c r="O567" i="3"/>
  <c r="O565" i="3"/>
  <c r="O556" i="3"/>
  <c r="O555" i="3"/>
  <c r="O554" i="3"/>
  <c r="O553" i="3"/>
  <c r="O551" i="3"/>
  <c r="O550" i="3"/>
  <c r="O549" i="3"/>
  <c r="O548" i="3"/>
  <c r="AC548" i="3" s="1"/>
  <c r="O539" i="3"/>
  <c r="O538" i="3"/>
  <c r="O534" i="3"/>
  <c r="O533" i="3"/>
  <c r="O530" i="3"/>
  <c r="O528" i="3"/>
  <c r="O521" i="3"/>
  <c r="O520" i="3"/>
  <c r="O519" i="3"/>
  <c r="O513" i="3"/>
  <c r="O512" i="3"/>
  <c r="O511" i="3"/>
  <c r="O508" i="3"/>
  <c r="O503" i="3"/>
  <c r="O502" i="3"/>
  <c r="O501" i="3"/>
  <c r="O497" i="3"/>
  <c r="O496" i="3"/>
  <c r="O495" i="3"/>
  <c r="O490" i="3"/>
  <c r="O489" i="3"/>
  <c r="O488" i="3"/>
  <c r="O487" i="3"/>
  <c r="O481" i="3"/>
  <c r="O480" i="3"/>
  <c r="O479" i="3"/>
  <c r="O476" i="3"/>
  <c r="O468" i="3"/>
  <c r="O463" i="3"/>
  <c r="O462" i="3"/>
  <c r="O461" i="3"/>
  <c r="O459" i="3"/>
  <c r="O458" i="3"/>
  <c r="O457" i="3"/>
  <c r="O455" i="3"/>
  <c r="O454" i="3"/>
  <c r="O451" i="3"/>
  <c r="O450" i="3"/>
  <c r="O449" i="3"/>
  <c r="O447" i="3"/>
  <c r="O446" i="3"/>
  <c r="O445" i="3"/>
  <c r="O441" i="3"/>
  <c r="O440" i="3"/>
  <c r="O439" i="3"/>
  <c r="O438" i="3"/>
  <c r="O437" i="3"/>
  <c r="O435" i="3"/>
  <c r="O433" i="3"/>
  <c r="O430" i="3"/>
  <c r="O429" i="3"/>
  <c r="O428" i="3"/>
  <c r="O420" i="3"/>
  <c r="O418" i="3"/>
  <c r="O417" i="3"/>
  <c r="O416" i="3"/>
  <c r="O411" i="3"/>
  <c r="O409" i="3"/>
  <c r="O408" i="3"/>
  <c r="O406" i="3"/>
  <c r="O405" i="3"/>
  <c r="O403" i="3"/>
  <c r="O402" i="3"/>
  <c r="O401" i="3"/>
  <c r="O400" i="3"/>
  <c r="O396" i="3"/>
  <c r="O394" i="3"/>
  <c r="O393" i="3"/>
  <c r="O392" i="3"/>
  <c r="O389" i="3"/>
  <c r="O388" i="3"/>
  <c r="O382" i="3"/>
  <c r="O376" i="3"/>
  <c r="O364" i="3"/>
  <c r="O358" i="3"/>
  <c r="O355" i="3"/>
  <c r="O354" i="3"/>
  <c r="O353" i="3"/>
  <c r="O349" i="3"/>
  <c r="O348" i="3"/>
  <c r="O344" i="3"/>
  <c r="O342" i="3"/>
  <c r="O334" i="3"/>
  <c r="O327" i="3"/>
  <c r="O326" i="3"/>
  <c r="O325" i="3"/>
  <c r="O321" i="3"/>
  <c r="O320" i="3"/>
  <c r="O319" i="3"/>
  <c r="O318" i="3"/>
  <c r="O317" i="3"/>
  <c r="O316" i="3"/>
  <c r="O315" i="3"/>
  <c r="O314" i="3"/>
  <c r="O307" i="3"/>
  <c r="O306" i="3"/>
  <c r="O302" i="3"/>
  <c r="O300" i="3"/>
  <c r="O299" i="3"/>
  <c r="O297" i="3"/>
  <c r="O290" i="3"/>
  <c r="O285" i="3"/>
  <c r="O280" i="3"/>
  <c r="O278" i="3"/>
  <c r="O277" i="3"/>
  <c r="O273" i="3"/>
  <c r="O272" i="3"/>
  <c r="O270" i="3"/>
  <c r="O269" i="3"/>
  <c r="O268" i="3"/>
  <c r="O267" i="3"/>
  <c r="O266" i="3"/>
  <c r="O264" i="3"/>
  <c r="O261" i="3"/>
  <c r="O259" i="3"/>
  <c r="O256" i="3"/>
  <c r="O254" i="3"/>
  <c r="O252" i="3"/>
  <c r="O251" i="3"/>
  <c r="O250" i="3"/>
  <c r="O249" i="3"/>
  <c r="O248" i="3"/>
  <c r="O244" i="3"/>
  <c r="O242" i="3"/>
  <c r="O238" i="3"/>
  <c r="O233" i="3"/>
  <c r="O232" i="3"/>
  <c r="O224" i="3"/>
  <c r="O223" i="3"/>
  <c r="O222" i="3"/>
  <c r="O219" i="3"/>
  <c r="O217" i="3"/>
  <c r="O216" i="3"/>
  <c r="O215" i="3"/>
  <c r="O214" i="3"/>
  <c r="O198" i="3"/>
  <c r="O197" i="3"/>
  <c r="O193" i="3"/>
  <c r="O191" i="3"/>
  <c r="O188" i="3"/>
  <c r="O185" i="3"/>
  <c r="O180" i="3"/>
  <c r="O178" i="3"/>
  <c r="O177" i="3"/>
  <c r="O176" i="3"/>
  <c r="O174" i="3"/>
  <c r="O169" i="3"/>
  <c r="O166" i="3"/>
  <c r="O165" i="3"/>
  <c r="O164" i="3"/>
  <c r="O163" i="3"/>
  <c r="O159" i="3"/>
  <c r="O158" i="3"/>
  <c r="O157" i="3"/>
  <c r="O154" i="3"/>
  <c r="O151" i="3"/>
  <c r="O150" i="3"/>
  <c r="O148" i="3"/>
  <c r="O146" i="3"/>
  <c r="O144" i="3"/>
  <c r="O143" i="3"/>
  <c r="O140" i="3"/>
  <c r="O138" i="3"/>
  <c r="O135" i="3"/>
  <c r="O127" i="3"/>
  <c r="O126" i="3"/>
  <c r="O124" i="3"/>
  <c r="O123" i="3"/>
  <c r="O122" i="3"/>
  <c r="O121" i="3"/>
  <c r="O118" i="3"/>
  <c r="O2" i="3"/>
  <c r="E34" i="7" l="1"/>
  <c r="M32" i="7"/>
  <c r="G625" i="3"/>
  <c r="G2" i="3" l="1"/>
  <c r="G3" i="3"/>
  <c r="G4" i="3"/>
  <c r="G5" i="3"/>
  <c r="G6" i="3"/>
  <c r="G7" i="3"/>
  <c r="G8" i="3"/>
  <c r="G10" i="3"/>
  <c r="G11" i="3"/>
  <c r="G14" i="3"/>
  <c r="G15" i="3"/>
  <c r="G16" i="3"/>
  <c r="G17" i="3"/>
  <c r="G18" i="3"/>
  <c r="G20" i="3"/>
  <c r="G21" i="3"/>
  <c r="G22" i="3"/>
  <c r="G23" i="3"/>
  <c r="G24" i="3"/>
  <c r="G25" i="3"/>
  <c r="G26" i="3"/>
  <c r="G27" i="3"/>
  <c r="G28" i="3"/>
  <c r="G29" i="3"/>
  <c r="G30" i="3"/>
  <c r="G32" i="3"/>
  <c r="G33" i="3"/>
  <c r="G34" i="3"/>
  <c r="G35" i="3"/>
  <c r="G36" i="3"/>
  <c r="G37" i="3"/>
  <c r="G38" i="3"/>
  <c r="G39" i="3"/>
  <c r="G40" i="3"/>
  <c r="G41" i="3"/>
  <c r="G42" i="3"/>
  <c r="G43" i="3"/>
  <c r="G44" i="3"/>
  <c r="G45" i="3"/>
  <c r="G46" i="3"/>
  <c r="G47" i="3"/>
  <c r="G48" i="3"/>
  <c r="G50" i="3"/>
  <c r="G51" i="3"/>
  <c r="G52" i="3"/>
  <c r="G53" i="3"/>
  <c r="G54" i="3"/>
  <c r="G55" i="3"/>
  <c r="G56" i="3"/>
  <c r="G57" i="3"/>
  <c r="G58" i="3"/>
  <c r="G59" i="3"/>
  <c r="G60" i="3"/>
  <c r="G61" i="3"/>
  <c r="G62" i="3"/>
  <c r="G63" i="3"/>
  <c r="G64" i="3"/>
  <c r="G65" i="3"/>
  <c r="G66" i="3"/>
  <c r="G67" i="3"/>
  <c r="G68" i="3"/>
  <c r="G69" i="3"/>
  <c r="G70" i="3"/>
  <c r="G71" i="3"/>
  <c r="G72" i="3"/>
  <c r="G73" i="3"/>
  <c r="G74" i="3"/>
  <c r="G75" i="3"/>
  <c r="G76" i="3"/>
  <c r="G77" i="3"/>
  <c r="G79" i="3"/>
  <c r="G80" i="3"/>
  <c r="G81" i="3"/>
  <c r="G82" i="3"/>
  <c r="G83" i="3"/>
  <c r="G84" i="3"/>
  <c r="G85" i="3"/>
  <c r="G86" i="3"/>
  <c r="G87" i="3"/>
  <c r="G88" i="3"/>
  <c r="G89" i="3"/>
  <c r="G90" i="3"/>
  <c r="G91" i="3"/>
  <c r="G92" i="3"/>
  <c r="G93" i="3"/>
  <c r="G94" i="3"/>
  <c r="G95" i="3"/>
  <c r="G96" i="3"/>
  <c r="G97" i="3"/>
  <c r="G98" i="3"/>
  <c r="G99" i="3"/>
  <c r="G100" i="3"/>
  <c r="G101" i="3"/>
  <c r="G102" i="3"/>
  <c r="G103" i="3"/>
  <c r="G104" i="3"/>
  <c r="G105" i="3"/>
  <c r="G106" i="3"/>
  <c r="G107" i="3"/>
  <c r="G108" i="3"/>
  <c r="G109" i="3"/>
  <c r="G110" i="3"/>
  <c r="G111" i="3"/>
  <c r="G112" i="3"/>
  <c r="G113" i="3"/>
  <c r="G114" i="3"/>
  <c r="G115" i="3"/>
  <c r="G116" i="3"/>
  <c r="G117" i="3"/>
  <c r="G118" i="3"/>
  <c r="G119" i="3"/>
  <c r="G120" i="3"/>
  <c r="G121" i="3"/>
  <c r="G122" i="3"/>
  <c r="G123" i="3"/>
  <c r="G124" i="3"/>
  <c r="G125" i="3"/>
  <c r="G126" i="3"/>
  <c r="G127" i="3"/>
  <c r="G128" i="3"/>
  <c r="G129" i="3"/>
  <c r="G130" i="3"/>
  <c r="G131" i="3"/>
  <c r="G132" i="3"/>
  <c r="G133" i="3"/>
  <c r="G134" i="3"/>
  <c r="G135" i="3"/>
  <c r="G136" i="3"/>
  <c r="G137" i="3"/>
  <c r="G138" i="3"/>
  <c r="G139" i="3"/>
  <c r="G140" i="3"/>
  <c r="G141" i="3"/>
  <c r="G142" i="3"/>
  <c r="G143" i="3"/>
  <c r="G144" i="3"/>
  <c r="G145" i="3"/>
  <c r="G146" i="3"/>
  <c r="G147" i="3"/>
  <c r="G148" i="3"/>
  <c r="G149" i="3"/>
  <c r="G150" i="3"/>
  <c r="G151" i="3"/>
  <c r="G152" i="3"/>
  <c r="G153" i="3"/>
  <c r="G154" i="3"/>
  <c r="G155" i="3"/>
  <c r="G156" i="3"/>
  <c r="G157" i="3"/>
  <c r="G158" i="3"/>
  <c r="G159" i="3"/>
  <c r="G160" i="3"/>
  <c r="G161" i="3"/>
  <c r="G162" i="3"/>
  <c r="G163" i="3"/>
  <c r="G164" i="3"/>
  <c r="G165" i="3"/>
  <c r="G166" i="3"/>
  <c r="G167" i="3"/>
  <c r="G168" i="3"/>
  <c r="G169" i="3"/>
  <c r="G170" i="3"/>
  <c r="G171" i="3"/>
  <c r="G172" i="3"/>
  <c r="G173" i="3"/>
  <c r="G174" i="3"/>
  <c r="G175" i="3"/>
  <c r="G176" i="3"/>
  <c r="G177" i="3"/>
  <c r="G178" i="3"/>
  <c r="G179" i="3"/>
  <c r="G180" i="3"/>
  <c r="G181" i="3"/>
  <c r="G182" i="3"/>
  <c r="G183" i="3"/>
  <c r="G184" i="3"/>
  <c r="G185" i="3"/>
  <c r="G186" i="3"/>
  <c r="G187" i="3"/>
  <c r="G188" i="3"/>
  <c r="G189" i="3"/>
  <c r="G190" i="3"/>
  <c r="G191" i="3"/>
  <c r="G192" i="3"/>
  <c r="G193" i="3"/>
  <c r="G194" i="3"/>
  <c r="G195" i="3"/>
  <c r="G196" i="3"/>
  <c r="G197" i="3"/>
  <c r="G198" i="3"/>
  <c r="G199" i="3"/>
  <c r="G200" i="3"/>
  <c r="G201" i="3"/>
  <c r="G202" i="3"/>
  <c r="G203" i="3"/>
  <c r="G204" i="3"/>
  <c r="G205" i="3"/>
  <c r="G206" i="3"/>
  <c r="G207" i="3"/>
  <c r="G208" i="3"/>
  <c r="G209" i="3"/>
  <c r="G210" i="3"/>
  <c r="G211" i="3"/>
  <c r="G212" i="3"/>
  <c r="G213" i="3"/>
  <c r="G214" i="3"/>
  <c r="G215" i="3"/>
  <c r="G216" i="3"/>
  <c r="G217" i="3"/>
  <c r="G218" i="3"/>
  <c r="G219" i="3"/>
  <c r="G220" i="3"/>
  <c r="G221" i="3"/>
  <c r="G222" i="3"/>
  <c r="G223" i="3"/>
  <c r="G224" i="3"/>
  <c r="G225" i="3"/>
  <c r="G226" i="3"/>
  <c r="G227" i="3"/>
  <c r="G228" i="3"/>
  <c r="G229" i="3"/>
  <c r="G230" i="3"/>
  <c r="G231" i="3"/>
  <c r="G232" i="3"/>
  <c r="G233" i="3"/>
  <c r="G234" i="3"/>
  <c r="G235" i="3"/>
  <c r="G236" i="3"/>
  <c r="G237" i="3"/>
  <c r="G238" i="3"/>
  <c r="G239" i="3"/>
  <c r="G240" i="3"/>
  <c r="G241" i="3"/>
  <c r="G242" i="3"/>
  <c r="G243" i="3"/>
  <c r="G244" i="3"/>
  <c r="G245" i="3"/>
  <c r="G246" i="3"/>
  <c r="G247" i="3"/>
  <c r="G248" i="3"/>
  <c r="G249" i="3"/>
  <c r="G250" i="3"/>
  <c r="G251" i="3"/>
  <c r="G252" i="3"/>
  <c r="G253" i="3"/>
  <c r="G254" i="3"/>
  <c r="G255" i="3"/>
  <c r="G256" i="3"/>
  <c r="G257" i="3"/>
  <c r="G258" i="3"/>
  <c r="G259" i="3"/>
  <c r="G260" i="3"/>
  <c r="G261" i="3"/>
  <c r="G262" i="3"/>
  <c r="G263" i="3"/>
  <c r="G264" i="3"/>
  <c r="G265" i="3"/>
  <c r="G266" i="3"/>
  <c r="G267" i="3"/>
  <c r="G268" i="3"/>
  <c r="G269" i="3"/>
  <c r="G270" i="3"/>
  <c r="G271" i="3"/>
  <c r="G272" i="3"/>
  <c r="G273" i="3"/>
  <c r="G274" i="3"/>
  <c r="G275" i="3"/>
  <c r="G276" i="3"/>
  <c r="G277" i="3"/>
  <c r="G278" i="3"/>
  <c r="G279" i="3"/>
  <c r="G280" i="3"/>
  <c r="G281" i="3"/>
  <c r="G282" i="3"/>
  <c r="G283" i="3"/>
  <c r="G284" i="3"/>
  <c r="G285" i="3"/>
  <c r="G286" i="3"/>
  <c r="G287" i="3"/>
  <c r="G288" i="3"/>
  <c r="G289" i="3"/>
  <c r="G290" i="3"/>
  <c r="G291" i="3"/>
  <c r="G292" i="3"/>
  <c r="G293" i="3"/>
  <c r="G294" i="3"/>
  <c r="G295" i="3"/>
  <c r="G296" i="3"/>
  <c r="G297" i="3"/>
  <c r="G298" i="3"/>
  <c r="G299" i="3"/>
  <c r="G300" i="3"/>
  <c r="G301" i="3"/>
  <c r="G302" i="3"/>
  <c r="G303" i="3"/>
  <c r="G304" i="3"/>
  <c r="G305" i="3"/>
  <c r="G306" i="3"/>
  <c r="G307" i="3"/>
  <c r="G308" i="3"/>
  <c r="G309" i="3"/>
  <c r="G310" i="3"/>
  <c r="G311" i="3"/>
  <c r="G312" i="3"/>
  <c r="G313" i="3"/>
  <c r="G314" i="3"/>
  <c r="G315" i="3"/>
  <c r="G316" i="3"/>
  <c r="G317" i="3"/>
  <c r="G318" i="3"/>
  <c r="G319" i="3"/>
  <c r="G320" i="3"/>
  <c r="G321" i="3"/>
  <c r="G322" i="3"/>
  <c r="G323" i="3"/>
  <c r="G324" i="3"/>
  <c r="G325" i="3"/>
  <c r="G326" i="3"/>
  <c r="G327" i="3"/>
  <c r="G328" i="3"/>
  <c r="G329" i="3"/>
  <c r="G330" i="3"/>
  <c r="G331" i="3"/>
  <c r="G332" i="3"/>
  <c r="G333" i="3"/>
  <c r="G334" i="3"/>
  <c r="G335" i="3"/>
  <c r="G336" i="3"/>
  <c r="G337" i="3"/>
  <c r="G338" i="3"/>
  <c r="G339" i="3"/>
  <c r="G340" i="3"/>
  <c r="G341" i="3"/>
  <c r="G342" i="3"/>
  <c r="G343" i="3"/>
  <c r="G344" i="3"/>
  <c r="G345" i="3"/>
  <c r="G346" i="3"/>
  <c r="G347" i="3"/>
  <c r="G348" i="3"/>
  <c r="G349" i="3"/>
  <c r="G350" i="3"/>
  <c r="G351" i="3"/>
  <c r="G352" i="3"/>
  <c r="G353" i="3"/>
  <c r="G354" i="3"/>
  <c r="G355" i="3"/>
  <c r="G356" i="3"/>
  <c r="G357" i="3"/>
  <c r="G358" i="3"/>
  <c r="G359" i="3"/>
  <c r="G360" i="3"/>
  <c r="G361" i="3"/>
  <c r="G362" i="3"/>
  <c r="G363" i="3"/>
  <c r="G364" i="3"/>
  <c r="G365" i="3"/>
  <c r="G366" i="3"/>
  <c r="G367" i="3"/>
  <c r="G368" i="3"/>
  <c r="G369" i="3"/>
  <c r="G370" i="3"/>
  <c r="G371" i="3"/>
  <c r="G372" i="3"/>
  <c r="G373" i="3"/>
  <c r="G374" i="3"/>
  <c r="G375" i="3"/>
  <c r="G376" i="3"/>
  <c r="G377" i="3"/>
  <c r="G378" i="3"/>
  <c r="G379" i="3"/>
  <c r="G380" i="3"/>
  <c r="G381" i="3"/>
  <c r="G382" i="3"/>
  <c r="G383" i="3"/>
  <c r="G384" i="3"/>
  <c r="G385" i="3"/>
  <c r="G386" i="3"/>
  <c r="G387" i="3"/>
  <c r="G388" i="3"/>
  <c r="G389" i="3"/>
  <c r="G390" i="3"/>
  <c r="G391" i="3"/>
  <c r="G392" i="3"/>
  <c r="G393" i="3"/>
  <c r="G394" i="3"/>
  <c r="G395" i="3"/>
  <c r="G396" i="3"/>
  <c r="G397" i="3"/>
  <c r="G398" i="3"/>
  <c r="G399" i="3"/>
  <c r="G400" i="3"/>
  <c r="G401" i="3"/>
  <c r="G402" i="3"/>
  <c r="G403" i="3"/>
  <c r="G404" i="3"/>
  <c r="G405" i="3"/>
  <c r="G406" i="3"/>
  <c r="G407" i="3"/>
  <c r="G408" i="3"/>
  <c r="G409" i="3"/>
  <c r="G410" i="3"/>
  <c r="G411" i="3"/>
  <c r="G412" i="3"/>
  <c r="G413" i="3"/>
  <c r="G414" i="3"/>
  <c r="G415" i="3"/>
  <c r="G416" i="3"/>
  <c r="G417" i="3"/>
  <c r="G418" i="3"/>
  <c r="G419" i="3"/>
  <c r="G420" i="3"/>
  <c r="G421" i="3"/>
  <c r="G422" i="3"/>
  <c r="G423" i="3"/>
  <c r="G424" i="3"/>
  <c r="G425" i="3"/>
  <c r="G426" i="3"/>
  <c r="G427" i="3"/>
  <c r="G428" i="3"/>
  <c r="G429" i="3"/>
  <c r="G430" i="3"/>
  <c r="G431" i="3"/>
  <c r="G432" i="3"/>
  <c r="G433" i="3"/>
  <c r="G434" i="3"/>
  <c r="G435" i="3"/>
  <c r="G436" i="3"/>
  <c r="G437" i="3"/>
  <c r="G438" i="3"/>
  <c r="G439" i="3"/>
  <c r="G440" i="3"/>
  <c r="G441" i="3"/>
  <c r="G442" i="3"/>
  <c r="G443" i="3"/>
  <c r="G444" i="3"/>
  <c r="G445" i="3"/>
  <c r="G446" i="3"/>
  <c r="G447" i="3"/>
  <c r="G448" i="3"/>
  <c r="G449" i="3"/>
  <c r="G450" i="3"/>
  <c r="G451" i="3"/>
  <c r="G452" i="3"/>
  <c r="G454" i="3"/>
  <c r="G455" i="3"/>
  <c r="G456" i="3"/>
  <c r="G457" i="3"/>
  <c r="G458" i="3"/>
  <c r="G459" i="3"/>
  <c r="G460" i="3"/>
  <c r="G461" i="3"/>
  <c r="G462" i="3"/>
  <c r="G463" i="3"/>
  <c r="G464" i="3"/>
  <c r="G465" i="3"/>
  <c r="G466" i="3"/>
  <c r="G467" i="3"/>
  <c r="G468" i="3"/>
  <c r="G469" i="3"/>
  <c r="G470" i="3"/>
  <c r="G471" i="3"/>
  <c r="G472" i="3"/>
  <c r="G474" i="3"/>
  <c r="G475" i="3"/>
  <c r="G476" i="3"/>
  <c r="G477" i="3"/>
  <c r="G478" i="3"/>
  <c r="G479" i="3"/>
  <c r="G480" i="3"/>
  <c r="G481" i="3"/>
  <c r="G482" i="3"/>
  <c r="G483" i="3"/>
  <c r="G484" i="3"/>
  <c r="G485" i="3"/>
  <c r="G486" i="3"/>
  <c r="G487" i="3"/>
  <c r="G488" i="3"/>
  <c r="G489" i="3"/>
  <c r="G490" i="3"/>
  <c r="G492" i="3"/>
  <c r="G493" i="3"/>
  <c r="G495" i="3"/>
  <c r="G496" i="3"/>
  <c r="G497" i="3"/>
  <c r="G498" i="3"/>
  <c r="G499" i="3"/>
  <c r="G500" i="3"/>
  <c r="G501" i="3"/>
  <c r="G502" i="3"/>
  <c r="G503" i="3"/>
  <c r="G504" i="3"/>
  <c r="G505" i="3"/>
  <c r="G506" i="3"/>
  <c r="G507" i="3"/>
  <c r="G508" i="3"/>
  <c r="G509" i="3"/>
  <c r="G510" i="3"/>
  <c r="G511" i="3"/>
  <c r="G512" i="3"/>
  <c r="G513" i="3"/>
  <c r="G514" i="3"/>
  <c r="G515" i="3"/>
  <c r="G516" i="3"/>
  <c r="G517" i="3"/>
  <c r="G518" i="3"/>
  <c r="G519" i="3"/>
  <c r="G520" i="3"/>
  <c r="G521" i="3"/>
  <c r="G522" i="3"/>
  <c r="G523" i="3"/>
  <c r="G524" i="3"/>
  <c r="G525" i="3"/>
  <c r="G526" i="3"/>
  <c r="G527" i="3"/>
  <c r="G528" i="3"/>
  <c r="G529" i="3"/>
  <c r="G530" i="3"/>
  <c r="G532" i="3"/>
  <c r="G533" i="3"/>
  <c r="G534" i="3"/>
  <c r="G535" i="3"/>
  <c r="G536" i="3"/>
  <c r="G537" i="3"/>
  <c r="G538" i="3"/>
  <c r="G539" i="3"/>
  <c r="G540" i="3"/>
  <c r="G541" i="3"/>
  <c r="G542" i="3"/>
  <c r="G543" i="3"/>
  <c r="G545" i="3"/>
  <c r="G546" i="3"/>
  <c r="G547" i="3"/>
  <c r="G548" i="3"/>
  <c r="G549" i="3"/>
  <c r="G550" i="3"/>
  <c r="G551" i="3"/>
  <c r="G552" i="3"/>
  <c r="G553" i="3"/>
  <c r="G554" i="3"/>
  <c r="G555" i="3"/>
  <c r="G556" i="3"/>
  <c r="G557" i="3"/>
  <c r="G558" i="3"/>
  <c r="G560" i="3"/>
  <c r="G561" i="3"/>
  <c r="G562" i="3"/>
  <c r="G563" i="3"/>
  <c r="G564" i="3"/>
  <c r="G559" i="3"/>
  <c r="G565" i="3"/>
  <c r="G566" i="3"/>
  <c r="G567" i="3"/>
  <c r="G568" i="3"/>
  <c r="G569" i="3"/>
  <c r="G570" i="3"/>
  <c r="G571" i="3"/>
  <c r="G572" i="3"/>
  <c r="G573" i="3"/>
  <c r="G574" i="3"/>
  <c r="G575" i="3"/>
  <c r="G576" i="3"/>
  <c r="G577" i="3"/>
  <c r="G578" i="3"/>
  <c r="G579" i="3"/>
  <c r="G580" i="3"/>
  <c r="G581" i="3"/>
  <c r="G583" i="3"/>
  <c r="G584" i="3"/>
  <c r="G585" i="3"/>
  <c r="G586" i="3"/>
  <c r="G588" i="3"/>
  <c r="G589" i="3"/>
  <c r="G591" i="3"/>
  <c r="G592" i="3"/>
  <c r="G593" i="3"/>
  <c r="G594" i="3"/>
  <c r="G595" i="3"/>
  <c r="G596" i="3"/>
  <c r="G473" i="3"/>
  <c r="G494" i="3"/>
  <c r="G598" i="3"/>
  <c r="G599" i="3"/>
  <c r="G600" i="3"/>
  <c r="G601" i="3"/>
  <c r="G602" i="3"/>
  <c r="G603" i="3"/>
  <c r="G604" i="3"/>
  <c r="G605" i="3"/>
  <c r="G491" i="3"/>
  <c r="G544" i="3"/>
  <c r="G453" i="3"/>
  <c r="G531" i="3"/>
  <c r="G582" i="3"/>
  <c r="G587" i="3"/>
  <c r="G590" i="3"/>
  <c r="G597" i="3"/>
  <c r="G606" i="3"/>
  <c r="G607" i="3"/>
  <c r="G608" i="3"/>
  <c r="G609" i="3"/>
  <c r="G610" i="3"/>
  <c r="G611" i="3"/>
  <c r="G612" i="3"/>
  <c r="G613" i="3"/>
  <c r="G614" i="3"/>
  <c r="G615" i="3"/>
  <c r="G616" i="3"/>
  <c r="G617" i="3"/>
  <c r="G618" i="3"/>
  <c r="G619" i="3"/>
  <c r="G620" i="3"/>
  <c r="G621" i="3"/>
  <c r="G622" i="3"/>
  <c r="G623" i="3"/>
  <c r="G626" i="3"/>
  <c r="G624" i="3"/>
  <c r="G628" i="3"/>
  <c r="G629" i="3"/>
  <c r="G627" i="3"/>
  <c r="G630" i="3"/>
  <c r="G631" i="3"/>
  <c r="G632" i="3"/>
  <c r="G633" i="3"/>
  <c r="G634" i="3"/>
  <c r="G635" i="3"/>
  <c r="G636" i="3"/>
  <c r="G637" i="3"/>
  <c r="G641" i="3"/>
  <c r="G642" i="3"/>
  <c r="G643" i="3"/>
  <c r="G638" i="3"/>
  <c r="G639" i="3"/>
  <c r="G644" i="3"/>
  <c r="G645" i="3"/>
  <c r="G646" i="3"/>
  <c r="G647" i="3"/>
  <c r="G648" i="3"/>
  <c r="G649" i="3"/>
  <c r="G650" i="3"/>
  <c r="G651" i="3"/>
  <c r="G654" i="3"/>
  <c r="G655" i="3"/>
  <c r="G656" i="3"/>
  <c r="G657" i="3"/>
  <c r="G652" i="3"/>
  <c r="G653" i="3"/>
  <c r="O558" i="3" l="1"/>
  <c r="AC558" i="3" l="1"/>
  <c r="AC897" i="3" l="1"/>
  <c r="AC896" i="3"/>
  <c r="AC895" i="3"/>
  <c r="AC894" i="3"/>
  <c r="AC893" i="3"/>
  <c r="AC892" i="3"/>
  <c r="AC891" i="3"/>
  <c r="AC890" i="3"/>
  <c r="AC889" i="3"/>
  <c r="AC888" i="3"/>
  <c r="AC887" i="3"/>
  <c r="AC886" i="3"/>
  <c r="AC885" i="3"/>
  <c r="AC884" i="3"/>
  <c r="AC883" i="3"/>
  <c r="AC882" i="3"/>
  <c r="AC881" i="3"/>
  <c r="AC880" i="3"/>
  <c r="AC879" i="3"/>
  <c r="AC878" i="3"/>
  <c r="AC877" i="3"/>
  <c r="AC876" i="3"/>
  <c r="AC875" i="3"/>
  <c r="AC874" i="3"/>
  <c r="AC873" i="3"/>
  <c r="AC872" i="3"/>
  <c r="AC871" i="3"/>
  <c r="AC870" i="3"/>
  <c r="AC869" i="3"/>
  <c r="AC868" i="3"/>
  <c r="AC867" i="3"/>
  <c r="AC866" i="3"/>
  <c r="AC865" i="3"/>
  <c r="AC864" i="3"/>
  <c r="AC863" i="3"/>
  <c r="AC862" i="3"/>
  <c r="AC861" i="3"/>
  <c r="AC860" i="3"/>
  <c r="AC859" i="3"/>
  <c r="AC858" i="3"/>
  <c r="AC857" i="3"/>
  <c r="AC856" i="3"/>
  <c r="AC855" i="3"/>
  <c r="AC854" i="3"/>
  <c r="AC853" i="3"/>
  <c r="AC852" i="3"/>
  <c r="AC851" i="3"/>
  <c r="AC850" i="3"/>
  <c r="AC849" i="3"/>
  <c r="AC848" i="3"/>
  <c r="AC847" i="3"/>
  <c r="AC846" i="3"/>
  <c r="AC845" i="3"/>
  <c r="AC844" i="3"/>
  <c r="AC843" i="3"/>
  <c r="AC842" i="3"/>
  <c r="AC841" i="3"/>
  <c r="AC840" i="3"/>
  <c r="AC839" i="3"/>
  <c r="AC838" i="3"/>
  <c r="AC837" i="3"/>
  <c r="AC835" i="3"/>
  <c r="AC834" i="3"/>
  <c r="AC833" i="3"/>
  <c r="AC832" i="3"/>
  <c r="AC831" i="3"/>
  <c r="AC830" i="3"/>
  <c r="AC829" i="3"/>
  <c r="AC828" i="3"/>
  <c r="AC827" i="3"/>
  <c r="AC826" i="3"/>
  <c r="AC825" i="3"/>
  <c r="AC824" i="3"/>
  <c r="AC823" i="3"/>
  <c r="AC822" i="3"/>
  <c r="AC821" i="3"/>
  <c r="AC820" i="3"/>
  <c r="AC819" i="3"/>
  <c r="AC818" i="3"/>
  <c r="AC817" i="3"/>
  <c r="AC816" i="3"/>
  <c r="AC815" i="3"/>
  <c r="AC814" i="3"/>
  <c r="AC813" i="3"/>
  <c r="AC812" i="3"/>
  <c r="AC811" i="3"/>
  <c r="AC810" i="3"/>
  <c r="AC809" i="3"/>
  <c r="AC808" i="3"/>
  <c r="AC807" i="3"/>
  <c r="AC806" i="3"/>
  <c r="AC805" i="3"/>
  <c r="AC803" i="3"/>
  <c r="AC802" i="3"/>
  <c r="AC801" i="3"/>
  <c r="AC800" i="3"/>
  <c r="AC799" i="3"/>
  <c r="AC798" i="3"/>
  <c r="AC797" i="3"/>
  <c r="AC796" i="3"/>
  <c r="AC795" i="3"/>
  <c r="AC794" i="3"/>
  <c r="AC791" i="3"/>
  <c r="AC790" i="3"/>
  <c r="AC789" i="3"/>
  <c r="AC788" i="3"/>
  <c r="AC787" i="3"/>
  <c r="AC786" i="3"/>
  <c r="AC785" i="3"/>
  <c r="AC784" i="3"/>
  <c r="AC783" i="3"/>
  <c r="AC782" i="3"/>
  <c r="AC781" i="3"/>
  <c r="AC780" i="3"/>
  <c r="AC779" i="3"/>
  <c r="AC778" i="3"/>
  <c r="AC777" i="3"/>
  <c r="AC776" i="3"/>
  <c r="AC774" i="3"/>
  <c r="AC773" i="3"/>
  <c r="AC772" i="3"/>
  <c r="AC771" i="3"/>
  <c r="AC770" i="3"/>
  <c r="AC769" i="3"/>
  <c r="AC768" i="3"/>
  <c r="AC767" i="3"/>
  <c r="AC766" i="3"/>
  <c r="AC765" i="3"/>
  <c r="AC764" i="3"/>
  <c r="AC763" i="3"/>
  <c r="AC762" i="3"/>
  <c r="AC761" i="3"/>
  <c r="AC760" i="3"/>
  <c r="AC759" i="3"/>
  <c r="AC640" i="3"/>
  <c r="AC744" i="3"/>
  <c r="AC733" i="3"/>
  <c r="AC725" i="3"/>
  <c r="AC732" i="3"/>
  <c r="AC678" i="3"/>
  <c r="AC755" i="3"/>
  <c r="AC754" i="3"/>
  <c r="AC753" i="3"/>
  <c r="AC752" i="3"/>
  <c r="AC748" i="3"/>
  <c r="AC751" i="3"/>
  <c r="AC750" i="3"/>
  <c r="AC749" i="3"/>
  <c r="AC747" i="3"/>
  <c r="AC746" i="3"/>
  <c r="AC745" i="3"/>
  <c r="AC742" i="3"/>
  <c r="AC739" i="3"/>
  <c r="AC731" i="3"/>
  <c r="AC740" i="3"/>
  <c r="AC738" i="3"/>
  <c r="AC737" i="3"/>
  <c r="AC735" i="3"/>
  <c r="AC734" i="3"/>
  <c r="AC730" i="3"/>
  <c r="AC728" i="3"/>
  <c r="AC727" i="3"/>
  <c r="AC726" i="3"/>
  <c r="AC724" i="3"/>
  <c r="AC723" i="3"/>
  <c r="AC714" i="3"/>
  <c r="AC721" i="3"/>
  <c r="AC719" i="3"/>
  <c r="AC718" i="3"/>
  <c r="AC713" i="3"/>
  <c r="AC717" i="3"/>
  <c r="AC716" i="3"/>
  <c r="AC715" i="3"/>
  <c r="AC712" i="3"/>
  <c r="AC711" i="3"/>
  <c r="AC710" i="3"/>
  <c r="AC709" i="3"/>
  <c r="AC708" i="3"/>
  <c r="AC707" i="3"/>
  <c r="AC706" i="3"/>
  <c r="AC696" i="3"/>
  <c r="AC705" i="3"/>
  <c r="AC704" i="3"/>
  <c r="AC703" i="3"/>
  <c r="AC702" i="3"/>
  <c r="AC701" i="3"/>
  <c r="AC698" i="3"/>
  <c r="AC697" i="3"/>
  <c r="AC695" i="3"/>
  <c r="AC694" i="3"/>
  <c r="AC693" i="3"/>
  <c r="AC692" i="3"/>
  <c r="AC691" i="3"/>
  <c r="AC690" i="3"/>
  <c r="AC689" i="3"/>
  <c r="AC688" i="3"/>
  <c r="AC687" i="3"/>
  <c r="AC686" i="3"/>
  <c r="AC684" i="3"/>
  <c r="AC683" i="3"/>
  <c r="AC682" i="3"/>
  <c r="AC681" i="3"/>
  <c r="AC680" i="3"/>
  <c r="AC677" i="3"/>
  <c r="AC676" i="3"/>
  <c r="AC675" i="3"/>
  <c r="AC674" i="3"/>
  <c r="AC673" i="3"/>
  <c r="AC672" i="3"/>
  <c r="AC671" i="3"/>
  <c r="AC670" i="3"/>
  <c r="AC660" i="3"/>
  <c r="AC668" i="3"/>
  <c r="AC667" i="3"/>
  <c r="AC659" i="3"/>
  <c r="AC666" i="3"/>
  <c r="AC664" i="3"/>
  <c r="AC663" i="3"/>
  <c r="AC662" i="3"/>
  <c r="AC658" i="3"/>
  <c r="AC661" i="3"/>
  <c r="AC349" i="3"/>
  <c r="AC256" i="3"/>
  <c r="AC233" i="3"/>
  <c r="M25" i="7" l="1"/>
  <c r="M20" i="7"/>
  <c r="M19" i="7"/>
  <c r="M18" i="7"/>
  <c r="M13" i="7"/>
  <c r="M12" i="7"/>
  <c r="M11" i="7"/>
  <c r="G29" i="7" l="1"/>
  <c r="F29" i="7"/>
  <c r="E29" i="7"/>
  <c r="E30" i="7" s="1"/>
  <c r="E40" i="7" s="1"/>
  <c r="O510" i="3"/>
  <c r="AC510" i="3" s="1"/>
  <c r="E46" i="7" l="1"/>
  <c r="G35" i="7"/>
  <c r="G30" i="7"/>
  <c r="G40" i="7" s="1"/>
  <c r="G46" i="7" s="1"/>
  <c r="F35" i="7"/>
  <c r="F30" i="7"/>
  <c r="E35" i="7"/>
  <c r="M29" i="7"/>
  <c r="AC468" i="3"/>
  <c r="M30" i="7" l="1"/>
  <c r="F40" i="7"/>
  <c r="AC461" i="3"/>
  <c r="F46" i="7" l="1"/>
  <c r="M46" i="7" s="1"/>
  <c r="M40" i="7"/>
  <c r="AC447" i="3"/>
  <c r="O448" i="3"/>
  <c r="AC448" i="3" s="1"/>
  <c r="AC449" i="3"/>
  <c r="AC450" i="3"/>
  <c r="AC451" i="3"/>
  <c r="O452" i="3" l="1"/>
  <c r="AC454" i="3"/>
  <c r="AC455" i="3"/>
  <c r="O456" i="3"/>
  <c r="AC456" i="3" s="1"/>
  <c r="AC457" i="3"/>
  <c r="AC458" i="3"/>
  <c r="AC459" i="3"/>
  <c r="O460" i="3"/>
  <c r="AC462" i="3"/>
  <c r="O474" i="3"/>
  <c r="O475" i="3"/>
  <c r="AC475" i="3" s="1"/>
  <c r="AC463" i="3"/>
  <c r="O464" i="3"/>
  <c r="AC464" i="3" s="1"/>
  <c r="O465" i="3"/>
  <c r="O466" i="3"/>
  <c r="AC466" i="3" s="1"/>
  <c r="O467" i="3"/>
  <c r="AC467" i="3" s="1"/>
  <c r="O471" i="3"/>
  <c r="AC471" i="3" s="1"/>
  <c r="O472" i="3"/>
  <c r="AC472" i="3" s="1"/>
  <c r="AC476" i="3"/>
  <c r="O477" i="3"/>
  <c r="AC477" i="3" s="1"/>
  <c r="O478" i="3"/>
  <c r="AC478" i="3" s="1"/>
  <c r="AC479" i="3"/>
  <c r="AC480" i="3"/>
  <c r="AC481" i="3"/>
  <c r="O469" i="3"/>
  <c r="AC469" i="3" s="1"/>
  <c r="O470" i="3"/>
  <c r="AC470" i="3" s="1"/>
  <c r="O482" i="3"/>
  <c r="AC482" i="3" s="1"/>
  <c r="O483" i="3"/>
  <c r="AC483" i="3" s="1"/>
  <c r="O484" i="3"/>
  <c r="AC484" i="3" s="1"/>
  <c r="O485" i="3"/>
  <c r="AC485" i="3" s="1"/>
  <c r="O486" i="3"/>
  <c r="AC486" i="3" s="1"/>
  <c r="AC487" i="3"/>
  <c r="AC488" i="3"/>
  <c r="AC489" i="3"/>
  <c r="AC490" i="3"/>
  <c r="O492" i="3"/>
  <c r="AC492" i="3" s="1"/>
  <c r="O493" i="3"/>
  <c r="AC493" i="3" s="1"/>
  <c r="AC496" i="3"/>
  <c r="AC497" i="3"/>
  <c r="O498" i="3"/>
  <c r="O499" i="3"/>
  <c r="O500" i="3"/>
  <c r="AC501" i="3"/>
  <c r="AC502" i="3"/>
  <c r="O504" i="3"/>
  <c r="AC504" i="3" s="1"/>
  <c r="O505" i="3"/>
  <c r="AC505" i="3" s="1"/>
  <c r="O506" i="3"/>
  <c r="AC506" i="3" s="1"/>
  <c r="O507" i="3"/>
  <c r="AC507" i="3" s="1"/>
  <c r="AC508" i="3"/>
  <c r="O509" i="3"/>
  <c r="AC509" i="3" s="1"/>
  <c r="AC511" i="3"/>
  <c r="AC512" i="3"/>
  <c r="AC513" i="3"/>
  <c r="O514" i="3"/>
  <c r="AC514" i="3" s="1"/>
  <c r="O515" i="3"/>
  <c r="AC515" i="3" s="1"/>
  <c r="O516" i="3"/>
  <c r="AC516" i="3" s="1"/>
  <c r="O517" i="3"/>
  <c r="AC517" i="3" s="1"/>
  <c r="O518" i="3"/>
  <c r="AC518" i="3" s="1"/>
  <c r="AC503" i="3"/>
  <c r="AC519" i="3"/>
  <c r="AC520" i="3"/>
  <c r="AC521" i="3"/>
  <c r="O522" i="3"/>
  <c r="AC522" i="3" s="1"/>
  <c r="O523" i="3"/>
  <c r="AC523" i="3" s="1"/>
  <c r="O524" i="3"/>
  <c r="AC524" i="3" s="1"/>
  <c r="O525" i="3"/>
  <c r="AC525" i="3" s="1"/>
  <c r="O526" i="3"/>
  <c r="AC526" i="3" s="1"/>
  <c r="O527" i="3"/>
  <c r="AC527" i="3" s="1"/>
  <c r="AC528" i="3"/>
  <c r="O529" i="3"/>
  <c r="AC529" i="3" s="1"/>
  <c r="O532" i="3"/>
  <c r="AC532" i="3" s="1"/>
  <c r="AC533" i="3"/>
  <c r="AC534" i="3"/>
  <c r="O535" i="3"/>
  <c r="AC535" i="3" s="1"/>
  <c r="AC530" i="3"/>
  <c r="O536" i="3"/>
  <c r="AC536" i="3" s="1"/>
  <c r="AC538" i="3"/>
  <c r="AC539" i="3"/>
  <c r="O540" i="3"/>
  <c r="AC540" i="3" s="1"/>
  <c r="O541" i="3"/>
  <c r="AC541" i="3" s="1"/>
  <c r="O542" i="3"/>
  <c r="AC542" i="3" s="1"/>
  <c r="O537" i="3"/>
  <c r="AC537" i="3" s="1"/>
  <c r="O543" i="3"/>
  <c r="AC543" i="3" s="1"/>
  <c r="O545" i="3"/>
  <c r="AC545" i="3" s="1"/>
  <c r="O546" i="3"/>
  <c r="AC546" i="3" s="1"/>
  <c r="O547" i="3"/>
  <c r="AC547" i="3" s="1"/>
  <c r="AC549" i="3"/>
  <c r="AC550" i="3"/>
  <c r="AC551" i="3"/>
  <c r="O552" i="3"/>
  <c r="AC552" i="3" s="1"/>
  <c r="AC553" i="3"/>
  <c r="AC554" i="3"/>
  <c r="AC555" i="3"/>
  <c r="AC556" i="3"/>
  <c r="O557" i="3"/>
  <c r="O560" i="3"/>
  <c r="AC560" i="3" s="1"/>
  <c r="O561" i="3"/>
  <c r="AC561" i="3" s="1"/>
  <c r="O562" i="3"/>
  <c r="AC562" i="3" s="1"/>
  <c r="O563" i="3"/>
  <c r="AC563" i="3" s="1"/>
  <c r="O564" i="3"/>
  <c r="AC564" i="3" s="1"/>
  <c r="O559" i="3"/>
  <c r="AC559" i="3" s="1"/>
  <c r="AC565" i="3"/>
  <c r="O566" i="3"/>
  <c r="AC566" i="3" s="1"/>
  <c r="AC567" i="3"/>
  <c r="AC569" i="3"/>
  <c r="O570" i="3"/>
  <c r="AC570" i="3" s="1"/>
  <c r="AC571" i="3"/>
  <c r="O572" i="3"/>
  <c r="O573" i="3"/>
  <c r="AC573" i="3" s="1"/>
  <c r="AC574" i="3"/>
  <c r="AC575" i="3"/>
  <c r="O576" i="3"/>
  <c r="AC576" i="3" s="1"/>
  <c r="AC577" i="3"/>
  <c r="O578" i="3"/>
  <c r="AC578" i="3" s="1"/>
  <c r="AC579" i="3"/>
  <c r="AC580" i="3"/>
  <c r="O581" i="3"/>
  <c r="AC581" i="3" s="1"/>
  <c r="AC583" i="3"/>
  <c r="AC584" i="3"/>
  <c r="O585" i="3"/>
  <c r="AC585" i="3" s="1"/>
  <c r="O588" i="3"/>
  <c r="O589" i="3"/>
  <c r="AC589" i="3" s="1"/>
  <c r="O591" i="3"/>
  <c r="AC591" i="3" s="1"/>
  <c r="O592" i="3"/>
  <c r="AC592" i="3" s="1"/>
  <c r="O593" i="3"/>
  <c r="AC593" i="3" s="1"/>
  <c r="O594" i="3"/>
  <c r="AC594" i="3" s="1"/>
  <c r="O595" i="3"/>
  <c r="AC595" i="3" s="1"/>
  <c r="O596" i="3"/>
  <c r="AC596" i="3" s="1"/>
  <c r="O473" i="3"/>
  <c r="AC473" i="3" s="1"/>
  <c r="O494" i="3"/>
  <c r="AC494" i="3" s="1"/>
  <c r="AC598" i="3"/>
  <c r="AC601" i="3"/>
  <c r="O602" i="3"/>
  <c r="AC602" i="3" s="1"/>
  <c r="O603" i="3"/>
  <c r="AC603" i="3" s="1"/>
  <c r="O604" i="3"/>
  <c r="O605" i="3"/>
  <c r="AC605" i="3" s="1"/>
  <c r="O491" i="3"/>
  <c r="AC491" i="3" s="1"/>
  <c r="O544" i="3"/>
  <c r="AC544" i="3" s="1"/>
  <c r="O453" i="3"/>
  <c r="AC453" i="3" s="1"/>
  <c r="O531" i="3"/>
  <c r="AC531" i="3" s="1"/>
  <c r="O582" i="3"/>
  <c r="AC582" i="3" s="1"/>
  <c r="O587" i="3"/>
  <c r="AC587" i="3" s="1"/>
  <c r="O590" i="3"/>
  <c r="AC590" i="3" s="1"/>
  <c r="O597" i="3"/>
  <c r="AC597" i="3" s="1"/>
  <c r="O606" i="3"/>
  <c r="AC606" i="3" s="1"/>
  <c r="O607" i="3"/>
  <c r="AC607" i="3" s="1"/>
  <c r="AC608" i="3"/>
  <c r="AC609" i="3"/>
  <c r="O610" i="3"/>
  <c r="AC610" i="3" s="1"/>
  <c r="O611" i="3"/>
  <c r="AC611" i="3" s="1"/>
  <c r="AC612" i="3"/>
  <c r="O613" i="3"/>
  <c r="O614" i="3"/>
  <c r="AC614" i="3" s="1"/>
  <c r="O615" i="3"/>
  <c r="AC615" i="3" s="1"/>
  <c r="O616" i="3"/>
  <c r="AC616" i="3" s="1"/>
  <c r="O617" i="3"/>
  <c r="AC617" i="3" s="1"/>
  <c r="O618" i="3"/>
  <c r="AC618" i="3" s="1"/>
  <c r="O619" i="3"/>
  <c r="AC619" i="3" s="1"/>
  <c r="O620" i="3"/>
  <c r="AC620" i="3" s="1"/>
  <c r="O621" i="3"/>
  <c r="AC621" i="3" s="1"/>
  <c r="O622" i="3"/>
  <c r="AC623" i="3"/>
  <c r="O625" i="3"/>
  <c r="AC625" i="3" s="1"/>
  <c r="O626" i="3"/>
  <c r="AC626" i="3" s="1"/>
  <c r="AC624" i="3"/>
  <c r="O628" i="3"/>
  <c r="AC628" i="3" s="1"/>
  <c r="O629" i="3"/>
  <c r="AC629" i="3" s="1"/>
  <c r="O627" i="3"/>
  <c r="AC627" i="3" s="1"/>
  <c r="O630" i="3"/>
  <c r="AC630" i="3" s="1"/>
  <c r="O631" i="3"/>
  <c r="AC631" i="3" s="1"/>
  <c r="O632" i="3"/>
  <c r="AC632" i="3" s="1"/>
  <c r="O633" i="3"/>
  <c r="AC633" i="3" s="1"/>
  <c r="O634" i="3"/>
  <c r="AC634" i="3" s="1"/>
  <c r="O635" i="3"/>
  <c r="AC635" i="3" s="1"/>
  <c r="O636" i="3"/>
  <c r="AC636" i="3" s="1"/>
  <c r="O637" i="3"/>
  <c r="AC637" i="3" s="1"/>
  <c r="O641" i="3"/>
  <c r="AC641" i="3" s="1"/>
  <c r="O642" i="3"/>
  <c r="O643" i="3"/>
  <c r="AC643" i="3" s="1"/>
  <c r="O638" i="3"/>
  <c r="AC638" i="3" s="1"/>
  <c r="O639" i="3"/>
  <c r="AC639" i="3" s="1"/>
  <c r="O644" i="3"/>
  <c r="AC644" i="3" s="1"/>
  <c r="O645" i="3"/>
  <c r="AC645" i="3" s="1"/>
  <c r="O646" i="3"/>
  <c r="AC646" i="3" s="1"/>
  <c r="O647" i="3"/>
  <c r="AC647" i="3" s="1"/>
  <c r="O648" i="3"/>
  <c r="AC648" i="3" s="1"/>
  <c r="O649" i="3"/>
  <c r="AC649" i="3" s="1"/>
  <c r="O650" i="3"/>
  <c r="AC650" i="3" s="1"/>
  <c r="O651" i="3"/>
  <c r="AC651" i="3" s="1"/>
  <c r="O654" i="3"/>
  <c r="AC654" i="3" s="1"/>
  <c r="O655" i="3"/>
  <c r="AC655" i="3" s="1"/>
  <c r="O656" i="3"/>
  <c r="AC656" i="3" s="1"/>
  <c r="O657" i="3"/>
  <c r="AC657" i="3" s="1"/>
  <c r="O652" i="3"/>
  <c r="AC652" i="3" s="1"/>
  <c r="O653" i="3"/>
  <c r="AC653" i="3" s="1"/>
  <c r="O444" i="3"/>
  <c r="AC444" i="3" s="1"/>
  <c r="AC445" i="3"/>
  <c r="AC446" i="3"/>
  <c r="AC437" i="3"/>
  <c r="AC438" i="3"/>
  <c r="AC439" i="3"/>
  <c r="AC440" i="3"/>
  <c r="AC441" i="3"/>
  <c r="O442" i="3"/>
  <c r="AC442" i="3" s="1"/>
  <c r="O443" i="3"/>
  <c r="AC443" i="3" s="1"/>
  <c r="AC588" i="3" l="1"/>
  <c r="AC499" i="3"/>
  <c r="AC622" i="3"/>
  <c r="AC613" i="3"/>
  <c r="AC642" i="3"/>
  <c r="AC498" i="3"/>
  <c r="AC557" i="3"/>
  <c r="AC572" i="3"/>
  <c r="AC500" i="3"/>
  <c r="AC495" i="3"/>
  <c r="AC465" i="3"/>
  <c r="AC460" i="3"/>
  <c r="AC474" i="3"/>
  <c r="AC452" i="3"/>
  <c r="O425" i="3"/>
  <c r="AC425" i="3" s="1"/>
  <c r="O415" i="3"/>
  <c r="AC415" i="3" s="1"/>
  <c r="AC416" i="3"/>
  <c r="AC417" i="3"/>
  <c r="AC418" i="3"/>
  <c r="O419" i="3"/>
  <c r="AC419" i="3" s="1"/>
  <c r="AC420" i="3"/>
  <c r="O421" i="3"/>
  <c r="AC421" i="3" s="1"/>
  <c r="O422" i="3"/>
  <c r="AC422" i="3" s="1"/>
  <c r="O423" i="3"/>
  <c r="AC423" i="3" s="1"/>
  <c r="O424" i="3"/>
  <c r="AC424" i="3" s="1"/>
  <c r="O426" i="3"/>
  <c r="AC426" i="3" s="1"/>
  <c r="O427" i="3"/>
  <c r="AC427" i="3" s="1"/>
  <c r="AC428" i="3"/>
  <c r="AC429" i="3"/>
  <c r="AC430" i="3"/>
  <c r="O431" i="3"/>
  <c r="AC431" i="3" s="1"/>
  <c r="O432" i="3"/>
  <c r="AC432" i="3" s="1"/>
  <c r="AC433" i="3"/>
  <c r="O434" i="3"/>
  <c r="AC434" i="3" s="1"/>
  <c r="AC435" i="3"/>
  <c r="O436" i="3"/>
  <c r="AC436" i="3" s="1"/>
  <c r="O413" i="3" l="1"/>
  <c r="AC413" i="3" s="1"/>
  <c r="O414" i="3"/>
  <c r="AC414" i="3" s="1"/>
  <c r="O292" i="3" l="1"/>
  <c r="AC292" i="3" s="1"/>
  <c r="O293" i="3"/>
  <c r="AC293" i="3" s="1"/>
  <c r="O294" i="3"/>
  <c r="AC294" i="3" s="1"/>
  <c r="O296" i="3"/>
  <c r="AC296" i="3" s="1"/>
  <c r="AC297" i="3"/>
  <c r="O295" i="3"/>
  <c r="AC295" i="3" s="1"/>
  <c r="O301" i="3"/>
  <c r="AC301" i="3" s="1"/>
  <c r="AC302" i="3"/>
  <c r="AC300" i="3"/>
  <c r="O298" i="3"/>
  <c r="AC298" i="3" s="1"/>
  <c r="AC299" i="3"/>
  <c r="O303" i="3"/>
  <c r="AC303" i="3" s="1"/>
  <c r="O305" i="3"/>
  <c r="AC305" i="3" s="1"/>
  <c r="AC307" i="3"/>
  <c r="O304" i="3"/>
  <c r="AC304" i="3" s="1"/>
  <c r="AC306" i="3"/>
  <c r="O308" i="3"/>
  <c r="AC308" i="3" s="1"/>
  <c r="O309" i="3"/>
  <c r="AC309" i="3" s="1"/>
  <c r="O310" i="3"/>
  <c r="AC310" i="3" s="1"/>
  <c r="O311" i="3"/>
  <c r="AC311" i="3" s="1"/>
  <c r="O312" i="3"/>
  <c r="AC312" i="3" s="1"/>
  <c r="O313" i="3"/>
  <c r="AC315" i="3"/>
  <c r="AC316" i="3"/>
  <c r="AC314" i="3"/>
  <c r="AC317" i="3"/>
  <c r="AC318" i="3"/>
  <c r="AC319" i="3"/>
  <c r="AC320" i="3"/>
  <c r="AC321" i="3"/>
  <c r="O322" i="3"/>
  <c r="O323" i="3"/>
  <c r="AC323" i="3" s="1"/>
  <c r="O324" i="3"/>
  <c r="AC324" i="3" s="1"/>
  <c r="AC325" i="3"/>
  <c r="AC326" i="3"/>
  <c r="AC327" i="3"/>
  <c r="O328" i="3"/>
  <c r="AC328" i="3" s="1"/>
  <c r="O329" i="3"/>
  <c r="AC329" i="3" s="1"/>
  <c r="O330" i="3"/>
  <c r="AC330" i="3" s="1"/>
  <c r="O331" i="3"/>
  <c r="AC331" i="3" s="1"/>
  <c r="O332" i="3"/>
  <c r="AC332" i="3" s="1"/>
  <c r="O333" i="3"/>
  <c r="AC333" i="3" s="1"/>
  <c r="AC334" i="3"/>
  <c r="O335" i="3"/>
  <c r="O336" i="3"/>
  <c r="AC336" i="3" s="1"/>
  <c r="O337" i="3"/>
  <c r="AC337" i="3" s="1"/>
  <c r="O338" i="3"/>
  <c r="AC338" i="3" s="1"/>
  <c r="O339" i="3"/>
  <c r="AC339" i="3" s="1"/>
  <c r="O340" i="3"/>
  <c r="AC340" i="3" s="1"/>
  <c r="O341" i="3"/>
  <c r="AC341" i="3" s="1"/>
  <c r="AC342" i="3"/>
  <c r="O350" i="3"/>
  <c r="AC350" i="3" s="1"/>
  <c r="O343" i="3"/>
  <c r="AC343" i="3" s="1"/>
  <c r="AC344" i="3"/>
  <c r="O345" i="3"/>
  <c r="AC345" i="3" s="1"/>
  <c r="O346" i="3"/>
  <c r="AC346" i="3" s="1"/>
  <c r="O347" i="3"/>
  <c r="AC347" i="3" s="1"/>
  <c r="AC348" i="3"/>
  <c r="O351" i="3"/>
  <c r="AC351" i="3" s="1"/>
  <c r="O352" i="3"/>
  <c r="AC352" i="3" s="1"/>
  <c r="AC353" i="3"/>
  <c r="AC354" i="3"/>
  <c r="AC355" i="3"/>
  <c r="O356" i="3"/>
  <c r="AC356" i="3" s="1"/>
  <c r="O357" i="3"/>
  <c r="AC357" i="3" s="1"/>
  <c r="AC358" i="3"/>
  <c r="O359" i="3"/>
  <c r="AC359" i="3" s="1"/>
  <c r="O360" i="3"/>
  <c r="AC360" i="3" s="1"/>
  <c r="O361" i="3"/>
  <c r="AC361" i="3" s="1"/>
  <c r="O362" i="3"/>
  <c r="AC362" i="3" s="1"/>
  <c r="O363" i="3"/>
  <c r="AC363" i="3" s="1"/>
  <c r="AC364" i="3"/>
  <c r="O365" i="3"/>
  <c r="AC365" i="3" s="1"/>
  <c r="O366" i="3"/>
  <c r="AC366" i="3" s="1"/>
  <c r="O367" i="3"/>
  <c r="AC367" i="3" s="1"/>
  <c r="O368" i="3"/>
  <c r="AC368" i="3" s="1"/>
  <c r="O369" i="3"/>
  <c r="AC369" i="3" s="1"/>
  <c r="O370" i="3"/>
  <c r="AC370" i="3" s="1"/>
  <c r="O371" i="3"/>
  <c r="AC371" i="3" s="1"/>
  <c r="O372" i="3"/>
  <c r="AC372" i="3" s="1"/>
  <c r="O373" i="3"/>
  <c r="AC373" i="3" s="1"/>
  <c r="O374" i="3"/>
  <c r="AC374" i="3" s="1"/>
  <c r="O375" i="3"/>
  <c r="AC375" i="3" s="1"/>
  <c r="AC376" i="3"/>
  <c r="O377" i="3"/>
  <c r="AC377" i="3" s="1"/>
  <c r="O378" i="3"/>
  <c r="AC378" i="3" s="1"/>
  <c r="O379" i="3"/>
  <c r="AC379" i="3" s="1"/>
  <c r="O380" i="3"/>
  <c r="AC380" i="3" s="1"/>
  <c r="O381" i="3"/>
  <c r="AC382" i="3"/>
  <c r="O383" i="3"/>
  <c r="AC383" i="3" s="1"/>
  <c r="O384" i="3"/>
  <c r="AC384" i="3" s="1"/>
  <c r="O385" i="3"/>
  <c r="AC385" i="3" s="1"/>
  <c r="O386" i="3"/>
  <c r="O387" i="3"/>
  <c r="AC387" i="3" s="1"/>
  <c r="AC388" i="3"/>
  <c r="AC389" i="3"/>
  <c r="O390" i="3"/>
  <c r="AC390" i="3" s="1"/>
  <c r="O391" i="3"/>
  <c r="AC391" i="3" s="1"/>
  <c r="AC392" i="3"/>
  <c r="AC393" i="3"/>
  <c r="AC394" i="3"/>
  <c r="O395" i="3"/>
  <c r="AC395" i="3" s="1"/>
  <c r="AC396" i="3"/>
  <c r="O397" i="3"/>
  <c r="O398" i="3"/>
  <c r="AC398" i="3" s="1"/>
  <c r="O399" i="3"/>
  <c r="AC399" i="3" s="1"/>
  <c r="AC400" i="3"/>
  <c r="AC401" i="3"/>
  <c r="AC402" i="3"/>
  <c r="AC403" i="3"/>
  <c r="O404" i="3"/>
  <c r="AC404" i="3" s="1"/>
  <c r="AC405" i="3"/>
  <c r="AC406" i="3"/>
  <c r="O407" i="3"/>
  <c r="AC407" i="3" s="1"/>
  <c r="AC408" i="3"/>
  <c r="AC409" i="3"/>
  <c r="O410" i="3"/>
  <c r="AC410" i="3" s="1"/>
  <c r="AC411" i="3"/>
  <c r="O412" i="3"/>
  <c r="AC412" i="3" s="1"/>
  <c r="AC335" i="3" l="1"/>
  <c r="AC322" i="3"/>
  <c r="AC313" i="3"/>
  <c r="AC397" i="3"/>
  <c r="AC381" i="3"/>
  <c r="AC386" i="3"/>
  <c r="O288" i="3"/>
  <c r="AC288" i="3" s="1"/>
  <c r="O289" i="3"/>
  <c r="AC289" i="3" s="1"/>
  <c r="AC290" i="3"/>
  <c r="O291" i="3"/>
  <c r="AC291" i="3" s="1"/>
  <c r="O274" i="3" l="1"/>
  <c r="AC274" i="3" s="1"/>
  <c r="AC278" i="3"/>
  <c r="AC277" i="3"/>
  <c r="AC272" i="3"/>
  <c r="O275" i="3"/>
  <c r="AC275" i="3" s="1"/>
  <c r="O276" i="3"/>
  <c r="AC276" i="3" s="1"/>
  <c r="O279" i="3"/>
  <c r="AC279" i="3" s="1"/>
  <c r="AC280" i="3"/>
  <c r="O283" i="3"/>
  <c r="AC283" i="3" s="1"/>
  <c r="O282" i="3"/>
  <c r="AC282" i="3" s="1"/>
  <c r="O284" i="3"/>
  <c r="AC284" i="3" s="1"/>
  <c r="AC285" i="3"/>
  <c r="O281" i="3"/>
  <c r="AC281" i="3" s="1"/>
  <c r="O287" i="3"/>
  <c r="AC287" i="3" s="1"/>
  <c r="O286" i="3"/>
  <c r="AC286" i="3" s="1"/>
  <c r="O245" i="3" l="1"/>
  <c r="AC245" i="3" s="1"/>
  <c r="AC242" i="3"/>
  <c r="O247" i="3"/>
  <c r="AC247" i="3" s="1"/>
  <c r="AC248" i="3"/>
  <c r="AC273" i="3" l="1"/>
  <c r="O271" i="3"/>
  <c r="AC271" i="3" s="1"/>
  <c r="AC269" i="3"/>
  <c r="AC270" i="3"/>
  <c r="AC268" i="3"/>
  <c r="AC267" i="3"/>
  <c r="AC266" i="3"/>
  <c r="O258" i="3"/>
  <c r="AC258" i="3" s="1"/>
  <c r="AC259" i="3"/>
  <c r="O263" i="3"/>
  <c r="AC263" i="3" s="1"/>
  <c r="O257" i="3"/>
  <c r="AC257" i="3" s="1"/>
  <c r="O260" i="3"/>
  <c r="AC260" i="3" s="1"/>
  <c r="O262" i="3"/>
  <c r="AC262" i="3" s="1"/>
  <c r="O265" i="3"/>
  <c r="AC265" i="3" s="1"/>
  <c r="AC264" i="3"/>
  <c r="AC261" i="3"/>
  <c r="O255" i="3"/>
  <c r="AC255" i="3" s="1"/>
  <c r="O253" i="3"/>
  <c r="AC254" i="3"/>
  <c r="AC251" i="3"/>
  <c r="AC249" i="3"/>
  <c r="AC250" i="3"/>
  <c r="AC252" i="3"/>
  <c r="O246" i="3"/>
  <c r="AC246" i="3" s="1"/>
  <c r="O243" i="3"/>
  <c r="AC243" i="3" s="1"/>
  <c r="AC244" i="3"/>
  <c r="AC232" i="3"/>
  <c r="AC238" i="3"/>
  <c r="O231" i="3"/>
  <c r="AC231" i="3" s="1"/>
  <c r="O230" i="3"/>
  <c r="O240" i="3"/>
  <c r="AC240" i="3" s="1"/>
  <c r="O239" i="3"/>
  <c r="AC239" i="3" s="1"/>
  <c r="O237" i="3"/>
  <c r="AC237" i="3" s="1"/>
  <c r="O241" i="3"/>
  <c r="AC241" i="3" s="1"/>
  <c r="O235" i="3"/>
  <c r="AC235" i="3" s="1"/>
  <c r="O234" i="3"/>
  <c r="AC234" i="3" s="1"/>
  <c r="O236" i="3"/>
  <c r="AC236" i="3" s="1"/>
  <c r="O225" i="3"/>
  <c r="AC225" i="3" s="1"/>
  <c r="O226" i="3"/>
  <c r="AC226" i="3" s="1"/>
  <c r="O228" i="3"/>
  <c r="AC228" i="3" s="1"/>
  <c r="O229" i="3"/>
  <c r="AC229" i="3" s="1"/>
  <c r="O227" i="3"/>
  <c r="AC224" i="3"/>
  <c r="AC223" i="3"/>
  <c r="O220" i="3"/>
  <c r="AC220" i="3" s="1"/>
  <c r="AC222" i="3"/>
  <c r="O221" i="3"/>
  <c r="AC221" i="3" s="1"/>
  <c r="AC219" i="3"/>
  <c r="AC217" i="3"/>
  <c r="AC216" i="3"/>
  <c r="AC214" i="3"/>
  <c r="AC215" i="3"/>
  <c r="O205" i="3"/>
  <c r="AC205" i="3" s="1"/>
  <c r="O209" i="3"/>
  <c r="AC209" i="3" s="1"/>
  <c r="O206" i="3"/>
  <c r="AC206" i="3" s="1"/>
  <c r="O203" i="3"/>
  <c r="AC203" i="3" s="1"/>
  <c r="O210" i="3"/>
  <c r="AC210" i="3" s="1"/>
  <c r="O202" i="3"/>
  <c r="AC202" i="3" s="1"/>
  <c r="AC198" i="3"/>
  <c r="AC178" i="3"/>
  <c r="O200" i="3"/>
  <c r="AC200" i="3" s="1"/>
  <c r="O212" i="3"/>
  <c r="AC212" i="3" s="1"/>
  <c r="AC197" i="3"/>
  <c r="AC193" i="3"/>
  <c r="AC191" i="3"/>
  <c r="AC188" i="3"/>
  <c r="AC185" i="3"/>
  <c r="O183" i="3"/>
  <c r="AC183" i="3" s="1"/>
  <c r="AC180" i="3"/>
  <c r="O199" i="3"/>
  <c r="AC199" i="3" s="1"/>
  <c r="O196" i="3"/>
  <c r="AC196" i="3" s="1"/>
  <c r="AC174" i="3"/>
  <c r="AC176" i="3"/>
  <c r="AC177" i="3"/>
  <c r="O194" i="3"/>
  <c r="AC194" i="3" s="1"/>
  <c r="O171" i="3"/>
  <c r="AC171" i="3" s="1"/>
  <c r="O173" i="3"/>
  <c r="AC173" i="3" s="1"/>
  <c r="O170" i="3"/>
  <c r="AC170" i="3" s="1"/>
  <c r="O168" i="3"/>
  <c r="AC168" i="3" s="1"/>
  <c r="AC169" i="3"/>
  <c r="AC163" i="3"/>
  <c r="O184" i="3"/>
  <c r="AC184" i="3" s="1"/>
  <c r="AC164" i="3"/>
  <c r="AC165" i="3"/>
  <c r="AC157" i="3"/>
  <c r="O161" i="3"/>
  <c r="AC161" i="3" s="1"/>
  <c r="O156" i="3"/>
  <c r="AC156" i="3" s="1"/>
  <c r="AC158" i="3"/>
  <c r="AC154" i="3"/>
  <c r="AC151" i="3"/>
  <c r="AC148" i="3"/>
  <c r="AC150" i="3"/>
  <c r="AC140" i="3"/>
  <c r="O142" i="3"/>
  <c r="AC142" i="3" s="1"/>
  <c r="O145" i="3"/>
  <c r="AC145" i="3" s="1"/>
  <c r="AC146" i="3"/>
  <c r="AC144" i="3"/>
  <c r="AC143" i="3"/>
  <c r="AC138" i="3"/>
  <c r="AC135" i="3"/>
  <c r="O136" i="3"/>
  <c r="AC136" i="3" s="1"/>
  <c r="O134" i="3"/>
  <c r="AC134" i="3" s="1"/>
  <c r="O131" i="3"/>
  <c r="AC131" i="3" s="1"/>
  <c r="AC127" i="3"/>
  <c r="O130" i="3"/>
  <c r="AC130" i="3" s="1"/>
  <c r="O129" i="3"/>
  <c r="AC129" i="3" s="1"/>
  <c r="AC123" i="3"/>
  <c r="AC122" i="3"/>
  <c r="AC121" i="3"/>
  <c r="O116" i="3"/>
  <c r="AC116" i="3" s="1"/>
  <c r="O114" i="3"/>
  <c r="AC114" i="3" s="1"/>
  <c r="O109" i="3"/>
  <c r="AC109" i="3" s="1"/>
  <c r="O105" i="3"/>
  <c r="AC105" i="3" s="1"/>
  <c r="O94" i="3"/>
  <c r="AC94" i="3" s="1"/>
  <c r="O96" i="3"/>
  <c r="AC96" i="3" s="1"/>
  <c r="O84" i="3"/>
  <c r="AC84" i="3" s="1"/>
  <c r="O88" i="3"/>
  <c r="AC88" i="3" s="1"/>
  <c r="O89" i="3"/>
  <c r="AC89" i="3" s="1"/>
  <c r="O85" i="3"/>
  <c r="AC85" i="3" s="1"/>
  <c r="O87" i="3"/>
  <c r="AC87" i="3" s="1"/>
  <c r="O86" i="3"/>
  <c r="AC86" i="3" s="1"/>
  <c r="O83" i="3"/>
  <c r="AC83" i="3" s="1"/>
  <c r="O81" i="3"/>
  <c r="AC81" i="3" s="1"/>
  <c r="O79" i="3"/>
  <c r="AC79" i="3" s="1"/>
  <c r="O78" i="3"/>
  <c r="F78" i="3"/>
  <c r="G78" i="3" s="1"/>
  <c r="O72" i="3"/>
  <c r="AC72" i="3" s="1"/>
  <c r="O74" i="3"/>
  <c r="AC74" i="3" s="1"/>
  <c r="O77" i="3"/>
  <c r="AC77" i="3" s="1"/>
  <c r="O64" i="3"/>
  <c r="O67" i="3"/>
  <c r="AC67" i="3" s="1"/>
  <c r="O65" i="3"/>
  <c r="AC65" i="3" s="1"/>
  <c r="O63" i="3"/>
  <c r="AC63" i="3" s="1"/>
  <c r="O58" i="3"/>
  <c r="AC58" i="3" s="1"/>
  <c r="O52" i="3"/>
  <c r="AC52" i="3" s="1"/>
  <c r="O53" i="3"/>
  <c r="AC53" i="3" s="1"/>
  <c r="O51" i="3"/>
  <c r="O49" i="3"/>
  <c r="AC49" i="3" s="1"/>
  <c r="O128" i="3"/>
  <c r="AC128" i="3" s="1"/>
  <c r="O48" i="3"/>
  <c r="AC48" i="3" s="1"/>
  <c r="O47" i="3"/>
  <c r="AC47" i="3" s="1"/>
  <c r="O125" i="3"/>
  <c r="AC125" i="3" s="1"/>
  <c r="O45" i="3"/>
  <c r="AC45" i="3" s="1"/>
  <c r="O41" i="3"/>
  <c r="AC41" i="3" s="1"/>
  <c r="O37" i="3"/>
  <c r="AC37" i="3" s="1"/>
  <c r="O35" i="3"/>
  <c r="AC35" i="3" s="1"/>
  <c r="O30" i="3"/>
  <c r="AC30" i="3" s="1"/>
  <c r="O32" i="3"/>
  <c r="AC32" i="3" s="1"/>
  <c r="O27" i="3"/>
  <c r="AC27" i="3" s="1"/>
  <c r="O24" i="3"/>
  <c r="AC24" i="3" s="1"/>
  <c r="O23" i="3"/>
  <c r="AC23" i="3" s="1"/>
  <c r="O117" i="3"/>
  <c r="AC117" i="3" s="1"/>
  <c r="O20" i="3"/>
  <c r="AC20" i="3" s="1"/>
  <c r="O18" i="3"/>
  <c r="O107" i="3"/>
  <c r="AC107" i="3" s="1"/>
  <c r="O19" i="3"/>
  <c r="F19" i="3"/>
  <c r="G19" i="3" s="1"/>
  <c r="O17" i="3"/>
  <c r="AC17" i="3" s="1"/>
  <c r="AC14" i="3"/>
  <c r="O13" i="3"/>
  <c r="AC13" i="3" s="1"/>
  <c r="F13" i="3"/>
  <c r="G13" i="3" s="1"/>
  <c r="O111" i="3"/>
  <c r="AC111" i="3" s="1"/>
  <c r="O108" i="3"/>
  <c r="AC108" i="3" s="1"/>
  <c r="O9" i="3"/>
  <c r="O110" i="3"/>
  <c r="AC110" i="3" s="1"/>
  <c r="O7" i="3"/>
  <c r="AC7" i="3" s="1"/>
  <c r="O3" i="3"/>
  <c r="O98" i="3"/>
  <c r="AC98" i="3" s="1"/>
  <c r="O172" i="3"/>
  <c r="AC172" i="3" s="1"/>
  <c r="AC124" i="3"/>
  <c r="AC126" i="3"/>
  <c r="O187" i="3"/>
  <c r="AC187" i="3" s="1"/>
  <c r="AC166" i="3"/>
  <c r="O153" i="3"/>
  <c r="AC153" i="3" s="1"/>
  <c r="O152" i="3"/>
  <c r="O147" i="3"/>
  <c r="AC147" i="3" s="1"/>
  <c r="O137" i="3"/>
  <c r="AC137" i="3" s="1"/>
  <c r="O133" i="3"/>
  <c r="O132" i="3"/>
  <c r="AC132" i="3" s="1"/>
  <c r="O93" i="3"/>
  <c r="AC93" i="3" s="1"/>
  <c r="O119" i="3"/>
  <c r="AC119" i="3" s="1"/>
  <c r="O149" i="3"/>
  <c r="AC149" i="3" s="1"/>
  <c r="AC118" i="3"/>
  <c r="O100" i="3"/>
  <c r="AC100" i="3" s="1"/>
  <c r="O167" i="3"/>
  <c r="AC167" i="3" s="1"/>
  <c r="O182" i="3"/>
  <c r="AC182" i="3" s="1"/>
  <c r="O181" i="3"/>
  <c r="AC181" i="3" s="1"/>
  <c r="O218" i="3"/>
  <c r="AC218" i="3" s="1"/>
  <c r="O211" i="3"/>
  <c r="AC211" i="3" s="1"/>
  <c r="O213" i="3"/>
  <c r="AC213" i="3" s="1"/>
  <c r="O201" i="3"/>
  <c r="AC201" i="3" s="1"/>
  <c r="O80" i="3"/>
  <c r="AC80" i="3" s="1"/>
  <c r="O207" i="3"/>
  <c r="AC207" i="3" s="1"/>
  <c r="O208" i="3"/>
  <c r="AC208" i="3" s="1"/>
  <c r="O76" i="3"/>
  <c r="AC76" i="3" s="1"/>
  <c r="O204" i="3"/>
  <c r="AC204" i="3" s="1"/>
  <c r="O190" i="3"/>
  <c r="AC190" i="3" s="1"/>
  <c r="O175" i="3"/>
  <c r="AC175" i="3" s="1"/>
  <c r="O155" i="3"/>
  <c r="AC155" i="3" s="1"/>
  <c r="O69" i="3"/>
  <c r="AC69" i="3" s="1"/>
  <c r="O68" i="3"/>
  <c r="AC68" i="3" s="1"/>
  <c r="O179" i="3"/>
  <c r="AC179" i="3" s="1"/>
  <c r="AC159" i="3"/>
  <c r="O189" i="3"/>
  <c r="AC189" i="3" s="1"/>
  <c r="O195" i="3"/>
  <c r="AC195" i="3" s="1"/>
  <c r="O66" i="3"/>
  <c r="O192" i="3"/>
  <c r="AC192" i="3" s="1"/>
  <c r="O162" i="3"/>
  <c r="AC162" i="3" s="1"/>
  <c r="O186" i="3"/>
  <c r="AC186" i="3" s="1"/>
  <c r="O160" i="3"/>
  <c r="AC160" i="3" s="1"/>
  <c r="O115" i="3"/>
  <c r="AC115" i="3" s="1"/>
  <c r="O141" i="3"/>
  <c r="AC141" i="3" s="1"/>
  <c r="O55" i="3"/>
  <c r="AC55" i="3" s="1"/>
  <c r="O56" i="3"/>
  <c r="AC56" i="3" s="1"/>
  <c r="O62" i="3"/>
  <c r="AC62" i="3" s="1"/>
  <c r="O54" i="3"/>
  <c r="AC54" i="3" s="1"/>
  <c r="O139" i="3"/>
  <c r="O103" i="3"/>
  <c r="AC103" i="3" s="1"/>
  <c r="O106" i="3"/>
  <c r="AC106" i="3" s="1"/>
  <c r="O92" i="3"/>
  <c r="AC92" i="3" s="1"/>
  <c r="O50" i="3"/>
  <c r="AC50" i="3" s="1"/>
  <c r="O102" i="3"/>
  <c r="AC102" i="3" s="1"/>
  <c r="O113" i="3"/>
  <c r="AC113" i="3" s="1"/>
  <c r="O112" i="3"/>
  <c r="AC112" i="3" s="1"/>
  <c r="O120" i="3"/>
  <c r="AC120" i="3" s="1"/>
  <c r="O104" i="3"/>
  <c r="AC104" i="3" s="1"/>
  <c r="O43" i="3"/>
  <c r="AC43" i="3" s="1"/>
  <c r="O42" i="3"/>
  <c r="AC42" i="3" s="1"/>
  <c r="O40" i="3"/>
  <c r="AC40" i="3" s="1"/>
  <c r="O44" i="3"/>
  <c r="AC44" i="3" s="1"/>
  <c r="O97" i="3"/>
  <c r="AC97" i="3" s="1"/>
  <c r="O39" i="3"/>
  <c r="AC39" i="3" s="1"/>
  <c r="O38" i="3"/>
  <c r="AC38" i="3" s="1"/>
  <c r="O101" i="3"/>
  <c r="AC101" i="3" s="1"/>
  <c r="O36" i="3"/>
  <c r="O34" i="3"/>
  <c r="AC34" i="3" s="1"/>
  <c r="O99" i="3"/>
  <c r="O90" i="3"/>
  <c r="AC90" i="3" s="1"/>
  <c r="O91" i="3"/>
  <c r="AC91" i="3" s="1"/>
  <c r="O31" i="3"/>
  <c r="AC31" i="3" s="1"/>
  <c r="F31" i="3"/>
  <c r="G31" i="3" s="1"/>
  <c r="O28" i="3"/>
  <c r="AC28" i="3" s="1"/>
  <c r="O29" i="3"/>
  <c r="O95" i="3"/>
  <c r="AC95" i="3" s="1"/>
  <c r="O26" i="3"/>
  <c r="AC26" i="3" s="1"/>
  <c r="O25" i="3"/>
  <c r="AC25" i="3" s="1"/>
  <c r="O60" i="3"/>
  <c r="AC60" i="3" s="1"/>
  <c r="O61" i="3"/>
  <c r="AC61" i="3" s="1"/>
  <c r="O22" i="3"/>
  <c r="AC22" i="3" s="1"/>
  <c r="O21" i="3"/>
  <c r="AC21" i="3" s="1"/>
  <c r="O59" i="3"/>
  <c r="AC59" i="3" s="1"/>
  <c r="O57" i="3"/>
  <c r="AC57" i="3" s="1"/>
  <c r="O71" i="3"/>
  <c r="AC71" i="3" s="1"/>
  <c r="O16" i="3"/>
  <c r="AC16" i="3" s="1"/>
  <c r="O82" i="3"/>
  <c r="AC82" i="3" s="1"/>
  <c r="O15" i="3"/>
  <c r="AC15" i="3" s="1"/>
  <c r="O73" i="3"/>
  <c r="AC73" i="3" s="1"/>
  <c r="O75" i="3"/>
  <c r="AC75" i="3" s="1"/>
  <c r="O12" i="3"/>
  <c r="AC12" i="3" s="1"/>
  <c r="F12" i="3"/>
  <c r="G12" i="3" s="1"/>
  <c r="AC11" i="3"/>
  <c r="O10" i="3"/>
  <c r="AC10" i="3" s="1"/>
  <c r="O70" i="3"/>
  <c r="AC70" i="3" s="1"/>
  <c r="O8" i="3"/>
  <c r="O46" i="3"/>
  <c r="AC46" i="3" s="1"/>
  <c r="O6" i="3"/>
  <c r="O5" i="3"/>
  <c r="AC5" i="3" s="1"/>
  <c r="O4" i="3"/>
  <c r="AC4" i="3" s="1"/>
  <c r="AC2" i="3"/>
  <c r="O33" i="3"/>
  <c r="AC33" i="3" s="1"/>
  <c r="M6" i="7"/>
  <c r="M5" i="7"/>
  <c r="AC19" i="3" l="1"/>
  <c r="AC29" i="3"/>
  <c r="AC36" i="3"/>
  <c r="AC152" i="3"/>
  <c r="AC3" i="3"/>
  <c r="AC6" i="3"/>
  <c r="AC66" i="3"/>
  <c r="AC133" i="3"/>
  <c r="AC18" i="3"/>
  <c r="AC64" i="3"/>
  <c r="AC227" i="3"/>
  <c r="AC230" i="3"/>
  <c r="AC253" i="3"/>
  <c r="AC139" i="3"/>
  <c r="AC78" i="3"/>
  <c r="M26" i="7"/>
  <c r="M27" i="7"/>
  <c r="AC9" i="3"/>
  <c r="AC99" i="3"/>
  <c r="AC51" i="3"/>
  <c r="AC8" i="3"/>
  <c r="M34" i="7" l="1"/>
  <c r="M35" i="7"/>
</calcChain>
</file>

<file path=xl/comments1.xml><?xml version="1.0" encoding="utf-8"?>
<comments xmlns="http://schemas.openxmlformats.org/spreadsheetml/2006/main">
  <authors>
    <author>Lady MERINO</author>
  </authors>
  <commentList>
    <comment ref="B37" authorId="0">
      <text>
        <r>
          <rPr>
            <b/>
            <sz val="9"/>
            <color indexed="81"/>
            <rFont val="Tahoma"/>
            <family val="2"/>
          </rPr>
          <t>Lady MERINO:</t>
        </r>
        <r>
          <rPr>
            <sz val="9"/>
            <color indexed="81"/>
            <rFont val="Tahoma"/>
            <family val="2"/>
          </rPr>
          <t xml:space="preserve">
dato de formato diario</t>
        </r>
      </text>
    </comment>
  </commentList>
</comments>
</file>

<file path=xl/comments2.xml><?xml version="1.0" encoding="utf-8"?>
<comments xmlns="http://schemas.openxmlformats.org/spreadsheetml/2006/main">
  <authors>
    <author>Christian TINOCO</author>
  </authors>
  <commentList>
    <comment ref="I59" authorId="0">
      <text>
        <r>
          <rPr>
            <b/>
            <sz val="9"/>
            <color indexed="81"/>
            <rFont val="Tahoma"/>
            <family val="2"/>
          </rPr>
          <t>Christian TINOCO:</t>
        </r>
        <r>
          <rPr>
            <sz val="9"/>
            <color indexed="81"/>
            <rFont val="Tahoma"/>
            <family val="2"/>
          </rPr>
          <t xml:space="preserve">
orden de donde proviene el repuesto recuperado</t>
        </r>
      </text>
    </comment>
    <comment ref="I60" authorId="0">
      <text>
        <r>
          <rPr>
            <b/>
            <sz val="9"/>
            <color indexed="81"/>
            <rFont val="Tahoma"/>
            <family val="2"/>
          </rPr>
          <t>Christian TINOCO:</t>
        </r>
        <r>
          <rPr>
            <sz val="9"/>
            <color indexed="81"/>
            <rFont val="Tahoma"/>
            <family val="2"/>
          </rPr>
          <t xml:space="preserve">
Fecha de ingreso del repuesto a la BD</t>
        </r>
      </text>
    </comment>
    <comment ref="I61" authorId="0">
      <text>
        <r>
          <rPr>
            <b/>
            <sz val="9"/>
            <color indexed="81"/>
            <rFont val="Tahoma"/>
            <family val="2"/>
          </rPr>
          <t>Christian TINOCO:</t>
        </r>
        <r>
          <rPr>
            <sz val="9"/>
            <color indexed="81"/>
            <rFont val="Tahoma"/>
            <family val="2"/>
          </rPr>
          <t xml:space="preserve">
La suma asegurada proviene de la orden de donde se toma el repuesto recuperado</t>
        </r>
      </text>
    </comment>
    <comment ref="I71" authorId="0">
      <text>
        <r>
          <rPr>
            <b/>
            <sz val="9"/>
            <color indexed="81"/>
            <rFont val="Tahoma"/>
            <family val="2"/>
          </rPr>
          <t>Christian TINOCO:</t>
        </r>
        <r>
          <rPr>
            <sz val="9"/>
            <color indexed="81"/>
            <rFont val="Tahoma"/>
            <family val="2"/>
          </rPr>
          <t xml:space="preserve">
El ahorro sera cuantificado mediante depreciacion</t>
        </r>
      </text>
    </comment>
    <comment ref="I72" authorId="0">
      <text>
        <r>
          <rPr>
            <b/>
            <sz val="9"/>
            <color indexed="81"/>
            <rFont val="Tahoma"/>
            <family val="2"/>
          </rPr>
          <t>Christian TINOCO:</t>
        </r>
        <r>
          <rPr>
            <sz val="9"/>
            <color indexed="81"/>
            <rFont val="Tahoma"/>
            <family val="2"/>
          </rPr>
          <t xml:space="preserve">
documento anexado al rpto donde sera dirigido
</t>
        </r>
      </text>
    </comment>
    <comment ref="I76" authorId="0">
      <text>
        <r>
          <rPr>
            <b/>
            <sz val="9"/>
            <color indexed="81"/>
            <rFont val="Tahoma"/>
            <family val="2"/>
          </rPr>
          <t>Christian TINOCO:
Documento que envia el ST con los repuestos recuperados</t>
        </r>
      </text>
    </comment>
  </commentList>
</comments>
</file>

<file path=xl/comments3.xml><?xml version="1.0" encoding="utf-8"?>
<comments xmlns="http://schemas.openxmlformats.org/spreadsheetml/2006/main">
  <authors>
    <author>Christian TINOCO</author>
    <author>Rogelio COMECA</author>
    <author>Lady MERINO</author>
    <author>Elda Maribel PICHEN VARGAS</author>
  </authors>
  <commentList>
    <comment ref="AK95" authorId="0">
      <text>
        <r>
          <rPr>
            <b/>
            <sz val="9"/>
            <color indexed="81"/>
            <rFont val="Tahoma"/>
            <family val="2"/>
          </rPr>
          <t>Christian TINOCO:</t>
        </r>
        <r>
          <rPr>
            <sz val="9"/>
            <color indexed="81"/>
            <rFont val="Tahoma"/>
            <family val="2"/>
          </rPr>
          <t xml:space="preserve">
generar nota de credito
</t>
        </r>
      </text>
    </comment>
    <comment ref="V174" authorId="1">
      <text>
        <r>
          <rPr>
            <b/>
            <sz val="8"/>
            <color indexed="81"/>
            <rFont val="Tahoma"/>
            <family val="2"/>
          </rPr>
          <t>Rogelio COMECA:</t>
        </r>
        <r>
          <rPr>
            <sz val="8"/>
            <color indexed="81"/>
            <rFont val="Tahoma"/>
            <family val="2"/>
          </rPr>
          <t xml:space="preserve">
Buscar para referencia estamos fuera de plazo 
</t>
        </r>
      </text>
    </comment>
    <comment ref="B189" authorId="2">
      <text>
        <r>
          <rPr>
            <b/>
            <sz val="9"/>
            <color indexed="81"/>
            <rFont val="Tahoma"/>
            <family val="2"/>
          </rPr>
          <t>Lady MERINO:</t>
        </r>
        <r>
          <rPr>
            <sz val="9"/>
            <color indexed="81"/>
            <rFont val="Tahoma"/>
            <family val="2"/>
          </rPr>
          <t xml:space="preserve">
duplicado
</t>
        </r>
      </text>
    </comment>
    <comment ref="M189" authorId="2">
      <text>
        <r>
          <rPr>
            <b/>
            <sz val="9"/>
            <color indexed="81"/>
            <rFont val="Tahoma"/>
            <family val="2"/>
          </rPr>
          <t>Lady MERINO:</t>
        </r>
        <r>
          <rPr>
            <sz val="9"/>
            <color indexed="81"/>
            <rFont val="Tahoma"/>
            <family val="2"/>
          </rPr>
          <t xml:space="preserve">
no se registro los 150 del teclado
</t>
        </r>
      </text>
    </comment>
    <comment ref="B234" authorId="2">
      <text>
        <r>
          <rPr>
            <b/>
            <sz val="9"/>
            <color indexed="81"/>
            <rFont val="Tahoma"/>
            <family val="2"/>
          </rPr>
          <t>Lady MERINO:</t>
        </r>
        <r>
          <rPr>
            <sz val="9"/>
            <color indexed="81"/>
            <rFont val="Tahoma"/>
            <family val="2"/>
          </rPr>
          <t xml:space="preserve">
20/06 repuesto se envio a una direccion errada se tratara de salvar el caso</t>
        </r>
      </text>
    </comment>
    <comment ref="M234" authorId="2">
      <text>
        <r>
          <rPr>
            <b/>
            <sz val="9"/>
            <color indexed="81"/>
            <rFont val="Tahoma"/>
            <family val="2"/>
          </rPr>
          <t>Lady MERINO:</t>
        </r>
        <r>
          <rPr>
            <sz val="9"/>
            <color indexed="81"/>
            <rFont val="Tahoma"/>
            <family val="2"/>
          </rPr>
          <t xml:space="preserve">
20 DE ENVIO NO SE CONCIDERO  TOTAL 760
</t>
        </r>
      </text>
    </comment>
    <comment ref="U268" authorId="1">
      <text>
        <r>
          <rPr>
            <b/>
            <sz val="8"/>
            <color indexed="81"/>
            <rFont val="Tahoma"/>
            <family val="2"/>
          </rPr>
          <t>Rogelio COMECA:</t>
        </r>
        <r>
          <rPr>
            <sz val="8"/>
            <color indexed="81"/>
            <rFont val="Tahoma"/>
            <family val="2"/>
          </rPr>
          <t xml:space="preserve">
BH9540TW 
</t>
        </r>
      </text>
    </comment>
    <comment ref="B382" authorId="3">
      <text>
        <r>
          <rPr>
            <b/>
            <sz val="9"/>
            <color indexed="81"/>
            <rFont val="Tahoma"/>
            <family val="2"/>
          </rPr>
          <t>Elda Maribel PICHEN VARGAS:</t>
        </r>
        <r>
          <rPr>
            <sz val="9"/>
            <color indexed="81"/>
            <rFont val="Tahoma"/>
            <family val="2"/>
          </rPr>
          <t xml:space="preserve">
CASO INDECOPI
</t>
        </r>
      </text>
    </comment>
    <comment ref="AK396" authorId="2">
      <text>
        <r>
          <rPr>
            <b/>
            <sz val="9"/>
            <color indexed="81"/>
            <rFont val="Tahoma"/>
            <family val="2"/>
          </rPr>
          <t>Lady MERINO:</t>
        </r>
        <r>
          <rPr>
            <sz val="9"/>
            <color indexed="81"/>
            <rFont val="Tahoma"/>
            <family val="2"/>
          </rPr>
          <t xml:space="preserve">
se an ulan facturas  0001 - 000670 // 0001-000675 solo debera de cobrar diagnostico</t>
        </r>
      </text>
    </comment>
    <comment ref="AK397" authorId="2">
      <text>
        <r>
          <rPr>
            <b/>
            <sz val="9"/>
            <color indexed="81"/>
            <rFont val="Tahoma"/>
            <family val="2"/>
          </rPr>
          <t>Lady MERINO:</t>
        </r>
        <r>
          <rPr>
            <sz val="9"/>
            <color indexed="81"/>
            <rFont val="Tahoma"/>
            <family val="2"/>
          </rPr>
          <t xml:space="preserve">
17/08 se emite factura 0001 - 000664  la cual se rechaza por error en igv
</t>
        </r>
      </text>
    </comment>
    <comment ref="AK410" authorId="0">
      <text>
        <r>
          <rPr>
            <b/>
            <sz val="9"/>
            <color indexed="81"/>
            <rFont val="Tahoma"/>
            <family val="2"/>
          </rPr>
          <t>Christian TINOCO:</t>
        </r>
        <r>
          <rPr>
            <sz val="9"/>
            <color indexed="81"/>
            <rFont val="Tahoma"/>
            <family val="2"/>
          </rPr>
          <t xml:space="preserve">
Se anula factura por mala emision 001 - 000672</t>
        </r>
      </text>
    </comment>
    <comment ref="AK466" authorId="0">
      <text>
        <r>
          <rPr>
            <b/>
            <sz val="9"/>
            <color indexed="81"/>
            <rFont val="Tahoma"/>
            <family val="2"/>
          </rPr>
          <t>Christian TINOCO:</t>
        </r>
        <r>
          <rPr>
            <sz val="9"/>
            <color indexed="81"/>
            <rFont val="Tahoma"/>
            <family val="2"/>
          </rPr>
          <t xml:space="preserve">
Se anula factura 001 - 000220 IGV no es correcto se solicito nueva factura a proveedor
</t>
        </r>
      </text>
    </comment>
    <comment ref="AK474" authorId="0">
      <text>
        <r>
          <rPr>
            <b/>
            <sz val="9"/>
            <color indexed="81"/>
            <rFont val="Tahoma"/>
            <family val="2"/>
          </rPr>
          <t>Christian TINOCO:</t>
        </r>
        <r>
          <rPr>
            <sz val="9"/>
            <color indexed="81"/>
            <rFont val="Tahoma"/>
            <family val="2"/>
          </rPr>
          <t xml:space="preserve">
se anula factura: 001 - 00225 por mala emision del IGV</t>
        </r>
      </text>
    </comment>
    <comment ref="AK475" authorId="0">
      <text>
        <r>
          <rPr>
            <b/>
            <sz val="9"/>
            <color indexed="81"/>
            <rFont val="Tahoma"/>
            <family val="2"/>
          </rPr>
          <t>Christian TINOCO:</t>
        </r>
        <r>
          <rPr>
            <sz val="9"/>
            <color indexed="81"/>
            <rFont val="Tahoma"/>
            <family val="2"/>
          </rPr>
          <t xml:space="preserve">
se anula factura: 001 - 00224 por mala emision del IGV</t>
        </r>
      </text>
    </comment>
    <comment ref="AK505" authorId="0">
      <text>
        <r>
          <rPr>
            <b/>
            <sz val="9"/>
            <color indexed="81"/>
            <rFont val="Tahoma"/>
            <family val="2"/>
          </rPr>
          <t>Christian TINOCO:</t>
        </r>
        <r>
          <rPr>
            <sz val="9"/>
            <color indexed="81"/>
            <rFont val="Tahoma"/>
            <family val="2"/>
          </rPr>
          <t xml:space="preserve">
Se factura S/, 190  · Factura: 001 - 000250, se factura doble debido que el ST no llego a informar a tiempo la incompatibilidad del repuesto,</t>
        </r>
      </text>
    </comment>
    <comment ref="AK542" authorId="0">
      <text>
        <r>
          <rPr>
            <b/>
            <sz val="9"/>
            <color indexed="81"/>
            <rFont val="Tahoma"/>
            <family val="2"/>
          </rPr>
          <t>Christian TINOCO:</t>
        </r>
        <r>
          <rPr>
            <sz val="9"/>
            <color indexed="81"/>
            <rFont val="Tahoma"/>
            <family val="2"/>
          </rPr>
          <t xml:space="preserve">
Se anula vactura 001 - 000239 mala emision del IGV se entrega nueva factura: 001 - 000256</t>
        </r>
      </text>
    </comment>
  </commentList>
</comments>
</file>

<file path=xl/comments4.xml><?xml version="1.0" encoding="utf-8"?>
<comments xmlns="http://schemas.openxmlformats.org/spreadsheetml/2006/main">
  <authors>
    <author>Christian TINOCO</author>
  </authors>
  <commentList>
    <comment ref="O1" authorId="0">
      <text>
        <r>
          <rPr>
            <b/>
            <sz val="9"/>
            <color indexed="81"/>
            <rFont val="Tahoma"/>
            <family val="2"/>
          </rPr>
          <t>Christian TINOCO:</t>
        </r>
        <r>
          <rPr>
            <sz val="9"/>
            <color indexed="81"/>
            <rFont val="Tahoma"/>
            <family val="2"/>
          </rPr>
          <t xml:space="preserve">
El tipo de solicitud puede ser por Disponibilidad de repuesto o por Monto.</t>
        </r>
      </text>
    </comment>
  </commentList>
</comments>
</file>

<file path=xl/sharedStrings.xml><?xml version="1.0" encoding="utf-8"?>
<sst xmlns="http://schemas.openxmlformats.org/spreadsheetml/2006/main" count="21630" uniqueCount="2611">
  <si>
    <t xml:space="preserve">Luis Pinedo </t>
  </si>
  <si>
    <t>Av.  La Paz Nº 308 San Miguel</t>
  </si>
  <si>
    <t>STA Daewoo</t>
  </si>
  <si>
    <t>Repainter</t>
  </si>
  <si>
    <t>Jose Granados</t>
  </si>
  <si>
    <t xml:space="preserve">Jr. Paruro 1216 </t>
  </si>
  <si>
    <t>repainter22@hotmail.com   </t>
  </si>
  <si>
    <t>cd.marly@hotmail.com</t>
  </si>
  <si>
    <t>Marly Luzon</t>
  </si>
  <si>
    <t>Proveedor LG</t>
  </si>
  <si>
    <t>Calle San Diego 171 - Surquillo / Paruro 1280 Tda 103 - 107)</t>
  </si>
  <si>
    <t>ventas@corparacionderepuesto.com</t>
  </si>
  <si>
    <t xml:space="preserve">Rex Sanchez 943640631 Gerente de Ventas </t>
  </si>
  <si>
    <t>Repuestos y Accesorios Internacionales</t>
  </si>
  <si>
    <t>Jirón San Diego N° 180, Surquillo, Lima, Perú</t>
  </si>
  <si>
    <t>ventas2@mimaparts.com</t>
  </si>
  <si>
    <t xml:space="preserve">Fabiana </t>
  </si>
  <si>
    <t>Tomas Zegarra</t>
  </si>
  <si>
    <t>reparaciones@centralserviceperu.com</t>
  </si>
  <si>
    <t>Centro Comercial Aviación, San Borja</t>
  </si>
  <si>
    <t>Central Service Peru</t>
  </si>
  <si>
    <t>Ajustador debe de contar con 2 de ubicación de repuesto</t>
  </si>
  <si>
    <t>Deberan de verificar listado en Base de Recupero</t>
  </si>
  <si>
    <t>Chequear en producto de Salvamento la posibilidad de tomar algun repuesto</t>
  </si>
  <si>
    <t xml:space="preserve">El plazo no debe de superar los 10 dias de atencion </t>
  </si>
  <si>
    <t>Casos cuya suma asegurada &gt;1500</t>
  </si>
  <si>
    <t>Informar el % de gasto que se tiene sobre la SA, para adquirir el rpto</t>
  </si>
  <si>
    <t>Nº OT</t>
  </si>
  <si>
    <t>Modelo</t>
  </si>
  <si>
    <t xml:space="preserve">Producto </t>
  </si>
  <si>
    <t>Suma Asegurada</t>
  </si>
  <si>
    <t>Numero de Parte</t>
  </si>
  <si>
    <t>Repuesto</t>
  </si>
  <si>
    <t>Foto de Rpto</t>
  </si>
  <si>
    <t>Item</t>
  </si>
  <si>
    <t>Costo de Rpto</t>
  </si>
  <si>
    <t>Condiciones para busqueda de repuesto:</t>
  </si>
  <si>
    <t>Contacto</t>
  </si>
  <si>
    <t>Direccion</t>
  </si>
  <si>
    <t>Razon Social</t>
  </si>
  <si>
    <t>Telefono II</t>
  </si>
  <si>
    <t>Correo</t>
  </si>
  <si>
    <t>-</t>
  </si>
  <si>
    <t>Ajustador</t>
  </si>
  <si>
    <t>Fecha de solicitud</t>
  </si>
  <si>
    <t>Fecha Estimada de Termino de Reparacion</t>
  </si>
  <si>
    <t>Marca</t>
  </si>
  <si>
    <t>Observacion</t>
  </si>
  <si>
    <t>Ahorro</t>
  </si>
  <si>
    <t>Ubicación de repuesto</t>
  </si>
  <si>
    <t>Entrega de Repuesto a:</t>
  </si>
  <si>
    <t>Jorge Calderon</t>
  </si>
  <si>
    <t>Calle Loma Umbrosa 427 - Surco</t>
  </si>
  <si>
    <t>Hantof Tekpesa</t>
  </si>
  <si>
    <t>ventas@hantoflima.com</t>
  </si>
  <si>
    <t>Jr. Puno 804 - Lima /  Av.Nicolas de pierola 1755 Stand 106</t>
  </si>
  <si>
    <t>ventasjhumabe7@gmail.com</t>
  </si>
  <si>
    <t>Negociaciones Maykol</t>
  </si>
  <si>
    <t>Distrito</t>
  </si>
  <si>
    <t>San Miguel</t>
  </si>
  <si>
    <t>Cercado de Lima</t>
  </si>
  <si>
    <t>Surco</t>
  </si>
  <si>
    <t>Surquillo</t>
  </si>
  <si>
    <t>San Borja</t>
  </si>
  <si>
    <t>ventas@tecnidaza.com</t>
  </si>
  <si>
    <t>Tecnidaza</t>
  </si>
  <si>
    <t>Jose Martinez</t>
  </si>
  <si>
    <t>221-4403</t>
  </si>
  <si>
    <t>Sergio Parco</t>
  </si>
  <si>
    <t>sparco@indurama.com</t>
  </si>
  <si>
    <t>lvergaray@indurama.com</t>
  </si>
  <si>
    <t>Supervisor Area Tecnica</t>
  </si>
  <si>
    <t>Giovana Palmeri</t>
  </si>
  <si>
    <t>Jucatoga E.I.R.L.</t>
  </si>
  <si>
    <t xml:space="preserve">Jr. Paruro 1401 Tda 130 </t>
  </si>
  <si>
    <t>Luis Vergaray</t>
  </si>
  <si>
    <t>Edy Pineda</t>
  </si>
  <si>
    <t>Electrolux SAC</t>
  </si>
  <si>
    <t xml:space="preserve">San Borja </t>
  </si>
  <si>
    <t>6172121 - 435</t>
  </si>
  <si>
    <t>edy.lopez@electrolux.com</t>
  </si>
  <si>
    <t>Modo de Pago</t>
  </si>
  <si>
    <t>Contado</t>
  </si>
  <si>
    <t xml:space="preserve">Jiron Bernini 149 of. 301 </t>
  </si>
  <si>
    <t xml:space="preserve"> </t>
  </si>
  <si>
    <t>j.calderon@lge..com</t>
  </si>
  <si>
    <t>Wendy Martinez</t>
  </si>
  <si>
    <t>Lavaseca</t>
  </si>
  <si>
    <t>Daewoo</t>
  </si>
  <si>
    <t>DWC-110W</t>
  </si>
  <si>
    <t>Tarjeta Principal</t>
  </si>
  <si>
    <t>Direct Service LG</t>
  </si>
  <si>
    <t xml:space="preserve">Urb. San Geronimo Mz. D Lt 7  - A espalda de los condiminios Las Crucetas </t>
  </si>
  <si>
    <t xml:space="preserve">Corporacion de Repuesto </t>
  </si>
  <si>
    <t>Jose Toralva Flores</t>
  </si>
  <si>
    <t>RUC</t>
  </si>
  <si>
    <t>Marca de Repuesto</t>
  </si>
  <si>
    <t>LG - Samsung - Sony - Panasonic - AOC - Indurama - Bosch</t>
  </si>
  <si>
    <t>30 dias</t>
  </si>
  <si>
    <t>Telfono</t>
  </si>
  <si>
    <t>Telefono III</t>
  </si>
  <si>
    <t>Hamber Vargas</t>
  </si>
  <si>
    <t>Maykol Huamani / Julia Vargas</t>
  </si>
  <si>
    <t>Jr Jorge Chavez 013 - Breña</t>
  </si>
  <si>
    <t>981572872 / 981154793</t>
  </si>
  <si>
    <t>Samsung - Indurama - Bosch - Oster</t>
  </si>
  <si>
    <t>repuesto_accesorios@hotmail.com</t>
  </si>
  <si>
    <t>15 dias</t>
  </si>
  <si>
    <t>RESULTADO DE VISITA</t>
  </si>
  <si>
    <t>Toda solicitud sera canalizada por personal de Red.
Brindara mayor soporte para las marcas: Daewoo y Whirlpool.
Enviara cotizacion por repuesto a 30 dias y otra por repuesto alterno (Refabrish)
Toda solicitud de repuesto debera de contar con imagen y modelo completo</t>
  </si>
  <si>
    <t>Toda solicitud sera canalizada por personal de Red. 
Toda solicitud de repuesto debera de contar con imagen y modelo completo.
A mayor cantidad de solicitud evaluara la condicion de pago a 30 dias.
Brindara soporto para productos de linea blanca con alternativa de solucion.</t>
  </si>
  <si>
    <t>Brinda soporte en Repuesto Electromecanico: Caja de Transmision, bomba de drenaje, valvula, etc.
Bajo costo en venta de repuesto.
No realiza envio a Provincia y Lima Cercado.
Cuanta con amplio stock para repuestos Oster</t>
  </si>
  <si>
    <t xml:space="preserve">Indurama - Mabe - GE- Inresa </t>
  </si>
  <si>
    <t>Electrolux - Frigidaire</t>
  </si>
  <si>
    <t>LG</t>
  </si>
  <si>
    <t>Venta de Repuesto en las marcas: LG - Sony - Samsung - AOC - Panasonic - Indurama - Bosch
Repuesto cuenta con 3 meses de garantia (solo por falla de fabrica comprobado)
Envio de repuesto hacia lugar de destino (Lima - Provincias).
Brindar alternativas de solucion, es decir contar con repuesto que puedan ser reparados.
Emision de factura por cada de venta.</t>
  </si>
  <si>
    <t>Personal encargado se encontro de vacaciones se volvara a comunicar a partir del 27.02</t>
  </si>
  <si>
    <t>No cuenta con local
No emite ningun tipo de documento 
Solo realiza atenciones a domicilio</t>
  </si>
  <si>
    <t>Factura</t>
  </si>
  <si>
    <t>No factura</t>
  </si>
  <si>
    <t>Electrolux</t>
  </si>
  <si>
    <t>Clina Livisi</t>
  </si>
  <si>
    <t>TV Led</t>
  </si>
  <si>
    <t>39LB5800-SB.BWFJTJM</t>
  </si>
  <si>
    <t>Sertepi</t>
  </si>
  <si>
    <t>Aprobado</t>
  </si>
  <si>
    <t>Disponibilidad</t>
  </si>
  <si>
    <t xml:space="preserve">2 dias </t>
  </si>
  <si>
    <t>Rogelio Comeca</t>
  </si>
  <si>
    <t>Elda Pichen</t>
  </si>
  <si>
    <t>Busqueda</t>
  </si>
  <si>
    <t>Transito</t>
  </si>
  <si>
    <t>Entregado</t>
  </si>
  <si>
    <t>Cerrado</t>
  </si>
  <si>
    <t>Refrigeradora</t>
  </si>
  <si>
    <t>ERSB56B2MMS</t>
  </si>
  <si>
    <t>Tarjeta Display</t>
  </si>
  <si>
    <t>Serfac</t>
  </si>
  <si>
    <t>DFR-550L</t>
  </si>
  <si>
    <t>Motor Compresor</t>
  </si>
  <si>
    <t>3 dias</t>
  </si>
  <si>
    <t>Si</t>
  </si>
  <si>
    <t>No</t>
  </si>
  <si>
    <t>Lavadora</t>
  </si>
  <si>
    <t>Whirlpool</t>
  </si>
  <si>
    <t>4GWTW4740YQ2</t>
  </si>
  <si>
    <t>W10591663</t>
  </si>
  <si>
    <t>Servinorte</t>
  </si>
  <si>
    <t>Datos incompletos</t>
  </si>
  <si>
    <t>ventas@corparacionderepuesto.com.pe / redsanchez2@hotmail.com</t>
  </si>
  <si>
    <t>Todas las marcas</t>
  </si>
  <si>
    <t>Tipo de Comprobante</t>
  </si>
  <si>
    <t>Envio de Cartas</t>
  </si>
  <si>
    <t>Service &amp; Supplies</t>
  </si>
  <si>
    <t>Norma Dominguez</t>
  </si>
  <si>
    <t>Jr. San Diego 165 Tda, 007 /008</t>
  </si>
  <si>
    <t>2425889 / 5175072</t>
  </si>
  <si>
    <t>norjhoce@hotmail.com / melvadeamerica@hotmail.com</t>
  </si>
  <si>
    <t>Importadora General de Equipos y  Repuestos SAC</t>
  </si>
  <si>
    <t>Mayte Velasquez / Sergio Klepastki</t>
  </si>
  <si>
    <t>Jr. San Diego 165 Tda. 101</t>
  </si>
  <si>
    <t>iger.sac@outlook.es</t>
  </si>
  <si>
    <t>Bosch</t>
  </si>
  <si>
    <t>Mabe - GE - Inresa - Whirlpool - Electrolux - Frigidaire</t>
  </si>
  <si>
    <t>Samsung</t>
  </si>
  <si>
    <t>RF263BEAEBC/PE</t>
  </si>
  <si>
    <t>Motor Auger</t>
  </si>
  <si>
    <t xml:space="preserve">DA31-00105M  </t>
  </si>
  <si>
    <t>39LN5700-SH.AWFJLJM</t>
  </si>
  <si>
    <t>Barra Led</t>
  </si>
  <si>
    <t>Censel</t>
  </si>
  <si>
    <t>Fecha de Traslado</t>
  </si>
  <si>
    <t xml:space="preserve">Motivo de Traslado </t>
  </si>
  <si>
    <t xml:space="preserve">Origen </t>
  </si>
  <si>
    <t>Destino I</t>
  </si>
  <si>
    <t>Destino II</t>
  </si>
  <si>
    <t xml:space="preserve">Espera </t>
  </si>
  <si>
    <t>Tiempo</t>
  </si>
  <si>
    <t>Total</t>
  </si>
  <si>
    <t>Tarifa x Espera</t>
  </si>
  <si>
    <t>Visita Proveedor</t>
  </si>
  <si>
    <t>San Isidro</t>
  </si>
  <si>
    <t>12.50</t>
  </si>
  <si>
    <t>Breña</t>
  </si>
  <si>
    <t>Facturado</t>
  </si>
  <si>
    <t>Visita ST</t>
  </si>
  <si>
    <t>KAN58A40J</t>
  </si>
  <si>
    <t>Fabricador de Hielo</t>
  </si>
  <si>
    <t>Corporacion de Repuesto</t>
  </si>
  <si>
    <t>SOS Service</t>
  </si>
  <si>
    <t xml:space="preserve">Datos incompletos / Modelo incorrecto </t>
  </si>
  <si>
    <t>65UC9700-SA.AWFWLJR</t>
  </si>
  <si>
    <t>Tarjeta Principal / T - Con</t>
  </si>
  <si>
    <t>jorge.calderon@lge.com</t>
  </si>
  <si>
    <t>Se tomo repuesto de Reemplazo OT184666</t>
  </si>
  <si>
    <t>4 dias</t>
  </si>
  <si>
    <t>Incompleto</t>
  </si>
  <si>
    <t>42LB6500-SF.BWFDLJR</t>
  </si>
  <si>
    <t>GC-J237BGNN</t>
  </si>
  <si>
    <t>EBR73101208</t>
  </si>
  <si>
    <t>Incompleto se requiere P/N o foto</t>
  </si>
  <si>
    <t>EBT630052656</t>
  </si>
  <si>
    <t>Seisa</t>
  </si>
  <si>
    <t>Tecnimax</t>
  </si>
  <si>
    <t>TV Plasma</t>
  </si>
  <si>
    <t>PL64F8500AGXPE</t>
  </si>
  <si>
    <t>Tarjeta Pcb Y - Main</t>
  </si>
  <si>
    <t xml:space="preserve">BN96-25216A </t>
  </si>
  <si>
    <t>Dias x Vencer</t>
  </si>
  <si>
    <t>943041657 </t>
  </si>
  <si>
    <t>Minicomponente</t>
  </si>
  <si>
    <t>MX-JS9000/PE</t>
  </si>
  <si>
    <t>AH94-03615A</t>
  </si>
  <si>
    <t>Sustento de Ajustador</t>
  </si>
  <si>
    <t>UN46EH5300GXPE</t>
  </si>
  <si>
    <t>BN94-07052L</t>
  </si>
  <si>
    <t>Motivo de Cierre</t>
  </si>
  <si>
    <t>Reemplazo</t>
  </si>
  <si>
    <t>Reparado</t>
  </si>
  <si>
    <t>Salvamento</t>
  </si>
  <si>
    <t>Camara Digital</t>
  </si>
  <si>
    <t>EK-GC200</t>
  </si>
  <si>
    <t>Pantalla</t>
  </si>
  <si>
    <t xml:space="preserve">AD97-24090A </t>
  </si>
  <si>
    <t>Motivo de Reemplazo</t>
  </si>
  <si>
    <t>No hay repuesto</t>
  </si>
  <si>
    <t>RT38FEAKDSL/PE</t>
  </si>
  <si>
    <t>Ice Maker</t>
  </si>
  <si>
    <t>DA97-13772A</t>
  </si>
  <si>
    <t>WWI14ASBPE</t>
  </si>
  <si>
    <t>WD106UHSAGD/PE</t>
  </si>
  <si>
    <t>Porta Detergente</t>
  </si>
  <si>
    <t xml:space="preserve">DC97-16005W </t>
  </si>
  <si>
    <t>Proveedor informo que el repuesto ya no esta disponible</t>
  </si>
  <si>
    <t xml:space="preserve">Sensor de Deshielo  </t>
  </si>
  <si>
    <t>Force Service</t>
  </si>
  <si>
    <t>6 dias</t>
  </si>
  <si>
    <t>Cocina</t>
  </si>
  <si>
    <t>Sole</t>
  </si>
  <si>
    <t>KLASSE- 5HAGAS90CM</t>
  </si>
  <si>
    <t>Timer Electronico</t>
  </si>
  <si>
    <t>RT51WTPP1/SAM</t>
  </si>
  <si>
    <t>Termo Damper</t>
  </si>
  <si>
    <t xml:space="preserve">DA67-10264P </t>
  </si>
  <si>
    <t>TS1600DPS</t>
  </si>
  <si>
    <t>GT-40BGP</t>
  </si>
  <si>
    <t>Teccnis</t>
  </si>
  <si>
    <t>Se cancela orden por exceder el plazo de reparacion</t>
  </si>
  <si>
    <t>PL51F8500AGXPE</t>
  </si>
  <si>
    <t>Tarjeta Fuente</t>
  </si>
  <si>
    <t>BN44-00619A</t>
  </si>
  <si>
    <t>General Electric</t>
  </si>
  <si>
    <t>Serviteco</t>
  </si>
  <si>
    <t>Electronica Lima Sur</t>
  </si>
  <si>
    <t>Notebook</t>
  </si>
  <si>
    <t>Asus</t>
  </si>
  <si>
    <t>G551J</t>
  </si>
  <si>
    <t>Mainboard</t>
  </si>
  <si>
    <t>60NB08B0-MB5100</t>
  </si>
  <si>
    <t>High Service</t>
  </si>
  <si>
    <t>Socio</t>
  </si>
  <si>
    <t>Plaza Vea</t>
  </si>
  <si>
    <t>Tottus</t>
  </si>
  <si>
    <t>Tiendas Peruanas</t>
  </si>
  <si>
    <t>Saga</t>
  </si>
  <si>
    <t>Laptronic Peru</t>
  </si>
  <si>
    <t xml:space="preserve">5 dias </t>
  </si>
  <si>
    <t>Aire Acondicionado</t>
  </si>
  <si>
    <t>AR18JPFSMWK/AX</t>
  </si>
  <si>
    <t>Siems</t>
  </si>
  <si>
    <t>Ajustado no envio los datos correcto del repuesto</t>
  </si>
  <si>
    <t>Coldex</t>
  </si>
  <si>
    <t>COOLSTYLE 331W</t>
  </si>
  <si>
    <t>Ducto Tecknopor</t>
  </si>
  <si>
    <t xml:space="preserve">Servinor  </t>
  </si>
  <si>
    <t>Horno</t>
  </si>
  <si>
    <t>65DEE31011</t>
  </si>
  <si>
    <t>RS26TKAPN1/SAM</t>
  </si>
  <si>
    <t>Assy Cover Evaporador</t>
  </si>
  <si>
    <t xml:space="preserve"> DA97-08724G</t>
  </si>
  <si>
    <t>GT32BPP</t>
  </si>
  <si>
    <t>EBR79344204</t>
  </si>
  <si>
    <t>Importe Gestionado</t>
  </si>
  <si>
    <t>Ahorro Logrado</t>
  </si>
  <si>
    <t>% Ahorro</t>
  </si>
  <si>
    <t>Con Ahorro</t>
  </si>
  <si>
    <t>39LN5700-SH.AWFDLJM</t>
  </si>
  <si>
    <t>Se envio producto a proveedor externo</t>
  </si>
  <si>
    <t>Producto revisado por proveedor externo</t>
  </si>
  <si>
    <t>RSA1JTPE1/SAM</t>
  </si>
  <si>
    <t xml:space="preserve">DA97-12132B / DA41-00532B </t>
  </si>
  <si>
    <t>Se solicito ajustador enviar repuesto para posible reparacion, no llego a responder</t>
  </si>
  <si>
    <t>MV Autoservicios</t>
  </si>
  <si>
    <t>Control Remoto</t>
  </si>
  <si>
    <t>Hisense</t>
  </si>
  <si>
    <t>LTDN40K360WMAMN</t>
  </si>
  <si>
    <t>Elausi</t>
  </si>
  <si>
    <t>DWC-110S</t>
  </si>
  <si>
    <t>Ajustador compro repuesto en proveedor</t>
  </si>
  <si>
    <t>HT-J7750W/PE</t>
  </si>
  <si>
    <t>Home Theater</t>
  </si>
  <si>
    <t>Se envio con remito 10328092</t>
  </si>
  <si>
    <t>Toshiba</t>
  </si>
  <si>
    <t>L45-B4176WM</t>
  </si>
  <si>
    <t>Cahuana</t>
  </si>
  <si>
    <t>42LN5200-SA.BWFQLJR</t>
  </si>
  <si>
    <t>Enchufe</t>
  </si>
  <si>
    <t>Verificar en el salvamento la orde T186788 y 187551</t>
  </si>
  <si>
    <t>WBM500</t>
  </si>
  <si>
    <t>Tarjeta de Poder</t>
  </si>
  <si>
    <t>TS1300DPS</t>
  </si>
  <si>
    <t>Bomba de Drenaje</t>
  </si>
  <si>
    <t>Pedido de repuesto puntual</t>
  </si>
  <si>
    <t>Hp</t>
  </si>
  <si>
    <t>HP240-G3</t>
  </si>
  <si>
    <t>Ok House</t>
  </si>
  <si>
    <t>Reyes Alegre Rosa Isabel</t>
  </si>
  <si>
    <t>David Iwaya</t>
  </si>
  <si>
    <t xml:space="preserve">Vicente Angulo 218 Sta Luzmila </t>
  </si>
  <si>
    <t>Comas</t>
  </si>
  <si>
    <t>repuestosjame12@hotmail.com</t>
  </si>
  <si>
    <t>Linea</t>
  </si>
  <si>
    <t>Blanca</t>
  </si>
  <si>
    <t>Blanca - Audio / Video</t>
  </si>
  <si>
    <t xml:space="preserve"> PEZSLFBFSS</t>
  </si>
  <si>
    <t>FWD1106TSRD</t>
  </si>
  <si>
    <t>Motor Fan / Bomba de Drenaje</t>
  </si>
  <si>
    <t>UN55HU8700GXPE</t>
  </si>
  <si>
    <t xml:space="preserve">Tina  </t>
  </si>
  <si>
    <t>Laptronic</t>
  </si>
  <si>
    <t>Calle los canarios 108 La Molina</t>
  </si>
  <si>
    <t>soporte@laptronic.pe</t>
  </si>
  <si>
    <t>Raquel  Mautino</t>
  </si>
  <si>
    <t>GSMT2LEBFGP</t>
  </si>
  <si>
    <t>DWF-340GR</t>
  </si>
  <si>
    <t xml:space="preserve"> Laptop </t>
  </si>
  <si>
    <t xml:space="preserve"> 14-V006LA</t>
  </si>
  <si>
    <t xml:space="preserve"> 763551-501</t>
  </si>
  <si>
    <t>HP</t>
  </si>
  <si>
    <t>Dside</t>
  </si>
  <si>
    <t>55LB6500-SF.BWFWLJR</t>
  </si>
  <si>
    <t>47LB7000-SF.BWFWLJR</t>
  </si>
  <si>
    <t>DISPONIBILIDAD A 30 DIAS COSTO 3600</t>
  </si>
  <si>
    <t>no</t>
  </si>
  <si>
    <t xml:space="preserve"> MHC-GPX88 </t>
  </si>
  <si>
    <t>SI</t>
  </si>
  <si>
    <t>NO</t>
  </si>
  <si>
    <t>SE ENVIA A TRAVES DE CAHUANA</t>
  </si>
  <si>
    <t>RM-YT099</t>
  </si>
  <si>
    <t>SE ENVIA POR LEVEL</t>
  </si>
  <si>
    <t>saga</t>
  </si>
  <si>
    <t>RMF-TX100U</t>
  </si>
  <si>
    <t>DWC-LD11W</t>
  </si>
  <si>
    <t>DWC-230GW</t>
  </si>
  <si>
    <t>6-806-205-01</t>
  </si>
  <si>
    <t>WA16F7L2UWW/PE</t>
  </si>
  <si>
    <t>32LB580B-SB.BWFMLJM</t>
  </si>
  <si>
    <t>39LN5700-SH.BWFDLWM</t>
  </si>
  <si>
    <t>Mabe</t>
  </si>
  <si>
    <t>MA0400ZNPX</t>
  </si>
  <si>
    <t>Tarjeta Principal / Display</t>
  </si>
  <si>
    <t>RS25H5223SL/PE</t>
  </si>
  <si>
    <t xml:space="preserve">DA97-08724M </t>
  </si>
  <si>
    <t>Anulado</t>
  </si>
  <si>
    <t>WR225D5681G001 //  WR203C3246G001</t>
  </si>
  <si>
    <t>Solenoide Barreno, Fabricador de Hielo, Motor Compresor</t>
  </si>
  <si>
    <t>Tecniplus</t>
  </si>
  <si>
    <t>Ceser Trujillo</t>
  </si>
  <si>
    <t xml:space="preserve">Tarjeta Principal / Bomba de Drenaje </t>
  </si>
  <si>
    <t>LST12</t>
  </si>
  <si>
    <t>Tarjeta de Control / Sensor de Temperatura</t>
  </si>
  <si>
    <t>67403596 // 64501425</t>
  </si>
  <si>
    <t>DWC-110R</t>
  </si>
  <si>
    <t xml:space="preserve">MB DEFECTUOSA - </t>
  </si>
  <si>
    <t>55LA6200-SA.AWFULH</t>
  </si>
  <si>
    <t>PS4</t>
  </si>
  <si>
    <t>Sony</t>
  </si>
  <si>
    <t>CUH-115A</t>
  </si>
  <si>
    <t>RT25FAJADSP/PE</t>
  </si>
  <si>
    <t>Ceser Piura</t>
  </si>
  <si>
    <t>Phillips</t>
  </si>
  <si>
    <t>FWT9200/55</t>
  </si>
  <si>
    <t>Tarjeta Amplificadora</t>
  </si>
  <si>
    <t>31/03 GESTIONAR GARANTIA CON PROVEEDOR, SE DEVUELVE EL REPUESTO Y ANULA LA COMPRA
REPUESTOS USADOS</t>
  </si>
  <si>
    <t>HCD-V5</t>
  </si>
  <si>
    <t>A-1988-841-A</t>
  </si>
  <si>
    <t>Tipo de Ahorro</t>
  </si>
  <si>
    <t>CM9940-AB.DPERLLK</t>
  </si>
  <si>
    <t>RGP-354</t>
  </si>
  <si>
    <t>Termostato</t>
  </si>
  <si>
    <t>Trotadora</t>
  </si>
  <si>
    <t>Monark</t>
  </si>
  <si>
    <t>T302</t>
  </si>
  <si>
    <t xml:space="preserve">Motor </t>
  </si>
  <si>
    <t>GT28BPPX</t>
  </si>
  <si>
    <t>Tarjeta Principal / Motor estator</t>
  </si>
  <si>
    <t xml:space="preserve">Tarjeta Principal / Sensor de Deshielo </t>
  </si>
  <si>
    <t>Tarjeta Principal / Termo Damper</t>
  </si>
  <si>
    <t>EBR77690302</t>
  </si>
  <si>
    <t>RT50WNPN5/XPE</t>
  </si>
  <si>
    <t xml:space="preserve">3 dias </t>
  </si>
  <si>
    <t>3 d ias</t>
  </si>
  <si>
    <t>DA97-13525A</t>
  </si>
  <si>
    <t>RT29FAJHDSL/PE</t>
  </si>
  <si>
    <t>Asmat</t>
  </si>
  <si>
    <t>Lenovo</t>
  </si>
  <si>
    <t xml:space="preserve">Y500 </t>
  </si>
  <si>
    <t>Disco Duro</t>
  </si>
  <si>
    <t>DWC-LD11R</t>
  </si>
  <si>
    <t>Z50-70</t>
  </si>
  <si>
    <t>ILCE-3500</t>
  </si>
  <si>
    <t>UN40FH6203GXPE</t>
  </si>
  <si>
    <t>UN50H5303AGXPE</t>
  </si>
  <si>
    <t>NTRX900/55</t>
  </si>
  <si>
    <t>XBR-55XB55B</t>
  </si>
  <si>
    <t>Pendiente x Aprobacion</t>
  </si>
  <si>
    <t>10/04 se reasigna el caso a MV para 2da opinion</t>
  </si>
  <si>
    <t>Top Service</t>
  </si>
  <si>
    <t>65UB9500-SA.AWFWLJR</t>
  </si>
  <si>
    <t>DWF280GS</t>
  </si>
  <si>
    <t>Tarjeta Principal / Presostato</t>
  </si>
  <si>
    <t>Detalle</t>
  </si>
  <si>
    <t>Ajustador paso a reemplazo</t>
  </si>
  <si>
    <t>DWF-320GW</t>
  </si>
  <si>
    <t>GLP-CYBERDRUM17</t>
  </si>
  <si>
    <t>Caja de Transmision</t>
  </si>
  <si>
    <t>GC-L207FLQ</t>
  </si>
  <si>
    <t>Tv Led</t>
  </si>
  <si>
    <t>65UB9800-SA.AWFWLJR</t>
  </si>
  <si>
    <t>Damper</t>
  </si>
  <si>
    <t>DWF-300GS</t>
  </si>
  <si>
    <t>DWF-ECOWASH</t>
  </si>
  <si>
    <t>Pulsator</t>
  </si>
  <si>
    <t>DWF320</t>
  </si>
  <si>
    <t>TBS</t>
  </si>
  <si>
    <t>Ceser Lima</t>
  </si>
  <si>
    <t>T1101DPE</t>
  </si>
  <si>
    <t>47LB5800-SB.BWFWLJR</t>
  </si>
  <si>
    <t>42LB5800-SB.BWFWTQR</t>
  </si>
  <si>
    <t>42LA6200-SA.AWFYLH</t>
  </si>
  <si>
    <t>GM84SDS</t>
  </si>
  <si>
    <t>UN40H5100AGXPE</t>
  </si>
  <si>
    <t>Monitor</t>
  </si>
  <si>
    <t>Ajustador aprobo reparacion del Taller</t>
  </si>
  <si>
    <t>55LA9700-SA.AWFZLH</t>
  </si>
  <si>
    <t>Ajustador busco alternativa de solucion</t>
  </si>
  <si>
    <t>P55W-B5162SM</t>
  </si>
  <si>
    <t>WD15F5K5ASG/PE</t>
  </si>
  <si>
    <t>Kit Dispensador</t>
  </si>
  <si>
    <t>FRS - Q22</t>
  </si>
  <si>
    <t>WRW25BKGWW</t>
  </si>
  <si>
    <t>Puerta de Conservador</t>
  </si>
  <si>
    <t>DWF-370TS</t>
  </si>
  <si>
    <t>Valvula de Ingreso de Agua</t>
  </si>
  <si>
    <t>47LB6500-SF.AWFWLJR</t>
  </si>
  <si>
    <t>47LA6200-SA.AWFYLH</t>
  </si>
  <si>
    <t>DC97-17543A</t>
  </si>
  <si>
    <t>19M37A-B.A.AWFDMSN</t>
  </si>
  <si>
    <t>50LB6500-SF.BWFDLJR</t>
  </si>
  <si>
    <t>55LB7200-SA.AWFWLJR</t>
  </si>
  <si>
    <t>PS3</t>
  </si>
  <si>
    <t>CECH-4311C</t>
  </si>
  <si>
    <t>Bloque optico</t>
  </si>
  <si>
    <t>Cantidad Reemplazos Año 16</t>
  </si>
  <si>
    <t>Cantidad Reemplazos Año 17</t>
  </si>
  <si>
    <t>Linea Blanca</t>
  </si>
  <si>
    <t>Computo</t>
  </si>
  <si>
    <t>Audio 
Video</t>
  </si>
  <si>
    <t>Lineas</t>
  </si>
  <si>
    <t>Audio Video</t>
  </si>
  <si>
    <t>Fecha</t>
  </si>
  <si>
    <t>2017.2</t>
  </si>
  <si>
    <t>2017.3</t>
  </si>
  <si>
    <t>2017.4</t>
  </si>
  <si>
    <t>Casos Gestionados</t>
  </si>
  <si>
    <t>WD90J6410AW/PE</t>
  </si>
  <si>
    <t>DC97-18573G</t>
  </si>
  <si>
    <t>Assy Housing Drawer</t>
  </si>
  <si>
    <t>Tarjeta Principal / Bomba de Agua / Switch bimetal</t>
  </si>
  <si>
    <t>RSA1JTSL1/XPE</t>
  </si>
  <si>
    <t>Motor Fan de Freezer</t>
  </si>
  <si>
    <t>DA31-00020M</t>
  </si>
  <si>
    <t>FRS - Q23</t>
  </si>
  <si>
    <t>Damper / Sensor de Temperatura</t>
  </si>
  <si>
    <t>EBR73512514</t>
  </si>
  <si>
    <t>EAJ62848601 / EBT63456602</t>
  </si>
  <si>
    <t>EBR77307605</t>
  </si>
  <si>
    <t>2017.5</t>
  </si>
  <si>
    <t>DWF-340GI</t>
  </si>
  <si>
    <t>CVC Service</t>
  </si>
  <si>
    <t>DFR-503I</t>
  </si>
  <si>
    <t>Timer  / Termostato</t>
  </si>
  <si>
    <t>RF67DEPN1/XPE</t>
  </si>
  <si>
    <t>UN46F5500AGXPE</t>
  </si>
  <si>
    <t>Kit de Drenaje</t>
  </si>
  <si>
    <t>DA92-00286S</t>
  </si>
  <si>
    <t>DA82-01415A</t>
  </si>
  <si>
    <t xml:space="preserve">DA92-00420H </t>
  </si>
  <si>
    <t xml:space="preserve">BN96-25309A / BN96-25308A    </t>
  </si>
  <si>
    <t>G50-80</t>
  </si>
  <si>
    <t>5B20K62237</t>
  </si>
  <si>
    <t>All In One</t>
  </si>
  <si>
    <t>C40-30</t>
  </si>
  <si>
    <t>5D10H09721</t>
  </si>
  <si>
    <t>FRS-x23</t>
  </si>
  <si>
    <t>14-R002LA</t>
  </si>
  <si>
    <t>Damper / Productor de Hielo</t>
  </si>
  <si>
    <t>760106-001</t>
  </si>
  <si>
    <t>BCM943142HM</t>
  </si>
  <si>
    <t>794299-501</t>
  </si>
  <si>
    <t>T&amp;C</t>
  </si>
  <si>
    <t>UX305F</t>
  </si>
  <si>
    <t>8440P</t>
  </si>
  <si>
    <t xml:space="preserve">716042-001 </t>
  </si>
  <si>
    <t>Televisor</t>
  </si>
  <si>
    <t>42lf</t>
  </si>
  <si>
    <t>AKB74495507</t>
  </si>
  <si>
    <t>39LN5400-SA.AWFDJLM</t>
  </si>
  <si>
    <t>WA18J6730LP/PE</t>
  </si>
  <si>
    <t>Amortiguadores</t>
  </si>
  <si>
    <t>DC97-16350J</t>
  </si>
  <si>
    <t>WFW70HEBW1</t>
  </si>
  <si>
    <t>Tarjeta de Interface</t>
  </si>
  <si>
    <t>Casos con Ahorro</t>
  </si>
  <si>
    <t>Fecha de Aprobacion</t>
  </si>
  <si>
    <t>50LB6500-SF.BWFWLJR</t>
  </si>
  <si>
    <t>DWF-160B</t>
  </si>
  <si>
    <t>Tarjeta Interface</t>
  </si>
  <si>
    <t>RT45WNSW5/XPE</t>
  </si>
  <si>
    <t>DA92-00253E</t>
  </si>
  <si>
    <t>Se tiene poco tiempo para conseguir repuesto considerando que es caso de Provincia</t>
  </si>
  <si>
    <t>St informa que el repuesto entregado por el proveedor no es compatible se hace consulta con el proveedor</t>
  </si>
  <si>
    <t>Licuadora</t>
  </si>
  <si>
    <t>Oster</t>
  </si>
  <si>
    <t>BLSTVB-P00-051</t>
  </si>
  <si>
    <t>Tarjeta Principal / Termistor Dry</t>
  </si>
  <si>
    <t>Se solicita reemplazo, repuesto llego DOA</t>
  </si>
  <si>
    <t>SOLCO021</t>
  </si>
  <si>
    <t>Hornilla grande</t>
  </si>
  <si>
    <t>KDL-55W805B</t>
  </si>
  <si>
    <t xml:space="preserve">Rogelio Comeca </t>
  </si>
  <si>
    <t>T1000TAM</t>
  </si>
  <si>
    <t>A60NB450-DK20D0-222</t>
  </si>
  <si>
    <t>Z40-70</t>
  </si>
  <si>
    <t xml:space="preserve">Lavadora </t>
  </si>
  <si>
    <t>WGTW4800YQ1</t>
  </si>
  <si>
    <t xml:space="preserve">Tarjeta principal /Interruptor de puerta </t>
  </si>
  <si>
    <t>W10275365</t>
  </si>
  <si>
    <t>DWF-210GW</t>
  </si>
  <si>
    <t>No hay stock  inmediato, a importacion</t>
  </si>
  <si>
    <t>Por el momento no contamos con el stock de esa tarjeta.</t>
  </si>
  <si>
    <t xml:space="preserve">Desktop </t>
  </si>
  <si>
    <t>Advance</t>
  </si>
  <si>
    <t>UNH55H8000AGXPE</t>
  </si>
  <si>
    <t>FRS-DIAMOND</t>
  </si>
  <si>
    <t>X553MA</t>
  </si>
  <si>
    <t>14-AB105LA</t>
  </si>
  <si>
    <t xml:space="preserve">Compatible </t>
  </si>
  <si>
    <t>DSC-HX400V</t>
  </si>
  <si>
    <t xml:space="preserve">Teclado </t>
  </si>
  <si>
    <t>Panel de Funciones</t>
  </si>
  <si>
    <t>CY-VH055DSLV1H</t>
  </si>
  <si>
    <t xml:space="preserve"> GIGABYTE  GA-H61M-S1.</t>
  </si>
  <si>
    <t>812183-161</t>
  </si>
  <si>
    <t xml:space="preserve">60NB04X0-MB1B00 </t>
  </si>
  <si>
    <t>Servinorte Cajamarca</t>
  </si>
  <si>
    <t>Mainboard / Tarjeta Fuente</t>
  </si>
  <si>
    <t>EWI16D2CGMG</t>
  </si>
  <si>
    <t xml:space="preserve">Aro decorador </t>
  </si>
  <si>
    <t>UN65HU7200GXPE</t>
  </si>
  <si>
    <t>BN95-01799B</t>
  </si>
  <si>
    <t>1 dia</t>
  </si>
  <si>
    <t>EWI16D2CGMW</t>
  </si>
  <si>
    <t>Caja de Transmision / Faja / Tarjeta Principal</t>
  </si>
  <si>
    <t>PCB Main,Louver A y Louver B</t>
  </si>
  <si>
    <t>Nº de Factura</t>
  </si>
  <si>
    <t>Ajustador aprobo cotizacion con otro Proveedor</t>
  </si>
  <si>
    <t>Motor Fan / Tarjeta Principal / Bomba de Drenaje / Thermistor Dry</t>
  </si>
  <si>
    <t>Producto presento falla de pantalla no es factible la reparacion, se coordina devolucion de producto a taller para cerrar el caso</t>
  </si>
  <si>
    <t>se solicita ajustador el modelo del producto para conseguir el repueso, brindan respuesta el 17/05</t>
  </si>
  <si>
    <t>se envia correo a ajustador, pendiente por recojo de paleta</t>
  </si>
  <si>
    <t>Caso pendiente se verifica mal diagnostico del ST, se solicitara devolucion del repuesto, caso paso a reemplazo por penalidad, repuesto en custodia de SOS Service</t>
  </si>
  <si>
    <t>UN48H6400AGXPE</t>
  </si>
  <si>
    <t>GS57SGP</t>
  </si>
  <si>
    <t>Puerta de Congelador</t>
  </si>
  <si>
    <t>St informa que el repuesto entregado por el proveedor no es compatible se hace consulta con el proveedor, se entrega repuesto nuevo el 15,05; se entrega producto operativo a Tienda</t>
  </si>
  <si>
    <t>Se envia correo a proveedor para tramite de cambio de repuesto ya que no era compatible; 18/05 se envia correo a proveedor para confirmar nueva fecha de cambio de repuesto</t>
  </si>
  <si>
    <t>001 - 000053</t>
  </si>
  <si>
    <t>001 - 000055</t>
  </si>
  <si>
    <t>Efectividad nro casos</t>
  </si>
  <si>
    <t>Totales</t>
  </si>
  <si>
    <t>7 dias</t>
  </si>
  <si>
    <t>17/05 se informa ajustador que el repuesto ya no esta disponible, proxima llegada dentro de 7 dias,  se solicita si procedemos con la compra o anulacion // 18/05 Ajustador aprueba importacion de repuesto por 7 dias aun cumplimos con los tiempos</t>
  </si>
  <si>
    <t xml:space="preserve">Acer </t>
  </si>
  <si>
    <t>E51-512-C9RB</t>
  </si>
  <si>
    <t xml:space="preserve">Touch Pad  y Cable Flat </t>
  </si>
  <si>
    <t>14-R003LA</t>
  </si>
  <si>
    <t>788001-501</t>
  </si>
  <si>
    <t>ADC74766202</t>
  </si>
  <si>
    <t>CM9730-AB.DPERLLS,</t>
  </si>
  <si>
    <t>RGP-480DH</t>
  </si>
  <si>
    <t>42LB5800</t>
  </si>
  <si>
    <t>ST Cardif</t>
  </si>
  <si>
    <t xml:space="preserve">Caso Indecopi 007202-2017 </t>
  </si>
  <si>
    <t>55UB8300-SG.AWFWLJR</t>
  </si>
  <si>
    <t>RGP-354D</t>
  </si>
  <si>
    <t>Costo Reparacion</t>
  </si>
  <si>
    <t>Estado</t>
  </si>
  <si>
    <t>Reemplazo Discrecional</t>
  </si>
  <si>
    <t>Pendiente</t>
  </si>
  <si>
    <t>Reemplazo Autorizado</t>
  </si>
  <si>
    <t>Cerrada</t>
  </si>
  <si>
    <t>Reemplazo Realizado</t>
  </si>
  <si>
    <t>Producto Reparado</t>
  </si>
  <si>
    <t>Ppto. en Evaluación</t>
  </si>
  <si>
    <t>Producto en Reparación</t>
  </si>
  <si>
    <t>Control remoto no se considera como ahorro</t>
  </si>
  <si>
    <t>001- 000040 // 001-00064</t>
  </si>
  <si>
    <t>001 - 000072</t>
  </si>
  <si>
    <t>RT29K5710S8/PE</t>
  </si>
  <si>
    <t>DA92-00756H</t>
  </si>
  <si>
    <t>001 - 000078</t>
  </si>
  <si>
    <t>HTB5500/55</t>
  </si>
  <si>
    <t>X554L</t>
  </si>
  <si>
    <t>N156BGE-l41</t>
  </si>
  <si>
    <t xml:space="preserve">se envio correo a proveedor solicitando el cambio de repuesto </t>
  </si>
  <si>
    <t>001 - 000014</t>
  </si>
  <si>
    <t>001 - 000015</t>
  </si>
  <si>
    <t>001 - 000021</t>
  </si>
  <si>
    <t>001 - 000022</t>
  </si>
  <si>
    <t>001 - 000023</t>
  </si>
  <si>
    <t>001 - 000024</t>
  </si>
  <si>
    <t>001 - 000016</t>
  </si>
  <si>
    <t>001 - 000020</t>
  </si>
  <si>
    <t>001 - 000017</t>
  </si>
  <si>
    <t>001 - 000018</t>
  </si>
  <si>
    <t>001 - 000019</t>
  </si>
  <si>
    <t>001 - 000030</t>
  </si>
  <si>
    <t>001 - 000047</t>
  </si>
  <si>
    <t>001 - 000028</t>
  </si>
  <si>
    <t>001 - 000033</t>
  </si>
  <si>
    <t>001 - 000031</t>
  </si>
  <si>
    <t>001 - 000049</t>
  </si>
  <si>
    <t>LG22V24</t>
  </si>
  <si>
    <t>Estado de Pago</t>
  </si>
  <si>
    <t>Cancelado</t>
  </si>
  <si>
    <t>001 - 000032</t>
  </si>
  <si>
    <t>001 - 000048</t>
  </si>
  <si>
    <t>001 - 000034</t>
  </si>
  <si>
    <t>001 - 000042</t>
  </si>
  <si>
    <t>001 - 000043</t>
  </si>
  <si>
    <t>Cancelado / Pendiente</t>
  </si>
  <si>
    <t>001 - 000036</t>
  </si>
  <si>
    <t>001 - 000044</t>
  </si>
  <si>
    <t>001 - 000080</t>
  </si>
  <si>
    <t>001 - 000065</t>
  </si>
  <si>
    <t>001 - 000067</t>
  </si>
  <si>
    <t>001 - 000074</t>
  </si>
  <si>
    <t>001 - 000075</t>
  </si>
  <si>
    <t>Repuesto presento falla se esta solicitando nuevo repuesto a proveedor</t>
  </si>
  <si>
    <t>AFB73749303</t>
  </si>
  <si>
    <t>IDEACENTRE</t>
  </si>
  <si>
    <t>DWF-320GP</t>
  </si>
  <si>
    <t>C55-C5221W</t>
  </si>
  <si>
    <t>DAOBLXMB6G0</t>
  </si>
  <si>
    <t>001 - 000084</t>
  </si>
  <si>
    <t>001 - 000085</t>
  </si>
  <si>
    <t>UN55H8000AGXPE</t>
  </si>
  <si>
    <t>BN96-30656A / BN96-30657A</t>
  </si>
  <si>
    <t>700 - 00000264</t>
  </si>
  <si>
    <t xml:space="preserve"> 001 - 001888 </t>
  </si>
  <si>
    <t xml:space="preserve">001 - 001890 </t>
  </si>
  <si>
    <t>356 - 00001161</t>
  </si>
  <si>
    <t>001 - 001906</t>
  </si>
  <si>
    <t>355 - 00000410</t>
  </si>
  <si>
    <t>356 - 00001237</t>
  </si>
  <si>
    <t>356 - 00001215</t>
  </si>
  <si>
    <t>356 - 00001189</t>
  </si>
  <si>
    <t>700 - 00000296</t>
  </si>
  <si>
    <t>0001 - 001559</t>
  </si>
  <si>
    <t>001 - 001920</t>
  </si>
  <si>
    <t>001 - 001932</t>
  </si>
  <si>
    <t>001 - 001957</t>
  </si>
  <si>
    <t>001 - 002018</t>
  </si>
  <si>
    <t>356 - 00001268</t>
  </si>
  <si>
    <t>KDL-42R505A</t>
  </si>
  <si>
    <t>1-474-496-11</t>
  </si>
  <si>
    <t>Celesur</t>
  </si>
  <si>
    <t>001 - 002068</t>
  </si>
  <si>
    <t>Ajustador reasigno de Taller</t>
  </si>
  <si>
    <t>Riesgo</t>
  </si>
  <si>
    <t>Laptop</t>
  </si>
  <si>
    <t>Secadora</t>
  </si>
  <si>
    <t>C260</t>
  </si>
  <si>
    <t>AZ1-601</t>
  </si>
  <si>
    <t>GLP-CYBERDRUM19</t>
  </si>
  <si>
    <t>L55-C5211R</t>
  </si>
  <si>
    <t xml:space="preserve">42LB5800-SB.BWFDLJR </t>
  </si>
  <si>
    <t>DWF-185G</t>
  </si>
  <si>
    <t>A000389240</t>
  </si>
  <si>
    <t xml:space="preserve">DB.SY711.001 </t>
  </si>
  <si>
    <t>SA es menor a S/. 900</t>
  </si>
  <si>
    <t>Ajustador consiguio repuesto de producto de Salvamento</t>
  </si>
  <si>
    <t>EAJ62630601</t>
  </si>
  <si>
    <t>ERFE39C2YLS</t>
  </si>
  <si>
    <t>C1204.4-1</t>
  </si>
  <si>
    <t>ST aun no confirma llegada del repuesto para proceder con el cambio del acople</t>
  </si>
  <si>
    <t>3  dias</t>
  </si>
  <si>
    <t>001 - 000098</t>
  </si>
  <si>
    <t>001 - 000097</t>
  </si>
  <si>
    <t>001 - 000086</t>
  </si>
  <si>
    <t>001 - 000087</t>
  </si>
  <si>
    <t>001 - 000089</t>
  </si>
  <si>
    <t>001 - 000088</t>
  </si>
  <si>
    <t>001 - 000090</t>
  </si>
  <si>
    <t>001 - 000092</t>
  </si>
  <si>
    <t>001 - 000093</t>
  </si>
  <si>
    <t>001 - 000094</t>
  </si>
  <si>
    <t>2017.6</t>
  </si>
  <si>
    <t>C55-C5222W</t>
  </si>
  <si>
    <t>240-G4</t>
  </si>
  <si>
    <t>Upper Case</t>
  </si>
  <si>
    <t>EWI16D2CSGPG</t>
  </si>
  <si>
    <t>Mainboard / Pantalla</t>
  </si>
  <si>
    <t xml:space="preserve"> A000388580 / LP156WHB</t>
  </si>
  <si>
    <t>813513-161</t>
  </si>
  <si>
    <t>Binar Tec</t>
  </si>
  <si>
    <t>356 - 00001269</t>
  </si>
  <si>
    <t>UN46F7500AGXPE</t>
  </si>
  <si>
    <t>BN44-00632A</t>
  </si>
  <si>
    <t>001 - 002081</t>
  </si>
  <si>
    <t>DWF-130S</t>
  </si>
  <si>
    <t>S410P</t>
  </si>
  <si>
    <t>90004131 //  25211117</t>
  </si>
  <si>
    <t>TPC-Q022-19</t>
  </si>
  <si>
    <t xml:space="preserve">Pantalla / Web Cam </t>
  </si>
  <si>
    <t>Ajustador solicito reemplazo</t>
  </si>
  <si>
    <t>Irreparable</t>
  </si>
  <si>
    <t>DWF - 320GW</t>
  </si>
  <si>
    <t>DWF - 140R</t>
  </si>
  <si>
    <t>FR - 400S</t>
  </si>
  <si>
    <t>FRS - MANCORA</t>
  </si>
  <si>
    <t xml:space="preserve">                                                                                                  r                       </t>
  </si>
  <si>
    <t>CUH-1001A</t>
  </si>
  <si>
    <t>Mecanismo</t>
  </si>
  <si>
    <t>Sensor de Temperatura</t>
  </si>
  <si>
    <t>06.06 ST informa que el producto se encuentra operativo, llegaron a reparar el producto el cable flex de la camara y pantalla./ 07.06 Ajustador anula solicitud</t>
  </si>
  <si>
    <t>DWC-EVOLUTION</t>
  </si>
  <si>
    <t>GN-V275SL</t>
  </si>
  <si>
    <t>Eje Mecanico</t>
  </si>
  <si>
    <t>Bimetal / Resistencia de plato</t>
  </si>
  <si>
    <t>Controlador</t>
  </si>
  <si>
    <t>Tablet</t>
  </si>
  <si>
    <t>DDJ-SX2</t>
  </si>
  <si>
    <t>YT3-X90F</t>
  </si>
  <si>
    <t>Y500</t>
  </si>
  <si>
    <t>RGP-510DPH</t>
  </si>
  <si>
    <t>PRO-1380F</t>
  </si>
  <si>
    <t>Pulsador / Diodo Led / Resistencia Variable</t>
  </si>
  <si>
    <t>Logic Board</t>
  </si>
  <si>
    <t>Mainboard y Teclado</t>
  </si>
  <si>
    <t>07/06 Tener en cuenta que se necesita la foto de la resistencia variable, el ST tambien esta buscando el repuesto con proveedor alterno</t>
  </si>
  <si>
    <t>Pioneer</t>
  </si>
  <si>
    <t>Fusible Termico / Sensor Termico</t>
  </si>
  <si>
    <t>Proform</t>
  </si>
  <si>
    <t>Oxford</t>
  </si>
  <si>
    <t>01.06 Pendiente por llegada de repuesto para proceder con la reparacion / 05.06 Repuesto aun no llega de Piura / 06.06 Se recepciona repuesto enviado desde Piura se coordina entrega con proveedor para su reparacion // 06.06 se hace entrega de repuesto defectuoso a Proveedor tiempo de reparacion  3 dias. / 09.06 Sertepi recepciona repuesto.</t>
  </si>
  <si>
    <t xml:space="preserve">001 - 000025 </t>
  </si>
  <si>
    <t>08/06 se solicita al ajustador foto del repuesto o numero de parte*** 12/06 Aun no envian las fotos del repuesto</t>
  </si>
  <si>
    <t>12/06 se envia foto del sensor al proveedor, ST recien lo adjunto el 09,06</t>
  </si>
  <si>
    <t>05.06 Se hace entrega de producto a Proveedor para su reparacion / 09.06 Se informa a proveedor aprobacion de repuesto en cuanto este operativo lo entregara a Cahuana // 12,06 Proveedor informa que el producto ya se encuentra operativo estara enviando correo para confirmar entrega de producto.</t>
  </si>
  <si>
    <t>09,06 Pendiente por recojo de producto para entregar repuesto a proveedor.</t>
  </si>
  <si>
    <t>WFW72HEDW0</t>
  </si>
  <si>
    <t>4GWTW4740YQ0</t>
  </si>
  <si>
    <t>ECO-TT263</t>
  </si>
  <si>
    <t>HDB-N9200W</t>
  </si>
  <si>
    <t xml:space="preserve"> UN50J5500AGXPE</t>
  </si>
  <si>
    <t>GC-L207BLQV</t>
  </si>
  <si>
    <t>CUH-1215A</t>
  </si>
  <si>
    <t>DWF-300GW</t>
  </si>
  <si>
    <t>Servited</t>
  </si>
  <si>
    <t>SOS SERVICE</t>
  </si>
  <si>
    <t>1 dias</t>
  </si>
  <si>
    <t xml:space="preserve">09,06 Pendiente por recojo de producto para entregar repuesto a proveedor. // 14/06 se solicita al st proceder con el recojo de la tarjeta  para reparar </t>
  </si>
  <si>
    <t>09/06 Pendiente del ST por recoger el repuesto del domicilio del cliente para poder entregar al proveedor y procedan con la reparacion // 14/06 Ajustador anulo reparacion ST lo realizara</t>
  </si>
  <si>
    <t xml:space="preserve">06.06 Ajustador informa que tomara el Damper de un producto de salvamento solo va requerir el Sensor de Temperatura // 13/06 ajustador anula compra por estar fuera de fecha toma repuestos de salvamento </t>
  </si>
  <si>
    <t>08/06 se envia repuesto atraves de Cahuana SAC, 09/06 Cahuana informa envio de repuesto. // 14/06 cliente conf operatividad y termino de reparacion</t>
  </si>
  <si>
    <t xml:space="preserve">Laptop </t>
  </si>
  <si>
    <t>W4-4</t>
  </si>
  <si>
    <t>X550L</t>
  </si>
  <si>
    <t>PN: 60NB04T0 - MB8500  , PN: UJ8FB</t>
  </si>
  <si>
    <t>5B20G45510</t>
  </si>
  <si>
    <t>P/N: KBCTBFEEU01LJ9UHOC</t>
  </si>
  <si>
    <t>DFR-500I</t>
  </si>
  <si>
    <t>No tiene</t>
  </si>
  <si>
    <t>NO TIENE</t>
  </si>
  <si>
    <t>SM-T810</t>
  </si>
  <si>
    <t>RT35K5930SL/PE</t>
  </si>
  <si>
    <t>DA92-00756G</t>
  </si>
  <si>
    <t>RT38K5930SL/PE</t>
  </si>
  <si>
    <t>LA MARCA NO PROPORCIONA RPTO</t>
  </si>
  <si>
    <t xml:space="preserve">Binar Tec </t>
  </si>
  <si>
    <t>Sos Service</t>
  </si>
  <si>
    <t xml:space="preserve"> 3 DIAS</t>
  </si>
  <si>
    <t xml:space="preserve">Sos Service debe de recoger la paleta de casa de cliente luego lo recogera el proveedor para reparacion // 07.06 Caso pendiente ST aun no recoge el repuesto del domicilio del cliente./ 2006 Reparacion no queda pero por demora en comunicación proveedor no anula costo de reparacion </t>
  </si>
  <si>
    <t>07/06 Pendiente del ST por recoger el repuesto del domicilio del cliente para poder entregar al proveedor y procedan con la reparacion / 20/06 Ajustador informa que reparacion no queda pero por demora en comunicación a proveedor se autoriza reparacion</t>
  </si>
  <si>
    <t>001 - 000117</t>
  </si>
  <si>
    <t>Proveedor presento factura  001-000117 la cual se anulo y presenta esta nueva</t>
  </si>
  <si>
    <t>Fecha de entrega a Activos</t>
  </si>
  <si>
    <t xml:space="preserve">Fecha recepcion </t>
  </si>
  <si>
    <t>42LB7000-SF.BWFWLJR</t>
  </si>
  <si>
    <t>23-N010LA</t>
  </si>
  <si>
    <t>Ajustador logro ubicar repuestos</t>
  </si>
  <si>
    <t>Se hace consulta con ajustador Upper Case hay en Base de recupero, en cuanto a la Mainboard se consulta enviar el producto a Lima para mejor evaluacion ya que no menciona que problema tiene dicho repuesto/ 06.06 se  hizo consulta con el ST informa que la foto colgado en Segya no corresponde enviaran nuevas fotos. // 20/06 repuesto se envia a direccion errada // 22/06 Equipo pasa a cambio  repuestos DOA, se solicita NC al proveedor</t>
  </si>
  <si>
    <t>FRS - P22</t>
  </si>
  <si>
    <t>22/06 Ajustador aprobo reparacion a st repuesto mas comodo</t>
  </si>
  <si>
    <t xml:space="preserve">E5-473-54fu </t>
  </si>
  <si>
    <t>WD22H9600KG/PE</t>
  </si>
  <si>
    <t>sony</t>
  </si>
  <si>
    <t>VERSION 4.81</t>
  </si>
  <si>
    <t>47LB6500-SF.BWFWLJR</t>
  </si>
  <si>
    <t>MX-JS5500/PE</t>
  </si>
  <si>
    <t>AH82-01036A - AH82-01035A</t>
  </si>
  <si>
    <t>Estado Segya</t>
  </si>
  <si>
    <t>13/06 Ajustador consiguio repuesto a traves de ST Seyre</t>
  </si>
  <si>
    <t>DC66-00343 // DC97-00920S</t>
  </si>
  <si>
    <t>Amortiguadores / Patitas</t>
  </si>
  <si>
    <t xml:space="preserve"> NB.MXR11.004. </t>
  </si>
  <si>
    <t xml:space="preserve">749171-161 </t>
  </si>
  <si>
    <t>Hyundai</t>
  </si>
  <si>
    <t>Termostato / Burlete</t>
  </si>
  <si>
    <t>Parlante</t>
  </si>
  <si>
    <t>T1769TPJ</t>
  </si>
  <si>
    <t>HYLED492iNT</t>
  </si>
  <si>
    <t>Lector de CD</t>
  </si>
  <si>
    <t>GWTW4800YQ1</t>
  </si>
  <si>
    <t>Shifter</t>
  </si>
  <si>
    <t>13/06 Ajustador aprobo reparacion a st</t>
  </si>
  <si>
    <t>Blueray</t>
  </si>
  <si>
    <t>Tarjeta Inalambrica</t>
  </si>
  <si>
    <t>Tarjeta Principal / Tarjeta Amplificador</t>
  </si>
  <si>
    <t>Mainboard / Lectora de CD</t>
  </si>
  <si>
    <t xml:space="preserve"> EBR76786401 // EBR78411701</t>
  </si>
  <si>
    <t>26/06 Se reasigna el caso a MV Autoservicios</t>
  </si>
  <si>
    <t>001 - 000143</t>
  </si>
  <si>
    <t>001 - 000142</t>
  </si>
  <si>
    <t>001 - 000141</t>
  </si>
  <si>
    <t>001 - 000140</t>
  </si>
  <si>
    <t>001 - 000138</t>
  </si>
  <si>
    <t>001 - 000137</t>
  </si>
  <si>
    <t>001 - 000136</t>
  </si>
  <si>
    <t>001 - 000135</t>
  </si>
  <si>
    <t>001 - 000134</t>
  </si>
  <si>
    <t>Reingreso</t>
  </si>
  <si>
    <t>49LB8500-SA AWFWLJR</t>
  </si>
  <si>
    <t>3165 NGW</t>
  </si>
  <si>
    <t>23-Q152LA</t>
  </si>
  <si>
    <t xml:space="preserve">Camara Board </t>
  </si>
  <si>
    <t>NTRX900MU/55</t>
  </si>
  <si>
    <t>Tarjeta Cd / Frontal / Fuente</t>
  </si>
  <si>
    <t>La Recoleta</t>
  </si>
  <si>
    <t>Haceb</t>
  </si>
  <si>
    <t>Motor Ventilador</t>
  </si>
  <si>
    <t>NEV AS</t>
  </si>
  <si>
    <t>26/06 Se anula pedido ya que el Socio es PV</t>
  </si>
  <si>
    <t>RF263BEAESL/PE</t>
  </si>
  <si>
    <t>DA97-12609C</t>
  </si>
  <si>
    <t>DWF-340I</t>
  </si>
  <si>
    <t>28/06 Costo de la SA asegurada es menor a S/. 999</t>
  </si>
  <si>
    <t>C 470</t>
  </si>
  <si>
    <t>Mainboard / Teclado</t>
  </si>
  <si>
    <t>30/06  Se envio cotizacion ajustador, sin embargo entregara repuesto de producto de salvamento, se anula pedido</t>
  </si>
  <si>
    <t>2 dias</t>
  </si>
  <si>
    <t>21/06 ST confirmara para recoger tarjetas y reparar; 26/06 Se informa a proveedor recoger repuesto defectuoso del ST; 28/06 Proveedor informa recojo del repuesto en proceso de reparacion: 30/06 Proveedor informa que no es factible la reparacion del repuesto se informa ajustador para evaluacion.</t>
  </si>
  <si>
    <t>21/06 ST confirmara para recoger tarjetas y reparar; 26/06 Pendiente por recojo de repuesto, 28/06 Se solicita a ST informar recojo del producto, ST informa que el repuesto fue entregado al proveedor; 30/06 Proveedor informa que no es factible la reparacion del repuesto se informa ajustador para su evaluacion,</t>
  </si>
  <si>
    <t>27/06 Compra del repuesto se efectuara con Cahuana, ya que no se cuenta con efectivo para la compra; 28/06 Se envia correo a Cahuana para la confirmacion de compra del repuesto, 30/06 Se informa a Cahuana realizar compra del repuesto al proveedor S Soluciones TI lo tiene disponible para el lunes 03/07.</t>
  </si>
  <si>
    <t>30/06 Tener en cuenta que la reparacion esta programado para el 01/07</t>
  </si>
  <si>
    <t>24/06 se entregaron repuestos a proveedor, repuestos recuperados; 30/06 ST informa entrega producto el 28/06</t>
  </si>
  <si>
    <t xml:space="preserve">30/06 ST informa que coordina reparacion para hoy en la Tarde </t>
  </si>
  <si>
    <t>26/06 Se solicita ajustador y ST mas datos del repuesto, asi como las fotos,; 28/06 Se solicito al ST los datos para ubicar el repuesto indico que estaran enviando las fotos; 30/06 se informa ajustador que es necesario enviar el burlete para su fabricacion se solicita evaluar el caso</t>
  </si>
  <si>
    <t>30/06 Proveedor informa que el repuesto no es comun esta buscando alternativas, brindara una respuesta a mas tardar el 04/07.</t>
  </si>
  <si>
    <t>21/06 ST confirmara para recoger tarjetas y reparar; 26/06 Pendiente por recojo de repuesto; 30/06 Se informa a proveedor proceder con el recojo del repuesto para su reparacion.</t>
  </si>
  <si>
    <t>AKB73975802</t>
  </si>
  <si>
    <t>10/07/ Ajustador aprueba reparacion del ST.</t>
  </si>
  <si>
    <t xml:space="preserve"> TP550LA-CJ194H</t>
  </si>
  <si>
    <t>55LA8600-SA.AWFYLJR</t>
  </si>
  <si>
    <t>UN46FH5303GXPE</t>
  </si>
  <si>
    <t>49UB8500-SA.AWFWLJR</t>
  </si>
  <si>
    <t>Tarjeta Web Cam</t>
  </si>
  <si>
    <t xml:space="preserve"> BN96-28768A // BN96-28769A</t>
  </si>
  <si>
    <t>2017.7</t>
  </si>
  <si>
    <t>jr. Leticia 1088 - 1098  Juan Gabriel Huamandara - amelimex@hotmail.com</t>
  </si>
  <si>
    <t>Repuesto en General</t>
  </si>
  <si>
    <t>06/07 Ajustador aprueba cotizacion del ST.</t>
  </si>
  <si>
    <t>40K221W/C1Z1</t>
  </si>
  <si>
    <t>76DGX</t>
  </si>
  <si>
    <t>Tarjeta de Video</t>
  </si>
  <si>
    <t>Kit  Actuadores</t>
  </si>
  <si>
    <t>64484517 // 64500889</t>
  </si>
  <si>
    <t>001 - 000081</t>
  </si>
  <si>
    <t>001 - 000101</t>
  </si>
  <si>
    <t>001 - 000103</t>
  </si>
  <si>
    <t>001 - 000104</t>
  </si>
  <si>
    <t>001 - 000106</t>
  </si>
  <si>
    <t>001 - 000107</t>
  </si>
  <si>
    <t>001 - 000108</t>
  </si>
  <si>
    <t>001 - 000109</t>
  </si>
  <si>
    <t>001 - 000110</t>
  </si>
  <si>
    <t>001 - 000111</t>
  </si>
  <si>
    <t>001 - 000112</t>
  </si>
  <si>
    <t>001 - 000113</t>
  </si>
  <si>
    <t>001 - 000114</t>
  </si>
  <si>
    <t>001 - 000115</t>
  </si>
  <si>
    <t>001 - 000116</t>
  </si>
  <si>
    <t>001 - 000119</t>
  </si>
  <si>
    <t>001 - 000126</t>
  </si>
  <si>
    <t>001 - 000127</t>
  </si>
  <si>
    <t>001 - 000128</t>
  </si>
  <si>
    <t>001 - 000129</t>
  </si>
  <si>
    <t>001 - 000130</t>
  </si>
  <si>
    <t>001 - 000057</t>
  </si>
  <si>
    <t>001 - 000149</t>
  </si>
  <si>
    <t>001 - 000148</t>
  </si>
  <si>
    <t>001 - 000061</t>
  </si>
  <si>
    <t>001 - 000052</t>
  </si>
  <si>
    <t>001 - 000029</t>
  </si>
  <si>
    <t>001 - 000054</t>
  </si>
  <si>
    <t>001 - 000038</t>
  </si>
  <si>
    <t>001 - 000039</t>
  </si>
  <si>
    <t>001 - 000144</t>
  </si>
  <si>
    <t>001 - 000056</t>
  </si>
  <si>
    <t>001 - 000035</t>
  </si>
  <si>
    <t>001 - 000062</t>
  </si>
  <si>
    <t>001 - 000060</t>
  </si>
  <si>
    <t>001 - 000150</t>
  </si>
  <si>
    <t>001 - 000147</t>
  </si>
  <si>
    <t>001 - 000145</t>
  </si>
  <si>
    <t>001 - 000146</t>
  </si>
  <si>
    <t>001 - 000153</t>
  </si>
  <si>
    <t>Factura 001 - 000063 se rechazo se paga a proveedor con Factura: 001 - 000154</t>
  </si>
  <si>
    <t>001 - 000154</t>
  </si>
  <si>
    <t>Penalidad</t>
  </si>
  <si>
    <t>CM9540</t>
  </si>
  <si>
    <t>Tarjeta Principal / Tarjeta Fuente</t>
  </si>
  <si>
    <t>30/06 Proveedor informa que el repuesto no se encuentra disponible, pero existe la posibilidad de reparar el repuesto, se solicita ajustador se proceden con el recojo del producto; 30/06 Ajustador aprueba recojo de repuesto se envio correo a ST para su recojo luego informaran para que el Proveedor se acerque; 10/07 Se envia correo a Proveedor para proceder con el recojo del repuesto defectuoso; 11/07 Proveedor informa que estara recogiendo el repuesto en el transcurso de la tarde.// 12/07 proveedor informa que repuesto no se puede reparar enviara correo</t>
  </si>
  <si>
    <t>30/06 se vuelve a enviar los datos correcto del repuesto a Proveedor; 10/07 Se anula pedido ajustador solicito repuesto a ST de la Red de Proveedores (force Service)</t>
  </si>
  <si>
    <t>3 dia</t>
  </si>
  <si>
    <t>14/07 se entrego repuesto a ST / 17/07 se cordina entrega de tv al cliente</t>
  </si>
  <si>
    <t>27/06 Se envia correo a proveedor para tramite de Garantia de repuesto; 30/06 Proveedor informa que estara entregando el repuesto el 04/07. // 12/07 proveedor inf que mañana entrega damper // 17/07 proveedor informa que entrego cambio de damper al st</t>
  </si>
  <si>
    <t>17/07 se aprobo reparacion a ST</t>
  </si>
  <si>
    <t>17/07 se cambia equipo</t>
  </si>
  <si>
    <t>GPL-CYBERDRUM19</t>
  </si>
  <si>
    <t>DWF-150M</t>
  </si>
  <si>
    <t>UN40F7500AGXPE</t>
  </si>
  <si>
    <t>BN44-00632B</t>
  </si>
  <si>
    <t>AZ1-611</t>
  </si>
  <si>
    <t>MAINBOARD PN:DB.SZ211.001,MEMORIA RAM PN:KN8GB0G022 / 8GB/DDR3L / 1600.</t>
  </si>
  <si>
    <t>DFR-553DS</t>
  </si>
  <si>
    <t>BN59-01242A</t>
  </si>
  <si>
    <t>UN50FH5303GXPE</t>
  </si>
  <si>
    <t>BN07-01163B</t>
  </si>
  <si>
    <t>WA456DRHDSU/PE</t>
  </si>
  <si>
    <t>DC97-16350E</t>
  </si>
  <si>
    <t>DWF-160M</t>
  </si>
  <si>
    <t xml:space="preserve">Tarjeta Led </t>
  </si>
  <si>
    <t>Producto reparado</t>
  </si>
  <si>
    <t>Mainboard / Memoria / Disco Duro</t>
  </si>
  <si>
    <t>14/07 Solicitud duplicada</t>
  </si>
  <si>
    <t>17/07 Se cierra el caso como Desiste</t>
  </si>
  <si>
    <t>14/07 Ajustador solicito reemplazo.</t>
  </si>
  <si>
    <t>EWIF12E2FSPS</t>
  </si>
  <si>
    <t>C540</t>
  </si>
  <si>
    <t>23-H001LA</t>
  </si>
  <si>
    <t>Panel de Control</t>
  </si>
  <si>
    <t>Mainboard / Disco Duro / Panel Touch</t>
  </si>
  <si>
    <t>18/07 Suma asegurada menor a S/. 999</t>
  </si>
  <si>
    <t>GLP-CYBERDRUM</t>
  </si>
  <si>
    <t>30/06 Se envio correo de cotizacion a proveedores. //  18/07 se entrega repuesto al ST.</t>
  </si>
  <si>
    <t>Ssoluciones TI</t>
  </si>
  <si>
    <t>19/07 Se envia a ST foto del repuesto para confirmar si es el que necesitan, de lo contrario deberan de enviar foto del repuesto correcto.</t>
  </si>
  <si>
    <t>19/07 Ajustador aprobo reemplazo,</t>
  </si>
  <si>
    <t>19/07 Se anula por duplicidad de orden</t>
  </si>
  <si>
    <t>NTRX500/55</t>
  </si>
  <si>
    <t>NTRX700/55</t>
  </si>
  <si>
    <t>HYLED493INT</t>
  </si>
  <si>
    <t>42LF5850-SF.BWFYLJM</t>
  </si>
  <si>
    <t>42LB7000-SF.AWFWLJR</t>
  </si>
  <si>
    <t>Tarjeta de Control / Mecanismo de CD</t>
  </si>
  <si>
    <t>Tarjeta Principal / Barra Led</t>
  </si>
  <si>
    <t>20/07 Ajustador aprobo compra con ST de la red</t>
  </si>
  <si>
    <t>20/07 Ajustador solicita reemplazo</t>
  </si>
  <si>
    <t>GL771J</t>
  </si>
  <si>
    <t>23-R155LA</t>
  </si>
  <si>
    <t>UN75F6400AGXPE</t>
  </si>
  <si>
    <t>17/07 reapracion se aprobo a ST, caso fue reasignado</t>
  </si>
  <si>
    <t>RT32FBRHDSL/PE</t>
  </si>
  <si>
    <t>RT38K5982SL/PE</t>
  </si>
  <si>
    <t>Assy Cover Evaporador Congelador</t>
  </si>
  <si>
    <t>Tarjeta Y-Main</t>
  </si>
  <si>
    <t>Duct Scroll</t>
  </si>
  <si>
    <t xml:space="preserve">DC93-00011V </t>
  </si>
  <si>
    <t>001 - 002173</t>
  </si>
  <si>
    <t>20/07 Pendiente por envio de producto a Lima, tambien se verifica error en aprobacion por lo que presupuesto queda en Stand by hasta confirmacion del ajustador; 24/07 Se ingresa producto a Ssoluciones TI.</t>
  </si>
  <si>
    <t>UN46ES8000GXPE</t>
  </si>
  <si>
    <t>RT29K5030S8/PE</t>
  </si>
  <si>
    <t xml:space="preserve">BN95-00619A </t>
  </si>
  <si>
    <t>24/07 ST Coordina recojo de producto para el 24/07. 25/07 St informa recojo de repuesto para su reparacion.</t>
  </si>
  <si>
    <t>25/07 St informa que el producto se encuentra en taller, se envia correo a Proveedor para recojo del repuesto. 25/07 ST informa recojo de repuesto para su reparacion.</t>
  </si>
  <si>
    <t>19/07 Pendiente por recojo de producto ST informa que lo recogera el 20.07; 24/07 St informa que procedieron con el recojo del producto, 24/07 Se envia correo a proveedor para recojo del repuesto.25/07 ST informa recojo de repuesto para su reparacion.</t>
  </si>
  <si>
    <t>19/07 Pendiente por recojo de producto ST informa que lo recogera el 20.07; 21/07 ST informa entrega de repuesto a proveedor; 25/07 St informa que proveedor entrego repuesto reparado coordina visita para el 26/07.</t>
  </si>
  <si>
    <t>24/07 Proveedor informa que el repuesto no esta disponible, se envia correo ajustador.25/07 Ajustador informa que el repuesto sera abastecido por Electronica Lima Sur</t>
  </si>
  <si>
    <t>Indurama</t>
  </si>
  <si>
    <t>RI-425QZ</t>
  </si>
  <si>
    <t>Timer / Termostato</t>
  </si>
  <si>
    <t>Termistor Dry / Ventilador</t>
  </si>
  <si>
    <t>Cooler</t>
  </si>
  <si>
    <t>DWF-230GS</t>
  </si>
  <si>
    <t>Tarjeta Fuente / Pantalla</t>
  </si>
  <si>
    <t>25/07 Caso excedio el plazo de reparacion.</t>
  </si>
  <si>
    <t xml:space="preserve">Productora de  Hielo </t>
  </si>
  <si>
    <t>26/07 se envio repuesto a traves de olva courier con remito: 10972314</t>
  </si>
  <si>
    <t>Costo de la reparacion</t>
  </si>
  <si>
    <t>27/07 Se consulta a Tecnimax envio de repuesto</t>
  </si>
  <si>
    <t>27/07 ST informa que el repuesto en taller, se envia correo a proveedor para su recojo</t>
  </si>
  <si>
    <t>WA16F7L4UWA/PE</t>
  </si>
  <si>
    <t>Resorte</t>
  </si>
  <si>
    <t>DC61-02222G / DC61-02222H</t>
  </si>
  <si>
    <t>DWF-340S</t>
  </si>
  <si>
    <t>27/07 Se envia correo ajustador para evaluar caso ya que esta fuera de plazo.</t>
  </si>
  <si>
    <t>18/07 Se solicita al ST y Ajustador fotos del repuesto;  19/07 Se volvio a solicitar al ST foto del repuesto.; 20/07 Repuesto sera enviado por Sertepi se toma del Salvamento; 24/07 Se envia correo a Sertepi solicitando el envio del repuesto, asi mismo indica que hoy estaran enviando el repuesto, 25/07 Sertepi informa envio de repuesto, 27/07 St informa que el repuesto aun no llega, se hace consulta con Sertepi; 27/07 St recepciona repuesto.</t>
  </si>
  <si>
    <t>001 - 002181</t>
  </si>
  <si>
    <t>001 - 002182</t>
  </si>
  <si>
    <t>001 - 002183</t>
  </si>
  <si>
    <t>31/07 proveedor informa entrega de repuesto con fecha 27/07</t>
  </si>
  <si>
    <t>26/07 St informa que el repuesto llego DOA, se informa a proveedor quien indica que estaran entregando nuevo repuesto el 27/07, 31/07 proveedor informa entrega de repuesto nuevo.</t>
  </si>
  <si>
    <t>31/07 Ajustador aprobo reparacion de ST</t>
  </si>
  <si>
    <t>HCD-GT3D</t>
  </si>
  <si>
    <t>GLP-CYBERDRUM 18</t>
  </si>
  <si>
    <t>31/07 Ajustador aprueba cotizacion de otro proveedor</t>
  </si>
  <si>
    <t>001 - 000173</t>
  </si>
  <si>
    <t>001 - 000172</t>
  </si>
  <si>
    <t>001 - 000176</t>
  </si>
  <si>
    <t>001 - 000175</t>
  </si>
  <si>
    <t>001 - 000177</t>
  </si>
  <si>
    <t>001 - 000178</t>
  </si>
  <si>
    <t>001 - 000160</t>
  </si>
  <si>
    <t>001 - 000180</t>
  </si>
  <si>
    <t>001 - 000161</t>
  </si>
  <si>
    <t>001 - 000162</t>
  </si>
  <si>
    <t>001 - 000163</t>
  </si>
  <si>
    <t>001 - 000168</t>
  </si>
  <si>
    <t>001 - 000170</t>
  </si>
  <si>
    <t>001 - 000171</t>
  </si>
  <si>
    <t>001 - 000169</t>
  </si>
  <si>
    <t>TS2100DPS</t>
  </si>
  <si>
    <t>SM-T710</t>
  </si>
  <si>
    <t>Y70-70</t>
  </si>
  <si>
    <t xml:space="preserve">Servinorte </t>
  </si>
  <si>
    <t>02/08 Ajustador aprueba compra con ST de la red</t>
  </si>
  <si>
    <t>10/07 Ajustador reasigna el caso.</t>
  </si>
  <si>
    <t>02/08 Ajustador aprueba compra con ST de la Red</t>
  </si>
  <si>
    <t>02/08 Se toma repuesto de la orden 201300 (Reemplazo)</t>
  </si>
  <si>
    <t>02/08 Se toma repuesto de la orden 202296 (Reemplazo pendiente x Recojo)</t>
  </si>
  <si>
    <t>02/08 se toma repuesto de producto reemplazado</t>
  </si>
  <si>
    <t>001 - 000167 / 001 - 000181</t>
  </si>
  <si>
    <t>001 - 000166</t>
  </si>
  <si>
    <t>MX-HS7000/PE</t>
  </si>
  <si>
    <t>WA16W9SFP/XPE</t>
  </si>
  <si>
    <t>HCD-SHAKE5</t>
  </si>
  <si>
    <t>UN40F6400AGXPE</t>
  </si>
  <si>
    <t>Tarjeta Principal / Lector Optico</t>
  </si>
  <si>
    <t>J1800</t>
  </si>
  <si>
    <t>WA16F7L8DTA/PE</t>
  </si>
  <si>
    <t>DWC-ED14W</t>
  </si>
  <si>
    <t>Tarjeta Frontal</t>
  </si>
  <si>
    <t>27/07 Se envia repuesto atraves de Olva Courier; 03/08 producto sera reparado por Cahuana.</t>
  </si>
  <si>
    <t>03/08 Ajustador reasigna el caso a otro ST.</t>
  </si>
  <si>
    <t>03/08 Ajustador aprueba cotizacion con otro ST</t>
  </si>
  <si>
    <t xml:space="preserve">03/08 Se envia correo al ST para confirmacion de modelo </t>
  </si>
  <si>
    <t>04/08 Ajustador aprueba compra de repuesto con ST de la red</t>
  </si>
  <si>
    <t>07/08 Ajustador encontro repuesto por otro proveedor</t>
  </si>
  <si>
    <t>001 - 000187</t>
  </si>
  <si>
    <t>001 - 000186</t>
  </si>
  <si>
    <t>001 - 000185</t>
  </si>
  <si>
    <t>001 - 000188</t>
  </si>
  <si>
    <t>001 - 000189</t>
  </si>
  <si>
    <t>001 - 000190</t>
  </si>
  <si>
    <t>001 - 000191</t>
  </si>
  <si>
    <t>Y40-70</t>
  </si>
  <si>
    <t>MHC-GPX888</t>
  </si>
  <si>
    <t>4GWTW5550YW1</t>
  </si>
  <si>
    <t>G50-30</t>
  </si>
  <si>
    <t>Panel Touch</t>
  </si>
  <si>
    <t xml:space="preserve">Mainboard / Sta Board </t>
  </si>
  <si>
    <t xml:space="preserve">Mainboard / Memoria 8GB </t>
  </si>
  <si>
    <t>Teclado / Disco Duro 1Tb</t>
  </si>
  <si>
    <t>Tarjeta de Control / Tarjeta Amplificadora</t>
  </si>
  <si>
    <t>Fisher Electronics</t>
  </si>
  <si>
    <t xml:space="preserve">Refrigeradora </t>
  </si>
  <si>
    <t>Motor y Valvula de Suavizante y Detergente</t>
  </si>
  <si>
    <t>08/08 Ajustador autorizo reemplazo</t>
  </si>
  <si>
    <t>8 dias</t>
  </si>
  <si>
    <t>5 dias</t>
  </si>
  <si>
    <t>25/07 Se envia correo a proveedor para entrega de repuesto a ST. 07/08 Proveedor informa que el repuesto no se encuentra disponible se envia correo Ajustador.</t>
  </si>
  <si>
    <t>20/07 Se envia correo a Ssoluciones TI para recogo de producto y proceder con la reparacion; 24/07 Producto recogido por proveedor, 08/08 Se solicita a proveedor enviar producto defectuoso a Cardif.</t>
  </si>
  <si>
    <t>09/08 Se solicita a ST enviar imágenes clara del repuesto.</t>
  </si>
  <si>
    <t>Canon</t>
  </si>
  <si>
    <t>POWERHSOT D20</t>
  </si>
  <si>
    <t>Unidad CCD</t>
  </si>
  <si>
    <t>N551JX</t>
  </si>
  <si>
    <t xml:space="preserve">Top Cover </t>
  </si>
  <si>
    <t>10/08 Ajustador solicito reemplazo</t>
  </si>
  <si>
    <t>20/07 Servinorte informa envio de repuesto el 19/07 atraves de Andes Express; 24/07 Ajustador informa que el repuesto llego DOA, se solicita al ST mayor detalle de la falla para tramitar el cambio de repuesto, 25/07 Se consulta con el taller falla del repuesto se tramitara la devolucion del repuesto con proveedor.; 27/07 st informa recepcion de repuesto nuevo, 11/08 Producto es atendido con la orden T203432 en Piura se esta consultando con ajustador revisar IT ya que ahora mencionan que la falla es de pantalla.</t>
  </si>
  <si>
    <t>GT28BPP</t>
  </si>
  <si>
    <t>RS21HKLMR1/SAM</t>
  </si>
  <si>
    <t>14-AM012LA</t>
  </si>
  <si>
    <t>Evaporador</t>
  </si>
  <si>
    <t>Cover Evaporador / Kit de Drenaje</t>
  </si>
  <si>
    <t>Ceser Cusco</t>
  </si>
  <si>
    <t>001 - 000508</t>
  </si>
  <si>
    <t>14/08 Se entrega producto a ST</t>
  </si>
  <si>
    <t>25/07 Se envia correo a proveedor para recojo de producto, 14/08 Courier informa entrega de producto a Tienda,</t>
  </si>
  <si>
    <t>001 - 000197</t>
  </si>
  <si>
    <t>001 - 000196</t>
  </si>
  <si>
    <t>14/08 Proveedor informa que no es factible la reparacion</t>
  </si>
  <si>
    <t>55UB8500-SA.AWFWLJR</t>
  </si>
  <si>
    <t>CUH-1115A</t>
  </si>
  <si>
    <t>Cable Flat</t>
  </si>
  <si>
    <t>80NT</t>
  </si>
  <si>
    <t>Yoga-50015IBD</t>
  </si>
  <si>
    <t>Carina Saldaña</t>
  </si>
  <si>
    <t>SA-WGT5D</t>
  </si>
  <si>
    <t>DWC-105W</t>
  </si>
  <si>
    <t>S&amp;S Soluciones TI SAC</t>
  </si>
  <si>
    <t>German Vega / Sandra Palomino</t>
  </si>
  <si>
    <t xml:space="preserve">Pasaje Villaran 381 Piso 7 </t>
  </si>
  <si>
    <t>ventas@ssolucionesti.com / ventas3@ssolucionesti.com</t>
  </si>
  <si>
    <t>0001 - 000668</t>
  </si>
  <si>
    <t>0001 - 000669</t>
  </si>
  <si>
    <t>0001 - 000662</t>
  </si>
  <si>
    <t>0001 - 000667</t>
  </si>
  <si>
    <t>0001 - 000660</t>
  </si>
  <si>
    <t>17/08 No se tiene aprobacion de ajustador, caso esta en reparacion</t>
  </si>
  <si>
    <t xml:space="preserve">50K381UW </t>
  </si>
  <si>
    <t>C40-05</t>
  </si>
  <si>
    <t>Tarjeta Wireless / Control Remoto</t>
  </si>
  <si>
    <t>Bussines Data</t>
  </si>
  <si>
    <t>C470</t>
  </si>
  <si>
    <t>Cable LCD</t>
  </si>
  <si>
    <t>ARX10</t>
  </si>
  <si>
    <t>G752VT-GC091T</t>
  </si>
  <si>
    <t>18/08 Caso al limite del plazo de atencion, ademas no cuenta con foto del repuesto, se envia correo ajustador para que evalue caso.</t>
  </si>
  <si>
    <t>K555LB</t>
  </si>
  <si>
    <t>RGP-290D</t>
  </si>
  <si>
    <t>21/08 SE TOMO UN REPUESTO DE LA COMPRA EN LOTE DE LOS DAMPER</t>
  </si>
  <si>
    <t>21/08 Se entrego repuesto a st para reparacion</t>
  </si>
  <si>
    <t>17/08 se cotiza repuesto con David Iwaya /21/08 proveedores inf que no hay disponibilidad</t>
  </si>
  <si>
    <t>21/08 st informa se entrega equipo reparado al cliente el dia de hoy</t>
  </si>
  <si>
    <t>21/08 se cotiza con LG // 22/08 repuesto no disponible</t>
  </si>
  <si>
    <t>55UB8500-SA.AWFWFJR</t>
  </si>
  <si>
    <t xml:space="preserve">Electronic Computer Support </t>
  </si>
  <si>
    <t>17/08 Se toma repuesto de Salvamento se coordino con Manuel que se tomara repuesto de la orden T199703 /// 22/08 Ajustador informa que se recupera pantalla de otra orden para dejar equipo operativo</t>
  </si>
  <si>
    <t>001-000204</t>
  </si>
  <si>
    <t>001-000203</t>
  </si>
  <si>
    <t>001-000202</t>
  </si>
  <si>
    <t>16/08 Se envia correo al ajustador para evaluacion, se solicita confirmar si es factible el envio del producto a Lima; 18/08 Ajustador informa que el producto se esta enviando a Lima despues de recepcionado se entregara a Proveedor (David Iwaya) // 24/08 equipo fue enviado a S&amp;S soluciones, no presento defecto y es retornado el dia de hoy a cajamarca  a travez de cahuana</t>
  </si>
  <si>
    <t>RGP-395DP</t>
  </si>
  <si>
    <t>TP200SA</t>
  </si>
  <si>
    <t>24/08  repuestos se toma del stock de activos</t>
  </si>
  <si>
    <t>70LB7200.SA-AWFMLJR</t>
  </si>
  <si>
    <t>24/08 se envia presupuesto a ajustador</t>
  </si>
  <si>
    <t>24/08 se cancela pedido ajustador reprara con ST censel</t>
  </si>
  <si>
    <t>Cardif</t>
  </si>
  <si>
    <t>Cooler / Disco Duro / Teclado</t>
  </si>
  <si>
    <t>Modulo Touch / Modulo Touch Pad / Usb Board</t>
  </si>
  <si>
    <t>EBXK7004010</t>
  </si>
  <si>
    <t>60NB8G0-MB1211 / 69N0R7C11D01-01</t>
  </si>
  <si>
    <t xml:space="preserve">Mainboard / Sata board </t>
  </si>
  <si>
    <t>17/08  se cotiza repuesto con Jose Toralva y David Iwaya. // 23/08 Ya se envio lo solicitado le adjunto el remito numero 11123997 // 28/08</t>
  </si>
  <si>
    <t>22/08 se recoge pulsador para reparacion por reyes // 24/08 proveedor informa se recogio y mañana se retorna a st // 28/08 St informa que el producto esta en prueba se entregara el 29.08</t>
  </si>
  <si>
    <t>Dell</t>
  </si>
  <si>
    <t>ERSB5612MMS</t>
  </si>
  <si>
    <t>RT32K5030S8/PE</t>
  </si>
  <si>
    <t>INSPIRION 14</t>
  </si>
  <si>
    <t>TOSHIBA NOTE C5255W</t>
  </si>
  <si>
    <t>Upper Keyboard</t>
  </si>
  <si>
    <t>21/08/2017 se solicita a proveedor enviar repuesto a sertepi  //22/08 repuesto enviado a piura se recepciono el 23/08.</t>
  </si>
  <si>
    <t>MX-HS9000/PE</t>
  </si>
  <si>
    <t>Panel Tactil</t>
  </si>
  <si>
    <t>Tevcomp</t>
  </si>
  <si>
    <t>28/09 Se solicita a ST y Ajustador foto del repuesto. 31/08 Ajustador consiguio el repuesto con ST</t>
  </si>
  <si>
    <t>21/08 SE COTIZA CON  S&amp;S Soluciones TI SAC / 22/08 se envia cotizacion a ajustador // 24/08 SE BRINDA INSTRUCCIONES A PROVEEDOR  EXTERNO PARA REPARACION DEL EQUIPO, EL CUAL DEBE ESTAR OPERATIVO PARA EL  30/08 // 28/03 Proveedor informa que producto estara operativo el 30/08. // 30/08 Se entrega producto operativo a High Service</t>
  </si>
  <si>
    <t xml:space="preserve">55UB8500-SA.AWFWLJR </t>
  </si>
  <si>
    <t>SM-T530</t>
  </si>
  <si>
    <t>CM8360</t>
  </si>
  <si>
    <t>RFF-740</t>
  </si>
  <si>
    <t>01/09 Se anula pedido costo es menor a S/. 900</t>
  </si>
  <si>
    <t>WA18F7G6DTS/PE</t>
  </si>
  <si>
    <t>DC62-00266C</t>
  </si>
  <si>
    <t>24/08 se envia presupuesto a ajustador; 28/08 Se coordina con proveedor recojo de producto para evaluacion // 28/08 Proveedor informa que recogio el producto se encuentra en revision // 29/08 Proveedor informa que tendran el IT final el 31/08.// 04/09proveedor informa que equipo reparado se entrego a st</t>
  </si>
  <si>
    <t>31/08 Se envio cotizacion Ajustador, producto debera ser reparado por proveedor, 01/09 Se coordina recojo de producto con proveedor, se envia costo de reparacion a Ajustador //  04/09 ho y se entrega al ST</t>
  </si>
  <si>
    <t>001 - 000210</t>
  </si>
  <si>
    <t>001 - 000209</t>
  </si>
  <si>
    <t>001 - 000211</t>
  </si>
  <si>
    <t>001 - 000212</t>
  </si>
  <si>
    <t>KDL-48W605B</t>
  </si>
  <si>
    <t>06/09 Se informa ajustador que el producto cuenta con 3 ingresos por cambio de repuesto debera evaluar reemplazo.</t>
  </si>
  <si>
    <t xml:space="preserve"> 42LB7000-SF.AWFWLJR</t>
  </si>
  <si>
    <t>UN50JU6500GXPE</t>
  </si>
  <si>
    <t>0001 - 000671</t>
  </si>
  <si>
    <t>0001 - 000679</t>
  </si>
  <si>
    <t>07/09 Proveedor informa que el producto tambien presenta falla en Lectora SD y Puerto USB ademas indica que no cuenta con el teclado blanco estara buscando teclado alterno y enviara costo final.</t>
  </si>
  <si>
    <t>ERT46L2CNI</t>
  </si>
  <si>
    <t>Sensor Defrost / Resistencia</t>
  </si>
  <si>
    <t>Z41-70</t>
  </si>
  <si>
    <t>WD11J6410AX/PE</t>
  </si>
  <si>
    <t>Diafragma</t>
  </si>
  <si>
    <t>ERSB56B2MLT</t>
  </si>
  <si>
    <t>Damper Electronico</t>
  </si>
  <si>
    <t xml:space="preserve">Teclado / Modulo LCD </t>
  </si>
  <si>
    <t>KDL-50W805B</t>
  </si>
  <si>
    <t>GPL- CYBERDRUM17</t>
  </si>
  <si>
    <t>Eje Mecanico / Motor Estator</t>
  </si>
  <si>
    <t>HYELEDS431</t>
  </si>
  <si>
    <t>Siems Huanuco</t>
  </si>
  <si>
    <t>14/09 Ajustador aprueba reparacion del ST</t>
  </si>
  <si>
    <t>15/09 Se anula pedido hasta que puedan confirmar diagnostico final</t>
  </si>
  <si>
    <t>GLP-CYBERDRUM18</t>
  </si>
  <si>
    <t>Servidoctors</t>
  </si>
  <si>
    <t>Erick Silva</t>
  </si>
  <si>
    <t>lineamarron@servidoctors.com</t>
  </si>
  <si>
    <t>Daewoo - Samsung</t>
  </si>
  <si>
    <t>FWD2000VRD</t>
  </si>
  <si>
    <t>Filtre Assembly</t>
  </si>
  <si>
    <t>DS126491</t>
  </si>
  <si>
    <t>Bloque de Lente</t>
  </si>
  <si>
    <t>42LB6500-SF.BWFWTJR</t>
  </si>
  <si>
    <t>Jostick</t>
  </si>
  <si>
    <t>13/09 Se solicito a ST enviar fotos del repuesto para una mejor busqueda</t>
  </si>
  <si>
    <t>19/09 Se anula pedido ajustador procedio con la reparacion del repuesto</t>
  </si>
  <si>
    <t>0001 - 000688</t>
  </si>
  <si>
    <t>0001 - 000687</t>
  </si>
  <si>
    <t>0001 - 000685</t>
  </si>
  <si>
    <t>0001 - 000686</t>
  </si>
  <si>
    <t>0001 - 000690</t>
  </si>
  <si>
    <t>DWC EVOLUTION</t>
  </si>
  <si>
    <t>18/09 Se solicita fotos al ST y ajustador,  19/09 Se envia cotizacion ajustador sin embargo se anula ya que el producto requiere diagnostico final</t>
  </si>
  <si>
    <t>GC-J237JSPN</t>
  </si>
  <si>
    <t>Motor Despachador</t>
  </si>
  <si>
    <t>001 - 000219</t>
  </si>
  <si>
    <t>001 - 000218</t>
  </si>
  <si>
    <t xml:space="preserve">001 - 000217 </t>
  </si>
  <si>
    <t>50LA6200-SA.AWFYLH</t>
  </si>
  <si>
    <t>55EC9300-SA.AWFWLJR</t>
  </si>
  <si>
    <t>49LF6350-SB.BWFYLJR</t>
  </si>
  <si>
    <t>Montecarlo QZ</t>
  </si>
  <si>
    <t>Bisagra de Horno</t>
  </si>
  <si>
    <t>001 - 000223</t>
  </si>
  <si>
    <t>21/09 Se anula pedido proveedor informa que el repuesto no se encuentra disponible</t>
  </si>
  <si>
    <t>25/09 Se excedio el plazo de reparacion, ajustador no aprobo cotizacion</t>
  </si>
  <si>
    <t xml:space="preserve">Niza </t>
  </si>
  <si>
    <t>Panel de control / Termopar</t>
  </si>
  <si>
    <t>UN46FH6203GXPE</t>
  </si>
  <si>
    <t>UN46FH5300GXPE</t>
  </si>
  <si>
    <t>26/09 Ajustador aprobo reparacion del ST.</t>
  </si>
  <si>
    <t>001 - 000227</t>
  </si>
  <si>
    <t>001 - 000226</t>
  </si>
  <si>
    <t>NP270E4E-K0CCL</t>
  </si>
  <si>
    <t>42LN5700-SH-AWFYLH</t>
  </si>
  <si>
    <t>UN55F6400AGXPE</t>
  </si>
  <si>
    <t>KGN57PL31P01</t>
  </si>
  <si>
    <t>UN58H5203AGXPE</t>
  </si>
  <si>
    <t>Tarjeta de Control</t>
  </si>
  <si>
    <t>001 - 000231</t>
  </si>
  <si>
    <t>001 - 000229</t>
  </si>
  <si>
    <t>001 - 000230</t>
  </si>
  <si>
    <t>001 - 000232</t>
  </si>
  <si>
    <t>700-24ISH</t>
  </si>
  <si>
    <t>32LF585B-SE.AWFMLJM</t>
  </si>
  <si>
    <t>03/10 Proveedor informa problemas con el repuesto, no va ser posible el abastecimiento,</t>
  </si>
  <si>
    <t>DWF-370I</t>
  </si>
  <si>
    <t>Recco</t>
  </si>
  <si>
    <t>RLED-55D2700SMT</t>
  </si>
  <si>
    <t>DWF-300DAS</t>
  </si>
  <si>
    <t>Ingenieria Tecnica</t>
  </si>
  <si>
    <t>DWF-160GMG</t>
  </si>
  <si>
    <t>RF-450N</t>
  </si>
  <si>
    <t>Motor Compresor / Tarjeta Principal</t>
  </si>
  <si>
    <t>001 - 000238</t>
  </si>
  <si>
    <t>001 - 000241</t>
  </si>
  <si>
    <t>001 - 000237</t>
  </si>
  <si>
    <t>001 - 000242</t>
  </si>
  <si>
    <t>001 - 000240</t>
  </si>
  <si>
    <t>356 - 00001396</t>
  </si>
  <si>
    <t>356 - 00001382</t>
  </si>
  <si>
    <t>10/10 Ajustador anulo pedido,</t>
  </si>
  <si>
    <t>11/10 Proveedor informa que el repuesto ya no esta disponible se anula pedido.</t>
  </si>
  <si>
    <t>DWF-140M</t>
  </si>
  <si>
    <t>ERTG322YSKG</t>
  </si>
  <si>
    <t>Burlete</t>
  </si>
  <si>
    <t>Panasonic</t>
  </si>
  <si>
    <t>SA-MAX170</t>
  </si>
  <si>
    <t>12/10 Se solicita ajustador envio de producto a Lima.</t>
  </si>
  <si>
    <t>0001 - 000697</t>
  </si>
  <si>
    <t>L55W-C5202S</t>
  </si>
  <si>
    <t>Pantalla Tactil</t>
  </si>
  <si>
    <t>DWF-370JS</t>
  </si>
  <si>
    <t>DWF-320W</t>
  </si>
  <si>
    <t>84LA9800-SA.AWFYLH</t>
  </si>
  <si>
    <t>BH9540TW</t>
  </si>
  <si>
    <t>Tarjeta Principal / Tarjeta TRC</t>
  </si>
  <si>
    <t>Tarjeta Principal / Receptor Wifi</t>
  </si>
  <si>
    <t>16/10 Se anula pedido ajustador aprobo reparacion del ST.</t>
  </si>
  <si>
    <t>DWF-210GS</t>
  </si>
  <si>
    <t>DWF-280GS</t>
  </si>
  <si>
    <t>16/10 Ajustador autorizo el reemplazo</t>
  </si>
  <si>
    <t>001 - 005977</t>
  </si>
  <si>
    <t>18/10 Se solicita ajustador como se va proceder con el caso.</t>
  </si>
  <si>
    <t>18/10 Se hace consulta con el proveedor nueva disponibilidad de repuesto</t>
  </si>
  <si>
    <t>18/10 Se solicita a proveedor enviar repuesto, el que se envio no es compatible</t>
  </si>
  <si>
    <t>18/10 Ajustador aprueba reparacion del ST.</t>
  </si>
  <si>
    <t>RT32JCRBDSL/PE</t>
  </si>
  <si>
    <t>Tanque de Agua</t>
  </si>
  <si>
    <t>DA97-15159A</t>
  </si>
  <si>
    <t>DWF-150R</t>
  </si>
  <si>
    <t>001 - 000247</t>
  </si>
  <si>
    <t>001 - 000245</t>
  </si>
  <si>
    <t>001 - 000244</t>
  </si>
  <si>
    <t>001 - 000243</t>
  </si>
  <si>
    <t>HYLED553INT</t>
  </si>
  <si>
    <t>MHC-V5</t>
  </si>
  <si>
    <t>RI580</t>
  </si>
  <si>
    <t>Motor Ventilador / Base Motor Ventilador</t>
  </si>
  <si>
    <t>0001 - 000699</t>
  </si>
  <si>
    <t>Body Sculpture</t>
  </si>
  <si>
    <t>Treadmill BT5840</t>
  </si>
  <si>
    <t>Tarjeta de Motor</t>
  </si>
  <si>
    <t>Innova Racks</t>
  </si>
  <si>
    <t>FRS-P21</t>
  </si>
  <si>
    <t>Tarjeta Principal / Sensor de Temperatura</t>
  </si>
  <si>
    <t>Grupo</t>
  </si>
  <si>
    <t>TP</t>
  </si>
  <si>
    <t>Falabella</t>
  </si>
  <si>
    <t>dasdsa</t>
  </si>
  <si>
    <t>4GWTW4800YQ1</t>
  </si>
  <si>
    <t>Damper / Motor Ventilador</t>
  </si>
  <si>
    <t>23G003LA</t>
  </si>
  <si>
    <t>14-A007LA</t>
  </si>
  <si>
    <t>RGP-290BD</t>
  </si>
  <si>
    <t>Termostato / Bimetal</t>
  </si>
  <si>
    <t>26/10 Se anula pedido ajustador aprueba costo de otro proveedor</t>
  </si>
  <si>
    <t>001 - 005996</t>
  </si>
  <si>
    <t>001 - 000250</t>
  </si>
  <si>
    <t>27/10 Ajustador aprobo reparacion del Repuesto.</t>
  </si>
  <si>
    <t>Tarjeta Principal / Sensor de Temperatura y Deshielo</t>
  </si>
  <si>
    <t>14-AC112LA</t>
  </si>
  <si>
    <t>Teclado</t>
  </si>
  <si>
    <t>31/10 Ajustador aprueba compra del ST</t>
  </si>
  <si>
    <t>31/08 Ajustador vuelve a pedir el repuesto</t>
  </si>
  <si>
    <t>DWC-PIS145</t>
  </si>
  <si>
    <t>Electrovalvula</t>
  </si>
  <si>
    <t>RTL8188EENF</t>
  </si>
  <si>
    <t>Cruceta de Tina</t>
  </si>
  <si>
    <t>03/11 Se cotiza repuesto con Servidoctors, David Iwaya y Jose Toralva</t>
  </si>
  <si>
    <t>001 - 000256</t>
  </si>
  <si>
    <t>001 - 000255</t>
  </si>
  <si>
    <t>02/11 Ajustador aprueba compra de repuesto con otro proveedor</t>
  </si>
  <si>
    <t>001 - 006017</t>
  </si>
  <si>
    <t>T1304DPE</t>
  </si>
  <si>
    <t>Continental</t>
  </si>
  <si>
    <t>CE90135</t>
  </si>
  <si>
    <t xml:space="preserve">03/11 Se envia correo a David Iwaya, Direct Service LG y Jose Toralva / </t>
  </si>
  <si>
    <t>Tarjeta principal</t>
  </si>
  <si>
    <t xml:space="preserve">DC97-16086B </t>
  </si>
  <si>
    <t>Consola</t>
  </si>
  <si>
    <t>VSX-823-K</t>
  </si>
  <si>
    <t>31/08 St informa que el repuesto no es el correcto se informa a proveedor quien procede con el recojo y la muestra, 03/11 Ajustador aprueba nueva cotizacion, se coordinara entrega de nuevo repuesto / 07/11 repuesto adquirido no le pertenece al modelo, el repuesto que se requiere no hay stock en mercado local, se informa a justador tecnico</t>
  </si>
  <si>
    <t>RT53K6541SL</t>
  </si>
  <si>
    <t>DWF-300MV</t>
  </si>
  <si>
    <t xml:space="preserve">Tarjeta  Principal </t>
  </si>
  <si>
    <t>Top service</t>
  </si>
  <si>
    <t>03/11 ST informa que el repuesto presenta falla, se envia correo al Proveedor / 08/11 culmino reparacion</t>
  </si>
  <si>
    <t>09/11 reparacion se culmina 11/11</t>
  </si>
  <si>
    <t>UN65J5900GXPE</t>
  </si>
  <si>
    <t>GALICIA QZ</t>
  </si>
  <si>
    <t>03/11 se envia correo ajustador para que evaluen repuesto alterno.//09/11 se entrego repuestos a ST</t>
  </si>
  <si>
    <t>UN50J5500AGXPE</t>
  </si>
  <si>
    <t>10/11/ se aprueba los repuestos y se solicita el envio a seisa sarequipa</t>
  </si>
  <si>
    <t>10/11 se entrega burlete al proveedor para reparacion</t>
  </si>
  <si>
    <t>10/11 se lleva repuesto a trujillo, lady esta viajando y entregara al proveedor</t>
  </si>
  <si>
    <t>09/11 se aprueba reparacion entregar a cardif  //10/11 proveedor entrega repuesto a cardif para ser enviado a Piura</t>
  </si>
  <si>
    <t>WA15J5750LP</t>
  </si>
  <si>
    <t>DC97-17657A</t>
  </si>
  <si>
    <t>Reloj Programador</t>
  </si>
  <si>
    <t xml:space="preserve">BN95-0196C </t>
  </si>
  <si>
    <t>BN96-30426A // BN96-30425A</t>
  </si>
  <si>
    <t>G751JT-T7084H</t>
  </si>
  <si>
    <t>WB3550FBDWPE</t>
  </si>
  <si>
    <t>Tarjeta de Funciones</t>
  </si>
  <si>
    <t xml:space="preserve">Bimetal / Switch Door </t>
  </si>
  <si>
    <t>Tarjeta Display / Parlante</t>
  </si>
  <si>
    <t>001 - 000254</t>
  </si>
  <si>
    <t>001 - 000262</t>
  </si>
  <si>
    <t>001 - 000261</t>
  </si>
  <si>
    <t>001 - 000260</t>
  </si>
  <si>
    <t>001 - 006046</t>
  </si>
  <si>
    <t>001 - 006045</t>
  </si>
  <si>
    <t>001 - 006044</t>
  </si>
  <si>
    <t xml:space="preserve"> 001 - 006043</t>
  </si>
  <si>
    <t>001 - 006042</t>
  </si>
  <si>
    <t>001 - 006041</t>
  </si>
  <si>
    <t>MHC-GT5D</t>
  </si>
  <si>
    <t>Terma</t>
  </si>
  <si>
    <t>32W/SOLEGASA16</t>
  </si>
  <si>
    <t>WEG80PCTG3</t>
  </si>
  <si>
    <t>Niple / Valvula de Pase de horno de gas</t>
  </si>
  <si>
    <t>DWF-340GO</t>
  </si>
  <si>
    <t>4GWTW5550YW2</t>
  </si>
  <si>
    <t>22/11 Se anula pedido ajustador compro repuesto a ELS con fecha: 20/11</t>
  </si>
  <si>
    <t>DWF-160R</t>
  </si>
  <si>
    <t>FRS-T20FAM</t>
  </si>
  <si>
    <t>001 - 000263</t>
  </si>
  <si>
    <t>001 - 001105</t>
  </si>
  <si>
    <t xml:space="preserve">Pendiente </t>
  </si>
  <si>
    <t>Reporte de Repuestos GEX</t>
  </si>
  <si>
    <t>OT199243 La BD considera como repuesto: Pantalla y monto de S/, 1050, sin embargo en Segya se considera costo por Barra LED S/. 320 + MO</t>
  </si>
  <si>
    <t>SA-MAX770</t>
  </si>
  <si>
    <t>Lector Optico / Tarjeta Switch / Modulo Bluetooth</t>
  </si>
  <si>
    <t>OT199420 Se consigue repuesto atraves de proveedor externo se carga la info en OTRO GASTOS, sin embargo no se ubica en la BD de Reporte de Repuestos</t>
  </si>
  <si>
    <t>Ejemplo I  (Otros Gasto)</t>
  </si>
  <si>
    <t>CORRECCION</t>
  </si>
  <si>
    <t>BOMBA DE DRENAJE</t>
  </si>
  <si>
    <t>CAJA DE TRANSMISION</t>
  </si>
  <si>
    <t>DISCO DURO</t>
  </si>
  <si>
    <t>BOMBA DE AGUA</t>
  </si>
  <si>
    <t>ELECTROBOMBA</t>
  </si>
  <si>
    <t>CLUTCH</t>
  </si>
  <si>
    <t>DISCO DURO 1TB</t>
  </si>
  <si>
    <t>DISCO DURO 500GB</t>
  </si>
  <si>
    <t>DISCO DURO DE 500GB</t>
  </si>
  <si>
    <t>Total general</t>
  </si>
  <si>
    <t>Ejemplo III</t>
  </si>
  <si>
    <t>Puntos en Mejora</t>
  </si>
  <si>
    <t xml:space="preserve"> - En BD verificar si consideran los datos agregados en Otro Gastos</t>
  </si>
  <si>
    <t xml:space="preserve"> - Se verifica los costos de repuesto registrado como Otros no aparecen en la BD</t>
  </si>
  <si>
    <t>14-AB109LA</t>
  </si>
  <si>
    <t>Mainboard / Cable Flat</t>
  </si>
  <si>
    <t>G50-45</t>
  </si>
  <si>
    <t>001 - 000267</t>
  </si>
  <si>
    <t>001 - 000265</t>
  </si>
  <si>
    <t>001 - 000266</t>
  </si>
  <si>
    <t>001 - 000268</t>
  </si>
  <si>
    <t>001 - 000269</t>
  </si>
  <si>
    <t>001 - 000270</t>
  </si>
  <si>
    <t>RF-CLASSICB</t>
  </si>
  <si>
    <t>Moto Fan / Sensor Defrost / Fusible</t>
  </si>
  <si>
    <t xml:space="preserve">Thermistor Dry / Helice Ventilador </t>
  </si>
  <si>
    <t>Resistencia Defrost</t>
  </si>
  <si>
    <t xml:space="preserve">Sensor Defrost  </t>
  </si>
  <si>
    <t>Eagle Data</t>
  </si>
  <si>
    <t>FRS - PUNTASAL</t>
  </si>
  <si>
    <t>FRS - Q24</t>
  </si>
  <si>
    <t>29/11 Se anula pedido ajustador aprueba cotizacion del ST.</t>
  </si>
  <si>
    <t>UN40J6400AGXPE</t>
  </si>
  <si>
    <t>RI480Q2</t>
  </si>
  <si>
    <t>29/11 se solicita mayor informacion al ST</t>
  </si>
  <si>
    <t>RGP-480DPH</t>
  </si>
  <si>
    <t>DWC-ED14S</t>
  </si>
  <si>
    <t>Sensor Defrost</t>
  </si>
  <si>
    <t xml:space="preserve">Termistor Dry  </t>
  </si>
  <si>
    <t>SA-AKX440</t>
  </si>
  <si>
    <t>Servinor</t>
  </si>
  <si>
    <t>Tarjeta Electronica / Sensor de Conservador / Ice Maker / Damper</t>
  </si>
  <si>
    <t>Servidoctors / Cardif</t>
  </si>
  <si>
    <t>Motor Ventilador / Damper</t>
  </si>
  <si>
    <t>CRONOGRAMA</t>
  </si>
  <si>
    <t>Dia</t>
  </si>
  <si>
    <t>Horario</t>
  </si>
  <si>
    <t>Lunes 04/12</t>
  </si>
  <si>
    <t>Martes 05/12</t>
  </si>
  <si>
    <t>Miercoles 06/12</t>
  </si>
  <si>
    <t xml:space="preserve"> Jueves 07/12</t>
  </si>
  <si>
    <t>Viernes 08/12</t>
  </si>
  <si>
    <t>CAPACITACION FALLA FRECUENTES EN FALABELLA</t>
  </si>
  <si>
    <t>Auditoria en VES OT205946</t>
  </si>
  <si>
    <t>RF67DEPN1/SAM</t>
  </si>
  <si>
    <t xml:space="preserve">Assy Cover Evaporador </t>
  </si>
  <si>
    <t>WRM42ERBPE</t>
  </si>
  <si>
    <t>Control Electronico / Consola Conjunto</t>
  </si>
  <si>
    <t>RGP-395D</t>
  </si>
  <si>
    <t>Valvula Shoper</t>
  </si>
  <si>
    <t>29/11 se solicita mayor informacion al ST; 01/12 Ajustador anula pedido realizo compra con otro proveedor.</t>
  </si>
  <si>
    <t>01/12 Ajustador informa que el ST asumira el repuesto.</t>
  </si>
  <si>
    <t>Ajustador no envio los datos completos // se envia a traves de flores con el apoyo de cahuana // 31/03 REPUESTO LLEGO A ST PERO CLIENTE NO ACEPTA REPARACION, se aprobo reemplazo por reclamo de Tienda producto pasa a Prestamo</t>
  </si>
  <si>
    <t>01/12 Ajustador anula pedido tomara repuesto de Salvamento</t>
  </si>
  <si>
    <t>01/12 Ajustador anula pedido aprobo cotizacion del ST</t>
  </si>
  <si>
    <t>001 - 006072</t>
  </si>
  <si>
    <t>001 - 006074</t>
  </si>
  <si>
    <t>0001 - 001108</t>
  </si>
  <si>
    <t>47LB7050-SF.BWFWTJR</t>
  </si>
  <si>
    <t>2017.8</t>
  </si>
  <si>
    <t>2017.9</t>
  </si>
  <si>
    <t>2017.10</t>
  </si>
  <si>
    <t>2017.11</t>
  </si>
  <si>
    <t>2017.12</t>
  </si>
  <si>
    <t>GLP-CYBERDRUM16</t>
  </si>
  <si>
    <t>80N600JALM</t>
  </si>
  <si>
    <t>04/12 Ajustador aprobo costo con otro proveedor</t>
  </si>
  <si>
    <t>FR-70INWS</t>
  </si>
  <si>
    <t>001 - 000279</t>
  </si>
  <si>
    <t>001 - 000278</t>
  </si>
  <si>
    <t>001 - 000277</t>
  </si>
  <si>
    <t>001 - 000275</t>
  </si>
  <si>
    <t>001 - 000274</t>
  </si>
  <si>
    <t>04/12 ST informa que el repuesto no es correcto se solicito enviar P/N para resposicion</t>
  </si>
  <si>
    <t>05/12 Se solicita informacion de entrega de repuesto, proveedora informara hoy por la tarde.</t>
  </si>
  <si>
    <t>001 - 002233</t>
  </si>
  <si>
    <t>Fisher</t>
  </si>
  <si>
    <t>RT35FEAJDSL/PE</t>
  </si>
  <si>
    <t>05/12 Se informa ajustador alternativas de solucion sin embargo se requiere medida del repuesto.</t>
  </si>
  <si>
    <t>15-AK002LA</t>
  </si>
  <si>
    <t>EWI14D2CSGPG</t>
  </si>
  <si>
    <t>30/11 Ajustador aprobo reemplazo.</t>
  </si>
  <si>
    <t>Costo de la Reparacion</t>
  </si>
  <si>
    <t>Eagle Data Peru Servicios Electronicos EIRL</t>
  </si>
  <si>
    <t>Eliel Valverde</t>
  </si>
  <si>
    <t>Av. Enrique Meiggs 2660</t>
  </si>
  <si>
    <t>eliel.valverde@eagledataperu.com</t>
  </si>
  <si>
    <t>Si+</t>
  </si>
  <si>
    <t>Auditoria en Ate OT211379</t>
  </si>
  <si>
    <t>001 - 006087</t>
  </si>
  <si>
    <t>001 - 006088</t>
  </si>
  <si>
    <t>BH9520TW</t>
  </si>
  <si>
    <t xml:space="preserve">Lector Optico  </t>
  </si>
  <si>
    <t>DWC-LD11S</t>
  </si>
  <si>
    <t>11/12 Ajustador anula pedido</t>
  </si>
  <si>
    <t>RP-RUBI</t>
  </si>
  <si>
    <t>Damper / Switch Door</t>
  </si>
  <si>
    <t>Damper / Ventilador de Congelador</t>
  </si>
  <si>
    <t xml:space="preserve">Motor Ventilador </t>
  </si>
  <si>
    <t>PV</t>
  </si>
  <si>
    <t>AOC</t>
  </si>
  <si>
    <t>LE55F1761</t>
  </si>
  <si>
    <t>12/12 Ajustador anula pedido.</t>
  </si>
  <si>
    <t>49UB8200-SH.AWFWLJM</t>
  </si>
  <si>
    <t>DEX-42D1</t>
  </si>
  <si>
    <t>GCJ237AGNN</t>
  </si>
  <si>
    <t>Gimnasio</t>
  </si>
  <si>
    <t>09/11 reparacion se culmina hoy; 10/11 Ajustador paso a reemplazo no dio opcion a realizar el cambio de repuesto o confirgurarlo.</t>
  </si>
  <si>
    <t xml:space="preserve">17/08 St informa que el producto presenta restos de polvo en pantalla se envio correo a Proveedor para coordinar recojo el cual se efectua el 18/08 luego entregaran el producto operativo,//22/08 equipo sigue fallando puntos en la pantalla, se cambio componentes (pantalla / touch) persisten machas en pantalla y habiendose  superado los tiempos se procede a anular la reparacion y solo se cancela el diagnostico + movilidad al proveedor </t>
  </si>
  <si>
    <t>02/11 ajustador aprueba envio de producto a Lima para luego entregarlo al Proveedor (SS Soluciones TI), Se envia correo a proveedor para su recojo.//06 /11 se entrego equipo a proveedor externo para reparacion / 09/11 Proveedor informa no fue factible la reparacion.</t>
  </si>
  <si>
    <t>04/12 St informa que el producto presenta falla de fabrica no es factible la reparacion.</t>
  </si>
  <si>
    <t>18/09 ST informa que el producto presenta falla de pantalla no es factible la reparacion.</t>
  </si>
  <si>
    <t>Reasignacion</t>
  </si>
  <si>
    <t>14/11 Ajustador aprueba reparacion del ST.</t>
  </si>
  <si>
    <t>Reyes Alegre Rosa Isabel / Cardif</t>
  </si>
  <si>
    <t>UN65F8000AGXPE</t>
  </si>
  <si>
    <t>KDL-40R354B</t>
  </si>
  <si>
    <t>XBR-70X855B</t>
  </si>
  <si>
    <t>49UB8500-SA.AWFWFLM</t>
  </si>
  <si>
    <t>32LF585B-SE.BWFFLJM</t>
  </si>
  <si>
    <t>14-Y001LA</t>
  </si>
  <si>
    <t>001 - 000281</t>
  </si>
  <si>
    <t>001 - 000282</t>
  </si>
  <si>
    <t>001 - 000283</t>
  </si>
  <si>
    <t>001 - 000284</t>
  </si>
  <si>
    <t>001 - 006105</t>
  </si>
  <si>
    <t>001 - 006104</t>
  </si>
  <si>
    <t>001 - 006103</t>
  </si>
  <si>
    <t>001 - 006102</t>
  </si>
  <si>
    <t>001 - 006101</t>
  </si>
  <si>
    <t>56DTX</t>
  </si>
  <si>
    <t>Chispero</t>
  </si>
  <si>
    <t>Bisagra / Filtro de Tina</t>
  </si>
  <si>
    <t>001- 006014</t>
  </si>
  <si>
    <t>001 - 006015</t>
  </si>
  <si>
    <t>001 - 006109</t>
  </si>
  <si>
    <t>001 - 006110</t>
  </si>
  <si>
    <t>001 - 006111</t>
  </si>
  <si>
    <t>18/12 Ajustador aprueba compra de repuesto al ST</t>
  </si>
  <si>
    <t>Auditoria en Domicilio T213844</t>
  </si>
  <si>
    <t>Reunion ST Servidoctors</t>
  </si>
  <si>
    <t>Auditoria en ST Teccnis  T213488</t>
  </si>
  <si>
    <t>Lunes 18/12</t>
  </si>
  <si>
    <t>Martes 19/12</t>
  </si>
  <si>
    <t>Miercoles 20/12</t>
  </si>
  <si>
    <t xml:space="preserve"> Jueves 21/12</t>
  </si>
  <si>
    <t>Viernes 22/12</t>
  </si>
  <si>
    <t>001 - 000290</t>
  </si>
  <si>
    <t>001 - 000287</t>
  </si>
  <si>
    <t>001 - 000288</t>
  </si>
  <si>
    <t xml:space="preserve"> 001 - 000289</t>
  </si>
  <si>
    <t>001 - 002265</t>
  </si>
  <si>
    <t>001 - 002264</t>
  </si>
  <si>
    <t>19/12 Ajustador informa que el repuesto sera abastecido por ST de la Red</t>
  </si>
  <si>
    <t>ECO-TT260</t>
  </si>
  <si>
    <t>Timer / Motorventilador</t>
  </si>
  <si>
    <t>FRS-Q23</t>
  </si>
  <si>
    <t>GPL-CYBERDRUM16</t>
  </si>
  <si>
    <t>Seyre</t>
  </si>
  <si>
    <t>20/12 Ajustador informa error de pedido.</t>
  </si>
  <si>
    <t>Motor Drain</t>
  </si>
  <si>
    <t>20/12 se tramita cotizacion de repuesto con Eagle Data, procedera con el recojo del producto de High Service.</t>
  </si>
  <si>
    <t>TS1800DPS</t>
  </si>
  <si>
    <t>Presostato</t>
  </si>
  <si>
    <t>21/12 Taller procedio con la reparacion del producto.</t>
  </si>
  <si>
    <t>DWF-340GP</t>
  </si>
  <si>
    <t>RI480</t>
  </si>
  <si>
    <t>Transformador</t>
  </si>
  <si>
    <t>15/12 proveedor informa que no cuenta con el repuesto, se hace consulta con otro proveedor. 20/12 Se brindo alternativas al ajustador, sin embargo solicito reemplazo</t>
  </si>
  <si>
    <t>21/12 Ajustador aprueba compra de repuesto al ST.</t>
  </si>
  <si>
    <t>20/12 Ajustador aprobo recojo para reparacion de repuesto con el ST.</t>
  </si>
  <si>
    <t>Omen</t>
  </si>
  <si>
    <t>EWI18D2CSGPG</t>
  </si>
  <si>
    <t>Engranaje de Transmision</t>
  </si>
  <si>
    <t>0001 - 002283</t>
  </si>
  <si>
    <t>Electrolux del Peru</t>
  </si>
  <si>
    <t>FRS-PUNTASAL</t>
  </si>
  <si>
    <t>DWF-EC0WASH</t>
  </si>
  <si>
    <t xml:space="preserve">X540L  </t>
  </si>
  <si>
    <t>NIZA</t>
  </si>
  <si>
    <t>Termocupla</t>
  </si>
  <si>
    <t>HYLE0422INT</t>
  </si>
  <si>
    <t xml:space="preserve">Reyes Alegre Rosa Isabel </t>
  </si>
  <si>
    <t>NA9640P-FE.DPERLLK</t>
  </si>
  <si>
    <t>Tiempo de reparacion</t>
  </si>
  <si>
    <t>Ajustador consiguio repuesto de producto de Salvamento, sin embargo producto fallo.</t>
  </si>
  <si>
    <t>Tarjeta Fuente / Tarjeta Principal</t>
  </si>
  <si>
    <t>Ana Eusebio</t>
  </si>
  <si>
    <t>2018.1</t>
  </si>
  <si>
    <t>RH25H5613SL/PE</t>
  </si>
  <si>
    <t>WA15J5730LW/PE</t>
  </si>
  <si>
    <t>Amortiguadores / Caja de Transmision</t>
  </si>
  <si>
    <t>WA15W8MFP/XPE</t>
  </si>
  <si>
    <t>WFG715H0ES0</t>
  </si>
  <si>
    <t>Panel Membrana</t>
  </si>
  <si>
    <t>Assy Bucket</t>
  </si>
  <si>
    <t>DA97-06072E</t>
  </si>
  <si>
    <t>DC92-01789B</t>
  </si>
  <si>
    <t>WA10F5L4UWA/PE</t>
  </si>
  <si>
    <t>Caja de Transmision / Faja / Paleta</t>
  </si>
  <si>
    <t>4  dias</t>
  </si>
  <si>
    <t>EKGE24A12NMS</t>
  </si>
  <si>
    <t>Timer</t>
  </si>
  <si>
    <t>X540LA-XX053T</t>
  </si>
  <si>
    <t>001 - 000297</t>
  </si>
  <si>
    <t>001 - 000294</t>
  </si>
  <si>
    <t>001 - 000295</t>
  </si>
  <si>
    <t>001 - 000296</t>
  </si>
  <si>
    <t>001 - 000298</t>
  </si>
  <si>
    <t>001 - 006143</t>
  </si>
  <si>
    <t>001 - 006146</t>
  </si>
  <si>
    <t>001 - 006152</t>
  </si>
  <si>
    <t>001 - 006147</t>
  </si>
  <si>
    <t>001 - 006144</t>
  </si>
  <si>
    <t>001 - 000299</t>
  </si>
  <si>
    <t>Bisagra</t>
  </si>
  <si>
    <t>T215092</t>
  </si>
  <si>
    <t>001 - 002309</t>
  </si>
  <si>
    <t>001 - 002310</t>
  </si>
  <si>
    <t>08/01 Ajustador anula la solicitud</t>
  </si>
  <si>
    <t>UN55H6800AGXPE</t>
  </si>
  <si>
    <t>Assy Cover Conservador</t>
  </si>
  <si>
    <t>WWI14ASGLA</t>
  </si>
  <si>
    <t>P/N</t>
  </si>
  <si>
    <t>Cantidad</t>
  </si>
  <si>
    <t>OT de Origen</t>
  </si>
  <si>
    <t>Fecha de Salida</t>
  </si>
  <si>
    <t>Producto</t>
  </si>
  <si>
    <t>47LB7050-SF.AWFZTJR</t>
  </si>
  <si>
    <t>UN48JU6000GXPE</t>
  </si>
  <si>
    <t>Motor Fan</t>
  </si>
  <si>
    <t>RSA1JHSL1/XPE</t>
  </si>
  <si>
    <t>Sensor / Tanque de Agua / Assy Damper</t>
  </si>
  <si>
    <t>UN40FH5303GXPE</t>
  </si>
  <si>
    <t>Tarjeta Principal / Assy Damper Conservador</t>
  </si>
  <si>
    <t>RML295YJPX</t>
  </si>
  <si>
    <t>Tarjeta Principal / Motor Ventilador / Resistencia</t>
  </si>
  <si>
    <t>Lunes 09/1</t>
  </si>
  <si>
    <t>Martes 10/1</t>
  </si>
  <si>
    <t>Miercoles 11/1</t>
  </si>
  <si>
    <t xml:space="preserve"> Jueves 12/1</t>
  </si>
  <si>
    <t>Viernes 13/1</t>
  </si>
  <si>
    <t>Auditoria en Domicilio T215192</t>
  </si>
  <si>
    <t>09/01 se anula pedido repuesto llego al st</t>
  </si>
  <si>
    <t>09/01 St esta enviando repuesto.</t>
  </si>
  <si>
    <t>UN55F8000AGXPE</t>
  </si>
  <si>
    <t>45 dias</t>
  </si>
  <si>
    <t>CM9960</t>
  </si>
  <si>
    <t>09/01 St realizo reparacion del producto</t>
  </si>
  <si>
    <t>09/01 Se anula pedido ST procedio con la reparacion</t>
  </si>
  <si>
    <t xml:space="preserve">Mainboard </t>
  </si>
  <si>
    <t>13-U00LA</t>
  </si>
  <si>
    <t>10/01 Ajustador anula pedido.</t>
  </si>
  <si>
    <t>Nintendo</t>
  </si>
  <si>
    <t>RVL-001</t>
  </si>
  <si>
    <t>10/01 Ajustador anula pedido,</t>
  </si>
  <si>
    <t>15-AC102LA</t>
  </si>
  <si>
    <t>Tarjeta Principal / Caja de Transmision / Faja</t>
  </si>
  <si>
    <t>10/01 Ajustador solicito reemplazo.</t>
  </si>
  <si>
    <t>Assy Cover Evaporador Conservador / Tarjeta Principal</t>
  </si>
  <si>
    <t>Actividad</t>
  </si>
  <si>
    <t>Ejecutor</t>
  </si>
  <si>
    <t xml:space="preserve">Entrada </t>
  </si>
  <si>
    <t>Salida</t>
  </si>
  <si>
    <t xml:space="preserve">Plazo </t>
  </si>
  <si>
    <t>Sistema</t>
  </si>
  <si>
    <t>Ejecutivo de Repuesto</t>
  </si>
  <si>
    <t xml:space="preserve">Abastecimiento de Repuesto </t>
  </si>
  <si>
    <t>Segya</t>
  </si>
  <si>
    <t>Fecha de Ingreso</t>
  </si>
  <si>
    <t>Precio Producto</t>
  </si>
  <si>
    <t>Observaciones</t>
  </si>
  <si>
    <t>Costo de Desarme</t>
  </si>
  <si>
    <t xml:space="preserve">Suma Asegurada </t>
  </si>
  <si>
    <t>Ot</t>
  </si>
  <si>
    <t>Contador</t>
  </si>
  <si>
    <t>Mes</t>
  </si>
  <si>
    <t>Año</t>
  </si>
  <si>
    <t xml:space="preserve">Linea </t>
  </si>
  <si>
    <t xml:space="preserve">Ubicación </t>
  </si>
  <si>
    <t>Disponible</t>
  </si>
  <si>
    <t>OT Utilizada</t>
  </si>
  <si>
    <t>Precio Producto OT</t>
  </si>
  <si>
    <t>Estado Repuesto</t>
  </si>
  <si>
    <t>Desarme</t>
  </si>
  <si>
    <t>Equipo Pieza</t>
  </si>
  <si>
    <t xml:space="preserve"># GR de Ingreso </t>
  </si>
  <si>
    <t xml:space="preserve">Cantidad </t>
  </si>
  <si>
    <t>48 hrs</t>
  </si>
  <si>
    <t>Proveedor</t>
  </si>
  <si>
    <t>Activos</t>
  </si>
  <si>
    <t>Solicitud de Repuesto</t>
  </si>
  <si>
    <t>Formato de Solicitud de Repuesto</t>
  </si>
  <si>
    <t>Propuesta de Proveedor</t>
  </si>
  <si>
    <t>72 hrs</t>
  </si>
  <si>
    <t>48hrs.</t>
  </si>
  <si>
    <t>24hrs</t>
  </si>
  <si>
    <t>Compra de Repuesto</t>
  </si>
  <si>
    <t>Entrega de Repuesto</t>
  </si>
  <si>
    <t>Sujeto de Disponibilidad</t>
  </si>
  <si>
    <t>Operatividad de Producto</t>
  </si>
  <si>
    <t>Pago de Factura</t>
  </si>
  <si>
    <t>CM9960 - AB.DPERLLB</t>
  </si>
  <si>
    <t>HCD-SHAKE99</t>
  </si>
  <si>
    <t>HCD-SHAKE77</t>
  </si>
  <si>
    <t>Observación</t>
  </si>
  <si>
    <t xml:space="preserve">Línea </t>
  </si>
  <si>
    <t>Línea</t>
  </si>
  <si>
    <t>Guía de Salida</t>
  </si>
  <si>
    <t># Guía de Remisión</t>
  </si>
  <si>
    <t>Código de Inventario</t>
  </si>
  <si>
    <t>Código de Inventario 140512</t>
  </si>
  <si>
    <t>Código Inventario: 05/06/2013</t>
  </si>
  <si>
    <t>Guía de Ingreso Repuesto</t>
  </si>
  <si>
    <t xml:space="preserve"> - Verificar que campos se considera y en que condición.</t>
  </si>
  <si>
    <t xml:space="preserve"> - Variación en la tipificación de Repuesto</t>
  </si>
  <si>
    <t xml:space="preserve"> - Rehacer los registros en Mantención Maestro = Repuesto / Falla (Tipificación)
                                                                           </t>
  </si>
  <si>
    <t>Ejemplo II (Relación entre BD Repuesto vs Otros Gastos)</t>
  </si>
  <si>
    <t xml:space="preserve">Se obtiene un muestreo de la Tipificación de Repuesto, un solo repuesto lleva a hasta tres nombre diferente </t>
  </si>
  <si>
    <t>Descripción Repuesto</t>
  </si>
  <si>
    <t>Caja de Transmisión</t>
  </si>
  <si>
    <t>Total de Tipificación</t>
  </si>
  <si>
    <t>SOLICITUD</t>
  </si>
  <si>
    <t>CONSULTA</t>
  </si>
  <si>
    <t>AJUSTADORES</t>
  </si>
  <si>
    <t>ENCABEZADO BD RECUPEROS</t>
  </si>
  <si>
    <t>ENCABEZADO BASE GENERAL</t>
  </si>
  <si>
    <t>WA12F5L4UWA/PE</t>
  </si>
  <si>
    <t>SOLICITUD DE REPUESTO</t>
  </si>
  <si>
    <t>OT</t>
  </si>
  <si>
    <t>Fecha de Solicitud</t>
  </si>
  <si>
    <t xml:space="preserve">Fecha  </t>
  </si>
  <si>
    <t>Fecha Estimada de  Termino</t>
  </si>
  <si>
    <t>Costo de Repuesto</t>
  </si>
  <si>
    <t>Costo de Reparacion</t>
  </si>
  <si>
    <t>Ubicación de Repuesto</t>
  </si>
  <si>
    <t>Con ahorro</t>
  </si>
  <si>
    <t>Tipo Ahorro</t>
  </si>
  <si>
    <t>Fecha de Recepcion Factura</t>
  </si>
  <si>
    <t># Factura</t>
  </si>
  <si>
    <t xml:space="preserve">Estado de Pago </t>
  </si>
  <si>
    <t>Fecha entrega Activos</t>
  </si>
  <si>
    <t>12/01 Ajustador realizo reparacion con el ST.</t>
  </si>
  <si>
    <t>15/01 Ajustador aprueba cotizacion de ST.</t>
  </si>
  <si>
    <t>001 - 000304</t>
  </si>
  <si>
    <t>001 - 000301</t>
  </si>
  <si>
    <t>TP200SA-FV0108TS</t>
  </si>
  <si>
    <t>NTX900MU/56</t>
  </si>
  <si>
    <t>Parlante / Lector Optico / Pulsador</t>
  </si>
  <si>
    <t>GS65SPPN</t>
  </si>
  <si>
    <t>001 - 000303</t>
  </si>
  <si>
    <t>001 - 000306</t>
  </si>
  <si>
    <t>E5 - 571G - 71B1</t>
  </si>
  <si>
    <t>43LF5900.SB.BWFXLOR</t>
  </si>
  <si>
    <t>Acer</t>
  </si>
  <si>
    <t>GT32WPP</t>
  </si>
  <si>
    <t>001 - 002326</t>
  </si>
  <si>
    <t>001 - 0002327</t>
  </si>
  <si>
    <t>001 - 0002329</t>
  </si>
  <si>
    <t>001 - 0002330</t>
  </si>
  <si>
    <t>001 - 002328</t>
  </si>
  <si>
    <t>05/01 Ajustador aprobo repuesto de ST.</t>
  </si>
  <si>
    <t>En taller</t>
  </si>
  <si>
    <t>Klimatic</t>
  </si>
  <si>
    <t>Vittoria</t>
  </si>
  <si>
    <t>Termocupla y Valvula de hornilla</t>
  </si>
  <si>
    <t>Tarjeta de Poder / Motor</t>
  </si>
  <si>
    <t>DFR553SD</t>
  </si>
  <si>
    <t>Cover Conservador</t>
  </si>
  <si>
    <t>001 - 000311</t>
  </si>
  <si>
    <t>19/01 Ajustador solicito anulacion de compra</t>
  </si>
  <si>
    <t>19/01 Ajustador autorizo reemplazo de producto</t>
  </si>
  <si>
    <t>CUH-2015A</t>
  </si>
  <si>
    <t>Motor Difusor</t>
  </si>
  <si>
    <t>Descripción</t>
  </si>
  <si>
    <t>2.8 Aprobar cotización</t>
  </si>
  <si>
    <r>
      <t xml:space="preserve">Analizar informe técnico y presupuesto enviado por el ST, de este análisis se despliegan en:
- Fallas Reparables.
- No existe falla.
</t>
    </r>
    <r>
      <rPr>
        <b/>
        <sz val="11"/>
        <color theme="1"/>
        <rFont val="Calibri"/>
        <family val="2"/>
        <scheme val="minor"/>
      </rPr>
      <t>- Repuesto No Disponible.</t>
    </r>
    <r>
      <rPr>
        <sz val="11"/>
        <color theme="1"/>
        <rFont val="Calibri"/>
        <family val="2"/>
        <scheme val="minor"/>
      </rPr>
      <t xml:space="preserve">
- Informe Observado.
- Falla Irreparable.</t>
    </r>
  </si>
  <si>
    <t>Ajustador Técnico</t>
  </si>
  <si>
    <t>Informe Técnico</t>
  </si>
  <si>
    <r>
      <rPr>
        <b/>
        <sz val="11"/>
        <color theme="1"/>
        <rFont val="Calibri"/>
        <family val="2"/>
        <scheme val="minor"/>
      </rPr>
      <t>Repuesto No Disponible</t>
    </r>
    <r>
      <rPr>
        <sz val="11"/>
        <color theme="1"/>
        <rFont val="Calibri"/>
        <family val="2"/>
        <scheme val="minor"/>
      </rPr>
      <t xml:space="preserve">
Ajustador observa disponibilidad del repuesto, en esta etapa certifica la disponibilidad del repuesto realiza la siguiente actividad:
- Cotiza repuesto con Red de Proveedores ST.
- Verifica repuesto en Base de Recuperos.
-  Búsqueda en productos de Salvamento.
-  Al agotar las actividades solicita búsqueda a </t>
    </r>
    <r>
      <rPr>
        <b/>
        <sz val="11"/>
        <color theme="1"/>
        <rFont val="Calibri"/>
        <family val="2"/>
        <scheme val="minor"/>
      </rPr>
      <t>Ejecutivo de Repuesto</t>
    </r>
  </si>
  <si>
    <t>Búsqueda de Repuesto</t>
  </si>
  <si>
    <t>Analiza la solicitud del repuesto considerando los siguiente:
- Repuesto.
- Modelo y Marca.
- Numero de Parte.*
- Muestra de Repuesto (foto).*
- Fecha Estimada de Termino.
* Al no contar con estos datos, se coordina directamente con el ST envío de los datos pendiente.</t>
  </si>
  <si>
    <t>Procesa Información emitida por Ajustador, se realiza búsqueda en Red de Proveedores de Repuestos.</t>
  </si>
  <si>
    <t>Al contar respuesta por parte del Proveedor analiza lo siguiente:
- Costo del Repuesto.
- Disponibilidad.
- Estado del repuesto (Nuevo - Semi nuevo).
- Forma de Pago*
- Tiempo de Garantía del Repuesto.
- De no contar con repuesto se realiza intento de reparación del producto con Proveedores.</t>
  </si>
  <si>
    <t xml:space="preserve">Evaluación de Cotización </t>
  </si>
  <si>
    <t>Se emite cotización al Ajustador informando lo siguiente: Costo de Repuesto, Estado de Repuesto, Disponibilidad y Proveedor</t>
  </si>
  <si>
    <t>Cotización de Proveedor</t>
  </si>
  <si>
    <t>Aprobar cotización</t>
  </si>
  <si>
    <t>Ajustador revisa propuesta del Proveedor 
Si, aprueba cotización 
No, anula pedido o cancela pedido</t>
  </si>
  <si>
    <t xml:space="preserve">Aprobación </t>
  </si>
  <si>
    <r>
      <t xml:space="preserve">Aprueba propuesta de Proveedor, se realiza pedido se verifica la forma de pago:
- Facturado a 20 días.
- Compra al contado.*
- Compra por Tarjeta de Crédito.
*Si la compra es al Contado se tramita: Formulario de Anticipo o Caja Chica </t>
    </r>
    <r>
      <rPr>
        <b/>
        <sz val="11"/>
        <color theme="1"/>
        <rFont val="Calibri"/>
        <family val="2"/>
        <scheme val="minor"/>
      </rPr>
      <t>(Aun por definir GOP de Egresos GEX)</t>
    </r>
  </si>
  <si>
    <t>Aprobación</t>
  </si>
  <si>
    <t>Se realiza seguimiento del repuesto, se coordina con Proveedor cumplir el plazo ofrecido en presupuesto, además se valida con ST que el repuesto sea el correcto (estado físico y corresponda al Modelo y Marca) se concluye con la operatividad del mismo.</t>
  </si>
  <si>
    <t>Entrega de repuesto:
Si, se comprueba operatividad del producto, se recibe factura de Proveedor para proceso de pago.
No, en caso el repuesto no es el correcto o presenta algún defecto se tramita reposición.</t>
  </si>
  <si>
    <t>Facturación</t>
  </si>
  <si>
    <r>
      <t xml:space="preserve">Se recepciona factura de Proveedor, se comprueba costo del repuesto, tipo de socio y verificación datos en Segya, se realiza entrega de documento al área de </t>
    </r>
    <r>
      <rPr>
        <b/>
        <sz val="11"/>
        <color theme="1"/>
        <rFont val="Calibri"/>
        <family val="2"/>
        <scheme val="minor"/>
      </rPr>
      <t>Activos</t>
    </r>
    <r>
      <rPr>
        <sz val="11"/>
        <color theme="1"/>
        <rFont val="Calibri"/>
        <family val="2"/>
        <scheme val="minor"/>
      </rPr>
      <t xml:space="preserve"> para el pago correspondiente.</t>
    </r>
  </si>
  <si>
    <t>Verifica el tipo de Compra
- Facturado a 20 días.
- Compra por Tarjeta de Crédito.
- Compra al contado.*</t>
  </si>
  <si>
    <t>24 hrs.</t>
  </si>
  <si>
    <r>
      <rPr>
        <b/>
        <sz val="11"/>
        <color theme="1"/>
        <rFont val="Calibri"/>
        <family val="2"/>
        <scheme val="minor"/>
      </rPr>
      <t>Facturación a 20 días</t>
    </r>
    <r>
      <rPr>
        <sz val="11"/>
        <color theme="1"/>
        <rFont val="Calibri"/>
        <family val="2"/>
        <scheme val="minor"/>
      </rPr>
      <t xml:space="preserve">
Se recepciona factura de proveedor, se valida costo, socio y verificación de Datos en Segya</t>
    </r>
  </si>
  <si>
    <r>
      <rPr>
        <b/>
        <sz val="11"/>
        <color theme="1"/>
        <rFont val="Calibri"/>
        <family val="2"/>
        <scheme val="minor"/>
      </rPr>
      <t xml:space="preserve">Compra por Tarjeta de Crédito </t>
    </r>
    <r>
      <rPr>
        <sz val="11"/>
        <color theme="1"/>
        <rFont val="Calibri"/>
        <family val="2"/>
        <scheme val="minor"/>
      </rPr>
      <t xml:space="preserve">
Se coordina con Supervisión de Ajustadores para el tramite o compra de repuesto, Proveedor emite Factura Electrónica y asocia el archivo XML, posteriormente se sustenta el gasto (mensual) con los documentos emitidos al área de Activos para su entrega a Operaciones Contables.</t>
    </r>
  </si>
  <si>
    <t>Supervisión Ajustador</t>
  </si>
  <si>
    <r>
      <rPr>
        <b/>
        <sz val="11"/>
        <color theme="1"/>
        <rFont val="Calibri"/>
        <family val="2"/>
        <scheme val="minor"/>
      </rPr>
      <t>Compra al Contado</t>
    </r>
    <r>
      <rPr>
        <sz val="11"/>
        <color theme="1"/>
        <rFont val="Calibri"/>
        <family val="2"/>
        <scheme val="minor"/>
      </rPr>
      <t xml:space="preserve">
En este escenario, la forma de obtener el efectivo se realiza la siguientes solicitudes:
Formulario Solicitud de Caja Chica (para compras &lt; a S/.300)
Formulario Solicitud de Anticipo (para compras &gt; a S/. 300)</t>
    </r>
  </si>
  <si>
    <r>
      <rPr>
        <i/>
        <u/>
        <sz val="11"/>
        <color theme="1"/>
        <rFont val="Calibri"/>
        <family val="2"/>
        <scheme val="minor"/>
      </rPr>
      <t>Formulario de Solicitud de Caja  Chica</t>
    </r>
    <r>
      <rPr>
        <sz val="11"/>
        <color theme="1"/>
        <rFont val="Calibri"/>
        <family val="2"/>
        <scheme val="minor"/>
      </rPr>
      <t xml:space="preserve">
A traves de este documento se tramita la obtención de efectivo a traves del Área de Tesorería, dicho documento debe de contar con la aprobación del Gestor de Red y Gerencia GEX, luego es sustentado con lo siguientes documentos:
- Factura 
- Formato de Rendición de Gasto (firmado y validad por Gestor de Red y Gerencia GEX)
</t>
    </r>
    <r>
      <rPr>
        <b/>
        <sz val="11"/>
        <color theme="1"/>
        <rFont val="Calibri"/>
        <family val="2"/>
        <scheme val="minor"/>
      </rPr>
      <t xml:space="preserve">Observación: </t>
    </r>
    <r>
      <rPr>
        <sz val="11"/>
        <color theme="1"/>
        <rFont val="Calibri"/>
        <family val="2"/>
        <scheme val="minor"/>
      </rPr>
      <t>Queda por definir el llenado del documento ya que la solicitud se hace a Cardif Seguros, sin embargo el responsable pertenece a Cardif Servicios, se deberá de tomar en cuenta dentro del GOP de Egresos GEX</t>
    </r>
  </si>
  <si>
    <t>Ejecutivo de Repuesto / Tesoreria</t>
  </si>
  <si>
    <t>Solicitud de Efectivo</t>
  </si>
  <si>
    <t xml:space="preserve">Contabilidad / Tesoreria </t>
  </si>
  <si>
    <t>Documentación</t>
  </si>
  <si>
    <r>
      <rPr>
        <i/>
        <u/>
        <sz val="11"/>
        <color theme="1"/>
        <rFont val="Calibri"/>
        <family val="2"/>
        <scheme val="minor"/>
      </rPr>
      <t>Formulario Solicitud de Anticipo</t>
    </r>
    <r>
      <rPr>
        <i/>
        <sz val="11"/>
        <color theme="1"/>
        <rFont val="Calibri"/>
        <family val="2"/>
        <scheme val="minor"/>
      </rPr>
      <t xml:space="preserve">
</t>
    </r>
    <r>
      <rPr>
        <sz val="11"/>
        <color theme="1"/>
        <rFont val="Calibri"/>
        <family val="2"/>
        <scheme val="minor"/>
      </rPr>
      <t xml:space="preserve">A traves de este documento se tramita la obtención de efectivo a traves del Área de Contabilidad para luego su pase a Tesorería, dicho documento debe de contar con la aprobación del Gestor de Red, Gerencia GEX y Gerencia de Finanzas (solo para casos excepcionales), el pago se realiza a traves de la Cuenta Corriente del Proveedor o de manera presencial.  El sustento del gasto se realiza con los siguientes documentos:
- Factura
- Formato de Rendición de Gasto (firmado y validad por Gestor de Red y Gerencia GEX)
</t>
    </r>
    <r>
      <rPr>
        <b/>
        <sz val="11"/>
        <color theme="1"/>
        <rFont val="Calibri"/>
        <family val="2"/>
        <scheme val="minor"/>
      </rPr>
      <t xml:space="preserve">Observación: </t>
    </r>
    <r>
      <rPr>
        <sz val="11"/>
        <color theme="1"/>
        <rFont val="Calibri"/>
        <family val="2"/>
        <scheme val="minor"/>
      </rPr>
      <t>Queda por definir el llenado del documento ya que la solicitud se hace a Cardif Seguros, sin embargo el responsable pertenece a Cardif Servicios, se deberá de tomar en cuenta dentro del GOP de Egresos GEX</t>
    </r>
  </si>
  <si>
    <t>CM9760AB</t>
  </si>
  <si>
    <t>COOLSTYLE 395N</t>
  </si>
  <si>
    <t>RF263BEAESL</t>
  </si>
  <si>
    <t>25/01 Ajustador informa que el producto lo ingreso a otro ST.</t>
  </si>
  <si>
    <t>23-Q103LA</t>
  </si>
  <si>
    <t>25/01 Ajustador anula el pedido</t>
  </si>
  <si>
    <t xml:space="preserve">49LF6350-SB.BWFYLOR </t>
  </si>
  <si>
    <t>43LF6350-SB.AWFYLJM</t>
  </si>
  <si>
    <t>ALLIED ELECTRONICS &amp; SERVICES SAC</t>
  </si>
  <si>
    <t>6053914/6053919</t>
  </si>
  <si>
    <t>No de OT</t>
  </si>
  <si>
    <t>Fecha Creación</t>
  </si>
  <si>
    <t>Fecha Estado</t>
  </si>
  <si>
    <t>Fecha Estimada Termino</t>
  </si>
  <si>
    <t>Nombre Cliente</t>
  </si>
  <si>
    <t>N° Boleta</t>
  </si>
  <si>
    <t>Linea Cardif</t>
  </si>
  <si>
    <t>Días de Atención estándar</t>
  </si>
  <si>
    <t>Servicio Técnico</t>
  </si>
  <si>
    <t>Requiere Atención a Domicilio</t>
  </si>
  <si>
    <t>Sucursal</t>
  </si>
  <si>
    <t>Liquidador</t>
  </si>
  <si>
    <t>MIGRACION DE PRODUCTOS</t>
  </si>
  <si>
    <t>E LAU SI EIRL</t>
  </si>
  <si>
    <t>PLAZA VEA</t>
  </si>
  <si>
    <t>Christian Tinoco</t>
  </si>
  <si>
    <t>ELECTRONICA LIMA SUR</t>
  </si>
  <si>
    <t>SAGA FALABELLA</t>
  </si>
  <si>
    <t>SAGA JOCKEY PLAZA</t>
  </si>
  <si>
    <t>ELECTRODOMESTICOS</t>
  </si>
  <si>
    <t>SAGA ATOCONGO</t>
  </si>
  <si>
    <t>LINEA BLANCA</t>
  </si>
  <si>
    <t>SERVICIOS ELECTRÓNICOS Y REFRIGERACIÓN ECOLÓGICA SAC</t>
  </si>
  <si>
    <t>TOTTUS SA</t>
  </si>
  <si>
    <t>TOTTUS LA MARINA</t>
  </si>
  <si>
    <t>AUDIO Y VIDEO</t>
  </si>
  <si>
    <t>COMPUTO</t>
  </si>
  <si>
    <t>HIGH SERVICE INTERNATIONAL S.A.C.</t>
  </si>
  <si>
    <t>SAGA SAN MIGUEL</t>
  </si>
  <si>
    <t>MIGRACION DE PRODUCTOS OESCHLE</t>
  </si>
  <si>
    <t>CORPORACION PERUANA DE SERVICIOS TECNOLOGICOS S.A.C.</t>
  </si>
  <si>
    <t>TIENDAS PERUANAS</t>
  </si>
  <si>
    <t>CENTRO CIVICO</t>
  </si>
  <si>
    <t>TOTTUS JOCKEY PLAZA</t>
  </si>
  <si>
    <t>SAGA MIRAFLORES</t>
  </si>
  <si>
    <t>Notebook Ci3-5005 4G1TW10 15.6</t>
  </si>
  <si>
    <t>SAGA ANGAMOS</t>
  </si>
  <si>
    <t>TECCNIS PERU EIRL</t>
  </si>
  <si>
    <t>OK HOUSE</t>
  </si>
  <si>
    <t>TOTTUS ATOCONGO</t>
  </si>
  <si>
    <t>SAGA MEGAPLAZA</t>
  </si>
  <si>
    <t>CAHUANA S.A.C</t>
  </si>
  <si>
    <t>BUSINES DATA SERVICE SAC</t>
  </si>
  <si>
    <t>SAGA TRUJILLO MALL</t>
  </si>
  <si>
    <t>BINAR - TEC SAC</t>
  </si>
  <si>
    <t>CHICLAYO</t>
  </si>
  <si>
    <t>TOTTUS CANETE</t>
  </si>
  <si>
    <t>SERVICIOS TECNICOS DIGITALES E&amp;L EIRL</t>
  </si>
  <si>
    <t>SAGA IQUITOS</t>
  </si>
  <si>
    <t>CENTRO DE LAVADO 17KG ELECT BL</t>
  </si>
  <si>
    <t>T&amp;C ELECTRONIC EIRL</t>
  </si>
  <si>
    <t>TOTTUS CHINCHA</t>
  </si>
  <si>
    <t>SAGA FONOCOMPRAS -I</t>
  </si>
  <si>
    <t>Diagnóstico en Evaluación</t>
  </si>
  <si>
    <t>Notebk Ci3-5010U 4GB 1TB DVD 1</t>
  </si>
  <si>
    <t>TEVCOMP EIRL</t>
  </si>
  <si>
    <t>LAVAD. 8.5 KG BLANCO TINA INO</t>
  </si>
  <si>
    <t>TECNIPLUS</t>
  </si>
  <si>
    <t>SAGA MALL SUR</t>
  </si>
  <si>
    <t>JUAN JUNIOR MANDUJANO CRISTOBAL</t>
  </si>
  <si>
    <t>llamar</t>
  </si>
  <si>
    <t>Condensador</t>
  </si>
  <si>
    <t xml:space="preserve">HYLED554INT </t>
  </si>
  <si>
    <t>Centro de Lavado</t>
  </si>
  <si>
    <t>Frigidaire</t>
  </si>
  <si>
    <t>FFLG1011MW3</t>
  </si>
  <si>
    <t>TELEVISORES LCD - LED SMART 55" F1761 AOC</t>
  </si>
  <si>
    <t>Calle. Los Mochicas N°154 -Urb.Maranga 2etapa San Miguel</t>
  </si>
  <si>
    <t>TOTTUS BELLAVISTA</t>
  </si>
  <si>
    <t>NB i5-6ta 4GB RAM 500GB 15.6 HD VID</t>
  </si>
  <si>
    <t>TOTTUS MEGAPLAZA</t>
  </si>
  <si>
    <t>MAMANI SALAZAR ROSARIO YISELLA</t>
  </si>
  <si>
    <t>2018.2</t>
  </si>
  <si>
    <t>49UF6400-SA.BWFYMOR</t>
  </si>
  <si>
    <t>SAGA PIURA MALL</t>
  </si>
  <si>
    <t>001 - 002359</t>
  </si>
  <si>
    <t>GM84SDSB</t>
  </si>
  <si>
    <t>HYUNDAI LED 55" HYLED554INT FHD</t>
  </si>
  <si>
    <t>SAGA LA MERCED</t>
  </si>
  <si>
    <t>TOTTUS PIURA</t>
  </si>
  <si>
    <t>9 dias</t>
  </si>
  <si>
    <t>43UF6400-SA.BWFYMJR</t>
  </si>
  <si>
    <t>Allied Electronics</t>
  </si>
  <si>
    <t>Toralva Flores Jose Manuel</t>
  </si>
  <si>
    <t>11-K172LA</t>
  </si>
  <si>
    <t>T217498</t>
  </si>
  <si>
    <t>JESUS TANTALEAN EVANGELISTA</t>
  </si>
  <si>
    <t>REFRIGERADORA 360 LT, NO FROST, CON DISPENSADOR</t>
  </si>
  <si>
    <t>TOTTUS CHIMBOTE</t>
  </si>
  <si>
    <t>T217589</t>
  </si>
  <si>
    <t>DEYSI CAÑARI SAAVEDRA</t>
  </si>
  <si>
    <t>SIDE BY SIDE 566 LT SILVER CON</t>
  </si>
  <si>
    <t>T217624</t>
  </si>
  <si>
    <t>JOSE TOMAS AGUIRRE ARROYO</t>
  </si>
  <si>
    <t>SAMSUNG LED 55" 55H6800 SMART 3D CURV</t>
  </si>
  <si>
    <t>SPSA PVEA LA BOLICHERA</t>
  </si>
  <si>
    <t>T217756</t>
  </si>
  <si>
    <t>MARIA LUZ RODRIGUEZ VILLANUEVA</t>
  </si>
  <si>
    <t>HP NOTE 240 CI3/4GB/1TB</t>
  </si>
  <si>
    <t>SPSA PVEA BARRANCA</t>
  </si>
  <si>
    <t>T217799</t>
  </si>
  <si>
    <t>YOLANDA QUISPE ARCE</t>
  </si>
  <si>
    <t>LENOVO NOTE YOGA500 CI3/4GB/500GB/W10</t>
  </si>
  <si>
    <t>SPSA PVEA CENTRO CIVICO</t>
  </si>
  <si>
    <t>T217739</t>
  </si>
  <si>
    <t>ESTEFA MARINA GALINDO ROMUCHO</t>
  </si>
  <si>
    <t>REFRIGERADORA RI-480 QUARZO Croma</t>
  </si>
  <si>
    <t>T217949</t>
  </si>
  <si>
    <t>ANDRES BEDON CASTRO</t>
  </si>
  <si>
    <t>REFRIGERADORA BOSCH</t>
  </si>
  <si>
    <t>T218038</t>
  </si>
  <si>
    <t>JACQUELINE HAAS DEL CARPIO</t>
  </si>
  <si>
    <t>Led 48 H5500 FHD</t>
  </si>
  <si>
    <t>T217850</t>
  </si>
  <si>
    <t>EVA SANCHEZ OCAÑA</t>
  </si>
  <si>
    <t>LAVADORA 13 KG C/SUPERIOR</t>
  </si>
  <si>
    <t>T218058</t>
  </si>
  <si>
    <t>ISABEL GUADA MANTILLA MARTINEZ</t>
  </si>
  <si>
    <t>COCINA PRO467 IX</t>
  </si>
  <si>
    <t>T218028</t>
  </si>
  <si>
    <t>WNINGER CHUQUIPIONDO RUIZ</t>
  </si>
  <si>
    <t>Notebook CI3-500U 4G500G W10 W</t>
  </si>
  <si>
    <t>T217915</t>
  </si>
  <si>
    <t>HAYDEE SINCHE CHOCCA</t>
  </si>
  <si>
    <t>TOSHIBA NOTE C4201S CELE/4GB/500GB+USB8G</t>
  </si>
  <si>
    <t>SPSA PVEA SAN BORJA</t>
  </si>
  <si>
    <t>T217956</t>
  </si>
  <si>
    <t>LIZ NOEMI MATIAS LOPE</t>
  </si>
  <si>
    <t>HYUNDAI LED 40" HYLED403A FHD</t>
  </si>
  <si>
    <t>SPSA PVEA SANTA CLARA</t>
  </si>
  <si>
    <t>T218008</t>
  </si>
  <si>
    <t>JOSE ALBERTO MARTINEZ RODRIGUEZ</t>
  </si>
  <si>
    <t>LAVADORAS - LAVSEC.16KG-11SEC.DWC-EVO.INOX.</t>
  </si>
  <si>
    <t>HUANCAYO REAL</t>
  </si>
  <si>
    <t>T218166</t>
  </si>
  <si>
    <t>AGUSTIN CALDERON RODRIGUEZ</t>
  </si>
  <si>
    <t>Led 32 FH4005 HD</t>
  </si>
  <si>
    <t>T218083</t>
  </si>
  <si>
    <t>ALEJANDRA ALAYZA MONGLOA</t>
  </si>
  <si>
    <t>SAGA SAN ISIDRO</t>
  </si>
  <si>
    <t>T218084</t>
  </si>
  <si>
    <t>KAREN LOO SHIMBO</t>
  </si>
  <si>
    <t>CAMPANA 80CM AC/IX 2 MOTORES 3 VEL</t>
  </si>
  <si>
    <t>T218352</t>
  </si>
  <si>
    <t>JESSICA ZORAIDA MENDEZ CAMONES</t>
  </si>
  <si>
    <t>WEB_COCINA GAS 4H 60CM EUROPEA</t>
  </si>
  <si>
    <t>T218262</t>
  </si>
  <si>
    <t>YINO ATOCHWE TUESTA</t>
  </si>
  <si>
    <t>COCINA 5 QUEMADORES GAS</t>
  </si>
  <si>
    <t>T218173</t>
  </si>
  <si>
    <t>ALESSANDRO COSENTINO LOYA</t>
  </si>
  <si>
    <t>Desktop IC AIO 700-24ISH I7670</t>
  </si>
  <si>
    <t>T218179</t>
  </si>
  <si>
    <t>MARCOS ESCAPA CHECO</t>
  </si>
  <si>
    <t>COCINA PRO465 IX GAS BOSCH</t>
  </si>
  <si>
    <t>T218078</t>
  </si>
  <si>
    <t>NORMA ESTELA GUERRA CARDENAS</t>
  </si>
  <si>
    <t>T218351</t>
  </si>
  <si>
    <t>PETER REYNALDO URIBE CANALES</t>
  </si>
  <si>
    <t>BGH LED 40" BLE4015RTFXIPE FHD SMART</t>
  </si>
  <si>
    <t>SPSA PVEA COMAS</t>
  </si>
  <si>
    <t>T218209</t>
  </si>
  <si>
    <t>ABRAHAM DIEGO VARGAS FERMIN</t>
  </si>
  <si>
    <t>MINICOMPONENTE AKX600</t>
  </si>
  <si>
    <t>SPSA PVEA CAJAMARCA</t>
  </si>
  <si>
    <t>T218270</t>
  </si>
  <si>
    <t>MAGALY RUTH SALAZAR CANTO</t>
  </si>
  <si>
    <t>SPSA PVEA ATE</t>
  </si>
  <si>
    <t>T218190</t>
  </si>
  <si>
    <t>NATALY MIREL MORALES FERNANDEZ</t>
  </si>
  <si>
    <t>SLVR 15.6HD AMDFX 7500 8GB 1TB</t>
  </si>
  <si>
    <t>T218068</t>
  </si>
  <si>
    <t>HENRY LUIS OKADA CHUMIOQUE</t>
  </si>
  <si>
    <t>TV 40 CURVO SMART FHD SAMSUNG 40K65</t>
  </si>
  <si>
    <t>T218214</t>
  </si>
  <si>
    <t>LUZ AMELIA SANCHEZ NUÑEZ</t>
  </si>
  <si>
    <t>PORTATILES - 15.6"V3-575/CI5/6G/1T/2V/W10/ODD/</t>
  </si>
  <si>
    <t>TRUJILLO REAL</t>
  </si>
  <si>
    <t>T218183</t>
  </si>
  <si>
    <t>VICTOR HUGO VASQUEZ HONORIO</t>
  </si>
  <si>
    <t>PORTATILES - 15.6"GL552VX I7-67/1T/12G/4V/DVD/FHD/</t>
  </si>
  <si>
    <t>SALAVERRY</t>
  </si>
  <si>
    <t>T218182</t>
  </si>
  <si>
    <t>JUANA SILVIA CASTILLO DE TORIBIO</t>
  </si>
  <si>
    <t>T218490</t>
  </si>
  <si>
    <t>MILAGROS RIVAS VIVANCO</t>
  </si>
  <si>
    <t>Notebk Ci5-5200U 6Gb1Tb 15.6 dkBlu</t>
  </si>
  <si>
    <t>T218496</t>
  </si>
  <si>
    <t>DIONICIO ARICA IPANAQUE</t>
  </si>
  <si>
    <t>Notebook Ci5-4210U 4Gb 500Gb W8 S</t>
  </si>
  <si>
    <t>SAGA PIURA</t>
  </si>
  <si>
    <t>T218545</t>
  </si>
  <si>
    <t>MARTHA BOHORQUEZ MATEO</t>
  </si>
  <si>
    <t>CELULAR Samsung GALAXY J2 4G B</t>
  </si>
  <si>
    <t>CELULARES</t>
  </si>
  <si>
    <t>T218548</t>
  </si>
  <si>
    <t>HUAWEI P8LITE ALE-L23 WHITE</t>
  </si>
  <si>
    <t>T218491</t>
  </si>
  <si>
    <t>CARLOS FERNA VARGAS PAITAN</t>
  </si>
  <si>
    <t>T218388</t>
  </si>
  <si>
    <t>VANESSA DEL PACHECO ZUÑIGA</t>
  </si>
  <si>
    <t>NOTEBOOK CEL N3050 4GB 15 6HD</t>
  </si>
  <si>
    <t>T218544</t>
  </si>
  <si>
    <t>ANGEL MARCOS FIESTAS HERNANDEZ</t>
  </si>
  <si>
    <t>HUAWEI Y625-U43 WHITE DUAL SIM</t>
  </si>
  <si>
    <t>T218494</t>
  </si>
  <si>
    <t>PAMMELA CASTAÑEDA CORNEJO</t>
  </si>
  <si>
    <t>NB Ci5-6200U 8GB 1TB W10 14p A</t>
  </si>
  <si>
    <t>T218543</t>
  </si>
  <si>
    <t>NOEMI GOMEZ FERNANDEZ</t>
  </si>
  <si>
    <t>SMARTPHONE 3G PANT 5 WVGA AN</t>
  </si>
  <si>
    <t>T218546</t>
  </si>
  <si>
    <t>ANSELMO ROSALES VARGAS</t>
  </si>
  <si>
    <t>SMARTPHONE 5 CASIOPEA II</t>
  </si>
  <si>
    <t>T218492</t>
  </si>
  <si>
    <t>MARIA MENA RAYO</t>
  </si>
  <si>
    <t>T218422</t>
  </si>
  <si>
    <t>JACQUELINE BALCEDA CAMPOS</t>
  </si>
  <si>
    <t>HYUNDAI LED 40" HYLED406INT FHD</t>
  </si>
  <si>
    <t>SPSA PVEA HUARAL</t>
  </si>
  <si>
    <t>T218534</t>
  </si>
  <si>
    <t>EMILIANO CARRION GUERRERO</t>
  </si>
  <si>
    <t>TABLET PBI-750M TAB 16GEB-VE</t>
  </si>
  <si>
    <t>T218374</t>
  </si>
  <si>
    <t>VICTOR CAJA MANAYAY</t>
  </si>
  <si>
    <t>CELERON,4GB,1TB,19.5</t>
  </si>
  <si>
    <t>T218436</t>
  </si>
  <si>
    <t>DAVID ALFREDO GONZALEZ PINEDA</t>
  </si>
  <si>
    <t>15.6" K555LB CI5-5U/6G/1T/2V/GT940M/W8.1</t>
  </si>
  <si>
    <t>T218493</t>
  </si>
  <si>
    <t>ANDRES ELEODORO VILLAFUENTES GUERRERO</t>
  </si>
  <si>
    <t>15.6"G50-45/A8/4G/1T/2G/W10/80E301TGLM</t>
  </si>
  <si>
    <t>objetado</t>
  </si>
  <si>
    <t>aprobar</t>
  </si>
  <si>
    <t>T218242</t>
  </si>
  <si>
    <t>BLANCA ROSA RAMIREZ DE LA CRUZ</t>
  </si>
  <si>
    <t>TV 55P UHD SMART CURVO ONEREMOTE</t>
  </si>
  <si>
    <t>T218396</t>
  </si>
  <si>
    <t>JENNY MENDEZ LEON</t>
  </si>
  <si>
    <t>REFRIGERADORA 325 L NO FROST GRAFITO DIS</t>
  </si>
  <si>
    <t>T218247</t>
  </si>
  <si>
    <t>LESLI MARLEN CHAMPION ALVAREZ</t>
  </si>
  <si>
    <t>Led 58 MEGAHD 58H5203 BD H4</t>
  </si>
  <si>
    <t>T218367</t>
  </si>
  <si>
    <t>MARIA MUCHA SIPION</t>
  </si>
  <si>
    <t>COCINA 32 6 QUEMADORE CROMA PA</t>
  </si>
  <si>
    <t>T218371</t>
  </si>
  <si>
    <t>MARCO ANTONIO YOMONA HIDALGO HIDALGO</t>
  </si>
  <si>
    <t>PORTATILES - 11.6"R3-131T-C6RP/CEL/4G/500G/W10</t>
  </si>
  <si>
    <t>T218574</t>
  </si>
  <si>
    <t>FLOR DE MARIA YATACO LUNA</t>
  </si>
  <si>
    <t>T218593</t>
  </si>
  <si>
    <t>LUIS CARLOS ORTEGA ALBURQUEQUE</t>
  </si>
  <si>
    <t>LAVADORA 16KG SL SAPIENCE</t>
  </si>
  <si>
    <t>T218689</t>
  </si>
  <si>
    <t>LUIS MIGUEL RINCON LA TORRE</t>
  </si>
  <si>
    <t>REFRIGERADORA 371 L NOFROST INOX</t>
  </si>
  <si>
    <t>TOTTUS PACHACUTEC</t>
  </si>
  <si>
    <t>CANT.</t>
  </si>
  <si>
    <t>DESCRIPCION</t>
  </si>
  <si>
    <t>P. UNIT</t>
  </si>
  <si>
    <t>IMPORTE</t>
  </si>
  <si>
    <t>Venta de repuesto Socio: Saga Falabella</t>
  </si>
  <si>
    <t>Mecanismo - T216383</t>
  </si>
  <si>
    <t>Tarjeta Principal - T216760</t>
  </si>
  <si>
    <t>SUBTOTAL</t>
  </si>
  <si>
    <t>IGV</t>
  </si>
  <si>
    <t>TOTAL</t>
  </si>
  <si>
    <t>Envio de Repuesto Socio: Saga Falabella</t>
  </si>
  <si>
    <t>T218466</t>
  </si>
  <si>
    <t>WALTER CHAPOÑAN VIDAURRE</t>
  </si>
  <si>
    <t>NB CI7-6500U 8GB 1TB 15.6P</t>
  </si>
  <si>
    <t>SAGA CHICLAYO MALL</t>
  </si>
  <si>
    <t>T218325</t>
  </si>
  <si>
    <t>PONCIANO HUAMAN QUISPE</t>
  </si>
  <si>
    <t>LED 4K HDR 49 SMART ANDROID TV</t>
  </si>
  <si>
    <t>T218595</t>
  </si>
  <si>
    <t>ROSARIO JACQ CASTRO BRAVO</t>
  </si>
  <si>
    <t>TV UHD SMART 55JU6500</t>
  </si>
  <si>
    <t>REyes Alegre Rosa Isabel</t>
  </si>
  <si>
    <t>DWF-260GS</t>
  </si>
  <si>
    <t>HT-E5530K/PE</t>
  </si>
  <si>
    <t>GONZALES RODRIGUEZ ROMULO RAMIRO</t>
  </si>
  <si>
    <t>001 - 002360</t>
  </si>
  <si>
    <t>001 - 002361</t>
  </si>
  <si>
    <t>001 - 002362</t>
  </si>
  <si>
    <t>001 - 002154</t>
  </si>
  <si>
    <t>RT29K5030S8</t>
  </si>
  <si>
    <t>55LF5950-SB.BWFYLJR</t>
  </si>
  <si>
    <t>Fuera de Tiempo</t>
  </si>
  <si>
    <t>32 HD DLED Digital HDMI (2)</t>
  </si>
  <si>
    <t xml:space="preserve"> - Maestro Repuesto solo debe de contener registro necesario dependiendo del Tipo de Producto, 
para ello se debe de eliminar los registros en Segya y cargar nuevo listado de repuesto, en el caso de agregar nuevo repuesto 
este debe ser manejado por el Ejecutivo de Rpto.</t>
  </si>
  <si>
    <t xml:space="preserve"> - Sistematizar la solicitud de Repuesto atraves de Segya así como la tipificación de repuesto, 
esto nos permitirá tener un mejor control de costo e indicadores reales.</t>
  </si>
  <si>
    <t>RT32K5730SL/PE</t>
  </si>
  <si>
    <t>FRS-Q24</t>
  </si>
  <si>
    <t>Paleta</t>
  </si>
  <si>
    <t>001 - 000314</t>
  </si>
  <si>
    <t>001 - 000315</t>
  </si>
  <si>
    <t>001 - 000316</t>
  </si>
  <si>
    <t>001 - 000317</t>
  </si>
  <si>
    <t>001 - 000318</t>
  </si>
  <si>
    <t>001 - 000320</t>
  </si>
  <si>
    <t>001 - 000319</t>
  </si>
  <si>
    <t>84UB9800-SA.AWFWLJR</t>
  </si>
  <si>
    <t>WRE50NRBPE</t>
  </si>
  <si>
    <t>FRS-MANCORA</t>
  </si>
  <si>
    <t>ECO-TT300</t>
  </si>
  <si>
    <t>IDEAPAD 510</t>
  </si>
  <si>
    <t>Busines Data</t>
  </si>
  <si>
    <t>G400S</t>
  </si>
  <si>
    <t>POWERSHOT SX-60 HS</t>
  </si>
  <si>
    <t>Selector de Funciones</t>
  </si>
  <si>
    <t>RT35K5930SL</t>
  </si>
  <si>
    <t>Costo</t>
  </si>
  <si>
    <t xml:space="preserve">Estado </t>
  </si>
  <si>
    <t xml:space="preserve">Motivo </t>
  </si>
  <si>
    <t>Servicio Tecnico</t>
  </si>
  <si>
    <t>Orden de Servicio</t>
  </si>
  <si>
    <t>Plazo de Atencion</t>
  </si>
  <si>
    <t>Presento otra falla</t>
  </si>
  <si>
    <t>Ajustador no calculo el plazo</t>
  </si>
  <si>
    <t>001 - 000325</t>
  </si>
  <si>
    <t>001 - 000328</t>
  </si>
  <si>
    <t>001 - 000326</t>
  </si>
  <si>
    <t>001 - 000327</t>
  </si>
  <si>
    <t>001  -000329</t>
  </si>
  <si>
    <t>001 - 000330</t>
  </si>
  <si>
    <t>001 - 000331</t>
  </si>
  <si>
    <t>13-U001LA</t>
  </si>
  <si>
    <t>RT29K5710S8</t>
  </si>
  <si>
    <t>Valvula de Gas</t>
  </si>
  <si>
    <t>GT29BPP</t>
  </si>
  <si>
    <t>Sub Woofer</t>
  </si>
  <si>
    <t>UN65JS9000GXPE</t>
  </si>
  <si>
    <t>Tarjeta Principal / Control Remoto</t>
  </si>
  <si>
    <t>CVC Electronics</t>
  </si>
  <si>
    <t xml:space="preserve">FRS - Q24 </t>
  </si>
  <si>
    <t>FRS - PUNTA SAL</t>
  </si>
  <si>
    <t xml:space="preserve">FRS - Q22 </t>
  </si>
  <si>
    <t>LUBECK I</t>
  </si>
  <si>
    <t>Termocupla / Timer</t>
  </si>
  <si>
    <t>INGENIOUS601PXO</t>
  </si>
  <si>
    <t xml:space="preserve">Tarjeta Principal  </t>
  </si>
  <si>
    <t>CM9530</t>
  </si>
  <si>
    <t>55UF8500-SB</t>
  </si>
  <si>
    <t>GT47HGP</t>
  </si>
  <si>
    <t>Fuera de Plazo</t>
  </si>
  <si>
    <t>2018.3</t>
  </si>
  <si>
    <t>GT24SGP</t>
  </si>
  <si>
    <t>WRW50NRBPE</t>
  </si>
  <si>
    <t>02/03 Se solicito anular pedido,</t>
  </si>
  <si>
    <t>02/03 Ajustador aprobo compra a ST</t>
  </si>
  <si>
    <t>39LB5800 - SB.BWFJTJM</t>
  </si>
  <si>
    <t>05/03 Ajustador aprobo repuesto de ST</t>
  </si>
  <si>
    <t>05/03 Se aprueba reparacion de ST</t>
  </si>
  <si>
    <t>Error de Envio</t>
  </si>
  <si>
    <t>Repuesto No disponible</t>
  </si>
  <si>
    <t>TV LED</t>
  </si>
  <si>
    <t>Error en el modelo del TV</t>
  </si>
  <si>
    <t>Reclamo Indecopi</t>
  </si>
  <si>
    <t>DWF - 160R</t>
  </si>
  <si>
    <t>DWC - 110W</t>
  </si>
  <si>
    <t>DWF - 160B</t>
  </si>
  <si>
    <t xml:space="preserve"> DWC - LD11W</t>
  </si>
  <si>
    <t>Pulsator / Caja de Transmision</t>
  </si>
  <si>
    <t>Caja de Transmision / Motor Sincronico</t>
  </si>
  <si>
    <t>Termistor Dry / Bushing</t>
  </si>
  <si>
    <t>Caja de Transmision / Pulsator</t>
  </si>
  <si>
    <t xml:space="preserve">Pulsator  </t>
  </si>
  <si>
    <t>PC2200</t>
  </si>
  <si>
    <t>Bomba de Drenaje / Motor Fan / Tarjeta Principal</t>
  </si>
  <si>
    <t xml:space="preserve">RI480QZ </t>
  </si>
  <si>
    <t>Transformador / LED de conservador</t>
  </si>
  <si>
    <t>GM86SDS</t>
  </si>
  <si>
    <t>NTX600/55</t>
  </si>
  <si>
    <t>50 dias</t>
  </si>
  <si>
    <t>08/03 Ajustador compra repuesto con Servidoctors</t>
  </si>
  <si>
    <t>RT38FEAJDSL/PE</t>
  </si>
  <si>
    <t>12/03 Ajustador aprobo cotizacion de ST</t>
  </si>
  <si>
    <t>12/03 ajustador aprobo cotizacion de ST.</t>
  </si>
  <si>
    <t>12/03 Ajustador aprobo compra de ST de la Red</t>
  </si>
  <si>
    <t>LE55F1361</t>
  </si>
  <si>
    <t>Valvula de Dispensador</t>
  </si>
  <si>
    <t>HYLED492INT</t>
  </si>
  <si>
    <t>HYLED472INT</t>
  </si>
  <si>
    <t>RF450V</t>
  </si>
  <si>
    <t>RMP400YJPSS</t>
  </si>
  <si>
    <t>16/03 Ajustador aprobo cotizacion de ST.</t>
  </si>
  <si>
    <t>NTRX700HU/55</t>
  </si>
  <si>
    <t>Tarjeta Principal / Tarjeta fuente</t>
  </si>
  <si>
    <t>LMA95BXI</t>
  </si>
  <si>
    <t xml:space="preserve">Bomba de Drenaje  </t>
  </si>
  <si>
    <t>19/03 Ajustador aprobo reemplazo</t>
  </si>
  <si>
    <t>Plazo en la reparacion</t>
  </si>
  <si>
    <t>EKGE24AU2NAMS</t>
  </si>
  <si>
    <t xml:space="preserve">Valvula de Hornilla </t>
  </si>
  <si>
    <t>27/03 Ajustador aprueba repuesto de ST</t>
  </si>
  <si>
    <t>2018.4</t>
  </si>
  <si>
    <t>5WRS22FDBF02</t>
  </si>
  <si>
    <t>WAQ16F7L8DTA/PE</t>
  </si>
  <si>
    <t>Motor Drain / Caja de Transmision</t>
  </si>
  <si>
    <t>Tarjeta Principal / Switch Rotary</t>
  </si>
  <si>
    <t xml:space="preserve">Tarjeta Principal / Sensor </t>
  </si>
  <si>
    <t>LMA14SXI</t>
  </si>
  <si>
    <t>Caja de Transmision / Sensor / Tuerca</t>
  </si>
  <si>
    <t>06/04 Ajustador tomo repuesto de Salvamento</t>
  </si>
  <si>
    <t>Plazo de Reparacion</t>
  </si>
  <si>
    <t>12/04 proveedor informa que el repuesto no se encuentra disponible</t>
  </si>
  <si>
    <t>UN55JS9000GXPE</t>
  </si>
  <si>
    <t xml:space="preserve">Ejecutivo de Seguimiento </t>
  </si>
  <si>
    <t xml:space="preserve">Seguimiento / Solicitud de Ajustador / Reclamo </t>
  </si>
  <si>
    <t>Solicitud de Prestamo</t>
  </si>
  <si>
    <t>24 hrs</t>
  </si>
  <si>
    <t>43LF5410</t>
  </si>
  <si>
    <t>16/04 Ajustador compra repuesto con ST</t>
  </si>
  <si>
    <t>2 hrs</t>
  </si>
  <si>
    <t>Proveedor Externo</t>
  </si>
  <si>
    <t>Actualizacion de Prestamo</t>
  </si>
  <si>
    <t xml:space="preserve">
4.- Cumplido el plazo de reparacion se gestiona con Proveedor recojo de producto para su posterior facturacion.</t>
  </si>
  <si>
    <t xml:space="preserve">5.- Proceso de Facturacion
Existen dos formas de facturacion:  
* ST Provincia 
* Proveedor Lima (Tecniplus - Pep Courier)
</t>
  </si>
  <si>
    <r>
      <t>1.- En este escenario se valida los siguientes puntos:
- Plazo de Reparación
-</t>
    </r>
    <r>
      <rPr>
        <b/>
        <sz val="11"/>
        <color theme="1"/>
        <rFont val="Calibri"/>
        <family val="2"/>
        <scheme val="minor"/>
      </rPr>
      <t xml:space="preserve"> Ubicación: Lima o Provincia</t>
    </r>
    <r>
      <rPr>
        <sz val="11"/>
        <color theme="1"/>
        <rFont val="Calibri"/>
        <family val="2"/>
        <scheme val="minor"/>
      </rPr>
      <t xml:space="preserve">
- Tipo de Producto: Lavadora / Refrigeradora / Cocina / Laptop</t>
    </r>
  </si>
  <si>
    <r>
      <rPr>
        <b/>
        <sz val="11"/>
        <color theme="1"/>
        <rFont val="Calibri"/>
        <family val="2"/>
        <scheme val="minor"/>
      </rPr>
      <t xml:space="preserve">1.2.- Ubicación: Lima o Provincia 
</t>
    </r>
    <r>
      <rPr>
        <u/>
        <sz val="11"/>
        <color theme="1"/>
        <rFont val="Calibri"/>
        <family val="2"/>
        <scheme val="minor"/>
      </rPr>
      <t>Provincia</t>
    </r>
    <r>
      <rPr>
        <sz val="11"/>
        <color theme="1"/>
        <rFont val="Calibri"/>
        <family val="2"/>
        <scheme val="minor"/>
      </rPr>
      <t xml:space="preserve">
Se envia solicitud a ST el cual mantiene en custodia el producto, se solicita los datos del producto a entregar (Modelo, Serie, Cod de Prestamo) y confirmacion de entrega.
</t>
    </r>
    <r>
      <rPr>
        <u/>
        <sz val="11"/>
        <color theme="1"/>
        <rFont val="Calibri"/>
        <family val="2"/>
        <scheme val="minor"/>
      </rPr>
      <t>Lima</t>
    </r>
    <r>
      <rPr>
        <sz val="11"/>
        <color theme="1"/>
        <rFont val="Calibri"/>
        <family val="2"/>
        <scheme val="minor"/>
      </rPr>
      <t xml:space="preserve">
En este escenario se toma en cuenta todos los pedidos realizado hasta las 4: 00 p.m. al Correo de Seguimiento.
Se envia la BD a TECNIPLUS (Linea Blanca) o PEP COURIER (Computo) de todas solicitudes emitidas.
Proveedores enviaran la BD Actualizada despues de 24 hrs de enviado la solicitud.
</t>
    </r>
  </si>
  <si>
    <r>
      <t xml:space="preserve">5.1.- </t>
    </r>
    <r>
      <rPr>
        <u/>
        <sz val="11"/>
        <color theme="1"/>
        <rFont val="Calibri"/>
        <family val="2"/>
        <scheme val="minor"/>
      </rPr>
      <t>Facturacion Provincia</t>
    </r>
    <r>
      <rPr>
        <sz val="11"/>
        <color theme="1"/>
        <rFont val="Calibri"/>
        <family val="2"/>
        <scheme val="minor"/>
      </rPr>
      <t xml:space="preserve">
ST emite Factura por concepto de entrega y recojo de prestamo según Orden de Servicio, paralelamente genera otra factura por concepto de Almacenaje, es preciso mencionar que la facturacion debera ser al mes correspondiente, estas se registran en BD Prestamo </t>
    </r>
  </si>
  <si>
    <t>2.- Proveedor envia Base de Prestamo (Gestion) con las coordinaciones de entrega.
3.- Se realiza seguimiento de los producto en calidad de prestamo, teniendo en cuenta el plazo de reparacion.</t>
  </si>
  <si>
    <t>Base de Prestamo (Gestion)</t>
  </si>
  <si>
    <r>
      <t xml:space="preserve">5.2.- </t>
    </r>
    <r>
      <rPr>
        <u/>
        <sz val="11"/>
        <color theme="1"/>
        <rFont val="Calibri"/>
        <family val="2"/>
        <scheme val="minor"/>
      </rPr>
      <t xml:space="preserve">Facturacion Lima
</t>
    </r>
    <r>
      <rPr>
        <sz val="11"/>
        <color theme="1"/>
        <rFont val="Calibri"/>
        <family val="2"/>
        <scheme val="minor"/>
      </rPr>
      <t>5.2.1.- Proveedor envia BD de todas la solicitudes emitidas para obtener el OK de Facturacion, se tiene en cuenta que la BD de estar desagregada según el Socio</t>
    </r>
  </si>
  <si>
    <t>5.2.2.- Ejecutivo de Seguimiento emite el OK a Proveedor para su posterior Facturacion</t>
  </si>
  <si>
    <t>5.2.3.- Proveedor emite la Factura para su registro en BD de Prestamo (Gestion), se registra: Nº de Factura, Fecha de Emision, Costo, Mes de Gestion y Socio</t>
  </si>
  <si>
    <t xml:space="preserve">Facturacion </t>
  </si>
  <si>
    <t xml:space="preserve">Factura </t>
  </si>
  <si>
    <t xml:space="preserve">6.- Se entrega documento para Facturacion, se debe enviar Esther Paredes o Wendy Martinez el cuadro de las ordenes facturadas según BD </t>
  </si>
  <si>
    <t>Pago</t>
  </si>
  <si>
    <t>RF221NCTASL/PE</t>
  </si>
  <si>
    <t>43UF6400-SA.BWFYMJM</t>
  </si>
  <si>
    <t>Barra Led / Tarjeta Principal</t>
  </si>
  <si>
    <t>17/04 Ajustador aprueba compra de repuesto con ST</t>
  </si>
  <si>
    <t>T1204DPE</t>
  </si>
  <si>
    <t>Aro Balance</t>
  </si>
  <si>
    <t>24/04 Ajustador realizo compra de repuesto con el ST</t>
  </si>
  <si>
    <t>RT35FEAJDSL</t>
  </si>
  <si>
    <t>GS74SDS</t>
  </si>
  <si>
    <t>55UF9500.SA.AWFYLJR</t>
  </si>
  <si>
    <t>WA15J5750LP/PE</t>
  </si>
  <si>
    <t>Multiservicios Generales</t>
  </si>
  <si>
    <t>Amortiguador</t>
  </si>
  <si>
    <t>2018.5</t>
  </si>
  <si>
    <t>Tipo de Solicitud</t>
  </si>
  <si>
    <t>01/03 Ajustador aprobo compra a ST</t>
  </si>
  <si>
    <t>26/03 Ajustador aprobo reemplazo</t>
  </si>
  <si>
    <t>22/02 Ajustador aprobo repuesto de ST</t>
  </si>
  <si>
    <t>25/01 Ajustador aprueba repuesto a ST</t>
  </si>
  <si>
    <t>22/01 Ajustador aprueba reparacion de ST</t>
  </si>
  <si>
    <t>49UB8500-SA.AWFWFJM</t>
  </si>
  <si>
    <t>Smartphone</t>
  </si>
  <si>
    <t>Huawei</t>
  </si>
  <si>
    <t>PB2-670Y</t>
  </si>
  <si>
    <t>ALE--L23</t>
  </si>
  <si>
    <t>SM-P350</t>
  </si>
  <si>
    <t>Auricular</t>
  </si>
  <si>
    <t>Tarjeta Logica</t>
  </si>
  <si>
    <t>Camara Frontal y Posterior</t>
  </si>
  <si>
    <t>Anovo</t>
  </si>
  <si>
    <t>09/05 Ajustador reasigno el caso</t>
  </si>
  <si>
    <t>14/05 Proveedor informa que el repuesto no se encuentra disponible</t>
  </si>
  <si>
    <t>Termocupla / Valvula</t>
  </si>
  <si>
    <t>FH6A</t>
  </si>
  <si>
    <t>EWI12D2CPMG</t>
  </si>
  <si>
    <t>HCD-SHAKEX3</t>
  </si>
  <si>
    <t>Tarjeta de Audio / Parlante</t>
  </si>
  <si>
    <t>BGH</t>
  </si>
  <si>
    <t>BLE5015RTUXIPE</t>
  </si>
  <si>
    <t>21/05 Ajustador tomo repuesto de Salvamento</t>
  </si>
  <si>
    <t>HCD-GPX5G</t>
  </si>
  <si>
    <t>Tarjeta Fuente / Lector Optico</t>
  </si>
  <si>
    <t>RT35K5930SL/PR</t>
  </si>
  <si>
    <t>UN48J5300AGXPE</t>
  </si>
  <si>
    <t>WA16F7L6DTA/PE</t>
  </si>
  <si>
    <t>WA19J6750LP</t>
  </si>
  <si>
    <t>Mezaran</t>
  </si>
  <si>
    <t>43LF5100-SA.BWFYLJM</t>
  </si>
  <si>
    <t>WA12F5L4UWA</t>
  </si>
  <si>
    <t>FR-600M</t>
  </si>
  <si>
    <t>RGP-480DHP</t>
  </si>
  <si>
    <t>N16Q2</t>
  </si>
  <si>
    <t>TECLADO / COVER TOUCH PAD</t>
  </si>
  <si>
    <t>DISPENSADOR DE DETERGENTE</t>
  </si>
  <si>
    <t>29/05 Ajustador informa que el repuesto fue reparado por el ST</t>
  </si>
  <si>
    <t>UN48H4203AGXPE</t>
  </si>
  <si>
    <t>HTB5570D/78</t>
  </si>
  <si>
    <t xml:space="preserve">INSPIRON 20-3052 </t>
  </si>
  <si>
    <t>Disponibilidad de Repuesto</t>
  </si>
  <si>
    <t>31/05 Ajustador anula pedido de repuesto</t>
  </si>
  <si>
    <t>4GTWTW550YWS</t>
  </si>
  <si>
    <t>Caja de Transmision / Tarjeta de Potencia / Tarjeta Display / Motor Sincronico</t>
  </si>
  <si>
    <t>Disponibilidad de repuesto</t>
  </si>
  <si>
    <t>22/05 ajustador aprobo cotizacion a servited // 24/05 Ajustador vuelve a solicitar cotizacion de repuesto.</t>
  </si>
  <si>
    <t>2018.6</t>
  </si>
  <si>
    <t>LMA46100VGBK00</t>
  </si>
  <si>
    <t>Modulo Wifi</t>
  </si>
  <si>
    <t>55UF9500-SA.BWFYLJR</t>
  </si>
  <si>
    <t>HCD-SHAKEX7</t>
  </si>
  <si>
    <t>RT35JHRBDSL/PE</t>
  </si>
  <si>
    <t>06/06 Se informa ajustador que contamos con respuesta de 1 proveedor, se brindara respuesta definitiva el  07/06</t>
  </si>
  <si>
    <t xml:space="preserve">07/06 repuesto se adquiere bajo validación de operatividad para conf el costo  </t>
  </si>
  <si>
    <t>07/06 Repuesto no disponible</t>
  </si>
  <si>
    <t>22V240-L.AG12B4</t>
  </si>
  <si>
    <t>DISCO DURO / PANTALLA</t>
  </si>
  <si>
    <t>LG15Z96</t>
  </si>
  <si>
    <t>Touchpad</t>
  </si>
  <si>
    <t>49LF6400-SA.BWFYLJR</t>
  </si>
  <si>
    <t xml:space="preserve">GESTIÓN DE REPUESTOS </t>
  </si>
  <si>
    <t>% Efectividad de solicitud</t>
  </si>
  <si>
    <t>Etiquetas de fila</t>
  </si>
  <si>
    <t>Etiquetas de columna</t>
  </si>
  <si>
    <t>Cuenta de Ajustador</t>
  </si>
  <si>
    <t>(Todas)</t>
  </si>
  <si>
    <t>Nº Reemplazo*Repuesto /Monto</t>
  </si>
  <si>
    <t>Nº Reemplazos Mayor a 800</t>
  </si>
  <si>
    <t>%  Efectividad de Solicitud sobre Reemplazos</t>
  </si>
  <si>
    <t>11/06Me indica la marca que no ingreso las varillas.....y por ende no hay stock.</t>
  </si>
  <si>
    <t>49UH6500-SB.BWFWLJR</t>
  </si>
  <si>
    <t xml:space="preserve">Pantalla </t>
  </si>
  <si>
    <t>HME65010/COSOL017</t>
  </si>
  <si>
    <t>válvula y termopar de horno</t>
  </si>
  <si>
    <t xml:space="preserve">07/06 repuesto se adquiere bajo validación de operatividad para conf el costo   // ajustador reparao con St y anulo gestion </t>
  </si>
  <si>
    <t>Nº Solicitudes * Ajustador
 (Casos Gestionados)</t>
  </si>
  <si>
    <t>Nº Reemplazo por Ajustador
(Repuesto /Monto)</t>
  </si>
  <si>
    <t>25 dias</t>
  </si>
  <si>
    <t xml:space="preserve">Reemplazo </t>
  </si>
  <si>
    <t>GL552V</t>
  </si>
  <si>
    <t>Tarjeta Principal / Bomba de Drenaje</t>
  </si>
  <si>
    <t>repuesto pendiente por devolucion de Servidoctors</t>
  </si>
  <si>
    <t>43LF5900-SB.BWFYLOR</t>
  </si>
  <si>
    <t>HYLED505INT</t>
  </si>
  <si>
    <t xml:space="preserve">Parlante  </t>
  </si>
  <si>
    <t>11/06 Ajustador aprueba compra del ST</t>
  </si>
  <si>
    <t>UN55JU6700GXPE</t>
  </si>
  <si>
    <t>UN55J57200GXPE</t>
  </si>
  <si>
    <t>UN50JS7200GXPE</t>
  </si>
  <si>
    <t>LE49D5542</t>
  </si>
  <si>
    <t>FR-700I</t>
  </si>
  <si>
    <t>T1201DPE</t>
  </si>
  <si>
    <t>BD20-LA053</t>
  </si>
  <si>
    <t xml:space="preserve">Tarjeta Principal </t>
  </si>
  <si>
    <t xml:space="preserve">Tecnis </t>
  </si>
  <si>
    <t>49UH6100-SJ.BWFWLOR</t>
  </si>
  <si>
    <t>UN43J5200AGXPE</t>
  </si>
  <si>
    <t>Multiservicios Generales G &amp; D E.I.R.L.</t>
  </si>
  <si>
    <t>25/06 Se solicita envio de producto al ST</t>
  </si>
  <si>
    <t>Bionaire</t>
  </si>
  <si>
    <t>49UF6900-SC.BWFYLJM</t>
  </si>
  <si>
    <t xml:space="preserve">Deshumeceder </t>
  </si>
  <si>
    <t>INGENIOUS767PCX0</t>
  </si>
  <si>
    <t>Niple</t>
  </si>
  <si>
    <t>25/06 Ajustador anula pedido</t>
  </si>
  <si>
    <t>Mv Autoservicios</t>
  </si>
  <si>
    <t>EC0-TT463</t>
  </si>
  <si>
    <t>26/06 Ajustador anula solicitud</t>
  </si>
  <si>
    <t xml:space="preserve">Nº Reemplazos Totales </t>
  </si>
  <si>
    <t>Ana Maria Eusebio</t>
  </si>
  <si>
    <t>Carina Saldana</t>
  </si>
  <si>
    <t>CLINA LIVISI CHIPILI</t>
  </si>
  <si>
    <t>Casos Sin Ahorro que pasan cambio</t>
  </si>
  <si>
    <t>Nº de Reemplazos no notificados</t>
  </si>
  <si>
    <t>26/06 Ajustador aprueba compra del ST</t>
  </si>
  <si>
    <t>2018.7</t>
  </si>
  <si>
    <t>WWI14ABBPE</t>
  </si>
  <si>
    <t>RML230YPX</t>
  </si>
  <si>
    <t>49UF7700-SA.BWFYLJR</t>
  </si>
  <si>
    <t>BLE6516RTUIPE</t>
  </si>
  <si>
    <t>02/07 Ajustador anula pedido tomara repuesto del SLV</t>
  </si>
  <si>
    <t>GPL- CYBERDRUM 19</t>
  </si>
  <si>
    <t>05/07 Ajustador anula pedido compro repuesto a Servidoctors</t>
  </si>
  <si>
    <t>09/07 Se anula pedido, ajustador apruba compra con ST</t>
  </si>
  <si>
    <t>repuesto pendiente por devolucion de Multiservicios</t>
  </si>
  <si>
    <t>Lavavajilla</t>
  </si>
  <si>
    <t>WLR12BEBWC</t>
  </si>
  <si>
    <t>Membraba/ Tarjeta de Interface / Base de Motor / Empaquetadura</t>
  </si>
  <si>
    <t>WWI10AWGLS</t>
  </si>
  <si>
    <t>65UF9500-SA.AWFYLJR</t>
  </si>
  <si>
    <t>49UF8500-SB.BWFYMJM</t>
  </si>
  <si>
    <t>RT32K5730S8/PE</t>
  </si>
  <si>
    <t>Jog</t>
  </si>
  <si>
    <t xml:space="preserve">X540LJ </t>
  </si>
  <si>
    <t>Mainboard / Disco Duro</t>
  </si>
  <si>
    <t>FR-7001</t>
  </si>
  <si>
    <t>09/07 Ajustador anula compra de repuesto</t>
  </si>
  <si>
    <t>Montecarlo</t>
  </si>
  <si>
    <t>11/07 Ajustador anula pedido, aprueba compra al ST</t>
  </si>
  <si>
    <t>MHC-V7D</t>
  </si>
  <si>
    <t>Monto</t>
  </si>
  <si>
    <t>XBR-55X855C</t>
  </si>
  <si>
    <t>CECH-4301C</t>
  </si>
  <si>
    <t>WA10F5L4WA/PE</t>
  </si>
  <si>
    <t>S-18-WIW250SYQP</t>
  </si>
  <si>
    <t>MX-HS58500/PE</t>
  </si>
  <si>
    <t>Lector Optico / Tarjeta Principal / Tarjeta Frontal</t>
  </si>
  <si>
    <t>NTX800MU/55</t>
  </si>
  <si>
    <t>Sintonizador</t>
  </si>
  <si>
    <t>T1768TP</t>
  </si>
  <si>
    <t>Pulsator / Cam de Pulsator</t>
  </si>
  <si>
    <t>Panel Digital</t>
  </si>
  <si>
    <t>SAMSUNG</t>
  </si>
  <si>
    <t>18/07 Ajustador aprobo compra del ST</t>
  </si>
  <si>
    <t>UN49KU6400</t>
  </si>
  <si>
    <t>UN49MU6100</t>
  </si>
  <si>
    <t>19/07/2018 Ajustador realizo compra a otro ST</t>
  </si>
  <si>
    <t>09/07 Ajustador aprobo compra a otro ST</t>
  </si>
  <si>
    <t>Estado Producto</t>
  </si>
  <si>
    <t>MES1</t>
  </si>
  <si>
    <t>AÑO</t>
  </si>
  <si>
    <t>ESTADO SEGYA</t>
  </si>
  <si>
    <t>SOCIO</t>
  </si>
  <si>
    <t>Tipo Plan</t>
  </si>
  <si>
    <t>PRODUCTO</t>
  </si>
  <si>
    <t xml:space="preserve">LINEA </t>
  </si>
  <si>
    <t>SUB LINEA</t>
  </si>
  <si>
    <t>ST</t>
  </si>
  <si>
    <t>MODELO</t>
  </si>
  <si>
    <t>MARCA</t>
  </si>
  <si>
    <t>SUCURSAL</t>
  </si>
  <si>
    <t xml:space="preserve">FECHA ENVIO </t>
  </si>
  <si>
    <t>PROVEEDOR (UBICACIÓN FINAL)</t>
  </si>
  <si>
    <t>EQUIPO COMPLETO</t>
  </si>
  <si>
    <t>Reparación</t>
  </si>
  <si>
    <t>Led 48 H6400 FHD</t>
  </si>
  <si>
    <t>TV LCD</t>
  </si>
  <si>
    <t>UN48H6400AG</t>
  </si>
  <si>
    <t>MICROONDAS S/D 32LT C/ENAMEL T/ESP</t>
  </si>
  <si>
    <t>MICROONDAS</t>
  </si>
  <si>
    <t>MS32J5133AM/PE</t>
  </si>
  <si>
    <t>Lavadora 13Kg BL Tina AC/IX</t>
  </si>
  <si>
    <t>LAVADORAS</t>
  </si>
  <si>
    <t>DWF 260GW</t>
  </si>
  <si>
    <t>DAEWOO</t>
  </si>
  <si>
    <t>AIO CEL 2GB 500GB 19.5P</t>
  </si>
  <si>
    <t>COMPUTADORA</t>
  </si>
  <si>
    <t>Notebk Cel-N2840 2GB 500GB 15 SIOS</t>
  </si>
  <si>
    <t>X553M</t>
  </si>
  <si>
    <t>ASUS</t>
  </si>
  <si>
    <t>LE32H1352</t>
  </si>
  <si>
    <t>Notebk CelN30502G500G PinkW10</t>
  </si>
  <si>
    <t>X553S</t>
  </si>
  <si>
    <t>SAGA CAJAMARCA-QUINDE</t>
  </si>
  <si>
    <t>REFRIGERADORA 380 L TOP MOUNT</t>
  </si>
  <si>
    <t>REFRIGERADORAS</t>
  </si>
  <si>
    <t>WRM42GKBPE</t>
  </si>
  <si>
    <t>WHIRLPOOL</t>
  </si>
  <si>
    <t>Precio Venta</t>
  </si>
  <si>
    <t>QN75Q8CAMG</t>
  </si>
  <si>
    <t>20-E110LA</t>
  </si>
  <si>
    <t>RT38FEAKDSL</t>
  </si>
  <si>
    <t>Tarjeta Principal/Resistencia de Plato</t>
  </si>
  <si>
    <t>Mainboard / Fan Cooler</t>
  </si>
  <si>
    <t>55EC9300-SA.AWFVLJR</t>
  </si>
  <si>
    <t>TW1203DPE</t>
  </si>
  <si>
    <t>Tarjeta Principal / Tarjeta Sub</t>
  </si>
  <si>
    <t>CM9960-AB.DPERLLB</t>
  </si>
  <si>
    <t>RS21HKLMR</t>
  </si>
  <si>
    <t xml:space="preserve">Fabricador de Hielo </t>
  </si>
  <si>
    <t>25/07 Ajustador aprobo compra de ST</t>
  </si>
  <si>
    <t>LAVAVAJILLAS SMS</t>
  </si>
  <si>
    <t>WD11K64100X/PE</t>
  </si>
  <si>
    <t>Puerta / Gasket</t>
  </si>
  <si>
    <t>26/07 Ajustador aprueba compra a Servidoctors</t>
  </si>
  <si>
    <t>FX70/55</t>
  </si>
  <si>
    <t>Lector Optico</t>
  </si>
  <si>
    <t>HCD-SHAKE33</t>
  </si>
  <si>
    <t>31/07 Ajustador anula pedido realiza reparacion con el ST.</t>
  </si>
  <si>
    <t>31/07 Ajustador anula pedido tramito la garantia del repuesto con la marca</t>
  </si>
  <si>
    <t>repuesto pendiente por devolucion de Electronic Computer</t>
  </si>
  <si>
    <t>repuesto pendiente por devolucion de Censel</t>
  </si>
  <si>
    <t>Panel Tactil / Dispensador de Detergente</t>
  </si>
  <si>
    <t>2018.8</t>
  </si>
  <si>
    <t>repuesto pendiente por devolucion de Cahuana</t>
  </si>
  <si>
    <t>UN48JU6700GXPE</t>
  </si>
  <si>
    <t>Tarjeta Principal/Presostato</t>
  </si>
  <si>
    <t>03/08 Ajustador anula pedido repuesto comprado a Servidoctors</t>
  </si>
  <si>
    <t>EWLI142MSLW</t>
  </si>
  <si>
    <t>Tarjeta Principal/Inverter/Switch</t>
  </si>
  <si>
    <t>Pantalla/Tarjeta Principal</t>
  </si>
  <si>
    <t>15-AX001LA</t>
  </si>
  <si>
    <t>LE43F1761</t>
  </si>
  <si>
    <t>CVC Servicios</t>
  </si>
  <si>
    <t>CM9740-AB.DPERLLC</t>
  </si>
  <si>
    <t>49LF5900-SB.BWFYLJM</t>
  </si>
  <si>
    <t>43UH6100-SJ.AWFWLJM</t>
  </si>
  <si>
    <t>GPL.CYBERDRUM 19</t>
  </si>
  <si>
    <t>Motor Sincronico</t>
  </si>
  <si>
    <t>WA16FL8DTA/PE</t>
  </si>
  <si>
    <t>32LF550B.SD.BWFYLJM</t>
  </si>
  <si>
    <t xml:space="preserve"> 15-AW003LA</t>
  </si>
  <si>
    <t>EWI12D2COMW</t>
  </si>
  <si>
    <t>gestionar garantia con Toralva se entrega repuesto, se entrego repuesto a proveedor</t>
  </si>
  <si>
    <t>repuesto pendiente por devolucion de Tecnimax</t>
  </si>
  <si>
    <t>repuesto pendiente por devolucion de Tecniplus</t>
  </si>
  <si>
    <t>Proveedor LG (Inversiones El Nissei)</t>
  </si>
  <si>
    <t>Amortiguadores / Barra Estibilizadora</t>
  </si>
  <si>
    <t>01/08 Repuesto llego DOA, ajustador aprobo reemplazo</t>
  </si>
  <si>
    <t>RF263BEAE3L</t>
  </si>
  <si>
    <t>07/08 Ajustador aprueba compra de Servidoctors</t>
  </si>
  <si>
    <t>10/08 Ajustador aprueba compra del ST</t>
  </si>
  <si>
    <t>Motor Ventilador / Tarjeta Principal</t>
  </si>
  <si>
    <t>WA15J57301S/PE</t>
  </si>
  <si>
    <t>09/08 Se anula pedido ajustador aprueba compra de St</t>
  </si>
  <si>
    <t>42LF5850-SE.BWFYLJM</t>
  </si>
  <si>
    <t xml:space="preserve">13/08 Se informa ajustador que el repuesto llego DOA, no hay disponibilidad </t>
  </si>
  <si>
    <t>EWI12D2CGMG</t>
  </si>
  <si>
    <t>10/08 Datos erroneos</t>
  </si>
  <si>
    <t>55UH8500-SA.BWFWLJR</t>
  </si>
  <si>
    <t>15/08 Ajustador aprueba compra del ST</t>
  </si>
  <si>
    <t>Caja de Transmision/Embrague</t>
  </si>
  <si>
    <t xml:space="preserve">23-N010LA </t>
  </si>
  <si>
    <t xml:space="preserve">X555Y </t>
  </si>
  <si>
    <t>16/08 Ajustador aprobo reemplazo</t>
  </si>
  <si>
    <t>16/08 Ajustador aprobo compra a Binar Tec</t>
  </si>
  <si>
    <t>15/08 Ajustador aprueba compra al ST</t>
  </si>
  <si>
    <t>16/08 Ajustador aprueba compra al ST</t>
  </si>
  <si>
    <t>XSR-55X855B</t>
  </si>
  <si>
    <t>*brigitte*20/08 es un reemplazo que si le da</t>
  </si>
  <si>
    <t>DOA</t>
  </si>
  <si>
    <t>21/08  se brindo alternativa de reparacion pero no fue factible</t>
  </si>
  <si>
    <t xml:space="preserve"> PCB MAIN    BN94-09063U</t>
  </si>
  <si>
    <t>HP PAVILION X360 CONVERTIBLE</t>
  </si>
  <si>
    <t>TACTIL</t>
  </si>
  <si>
    <t>CAHUANA</t>
  </si>
  <si>
    <t>UX501V</t>
  </si>
  <si>
    <t xml:space="preserve"> Pantalla   PN :  6091L-2915A</t>
  </si>
  <si>
    <t>WD18J7825KP/PE</t>
  </si>
  <si>
    <t>BOMBA</t>
  </si>
  <si>
    <t>SERVIDOCTORS</t>
  </si>
  <si>
    <t>EWIL20F2MNG</t>
  </si>
  <si>
    <t xml:space="preserve"> Tarjeta electronica 301321600007</t>
  </si>
  <si>
    <t>RT29K503058/PE</t>
  </si>
  <si>
    <t>RT38K5982SL</t>
  </si>
  <si>
    <t>Tarjeta  Inverter DA 92-00459</t>
  </si>
  <si>
    <t>Valvula de paso DA-04678A   
FILTRO  DA81-0600A / CARGA DE GAS</t>
  </si>
  <si>
    <t xml:space="preserve">21/08 se logra conseguir la caja a traves de Reyes Alegre  *20/08 ajustador aprueba la caja de segunda, no hay disponibilidad * brigitte * 20/08 no hay disponibilidad nueva solo hay de segunda 250 </t>
  </si>
  <si>
    <t>22/08 Amortiguadores llegaron errados por ello no es factible reparacion</t>
  </si>
  <si>
    <t>22/08 se aprobo cotizacion a ST , por nuestra parte se logro ubicar a 260 soles</t>
  </si>
  <si>
    <t>22/08/2018 se entrega con guia nº 002-002030</t>
  </si>
  <si>
    <t>22/08 se ubico repuesto en base de recupero bajo la orden 219308</t>
  </si>
  <si>
    <t>22/08 se aprobo cotizacion a ST</t>
  </si>
  <si>
    <t>MECANISMO AH94-03266J  , MECANISMO AH96-02267E</t>
  </si>
  <si>
    <t>MX-HS7000PE</t>
  </si>
  <si>
    <t>UN43JU6000</t>
  </si>
  <si>
    <t>Amortiguadores  COD 240076435 y  COD  240076436   , Barra estabilizadora COD C56500782</t>
  </si>
  <si>
    <t xml:space="preserve"> EWI12D2CPMG</t>
  </si>
  <si>
    <t>SONY</t>
  </si>
  <si>
    <t>TARJETA MAIN</t>
  </si>
  <si>
    <t>audio Video</t>
  </si>
  <si>
    <t>UN50JU6500G</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</si>
</sst>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4" formatCode="_-* #,##0.00\ &quot;€&quot;_-;\-* #,##0.00\ &quot;€&quot;_-;_-* &quot;-&quot;??\ &quot;€&quot;_-;_-@_-"/>
    <numFmt numFmtId="164" formatCode="[$-409]h:mm\ AM/PM;@"/>
    <numFmt numFmtId="165" formatCode="#,##0.0"/>
    <numFmt numFmtId="166" formatCode="dd/mm/yy;@"/>
    <numFmt numFmtId="167" formatCode="0;[Red]0"/>
    <numFmt numFmtId="168" formatCode="mmm/yy"/>
    <numFmt numFmtId="169" formatCode="&quot;S/.&quot;\ #,##0.00;[Red]&quot;S/.&quot;\ #,##0.00"/>
  </numFmts>
  <fonts count="4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10"/>
      <color theme="1"/>
      <name val="Calibri"/>
      <family val="2"/>
      <scheme val="minor"/>
    </font>
    <font>
      <sz val="10"/>
      <color rgb="FF000000"/>
      <name val="Calibri"/>
      <family val="2"/>
      <scheme val="minor"/>
    </font>
    <font>
      <sz val="9"/>
      <color theme="1"/>
      <name val="Calibri"/>
      <family val="2"/>
      <scheme val="minor"/>
    </font>
    <font>
      <sz val="9"/>
      <color rgb="FF0000FF"/>
      <name val="Calibri"/>
      <family val="2"/>
      <scheme val="minor"/>
    </font>
    <font>
      <b/>
      <sz val="8"/>
      <color indexed="81"/>
      <name val="Tahoma"/>
      <family val="2"/>
    </font>
    <font>
      <sz val="8"/>
      <color indexed="81"/>
      <name val="Tahoma"/>
      <family val="2"/>
    </font>
    <font>
      <b/>
      <sz val="10"/>
      <color theme="1"/>
      <name val="Calibri"/>
      <family val="2"/>
      <scheme val="minor"/>
    </font>
    <font>
      <b/>
      <sz val="10"/>
      <color rgb="FFFF0000"/>
      <name val="Calibri"/>
      <family val="2"/>
      <scheme val="minor"/>
    </font>
    <font>
      <sz val="10"/>
      <color rgb="FFFF0000"/>
      <name val="Calibri"/>
      <family val="2"/>
      <scheme val="minor"/>
    </font>
    <font>
      <sz val="10"/>
      <name val="Calibri"/>
      <family val="2"/>
      <scheme val="minor"/>
    </font>
    <font>
      <sz val="8"/>
      <color theme="1"/>
      <name val="Calibri"/>
      <family val="2"/>
      <scheme val="minor"/>
    </font>
    <font>
      <b/>
      <sz val="10"/>
      <name val="Calibri"/>
      <family val="2"/>
      <scheme val="minor"/>
    </font>
    <font>
      <sz val="9"/>
      <color indexed="81"/>
      <name val="Tahoma"/>
      <family val="2"/>
    </font>
    <font>
      <b/>
      <sz val="9"/>
      <color indexed="81"/>
      <name val="Tahoma"/>
      <family val="2"/>
    </font>
    <font>
      <sz val="10"/>
      <name val="Arial"/>
      <family val="2"/>
    </font>
    <font>
      <sz val="11"/>
      <color indexed="8"/>
      <name val="Calibri"/>
      <family val="2"/>
    </font>
    <font>
      <u/>
      <sz val="10"/>
      <color indexed="12"/>
      <name val="Arial"/>
      <family val="2"/>
    </font>
    <font>
      <b/>
      <u/>
      <sz val="11"/>
      <color theme="1"/>
      <name val="Calibri"/>
      <family val="2"/>
      <scheme val="minor"/>
    </font>
    <font>
      <b/>
      <sz val="10"/>
      <name val="Arial"/>
      <family val="2"/>
    </font>
    <font>
      <b/>
      <sz val="11"/>
      <name val="Calibri"/>
      <family val="2"/>
      <scheme val="minor"/>
    </font>
    <font>
      <u/>
      <sz val="11"/>
      <color theme="1"/>
      <name val="Calibri"/>
      <family val="2"/>
      <scheme val="minor"/>
    </font>
    <font>
      <sz val="11"/>
      <name val="Calibri"/>
      <family val="2"/>
      <scheme val="minor"/>
    </font>
    <font>
      <i/>
      <u/>
      <sz val="11"/>
      <color theme="1"/>
      <name val="Calibri"/>
      <family val="2"/>
      <scheme val="minor"/>
    </font>
    <font>
      <i/>
      <sz val="11"/>
      <color theme="1"/>
      <name val="Calibri"/>
      <family val="2"/>
      <scheme val="minor"/>
    </font>
    <font>
      <b/>
      <sz val="8"/>
      <color rgb="FF0353A6"/>
      <name val="Arial"/>
      <family val="2"/>
    </font>
    <font>
      <sz val="7"/>
      <color rgb="FF666666"/>
      <name val="Arial"/>
      <family val="2"/>
    </font>
    <font>
      <b/>
      <sz val="14"/>
      <color theme="1"/>
      <name val="Calibri"/>
      <family val="2"/>
      <scheme val="minor"/>
    </font>
    <font>
      <b/>
      <sz val="9"/>
      <color theme="0"/>
      <name val="Calibri"/>
      <family val="2"/>
      <scheme val="minor"/>
    </font>
    <font>
      <sz val="9"/>
      <color rgb="FFFF0000"/>
      <name val="Calibri"/>
      <family val="2"/>
      <scheme val="minor"/>
    </font>
    <font>
      <b/>
      <sz val="9"/>
      <color theme="1"/>
      <name val="Calibri"/>
      <family val="2"/>
      <scheme val="minor"/>
    </font>
    <font>
      <sz val="9"/>
      <color theme="1" tint="4.9989318521683403E-2"/>
      <name val="Calibri"/>
      <family val="2"/>
      <scheme val="minor"/>
    </font>
    <font>
      <b/>
      <sz val="9"/>
      <color rgb="FF0000FF"/>
      <name val="Calibri"/>
      <family val="2"/>
      <scheme val="minor"/>
    </font>
    <font>
      <sz val="9"/>
      <color theme="0"/>
      <name val="Calibri"/>
      <family val="2"/>
      <scheme val="minor"/>
    </font>
    <font>
      <b/>
      <sz val="8"/>
      <color theme="0"/>
      <name val="Calibri"/>
      <family val="2"/>
      <scheme val="minor"/>
    </font>
    <font>
      <b/>
      <sz val="8"/>
      <color indexed="9"/>
      <name val="Calibri"/>
      <family val="2"/>
      <scheme val="minor"/>
    </font>
    <font>
      <sz val="8"/>
      <name val="Calibri"/>
      <family val="2"/>
      <scheme val="minor"/>
    </font>
    <font>
      <sz val="10"/>
      <name val="Negrita"/>
    </font>
  </fonts>
  <fills count="27">
    <fill>
      <patternFill patternType="none"/>
    </fill>
    <fill>
      <patternFill patternType="gray125"/>
    </fill>
    <fill>
      <patternFill patternType="solid">
        <fgColor theme="3" tint="0.59999389629810485"/>
        <bgColor indexed="64"/>
      </patternFill>
    </fill>
    <fill>
      <patternFill patternType="solid">
        <fgColor theme="0"/>
        <bgColor indexed="64"/>
      </patternFill>
    </fill>
    <fill>
      <patternFill patternType="solid">
        <fgColor rgb="FFFFFF0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3" tint="0.39997558519241921"/>
        <bgColor indexed="64"/>
      </patternFill>
    </fill>
    <fill>
      <patternFill patternType="solid">
        <fgColor theme="6" tint="-0.249977111117893"/>
        <bgColor indexed="64"/>
      </patternFill>
    </fill>
    <fill>
      <patternFill patternType="solid">
        <fgColor theme="3" tint="0.79998168889431442"/>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rgb="FF00B0F0"/>
        <bgColor indexed="64"/>
      </patternFill>
    </fill>
    <fill>
      <patternFill patternType="solid">
        <fgColor theme="5" tint="0.59999389629810485"/>
        <bgColor indexed="64"/>
      </patternFill>
    </fill>
    <fill>
      <patternFill patternType="solid">
        <fgColor theme="0" tint="-0.34998626667073579"/>
        <bgColor indexed="64"/>
      </patternFill>
    </fill>
    <fill>
      <patternFill patternType="solid">
        <fgColor rgb="FFDCE2E6"/>
        <bgColor indexed="64"/>
      </patternFill>
    </fill>
    <fill>
      <patternFill patternType="solid">
        <fgColor rgb="FFFFFFFF"/>
        <bgColor indexed="64"/>
      </patternFill>
    </fill>
    <fill>
      <patternFill patternType="solid">
        <fgColor theme="2" tint="-0.249977111117893"/>
        <bgColor indexed="64"/>
      </patternFill>
    </fill>
    <fill>
      <patternFill patternType="solid">
        <fgColor theme="4" tint="0.39997558519241921"/>
        <bgColor indexed="64"/>
      </patternFill>
    </fill>
    <fill>
      <patternFill patternType="solid">
        <fgColor rgb="FF00B050"/>
        <bgColor indexed="64"/>
      </patternFill>
    </fill>
    <fill>
      <patternFill patternType="solid">
        <fgColor theme="1" tint="0.499984740745262"/>
        <bgColor indexed="64"/>
      </patternFill>
    </fill>
    <fill>
      <patternFill patternType="solid">
        <fgColor indexed="21"/>
        <bgColor indexed="64"/>
      </patternFill>
    </fill>
    <fill>
      <patternFill patternType="solid">
        <fgColor theme="4" tint="-0.249977111117893"/>
        <bgColor indexed="64"/>
      </patternFill>
    </fill>
    <fill>
      <patternFill patternType="solid">
        <fgColor theme="0" tint="-0.499984740745262"/>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
      <left/>
      <right/>
      <top style="double">
        <color auto="1"/>
      </top>
      <bottom style="double">
        <color auto="1"/>
      </bottom>
      <diagonal/>
    </border>
  </borders>
  <cellStyleXfs count="17">
    <xf numFmtId="0" fontId="0" fillId="0" borderId="0"/>
    <xf numFmtId="44" fontId="1" fillId="0" borderId="0" applyFont="0" applyFill="0" applyBorder="0" applyAlignment="0" applyProtection="0"/>
    <xf numFmtId="0" fontId="3" fillId="0" borderId="0" applyNumberFormat="0" applyFill="0" applyBorder="0" applyAlignment="0" applyProtection="0"/>
    <xf numFmtId="9" fontId="1" fillId="0" borderId="0" applyFont="0" applyFill="0" applyBorder="0" applyAlignment="0" applyProtection="0"/>
    <xf numFmtId="0" fontId="18" fillId="0" borderId="0"/>
    <xf numFmtId="44" fontId="1" fillId="0" borderId="0" applyFont="0" applyFill="0" applyBorder="0" applyAlignment="0" applyProtection="0"/>
    <xf numFmtId="0" fontId="18" fillId="0" borderId="0">
      <alignment wrapText="1"/>
    </xf>
    <xf numFmtId="0" fontId="18" fillId="0" borderId="0">
      <alignment wrapText="1"/>
    </xf>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20" fillId="0" borderId="0" applyNumberFormat="0" applyFill="0" applyBorder="0" applyAlignment="0" applyProtection="0">
      <alignment vertical="top"/>
      <protection locked="0"/>
    </xf>
  </cellStyleXfs>
  <cellXfs count="514">
    <xf numFmtId="0" fontId="0" fillId="0" borderId="0" xfId="0"/>
    <xf numFmtId="0" fontId="0" fillId="0" borderId="1" xfId="0" applyBorder="1"/>
    <xf numFmtId="0" fontId="0" fillId="0" borderId="1" xfId="0" applyBorder="1" applyAlignment="1">
      <alignment horizontal="center" vertical="center"/>
    </xf>
    <xf numFmtId="0" fontId="2" fillId="0" borderId="0" xfId="0" applyFont="1" applyFill="1"/>
    <xf numFmtId="0" fontId="0" fillId="0" borderId="0" xfId="0" applyFill="1"/>
    <xf numFmtId="0" fontId="0" fillId="0" borderId="0" xfId="0" applyFill="1" applyBorder="1"/>
    <xf numFmtId="0" fontId="2" fillId="0" borderId="1" xfId="0" applyFont="1" applyBorder="1" applyAlignment="1">
      <alignment horizontal="center" vertical="center" wrapText="1"/>
    </xf>
    <xf numFmtId="0" fontId="0" fillId="0" borderId="1" xfId="0" applyBorder="1" applyAlignment="1">
      <alignment horizontal="right"/>
    </xf>
    <xf numFmtId="0" fontId="3" fillId="0" borderId="1" xfId="2" applyBorder="1"/>
    <xf numFmtId="0" fontId="2" fillId="0" borderId="1" xfId="0" applyFont="1" applyFill="1" applyBorder="1" applyAlignment="1">
      <alignment horizontal="center" vertical="center" wrapText="1"/>
    </xf>
    <xf numFmtId="0" fontId="0" fillId="0" borderId="1" xfId="0" applyBorder="1" applyAlignment="1">
      <alignment horizontal="center"/>
    </xf>
    <xf numFmtId="14" fontId="0" fillId="0" borderId="0" xfId="0" applyNumberFormat="1"/>
    <xf numFmtId="0" fontId="0" fillId="0" borderId="0" xfId="0" applyAlignment="1">
      <alignment horizontal="center"/>
    </xf>
    <xf numFmtId="0" fontId="0" fillId="0" borderId="1" xfId="0" applyBorder="1" applyAlignment="1">
      <alignment vertical="center"/>
    </xf>
    <xf numFmtId="0" fontId="3" fillId="0" borderId="1" xfId="2" applyBorder="1" applyAlignment="1">
      <alignment wrapText="1"/>
    </xf>
    <xf numFmtId="0" fontId="0" fillId="0" borderId="1" xfId="0" applyFont="1" applyBorder="1"/>
    <xf numFmtId="0" fontId="0" fillId="0" borderId="1" xfId="0" applyFont="1" applyBorder="1" applyAlignment="1">
      <alignment horizontal="center"/>
    </xf>
    <xf numFmtId="0" fontId="3" fillId="0" borderId="1" xfId="2" applyFont="1" applyBorder="1"/>
    <xf numFmtId="0" fontId="0" fillId="0" borderId="1" xfId="0" applyFont="1" applyBorder="1" applyAlignment="1">
      <alignment wrapText="1"/>
    </xf>
    <xf numFmtId="0" fontId="0" fillId="0" borderId="1" xfId="0" applyFont="1" applyFill="1" applyBorder="1"/>
    <xf numFmtId="0" fontId="0" fillId="0" borderId="1" xfId="0" applyFont="1" applyFill="1" applyBorder="1" applyAlignment="1">
      <alignment wrapText="1"/>
    </xf>
    <xf numFmtId="0" fontId="0" fillId="0" borderId="1" xfId="0" applyFont="1" applyBorder="1" applyAlignment="1">
      <alignment horizontal="center" wrapText="1"/>
    </xf>
    <xf numFmtId="0" fontId="3" fillId="0" borderId="1" xfId="2" applyFont="1" applyBorder="1" applyAlignment="1">
      <alignment wrapText="1"/>
    </xf>
    <xf numFmtId="0" fontId="0" fillId="0" borderId="1" xfId="0" applyFont="1" applyBorder="1" applyAlignment="1">
      <alignment vertical="center" wrapText="1"/>
    </xf>
    <xf numFmtId="0" fontId="0" fillId="0" borderId="1" xfId="0" applyFont="1" applyFill="1" applyBorder="1" applyAlignment="1">
      <alignment horizontal="center"/>
    </xf>
    <xf numFmtId="0" fontId="0" fillId="0" borderId="1" xfId="0" applyFont="1" applyBorder="1" applyAlignment="1">
      <alignment vertical="center"/>
    </xf>
    <xf numFmtId="0" fontId="0" fillId="0" borderId="1" xfId="0" applyFont="1" applyFill="1" applyBorder="1" applyAlignment="1">
      <alignment horizontal="center" wrapText="1"/>
    </xf>
    <xf numFmtId="0" fontId="0" fillId="0" borderId="1" xfId="0" applyFont="1" applyBorder="1" applyAlignment="1">
      <alignment horizontal="left" wrapText="1"/>
    </xf>
    <xf numFmtId="0" fontId="0" fillId="0" borderId="1" xfId="0" applyFont="1" applyFill="1" applyBorder="1" applyAlignment="1">
      <alignment horizontal="left" wrapText="1"/>
    </xf>
    <xf numFmtId="0" fontId="3" fillId="0" borderId="1" xfId="2" applyFont="1" applyBorder="1" applyAlignment="1">
      <alignment vertical="center"/>
    </xf>
    <xf numFmtId="0" fontId="3" fillId="0" borderId="1" xfId="2" applyBorder="1" applyAlignment="1">
      <alignment vertical="center" wrapText="1"/>
    </xf>
    <xf numFmtId="0" fontId="0" fillId="0" borderId="1" xfId="0" applyFont="1" applyFill="1" applyBorder="1" applyAlignment="1">
      <alignment vertical="center"/>
    </xf>
    <xf numFmtId="0" fontId="0" fillId="0" borderId="1" xfId="0" applyFont="1" applyBorder="1" applyAlignment="1">
      <alignment horizontal="center" vertical="center"/>
    </xf>
    <xf numFmtId="0" fontId="0" fillId="0" borderId="1" xfId="0" applyFont="1" applyFill="1" applyBorder="1" applyAlignment="1">
      <alignment vertical="center" wrapText="1"/>
    </xf>
    <xf numFmtId="0" fontId="0" fillId="0" borderId="1" xfId="0" applyFont="1" applyBorder="1" applyAlignment="1">
      <alignment horizontal="center" vertical="center" wrapText="1"/>
    </xf>
    <xf numFmtId="0" fontId="0" fillId="0" borderId="1" xfId="0" applyFont="1" applyFill="1" applyBorder="1" applyAlignment="1">
      <alignment horizontal="center" vertical="center"/>
    </xf>
    <xf numFmtId="0" fontId="0" fillId="0" borderId="1" xfId="0" applyBorder="1" applyAlignment="1">
      <alignment horizontal="left" vertical="center"/>
    </xf>
    <xf numFmtId="0" fontId="2" fillId="0" borderId="1" xfId="0" applyFont="1" applyFill="1" applyBorder="1" applyAlignment="1">
      <alignment horizontal="center" vertical="center" wrapText="1"/>
    </xf>
    <xf numFmtId="0" fontId="0" fillId="0" borderId="1" xfId="0" applyFont="1" applyFill="1" applyBorder="1" applyAlignment="1">
      <alignment horizontal="left" vertical="center" wrapText="1"/>
    </xf>
    <xf numFmtId="0" fontId="0" fillId="0" borderId="1" xfId="0" applyFill="1" applyBorder="1" applyAlignment="1">
      <alignment horizontal="center"/>
    </xf>
    <xf numFmtId="0" fontId="0" fillId="0" borderId="1" xfId="0" applyFont="1" applyFill="1" applyBorder="1" applyAlignment="1">
      <alignment horizontal="center" vertical="center" wrapText="1"/>
    </xf>
    <xf numFmtId="0" fontId="0" fillId="0" borderId="1" xfId="0" applyFill="1" applyBorder="1" applyAlignment="1">
      <alignment horizontal="center" vertical="center"/>
    </xf>
    <xf numFmtId="0" fontId="3" fillId="0" borderId="1" xfId="2" applyBorder="1" applyAlignment="1">
      <alignment horizontal="left" vertical="center" wrapText="1"/>
    </xf>
    <xf numFmtId="0" fontId="3" fillId="0" borderId="1" xfId="2" applyBorder="1" applyAlignment="1">
      <alignment horizontal="left" wrapText="1"/>
    </xf>
    <xf numFmtId="0" fontId="2" fillId="0" borderId="1" xfId="0" applyFont="1" applyBorder="1" applyAlignment="1">
      <alignment vertical="center" wrapText="1"/>
    </xf>
    <xf numFmtId="0" fontId="2" fillId="0" borderId="1" xfId="0" applyFont="1" applyBorder="1" applyAlignment="1">
      <alignment wrapText="1"/>
    </xf>
    <xf numFmtId="0" fontId="3" fillId="0" borderId="1" xfId="2" applyBorder="1" applyAlignment="1">
      <alignment horizontal="center" vertical="center" wrapText="1"/>
    </xf>
    <xf numFmtId="0" fontId="0" fillId="5" borderId="0" xfId="0" applyFill="1"/>
    <xf numFmtId="1" fontId="4" fillId="0" borderId="1" xfId="0" applyNumberFormat="1" applyFont="1" applyBorder="1" applyAlignment="1">
      <alignment horizontal="center" vertical="center"/>
    </xf>
    <xf numFmtId="0" fontId="5" fillId="0" borderId="1" xfId="0" applyFont="1" applyBorder="1" applyAlignment="1">
      <alignment horizontal="center" vertical="center"/>
    </xf>
    <xf numFmtId="0" fontId="6" fillId="0" borderId="1" xfId="0" applyFont="1" applyBorder="1"/>
    <xf numFmtId="0" fontId="4" fillId="0" borderId="1" xfId="0" applyNumberFormat="1" applyFont="1" applyFill="1" applyBorder="1" applyAlignment="1">
      <alignment horizontal="center"/>
    </xf>
    <xf numFmtId="0" fontId="4" fillId="0" borderId="1" xfId="0" applyFont="1" applyBorder="1" applyAlignment="1">
      <alignment horizontal="center"/>
    </xf>
    <xf numFmtId="0" fontId="4" fillId="0" borderId="0" xfId="0" applyFont="1" applyAlignment="1">
      <alignment horizontal="center"/>
    </xf>
    <xf numFmtId="0" fontId="6" fillId="8" borderId="1" xfId="0" applyFont="1" applyFill="1" applyBorder="1"/>
    <xf numFmtId="0" fontId="0" fillId="0" borderId="7" xfId="0" applyFont="1" applyFill="1" applyBorder="1" applyAlignment="1">
      <alignment horizontal="center" wrapText="1"/>
    </xf>
    <xf numFmtId="0" fontId="4" fillId="0" borderId="1" xfId="0" applyFont="1" applyBorder="1" applyAlignment="1">
      <alignment horizontal="center" vertical="center"/>
    </xf>
    <xf numFmtId="14" fontId="4" fillId="7" borderId="1" xfId="0" applyNumberFormat="1" applyFont="1" applyFill="1" applyBorder="1" applyAlignment="1">
      <alignment horizontal="center"/>
    </xf>
    <xf numFmtId="0" fontId="4" fillId="7" borderId="1" xfId="0" applyNumberFormat="1" applyFont="1" applyFill="1" applyBorder="1" applyAlignment="1">
      <alignment horizontal="center"/>
    </xf>
    <xf numFmtId="14" fontId="4" fillId="0" borderId="1" xfId="0" applyNumberFormat="1" applyFont="1" applyBorder="1" applyAlignment="1">
      <alignment horizontal="center"/>
    </xf>
    <xf numFmtId="0" fontId="4" fillId="0" borderId="1" xfId="0" applyNumberFormat="1" applyFont="1" applyBorder="1" applyAlignment="1">
      <alignment horizontal="center"/>
    </xf>
    <xf numFmtId="0" fontId="4" fillId="0" borderId="1" xfId="0" applyFont="1" applyBorder="1" applyAlignment="1">
      <alignment horizontal="center" wrapText="1"/>
    </xf>
    <xf numFmtId="0" fontId="4" fillId="4" borderId="1" xfId="0" applyFont="1" applyFill="1" applyBorder="1" applyAlignment="1">
      <alignment horizontal="center"/>
    </xf>
    <xf numFmtId="0" fontId="11" fillId="0" borderId="1" xfId="0" applyFont="1" applyBorder="1" applyAlignment="1">
      <alignment horizontal="center"/>
    </xf>
    <xf numFmtId="0" fontId="4" fillId="0" borderId="1" xfId="0" applyFont="1" applyBorder="1" applyAlignment="1">
      <alignment horizontal="left"/>
    </xf>
    <xf numFmtId="0" fontId="4" fillId="0" borderId="0" xfId="0" applyFont="1" applyBorder="1" applyAlignment="1">
      <alignment horizontal="center"/>
    </xf>
    <xf numFmtId="14" fontId="4" fillId="0" borderId="1" xfId="0" applyNumberFormat="1" applyFont="1" applyBorder="1" applyAlignment="1">
      <alignment horizontal="center" wrapText="1"/>
    </xf>
    <xf numFmtId="14" fontId="4" fillId="3" borderId="1" xfId="0" applyNumberFormat="1" applyFont="1" applyFill="1" applyBorder="1" applyAlignment="1">
      <alignment horizontal="center"/>
    </xf>
    <xf numFmtId="0" fontId="4" fillId="3" borderId="1" xfId="0" applyNumberFormat="1" applyFont="1" applyFill="1" applyBorder="1" applyAlignment="1">
      <alignment horizontal="center"/>
    </xf>
    <xf numFmtId="0" fontId="4" fillId="3" borderId="1" xfId="0" applyFont="1" applyFill="1" applyBorder="1" applyAlignment="1">
      <alignment horizontal="center" wrapText="1"/>
    </xf>
    <xf numFmtId="14" fontId="4" fillId="3" borderId="1" xfId="0" applyNumberFormat="1" applyFont="1" applyFill="1" applyBorder="1" applyAlignment="1">
      <alignment horizontal="center" wrapText="1"/>
    </xf>
    <xf numFmtId="0" fontId="4" fillId="3" borderId="1" xfId="0" applyFont="1" applyFill="1" applyBorder="1" applyAlignment="1">
      <alignment horizontal="left"/>
    </xf>
    <xf numFmtId="0" fontId="10" fillId="0" borderId="0" xfId="0" applyFont="1" applyAlignment="1">
      <alignment horizontal="center"/>
    </xf>
    <xf numFmtId="0" fontId="4" fillId="3" borderId="1" xfId="0" applyFont="1" applyFill="1" applyBorder="1" applyAlignment="1">
      <alignment horizontal="left" wrapText="1"/>
    </xf>
    <xf numFmtId="1" fontId="4" fillId="3" borderId="1" xfId="0" applyNumberFormat="1" applyFont="1" applyFill="1" applyBorder="1" applyAlignment="1">
      <alignment horizontal="center"/>
    </xf>
    <xf numFmtId="14" fontId="4" fillId="7" borderId="0" xfId="0" applyNumberFormat="1" applyFont="1" applyFill="1" applyBorder="1" applyAlignment="1">
      <alignment horizontal="center"/>
    </xf>
    <xf numFmtId="0" fontId="4" fillId="0" borderId="1" xfId="0" applyFont="1" applyBorder="1" applyAlignment="1">
      <alignment horizontal="left" wrapText="1"/>
    </xf>
    <xf numFmtId="14" fontId="4" fillId="4" borderId="1" xfId="0" applyNumberFormat="1" applyFont="1" applyFill="1" applyBorder="1" applyAlignment="1">
      <alignment horizontal="center"/>
    </xf>
    <xf numFmtId="14" fontId="12" fillId="0" borderId="1" xfId="0" applyNumberFormat="1" applyFont="1" applyBorder="1" applyAlignment="1">
      <alignment horizontal="center"/>
    </xf>
    <xf numFmtId="14" fontId="4" fillId="7" borderId="1" xfId="0" applyNumberFormat="1" applyFont="1" applyFill="1" applyBorder="1" applyAlignment="1">
      <alignment horizontal="center" vertical="center"/>
    </xf>
    <xf numFmtId="0" fontId="4" fillId="7" borderId="1" xfId="0" applyNumberFormat="1" applyFont="1" applyFill="1" applyBorder="1" applyAlignment="1">
      <alignment horizontal="center" vertical="center"/>
    </xf>
    <xf numFmtId="14" fontId="4" fillId="0" borderId="1" xfId="0" applyNumberFormat="1" applyFont="1" applyBorder="1" applyAlignment="1">
      <alignment horizontal="center" vertical="center"/>
    </xf>
    <xf numFmtId="0" fontId="4" fillId="0" borderId="1" xfId="0" applyFont="1" applyBorder="1" applyAlignment="1">
      <alignment horizontal="center" vertical="center" wrapText="1"/>
    </xf>
    <xf numFmtId="0" fontId="4" fillId="4" borderId="1" xfId="0" applyFont="1" applyFill="1" applyBorder="1" applyAlignment="1">
      <alignment horizontal="center" vertical="center"/>
    </xf>
    <xf numFmtId="0" fontId="11" fillId="0" borderId="1" xfId="0" applyFont="1" applyBorder="1" applyAlignment="1">
      <alignment horizontal="center" vertical="center"/>
    </xf>
    <xf numFmtId="0" fontId="4" fillId="0" borderId="1" xfId="0" applyFont="1" applyBorder="1" applyAlignment="1">
      <alignment horizontal="left" vertical="center"/>
    </xf>
    <xf numFmtId="0" fontId="4" fillId="0" borderId="0" xfId="0" applyFont="1" applyAlignment="1">
      <alignment horizontal="center" vertical="center"/>
    </xf>
    <xf numFmtId="0" fontId="4" fillId="0" borderId="1" xfId="0" applyFont="1" applyBorder="1"/>
    <xf numFmtId="0" fontId="4" fillId="0" borderId="1" xfId="0" applyFont="1" applyBorder="1" applyAlignment="1">
      <alignment wrapText="1"/>
    </xf>
    <xf numFmtId="0" fontId="4" fillId="0" borderId="0" xfId="0" applyFont="1" applyAlignment="1">
      <alignment horizontal="center" wrapText="1"/>
    </xf>
    <xf numFmtId="0" fontId="4" fillId="0" borderId="0" xfId="0" applyFont="1" applyAlignment="1">
      <alignment horizontal="left"/>
    </xf>
    <xf numFmtId="0" fontId="4" fillId="0" borderId="1" xfId="0" applyFont="1" applyBorder="1" applyAlignment="1">
      <alignment horizontal="center" vertical="top"/>
    </xf>
    <xf numFmtId="0" fontId="14" fillId="0" borderId="1" xfId="0" applyFont="1" applyBorder="1"/>
    <xf numFmtId="3" fontId="11" fillId="4" borderId="1" xfId="0" applyNumberFormat="1" applyFont="1" applyFill="1" applyBorder="1" applyAlignment="1">
      <alignment horizontal="center"/>
    </xf>
    <xf numFmtId="3" fontId="4" fillId="2" borderId="1" xfId="0" applyNumberFormat="1" applyFont="1" applyFill="1" applyBorder="1" applyAlignment="1">
      <alignment horizontal="center"/>
    </xf>
    <xf numFmtId="3" fontId="4" fillId="2" borderId="1" xfId="0" applyNumberFormat="1" applyFont="1" applyFill="1" applyBorder="1" applyAlignment="1">
      <alignment horizontal="center" wrapText="1"/>
    </xf>
    <xf numFmtId="3" fontId="4" fillId="3" borderId="1" xfId="0" applyNumberFormat="1" applyFont="1" applyFill="1" applyBorder="1" applyAlignment="1">
      <alignment horizontal="center"/>
    </xf>
    <xf numFmtId="3" fontId="4" fillId="0" borderId="1" xfId="0" applyNumberFormat="1" applyFont="1" applyBorder="1" applyAlignment="1">
      <alignment horizontal="center"/>
    </xf>
    <xf numFmtId="3" fontId="13" fillId="0" borderId="1" xfId="0" applyNumberFormat="1" applyFont="1" applyBorder="1" applyAlignment="1">
      <alignment horizontal="center"/>
    </xf>
    <xf numFmtId="3" fontId="4" fillId="0" borderId="1" xfId="0" applyNumberFormat="1" applyFont="1" applyBorder="1" applyAlignment="1">
      <alignment horizontal="center" vertical="center"/>
    </xf>
    <xf numFmtId="3" fontId="4" fillId="0" borderId="1" xfId="0" applyNumberFormat="1" applyFont="1" applyBorder="1" applyAlignment="1">
      <alignment horizontal="center" wrapText="1"/>
    </xf>
    <xf numFmtId="0" fontId="4" fillId="0" borderId="4" xfId="0" applyFont="1" applyBorder="1" applyAlignment="1">
      <alignment horizontal="center"/>
    </xf>
    <xf numFmtId="0" fontId="14" fillId="0" borderId="1" xfId="0" applyFont="1" applyBorder="1" applyAlignment="1">
      <alignment horizontal="center" vertical="top"/>
    </xf>
    <xf numFmtId="0" fontId="4" fillId="0" borderId="2" xfId="0" applyNumberFormat="1" applyFont="1" applyBorder="1" applyAlignment="1">
      <alignment horizontal="center"/>
    </xf>
    <xf numFmtId="0" fontId="14" fillId="0" borderId="0" xfId="0" applyFont="1" applyBorder="1" applyAlignment="1">
      <alignment horizontal="center" vertical="top"/>
    </xf>
    <xf numFmtId="0" fontId="12" fillId="0" borderId="1" xfId="0" applyFont="1" applyBorder="1" applyAlignment="1">
      <alignment horizontal="left"/>
    </xf>
    <xf numFmtId="0" fontId="12" fillId="0" borderId="1" xfId="0" applyFont="1" applyBorder="1" applyAlignment="1">
      <alignment horizontal="left" wrapText="1"/>
    </xf>
    <xf numFmtId="14" fontId="12" fillId="0" borderId="1" xfId="0" applyNumberFormat="1" applyFont="1" applyBorder="1" applyAlignment="1">
      <alignment horizontal="center" vertical="center"/>
    </xf>
    <xf numFmtId="3" fontId="4" fillId="2" borderId="1" xfId="0" applyNumberFormat="1" applyFont="1" applyFill="1" applyBorder="1" applyAlignment="1">
      <alignment horizontal="center" vertical="center"/>
    </xf>
    <xf numFmtId="3" fontId="4" fillId="3" borderId="1" xfId="0" applyNumberFormat="1" applyFont="1" applyFill="1" applyBorder="1" applyAlignment="1">
      <alignment horizontal="center" vertical="center"/>
    </xf>
    <xf numFmtId="0" fontId="12" fillId="0" borderId="1" xfId="0" applyFont="1" applyBorder="1" applyAlignment="1">
      <alignment horizontal="left" vertical="center"/>
    </xf>
    <xf numFmtId="0" fontId="14" fillId="0" borderId="1" xfId="0" applyFont="1" applyBorder="1" applyAlignment="1">
      <alignment horizontal="center" vertical="center"/>
    </xf>
    <xf numFmtId="0" fontId="4" fillId="0" borderId="1" xfId="0" applyNumberFormat="1" applyFont="1" applyBorder="1" applyAlignment="1">
      <alignment horizontal="center" vertical="center"/>
    </xf>
    <xf numFmtId="44" fontId="10" fillId="2" borderId="2" xfId="1" applyFont="1" applyFill="1" applyBorder="1" applyAlignment="1">
      <alignment horizontal="center" vertical="center" wrapText="1"/>
    </xf>
    <xf numFmtId="44" fontId="10" fillId="2" borderId="1" xfId="1" applyFont="1" applyFill="1" applyBorder="1" applyAlignment="1">
      <alignment horizontal="center" vertical="center" wrapText="1"/>
    </xf>
    <xf numFmtId="44" fontId="10" fillId="4" borderId="1" xfId="1" applyFont="1" applyFill="1" applyBorder="1" applyAlignment="1">
      <alignment horizontal="center" vertical="center" wrapText="1"/>
    </xf>
    <xf numFmtId="44" fontId="10" fillId="2" borderId="2" xfId="1" applyFont="1" applyFill="1" applyBorder="1" applyAlignment="1">
      <alignment horizontal="center" vertical="center"/>
    </xf>
    <xf numFmtId="0" fontId="4" fillId="0" borderId="1" xfId="0" applyFont="1" applyBorder="1" applyAlignment="1">
      <alignment horizontal="center"/>
    </xf>
    <xf numFmtId="14" fontId="4" fillId="0" borderId="1" xfId="0" applyNumberFormat="1" applyFont="1" applyBorder="1" applyAlignment="1">
      <alignment horizontal="center"/>
    </xf>
    <xf numFmtId="0" fontId="4" fillId="0" borderId="1" xfId="0" applyFont="1" applyBorder="1" applyAlignment="1">
      <alignment horizontal="center" wrapText="1"/>
    </xf>
    <xf numFmtId="0" fontId="14" fillId="0" borderId="6" xfId="0" applyFont="1" applyBorder="1" applyAlignment="1">
      <alignment horizontal="center" vertical="center"/>
    </xf>
    <xf numFmtId="0" fontId="14" fillId="0" borderId="4" xfId="0" applyFont="1" applyBorder="1" applyAlignment="1">
      <alignment horizontal="center" vertical="center"/>
    </xf>
    <xf numFmtId="0" fontId="14" fillId="0" borderId="0" xfId="0" applyFont="1" applyBorder="1" applyAlignment="1">
      <alignment horizontal="center" vertical="center"/>
    </xf>
    <xf numFmtId="44" fontId="10" fillId="11" borderId="2" xfId="1" applyFont="1" applyFill="1" applyBorder="1" applyAlignment="1">
      <alignment horizontal="center" vertical="center" wrapText="1"/>
    </xf>
    <xf numFmtId="44" fontId="10" fillId="11" borderId="1" xfId="1" applyFont="1" applyFill="1" applyBorder="1" applyAlignment="1">
      <alignment horizontal="center" vertical="center" wrapText="1"/>
    </xf>
    <xf numFmtId="16" fontId="4" fillId="0" borderId="1" xfId="0" applyNumberFormat="1" applyFont="1" applyBorder="1" applyAlignment="1">
      <alignment horizontal="center"/>
    </xf>
    <xf numFmtId="16" fontId="4" fillId="0" borderId="1" xfId="0" applyNumberFormat="1" applyFont="1" applyBorder="1" applyAlignment="1">
      <alignment horizontal="left"/>
    </xf>
    <xf numFmtId="0" fontId="4" fillId="0" borderId="0" xfId="0" applyFont="1" applyBorder="1" applyAlignment="1">
      <alignment horizontal="center" wrapText="1"/>
    </xf>
    <xf numFmtId="0" fontId="14" fillId="0" borderId="0" xfId="0" applyFont="1" applyBorder="1" applyAlignment="1">
      <alignment horizontal="center"/>
    </xf>
    <xf numFmtId="0" fontId="4" fillId="5" borderId="1" xfId="0" applyFont="1" applyFill="1" applyBorder="1" applyAlignment="1">
      <alignment horizontal="center"/>
    </xf>
    <xf numFmtId="14" fontId="4" fillId="5" borderId="1" xfId="0" applyNumberFormat="1" applyFont="1" applyFill="1" applyBorder="1" applyAlignment="1">
      <alignment horizontal="center"/>
    </xf>
    <xf numFmtId="0" fontId="4" fillId="5" borderId="1" xfId="0" applyNumberFormat="1" applyFont="1" applyFill="1" applyBorder="1" applyAlignment="1">
      <alignment horizontal="center"/>
    </xf>
    <xf numFmtId="0" fontId="4" fillId="5" borderId="1" xfId="0" applyFont="1" applyFill="1" applyBorder="1" applyAlignment="1">
      <alignment horizontal="center" wrapText="1"/>
    </xf>
    <xf numFmtId="0" fontId="4" fillId="5" borderId="1" xfId="0" applyFont="1" applyFill="1" applyBorder="1" applyAlignment="1">
      <alignment horizontal="left"/>
    </xf>
    <xf numFmtId="0" fontId="4" fillId="5" borderId="0" xfId="0" applyFont="1" applyFill="1" applyAlignment="1">
      <alignment horizontal="center"/>
    </xf>
    <xf numFmtId="16" fontId="4" fillId="5" borderId="1" xfId="0" applyNumberFormat="1" applyFont="1" applyFill="1" applyBorder="1" applyAlignment="1">
      <alignment horizontal="center"/>
    </xf>
    <xf numFmtId="14" fontId="0" fillId="0" borderId="0" xfId="0" applyNumberFormat="1" applyAlignment="1">
      <alignment horizontal="left"/>
    </xf>
    <xf numFmtId="0" fontId="0" fillId="0" borderId="0" xfId="0" applyAlignment="1">
      <alignment horizontal="left"/>
    </xf>
    <xf numFmtId="0" fontId="4" fillId="4" borderId="1" xfId="0" applyNumberFormat="1" applyFont="1" applyFill="1" applyBorder="1" applyAlignment="1">
      <alignment horizontal="center"/>
    </xf>
    <xf numFmtId="0" fontId="4" fillId="4" borderId="1" xfId="0" applyFont="1" applyFill="1" applyBorder="1" applyAlignment="1">
      <alignment horizontal="center" wrapText="1"/>
    </xf>
    <xf numFmtId="0" fontId="4" fillId="4" borderId="1" xfId="0" applyFont="1" applyFill="1" applyBorder="1" applyAlignment="1">
      <alignment horizontal="left"/>
    </xf>
    <xf numFmtId="2" fontId="0" fillId="0" borderId="0" xfId="0" applyNumberFormat="1"/>
    <xf numFmtId="0" fontId="12" fillId="0" borderId="1" xfId="0" applyFont="1" applyFill="1" applyBorder="1" applyAlignment="1">
      <alignment horizontal="center"/>
    </xf>
    <xf numFmtId="14" fontId="4" fillId="0" borderId="1" xfId="0" applyNumberFormat="1" applyFont="1" applyFill="1" applyBorder="1" applyAlignment="1">
      <alignment horizontal="center"/>
    </xf>
    <xf numFmtId="0" fontId="4" fillId="0" borderId="0" xfId="0" applyFont="1" applyFill="1" applyAlignment="1">
      <alignment horizontal="center"/>
    </xf>
    <xf numFmtId="0" fontId="4" fillId="0" borderId="1" xfId="0" applyFont="1" applyFill="1" applyBorder="1" applyAlignment="1">
      <alignment horizontal="center"/>
    </xf>
    <xf numFmtId="0" fontId="4" fillId="0" borderId="1" xfId="0" applyFont="1" applyBorder="1" applyAlignment="1">
      <alignment horizontal="center"/>
    </xf>
    <xf numFmtId="0" fontId="4" fillId="0" borderId="1" xfId="0" applyFont="1" applyBorder="1" applyAlignment="1">
      <alignment horizontal="center" vertical="center"/>
    </xf>
    <xf numFmtId="0" fontId="4" fillId="3" borderId="1" xfId="0" applyFont="1" applyFill="1" applyBorder="1" applyAlignment="1">
      <alignment horizontal="center"/>
    </xf>
    <xf numFmtId="0" fontId="10" fillId="0" borderId="1" xfId="0" applyFont="1" applyBorder="1" applyAlignment="1">
      <alignment horizontal="center"/>
    </xf>
    <xf numFmtId="0" fontId="12" fillId="0" borderId="1" xfId="0" applyFont="1" applyBorder="1" applyAlignment="1">
      <alignment horizontal="center"/>
    </xf>
    <xf numFmtId="3" fontId="11" fillId="4" borderId="1" xfId="0" applyNumberFormat="1" applyFont="1" applyFill="1" applyBorder="1" applyAlignment="1">
      <alignment horizontal="center"/>
    </xf>
    <xf numFmtId="3" fontId="11" fillId="4" borderId="1" xfId="0" applyNumberFormat="1" applyFont="1" applyFill="1" applyBorder="1" applyAlignment="1">
      <alignment horizontal="center" vertical="center"/>
    </xf>
    <xf numFmtId="3" fontId="11" fillId="5" borderId="1" xfId="0" applyNumberFormat="1" applyFont="1" applyFill="1" applyBorder="1" applyAlignment="1">
      <alignment horizontal="center"/>
    </xf>
    <xf numFmtId="0" fontId="0" fillId="0" borderId="1" xfId="0" applyBorder="1"/>
    <xf numFmtId="0" fontId="0" fillId="0" borderId="1" xfId="0" applyFill="1" applyBorder="1" applyAlignment="1">
      <alignment horizontal="center"/>
    </xf>
    <xf numFmtId="0" fontId="4" fillId="0" borderId="2" xfId="0" applyFont="1" applyBorder="1" applyAlignment="1">
      <alignment horizontal="center"/>
    </xf>
    <xf numFmtId="0" fontId="0" fillId="0" borderId="1" xfId="0" applyFill="1" applyBorder="1"/>
    <xf numFmtId="0" fontId="0" fillId="0" borderId="3" xfId="0" applyBorder="1"/>
    <xf numFmtId="0" fontId="0" fillId="0" borderId="10" xfId="0" applyBorder="1"/>
    <xf numFmtId="2" fontId="4" fillId="7" borderId="1" xfId="0" applyNumberFormat="1" applyFont="1" applyFill="1" applyBorder="1" applyAlignment="1">
      <alignment horizontal="center"/>
    </xf>
    <xf numFmtId="0" fontId="0" fillId="0" borderId="0" xfId="0"/>
    <xf numFmtId="0" fontId="4" fillId="0" borderId="1" xfId="0" applyFont="1" applyFill="1" applyBorder="1" applyAlignment="1">
      <alignment horizontal="center" wrapText="1"/>
    </xf>
    <xf numFmtId="0" fontId="11" fillId="0" borderId="1" xfId="0" applyFont="1" applyFill="1" applyBorder="1" applyAlignment="1">
      <alignment horizontal="center"/>
    </xf>
    <xf numFmtId="0" fontId="4" fillId="0" borderId="1" xfId="0" applyFont="1" applyFill="1" applyBorder="1" applyAlignment="1">
      <alignment horizontal="left"/>
    </xf>
    <xf numFmtId="16" fontId="4" fillId="0" borderId="0" xfId="0" applyNumberFormat="1" applyFont="1" applyAlignment="1">
      <alignment horizontal="center"/>
    </xf>
    <xf numFmtId="0" fontId="10" fillId="2" borderId="1" xfId="1" applyNumberFormat="1" applyFont="1" applyFill="1" applyBorder="1" applyAlignment="1">
      <alignment horizontal="center" vertical="center" wrapText="1"/>
    </xf>
    <xf numFmtId="0" fontId="10" fillId="5" borderId="1" xfId="0" applyNumberFormat="1" applyFont="1" applyFill="1" applyBorder="1" applyAlignment="1">
      <alignment horizontal="center"/>
    </xf>
    <xf numFmtId="0" fontId="10" fillId="0" borderId="1" xfId="0" applyNumberFormat="1" applyFont="1" applyBorder="1" applyAlignment="1">
      <alignment horizontal="center"/>
    </xf>
    <xf numFmtId="0" fontId="10" fillId="0" borderId="1" xfId="0" applyNumberFormat="1" applyFont="1" applyBorder="1" applyAlignment="1">
      <alignment horizontal="center" vertical="center"/>
    </xf>
    <xf numFmtId="0" fontId="13" fillId="0" borderId="1" xfId="0" applyNumberFormat="1" applyFont="1" applyBorder="1" applyAlignment="1">
      <alignment horizontal="center"/>
    </xf>
    <xf numFmtId="0" fontId="15" fillId="0" borderId="1" xfId="0" applyNumberFormat="1" applyFont="1" applyBorder="1" applyAlignment="1">
      <alignment horizontal="center"/>
    </xf>
    <xf numFmtId="0" fontId="11" fillId="5" borderId="1" xfId="0" applyNumberFormat="1" applyFont="1" applyFill="1" applyBorder="1" applyAlignment="1">
      <alignment horizontal="center"/>
    </xf>
    <xf numFmtId="0" fontId="12" fillId="0" borderId="1" xfId="0" applyNumberFormat="1" applyFont="1" applyBorder="1" applyAlignment="1">
      <alignment horizontal="center"/>
    </xf>
    <xf numFmtId="0" fontId="14" fillId="0" borderId="1" xfId="0" applyNumberFormat="1" applyFont="1" applyBorder="1" applyAlignment="1">
      <alignment horizontal="center"/>
    </xf>
    <xf numFmtId="0" fontId="13" fillId="5" borderId="1" xfId="0" applyNumberFormat="1" applyFont="1" applyFill="1" applyBorder="1" applyAlignment="1">
      <alignment horizontal="center"/>
    </xf>
    <xf numFmtId="0" fontId="13" fillId="0" borderId="1" xfId="0" applyNumberFormat="1" applyFont="1" applyBorder="1" applyAlignment="1">
      <alignment horizontal="center" vertical="center"/>
    </xf>
    <xf numFmtId="0" fontId="12" fillId="0" borderId="1" xfId="0" applyNumberFormat="1" applyFont="1" applyFill="1" applyBorder="1" applyAlignment="1">
      <alignment horizontal="center"/>
    </xf>
    <xf numFmtId="0" fontId="13" fillId="0" borderId="1" xfId="0" applyNumberFormat="1" applyFont="1" applyFill="1" applyBorder="1" applyAlignment="1">
      <alignment horizontal="center"/>
    </xf>
    <xf numFmtId="0" fontId="4" fillId="0" borderId="0" xfId="0" applyNumberFormat="1" applyFont="1" applyAlignment="1">
      <alignment horizontal="center"/>
    </xf>
    <xf numFmtId="0" fontId="0" fillId="4" borderId="1" xfId="0" applyFont="1" applyFill="1" applyBorder="1" applyAlignment="1">
      <alignment wrapText="1"/>
    </xf>
    <xf numFmtId="0" fontId="10" fillId="11" borderId="1" xfId="0" applyNumberFormat="1" applyFont="1" applyFill="1" applyBorder="1" applyAlignment="1">
      <alignment horizontal="center"/>
    </xf>
    <xf numFmtId="0" fontId="13" fillId="4" borderId="1" xfId="0" applyNumberFormat="1" applyFont="1" applyFill="1" applyBorder="1" applyAlignment="1">
      <alignment horizontal="center"/>
    </xf>
    <xf numFmtId="0" fontId="4" fillId="4" borderId="0" xfId="0" applyFont="1" applyFill="1" applyAlignment="1">
      <alignment horizontal="center"/>
    </xf>
    <xf numFmtId="14" fontId="4" fillId="0" borderId="0" xfId="0" applyNumberFormat="1" applyFont="1" applyAlignment="1">
      <alignment horizontal="center"/>
    </xf>
    <xf numFmtId="0" fontId="2" fillId="0" borderId="0" xfId="0" applyFont="1"/>
    <xf numFmtId="0" fontId="0" fillId="0" borderId="0" xfId="0" applyAlignment="1"/>
    <xf numFmtId="0" fontId="21" fillId="0" borderId="0" xfId="0" applyFont="1"/>
    <xf numFmtId="0" fontId="22" fillId="0" borderId="1" xfId="0" applyFont="1" applyBorder="1" applyAlignment="1">
      <alignment wrapText="1"/>
    </xf>
    <xf numFmtId="0" fontId="0" fillId="12" borderId="1" xfId="0" applyFill="1" applyBorder="1"/>
    <xf numFmtId="0" fontId="0" fillId="14" borderId="1" xfId="0" applyFill="1" applyBorder="1"/>
    <xf numFmtId="0" fontId="22" fillId="0" borderId="1" xfId="0" applyFont="1" applyFill="1" applyBorder="1" applyAlignment="1">
      <alignment wrapText="1"/>
    </xf>
    <xf numFmtId="0" fontId="0" fillId="12" borderId="11" xfId="0" applyFill="1" applyBorder="1"/>
    <xf numFmtId="0" fontId="0" fillId="0" borderId="11" xfId="0" applyBorder="1"/>
    <xf numFmtId="0" fontId="0" fillId="13" borderId="10" xfId="0" applyFill="1" applyBorder="1"/>
    <xf numFmtId="0" fontId="0" fillId="13" borderId="11" xfId="0" applyFill="1" applyBorder="1"/>
    <xf numFmtId="0" fontId="0" fillId="14" borderId="10" xfId="0" applyFill="1" applyBorder="1"/>
    <xf numFmtId="0" fontId="0" fillId="14" borderId="11" xfId="0" applyFill="1" applyBorder="1"/>
    <xf numFmtId="0" fontId="22" fillId="0" borderId="3" xfId="0" applyFont="1" applyFill="1" applyBorder="1" applyAlignment="1">
      <alignment horizontal="center" wrapText="1"/>
    </xf>
    <xf numFmtId="0" fontId="0" fillId="0" borderId="3" xfId="0" applyBorder="1" applyAlignment="1">
      <alignment horizontal="center"/>
    </xf>
    <xf numFmtId="0" fontId="0" fillId="0" borderId="0" xfId="0" applyAlignment="1">
      <alignment wrapText="1"/>
    </xf>
    <xf numFmtId="0" fontId="4" fillId="3" borderId="0" xfId="0" applyFont="1" applyFill="1" applyAlignment="1">
      <alignment horizontal="center"/>
    </xf>
    <xf numFmtId="0" fontId="12" fillId="3" borderId="1" xfId="0" applyNumberFormat="1" applyFont="1" applyFill="1" applyBorder="1" applyAlignment="1">
      <alignment horizontal="center"/>
    </xf>
    <xf numFmtId="0" fontId="23" fillId="16" borderId="2" xfId="0" applyFont="1" applyFill="1" applyBorder="1" applyAlignment="1">
      <alignment horizontal="right"/>
    </xf>
    <xf numFmtId="0" fontId="23" fillId="16" borderId="3" xfId="0" applyFont="1" applyFill="1" applyBorder="1"/>
    <xf numFmtId="0" fontId="0" fillId="15" borderId="4" xfId="0" applyFill="1" applyBorder="1" applyAlignment="1">
      <alignment horizontal="center"/>
    </xf>
    <xf numFmtId="0" fontId="0" fillId="15" borderId="6" xfId="0" applyFill="1" applyBorder="1" applyAlignment="1">
      <alignment horizontal="center"/>
    </xf>
    <xf numFmtId="164" fontId="2" fillId="0" borderId="1" xfId="0" applyNumberFormat="1" applyFont="1" applyBorder="1" applyAlignment="1">
      <alignment horizontal="center"/>
    </xf>
    <xf numFmtId="164" fontId="2" fillId="15" borderId="1" xfId="0" applyNumberFormat="1" applyFont="1" applyFill="1" applyBorder="1" applyAlignment="1">
      <alignment horizontal="center"/>
    </xf>
    <xf numFmtId="14" fontId="13" fillId="7" borderId="1" xfId="0" applyNumberFormat="1" applyFont="1" applyFill="1" applyBorder="1" applyAlignment="1">
      <alignment horizontal="center"/>
    </xf>
    <xf numFmtId="2" fontId="13" fillId="7" borderId="1" xfId="0" applyNumberFormat="1" applyFont="1" applyFill="1" applyBorder="1" applyAlignment="1">
      <alignment horizontal="center"/>
    </xf>
    <xf numFmtId="14" fontId="13" fillId="0" borderId="1" xfId="0" applyNumberFormat="1" applyFont="1" applyBorder="1" applyAlignment="1">
      <alignment horizontal="center"/>
    </xf>
    <xf numFmtId="16" fontId="13" fillId="0" borderId="1" xfId="0" applyNumberFormat="1" applyFont="1" applyBorder="1" applyAlignment="1">
      <alignment horizontal="center"/>
    </xf>
    <xf numFmtId="3" fontId="15" fillId="4" borderId="1" xfId="0" applyNumberFormat="1" applyFont="1" applyFill="1" applyBorder="1" applyAlignment="1">
      <alignment horizontal="center"/>
    </xf>
    <xf numFmtId="0" fontId="13" fillId="4" borderId="1" xfId="0" applyFont="1" applyFill="1" applyBorder="1" applyAlignment="1">
      <alignment horizontal="center"/>
    </xf>
    <xf numFmtId="0" fontId="15" fillId="0" borderId="1" xfId="0" applyFont="1" applyBorder="1" applyAlignment="1">
      <alignment horizontal="center"/>
    </xf>
    <xf numFmtId="0" fontId="13" fillId="0" borderId="1" xfId="0" applyFont="1" applyBorder="1" applyAlignment="1">
      <alignment horizontal="left"/>
    </xf>
    <xf numFmtId="0" fontId="13" fillId="0" borderId="0" xfId="0" applyFont="1" applyAlignment="1">
      <alignment horizontal="center"/>
    </xf>
    <xf numFmtId="14" fontId="3" fillId="0" borderId="1" xfId="2" applyNumberFormat="1" applyBorder="1"/>
    <xf numFmtId="0" fontId="2" fillId="0" borderId="1" xfId="0" applyFont="1" applyFill="1" applyBorder="1" applyAlignment="1">
      <alignment wrapText="1"/>
    </xf>
    <xf numFmtId="0" fontId="2" fillId="0" borderId="1" xfId="0" applyFont="1" applyFill="1" applyBorder="1" applyAlignment="1">
      <alignment horizontal="left" vertical="center" wrapText="1"/>
    </xf>
    <xf numFmtId="0" fontId="4" fillId="0" borderId="1" xfId="0" applyFont="1" applyBorder="1" applyAlignment="1">
      <alignment horizontal="center"/>
    </xf>
    <xf numFmtId="14" fontId="4" fillId="0" borderId="1" xfId="0" applyNumberFormat="1" applyFont="1" applyBorder="1" applyAlignment="1">
      <alignment horizontal="center"/>
    </xf>
    <xf numFmtId="0" fontId="4" fillId="0" borderId="1" xfId="0" applyNumberFormat="1" applyFont="1" applyBorder="1" applyAlignment="1">
      <alignment horizontal="center"/>
    </xf>
    <xf numFmtId="0" fontId="4" fillId="0" borderId="1" xfId="0" applyFont="1" applyBorder="1" applyAlignment="1">
      <alignment horizontal="center" wrapText="1"/>
    </xf>
    <xf numFmtId="0" fontId="4" fillId="4" borderId="1" xfId="0" applyFont="1" applyFill="1" applyBorder="1" applyAlignment="1">
      <alignment horizontal="center"/>
    </xf>
    <xf numFmtId="0" fontId="11" fillId="0" borderId="1" xfId="0" applyFont="1" applyBorder="1" applyAlignment="1">
      <alignment horizontal="center"/>
    </xf>
    <xf numFmtId="3" fontId="11" fillId="4" borderId="1" xfId="0" applyNumberFormat="1" applyFont="1" applyFill="1" applyBorder="1" applyAlignment="1">
      <alignment horizontal="center"/>
    </xf>
    <xf numFmtId="0" fontId="13" fillId="0" borderId="1" xfId="0" applyFont="1" applyBorder="1" applyAlignment="1">
      <alignment horizontal="center"/>
    </xf>
    <xf numFmtId="0" fontId="4" fillId="0" borderId="0" xfId="0" applyNumberFormat="1" applyFont="1" applyBorder="1" applyAlignment="1">
      <alignment horizontal="center"/>
    </xf>
    <xf numFmtId="0" fontId="13" fillId="0" borderId="1" xfId="0" applyFont="1" applyBorder="1" applyAlignment="1">
      <alignment horizontal="center" wrapText="1"/>
    </xf>
    <xf numFmtId="165" fontId="4" fillId="3" borderId="1" xfId="0" applyNumberFormat="1" applyFont="1" applyFill="1" applyBorder="1" applyAlignment="1">
      <alignment horizontal="center"/>
    </xf>
    <xf numFmtId="0" fontId="0" fillId="0" borderId="4" xfId="0" applyBorder="1" applyAlignment="1">
      <alignment horizontal="center"/>
    </xf>
    <xf numFmtId="0" fontId="0" fillId="0" borderId="6" xfId="0" applyBorder="1" applyAlignment="1">
      <alignment horizontal="center"/>
    </xf>
    <xf numFmtId="0" fontId="0" fillId="15" borderId="4" xfId="0" applyFill="1" applyBorder="1" applyAlignment="1">
      <alignment horizontal="center"/>
    </xf>
    <xf numFmtId="0" fontId="0" fillId="15" borderId="6" xfId="0" applyFill="1" applyBorder="1" applyAlignment="1">
      <alignment horizontal="center"/>
    </xf>
    <xf numFmtId="2" fontId="4" fillId="7" borderId="1" xfId="0" applyNumberFormat="1" applyFont="1" applyFill="1" applyBorder="1" applyAlignment="1">
      <alignment horizontal="center" vertical="center"/>
    </xf>
    <xf numFmtId="0" fontId="22" fillId="0" borderId="13" xfId="0" applyFont="1" applyFill="1" applyBorder="1" applyAlignment="1">
      <alignment horizontal="center" vertical="center" wrapText="1"/>
    </xf>
    <xf numFmtId="0" fontId="22" fillId="0" borderId="7" xfId="0" applyFont="1" applyFill="1" applyBorder="1" applyAlignment="1">
      <alignment horizontal="center" vertical="center" wrapText="1"/>
    </xf>
    <xf numFmtId="0" fontId="22" fillId="0" borderId="12" xfId="0" applyFont="1" applyFill="1" applyBorder="1" applyAlignment="1">
      <alignment horizontal="center" vertical="center" wrapText="1"/>
    </xf>
    <xf numFmtId="0" fontId="22" fillId="0" borderId="1" xfId="0" applyFont="1" applyBorder="1" applyAlignment="1">
      <alignment horizontal="center" vertical="center" wrapText="1"/>
    </xf>
    <xf numFmtId="0" fontId="22" fillId="0" borderId="1" xfId="0" applyFont="1" applyBorder="1" applyAlignment="1">
      <alignment horizontal="center" vertical="center"/>
    </xf>
    <xf numFmtId="0" fontId="22" fillId="0" borderId="2" xfId="0" applyFont="1" applyFill="1" applyBorder="1" applyAlignment="1">
      <alignment horizontal="center" vertical="center" wrapText="1"/>
    </xf>
    <xf numFmtId="0" fontId="2" fillId="0" borderId="18" xfId="0" applyFont="1" applyBorder="1" applyAlignment="1">
      <alignment horizontal="center" vertical="center" wrapText="1"/>
    </xf>
    <xf numFmtId="0" fontId="0" fillId="0" borderId="20" xfId="0" applyBorder="1"/>
    <xf numFmtId="0" fontId="0" fillId="0" borderId="21" xfId="0" applyBorder="1"/>
    <xf numFmtId="0" fontId="0" fillId="0" borderId="0" xfId="0" applyBorder="1"/>
    <xf numFmtId="0" fontId="0" fillId="0" borderId="22" xfId="0" applyBorder="1"/>
    <xf numFmtId="0" fontId="0" fillId="0" borderId="24" xfId="0" applyBorder="1"/>
    <xf numFmtId="0" fontId="0" fillId="0" borderId="25" xfId="0" applyBorder="1"/>
    <xf numFmtId="0" fontId="0" fillId="0" borderId="23" xfId="0" applyBorder="1"/>
    <xf numFmtId="0" fontId="0" fillId="15" borderId="4" xfId="0" applyFill="1" applyBorder="1" applyAlignment="1">
      <alignment horizontal="center"/>
    </xf>
    <xf numFmtId="0" fontId="0" fillId="15" borderId="6" xfId="0" applyFill="1" applyBorder="1" applyAlignment="1">
      <alignment horizontal="center"/>
    </xf>
    <xf numFmtId="0" fontId="0" fillId="0" borderId="1" xfId="0" applyBorder="1" applyAlignment="1">
      <alignment vertical="center" wrapText="1"/>
    </xf>
    <xf numFmtId="0" fontId="24" fillId="0" borderId="0" xfId="0" applyFont="1"/>
    <xf numFmtId="0" fontId="25" fillId="0" borderId="0" xfId="0" applyFont="1"/>
    <xf numFmtId="0" fontId="25" fillId="0" borderId="0" xfId="0" applyFont="1" applyFill="1"/>
    <xf numFmtId="0" fontId="2" fillId="10" borderId="1" xfId="0" applyFont="1" applyFill="1" applyBorder="1" applyAlignment="1">
      <alignment horizontal="center" vertical="center"/>
    </xf>
    <xf numFmtId="2" fontId="4" fillId="4" borderId="1" xfId="0" applyNumberFormat="1" applyFont="1" applyFill="1" applyBorder="1" applyAlignment="1">
      <alignment horizontal="center"/>
    </xf>
    <xf numFmtId="3" fontId="4" fillId="4" borderId="1" xfId="0" applyNumberFormat="1" applyFont="1" applyFill="1" applyBorder="1" applyAlignment="1">
      <alignment horizontal="center"/>
    </xf>
    <xf numFmtId="0" fontId="4" fillId="4" borderId="1" xfId="0" applyFont="1" applyFill="1" applyBorder="1" applyAlignment="1">
      <alignment horizontal="center" vertical="center" wrapText="1"/>
    </xf>
    <xf numFmtId="0" fontId="11" fillId="4" borderId="1" xfId="0" applyFont="1" applyFill="1" applyBorder="1" applyAlignment="1">
      <alignment horizont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1" xfId="0" applyBorder="1" applyAlignment="1">
      <alignment horizontal="left" vertical="center" wrapText="1"/>
    </xf>
    <xf numFmtId="0" fontId="0" fillId="0" borderId="0" xfId="0" applyAlignment="1">
      <alignment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25" fillId="17" borderId="0" xfId="0" applyFont="1" applyFill="1"/>
    <xf numFmtId="0" fontId="0" fillId="17" borderId="0" xfId="0" applyFill="1"/>
    <xf numFmtId="0" fontId="0" fillId="0" borderId="1" xfId="0" applyFill="1" applyBorder="1" applyAlignment="1">
      <alignment horizontal="center" vertical="center" wrapText="1"/>
    </xf>
    <xf numFmtId="0" fontId="27" fillId="0" borderId="1" xfId="0" applyFont="1" applyBorder="1" applyAlignment="1">
      <alignment vertical="center" wrapText="1"/>
    </xf>
    <xf numFmtId="0" fontId="28" fillId="18" borderId="1" xfId="0" applyFont="1" applyFill="1" applyBorder="1" applyAlignment="1">
      <alignment horizontal="center" vertical="center" wrapText="1"/>
    </xf>
    <xf numFmtId="0" fontId="3" fillId="19" borderId="1" xfId="2" applyFill="1" applyBorder="1" applyAlignment="1">
      <alignment horizontal="center" vertical="center" wrapText="1"/>
    </xf>
    <xf numFmtId="14" fontId="29" fillId="19" borderId="1" xfId="0" applyNumberFormat="1" applyFont="1" applyFill="1" applyBorder="1" applyAlignment="1">
      <alignment horizontal="center" vertical="center" wrapText="1"/>
    </xf>
    <xf numFmtId="0" fontId="29" fillId="19" borderId="1" xfId="0" applyFont="1" applyFill="1" applyBorder="1" applyAlignment="1">
      <alignment horizontal="left" vertical="center" wrapText="1"/>
    </xf>
    <xf numFmtId="0" fontId="29" fillId="19" borderId="1" xfId="0" applyFont="1" applyFill="1" applyBorder="1" applyAlignment="1">
      <alignment horizontal="center" vertical="center" wrapText="1"/>
    </xf>
    <xf numFmtId="16" fontId="0" fillId="0" borderId="0" xfId="0" applyNumberFormat="1"/>
    <xf numFmtId="14" fontId="0" fillId="0" borderId="1" xfId="0" applyNumberFormat="1" applyBorder="1" applyAlignment="1">
      <alignment horizontal="left"/>
    </xf>
    <xf numFmtId="14" fontId="0" fillId="0" borderId="1" xfId="0" applyNumberFormat="1" applyBorder="1" applyAlignment="1">
      <alignment wrapText="1"/>
    </xf>
    <xf numFmtId="0" fontId="0" fillId="0" borderId="1" xfId="0" applyBorder="1" applyAlignment="1">
      <alignment horizontal="center" vertical="center"/>
    </xf>
    <xf numFmtId="0" fontId="0" fillId="0" borderId="29" xfId="0" applyBorder="1" applyAlignment="1">
      <alignment horizontal="center"/>
    </xf>
    <xf numFmtId="0" fontId="0" fillId="0" borderId="26" xfId="0" applyBorder="1"/>
    <xf numFmtId="0" fontId="0" fillId="0" borderId="30" xfId="0" applyBorder="1" applyAlignment="1">
      <alignment horizontal="center"/>
    </xf>
    <xf numFmtId="0" fontId="0" fillId="0" borderId="31" xfId="0" applyBorder="1"/>
    <xf numFmtId="0" fontId="0" fillId="0" borderId="27" xfId="0" applyBorder="1"/>
    <xf numFmtId="0" fontId="0" fillId="0" borderId="28" xfId="0" applyBorder="1"/>
    <xf numFmtId="0" fontId="0" fillId="0" borderId="29" xfId="0" applyBorder="1"/>
    <xf numFmtId="0" fontId="0" fillId="0" borderId="30" xfId="0" applyBorder="1"/>
    <xf numFmtId="2" fontId="0" fillId="0" borderId="31" xfId="0" applyNumberFormat="1" applyBorder="1"/>
    <xf numFmtId="0" fontId="0" fillId="0" borderId="32" xfId="0" applyBorder="1" applyAlignment="1">
      <alignment horizontal="center"/>
    </xf>
    <xf numFmtId="0" fontId="0" fillId="0" borderId="33" xfId="0" applyBorder="1"/>
    <xf numFmtId="0" fontId="2" fillId="0" borderId="34" xfId="0" applyFont="1" applyBorder="1" applyAlignment="1">
      <alignment horizontal="center" vertical="center"/>
    </xf>
    <xf numFmtId="0" fontId="2" fillId="0" borderId="35" xfId="0" applyFont="1" applyBorder="1" applyAlignment="1">
      <alignment horizontal="center" vertical="center"/>
    </xf>
    <xf numFmtId="0" fontId="2" fillId="0" borderId="36" xfId="0" applyFont="1" applyBorder="1" applyAlignment="1">
      <alignment horizontal="center" vertical="center"/>
    </xf>
    <xf numFmtId="0" fontId="3" fillId="19" borderId="2" xfId="2" applyFill="1" applyBorder="1" applyAlignment="1">
      <alignment horizontal="center" vertical="center" wrapText="1"/>
    </xf>
    <xf numFmtId="14" fontId="29" fillId="19" borderId="2" xfId="0" applyNumberFormat="1" applyFont="1" applyFill="1" applyBorder="1" applyAlignment="1">
      <alignment horizontal="center" vertical="center" wrapText="1"/>
    </xf>
    <xf numFmtId="0" fontId="29" fillId="19" borderId="2" xfId="0" applyFont="1" applyFill="1" applyBorder="1" applyAlignment="1">
      <alignment horizontal="left" vertical="center" wrapText="1"/>
    </xf>
    <xf numFmtId="0" fontId="29" fillId="19" borderId="2" xfId="0" applyFont="1" applyFill="1" applyBorder="1" applyAlignment="1">
      <alignment horizontal="center" vertical="center" wrapText="1"/>
    </xf>
    <xf numFmtId="0" fontId="12" fillId="4" borderId="1" xfId="0" applyNumberFormat="1" applyFont="1" applyFill="1" applyBorder="1" applyAlignment="1">
      <alignment horizontal="center"/>
    </xf>
    <xf numFmtId="0" fontId="0" fillId="0" borderId="0" xfId="0" applyAlignment="1">
      <alignment horizontal="left"/>
    </xf>
    <xf numFmtId="0" fontId="13" fillId="0" borderId="1" xfId="0" applyFont="1" applyFill="1" applyBorder="1" applyAlignment="1">
      <alignment horizontal="center"/>
    </xf>
    <xf numFmtId="14" fontId="13" fillId="0" borderId="1" xfId="0" applyNumberFormat="1" applyFont="1" applyFill="1" applyBorder="1" applyAlignment="1">
      <alignment horizontal="center"/>
    </xf>
    <xf numFmtId="3" fontId="13" fillId="0" borderId="1" xfId="0" applyNumberFormat="1" applyFont="1" applyFill="1" applyBorder="1" applyAlignment="1">
      <alignment horizontal="center"/>
    </xf>
    <xf numFmtId="0" fontId="13" fillId="0" borderId="1" xfId="0" applyFont="1" applyFill="1" applyBorder="1" applyAlignment="1">
      <alignment horizontal="center" wrapText="1"/>
    </xf>
    <xf numFmtId="0" fontId="13" fillId="0" borderId="1" xfId="0" applyFont="1" applyFill="1" applyBorder="1" applyAlignment="1">
      <alignment horizontal="left"/>
    </xf>
    <xf numFmtId="0" fontId="13" fillId="0" borderId="0" xfId="0" applyFont="1" applyFill="1" applyAlignment="1">
      <alignment horizontal="center"/>
    </xf>
    <xf numFmtId="0" fontId="2" fillId="0" borderId="1" xfId="0" applyFont="1" applyBorder="1" applyAlignment="1">
      <alignment horizontal="center" vertical="center" wrapText="1"/>
    </xf>
    <xf numFmtId="0" fontId="0" fillId="0" borderId="7" xfId="0" applyFill="1" applyBorder="1"/>
    <xf numFmtId="0" fontId="4" fillId="0" borderId="4" xfId="0" applyFont="1" applyBorder="1" applyAlignment="1">
      <alignment horizontal="center" vertical="center"/>
    </xf>
    <xf numFmtId="0" fontId="4" fillId="0" borderId="4" xfId="0" applyFont="1" applyBorder="1" applyAlignment="1">
      <alignment horizontal="center" wrapText="1"/>
    </xf>
    <xf numFmtId="0" fontId="4" fillId="0" borderId="6" xfId="0" applyFont="1" applyBorder="1" applyAlignment="1">
      <alignment horizontal="center"/>
    </xf>
    <xf numFmtId="0" fontId="4" fillId="0" borderId="5" xfId="0" applyFont="1" applyBorder="1" applyAlignment="1">
      <alignment horizontal="center"/>
    </xf>
    <xf numFmtId="0" fontId="4" fillId="0" borderId="6" xfId="0" applyFont="1" applyBorder="1" applyAlignment="1">
      <alignment horizontal="center" wrapText="1"/>
    </xf>
    <xf numFmtId="0" fontId="4" fillId="0" borderId="3" xfId="0" applyFont="1" applyBorder="1" applyAlignment="1">
      <alignment horizontal="center"/>
    </xf>
    <xf numFmtId="0" fontId="0" fillId="0" borderId="0" xfId="0"/>
    <xf numFmtId="0" fontId="30" fillId="10" borderId="37" xfId="0" applyFont="1" applyFill="1" applyBorder="1" applyAlignment="1">
      <alignment horizontal="center" vertical="center"/>
    </xf>
    <xf numFmtId="14" fontId="25" fillId="0" borderId="38" xfId="0" applyNumberFormat="1" applyFont="1" applyFill="1" applyBorder="1" applyAlignment="1">
      <alignment horizontal="center" vertical="center"/>
    </xf>
    <xf numFmtId="44" fontId="10" fillId="20" borderId="2" xfId="1" applyFont="1" applyFill="1" applyBorder="1" applyAlignment="1">
      <alignment horizontal="center" vertical="center" wrapText="1"/>
    </xf>
    <xf numFmtId="3" fontId="10" fillId="4" borderId="1" xfId="0" applyNumberFormat="1" applyFont="1" applyFill="1" applyBorder="1" applyAlignment="1">
      <alignment horizontal="center"/>
    </xf>
    <xf numFmtId="44" fontId="10" fillId="5" borderId="2" xfId="1" applyFont="1" applyFill="1" applyBorder="1" applyAlignment="1">
      <alignment horizontal="center" vertical="center" wrapText="1"/>
    </xf>
    <xf numFmtId="0" fontId="13" fillId="5" borderId="1" xfId="0" applyFont="1" applyFill="1" applyBorder="1" applyAlignment="1">
      <alignment horizontal="center"/>
    </xf>
    <xf numFmtId="44" fontId="10" fillId="5" borderId="1" xfId="1" applyFont="1" applyFill="1" applyBorder="1" applyAlignment="1">
      <alignment horizontal="center" vertical="center" wrapText="1"/>
    </xf>
    <xf numFmtId="14" fontId="13" fillId="5" borderId="1" xfId="0" applyNumberFormat="1" applyFont="1" applyFill="1" applyBorder="1" applyAlignment="1">
      <alignment horizontal="center"/>
    </xf>
    <xf numFmtId="0" fontId="0" fillId="5" borderId="1" xfId="0" applyFill="1" applyBorder="1"/>
    <xf numFmtId="14" fontId="0" fillId="0" borderId="1" xfId="0" applyNumberFormat="1" applyBorder="1"/>
    <xf numFmtId="0" fontId="13" fillId="0" borderId="1" xfId="0" applyFont="1" applyFill="1" applyBorder="1" applyAlignment="1">
      <alignment horizontal="center" vertical="center"/>
    </xf>
    <xf numFmtId="0" fontId="0" fillId="0" borderId="0" xfId="0" applyAlignment="1">
      <alignment horizontal="left"/>
    </xf>
    <xf numFmtId="44" fontId="10" fillId="4" borderId="2" xfId="1" applyFont="1" applyFill="1" applyBorder="1" applyAlignment="1">
      <alignment horizontal="center" vertical="center" wrapText="1"/>
    </xf>
    <xf numFmtId="44" fontId="10" fillId="21" borderId="1" xfId="1" applyFont="1" applyFill="1" applyBorder="1" applyAlignment="1">
      <alignment horizontal="center" vertical="center" wrapText="1"/>
    </xf>
    <xf numFmtId="0" fontId="0" fillId="0" borderId="0" xfId="0" pivotButton="1"/>
    <xf numFmtId="0" fontId="0" fillId="0" borderId="0" xfId="0" applyNumberFormat="1"/>
    <xf numFmtId="0" fontId="6" fillId="0" borderId="1" xfId="0" applyFont="1" applyFill="1" applyBorder="1" applyAlignment="1"/>
    <xf numFmtId="0" fontId="7" fillId="0" borderId="1" xfId="0" applyFont="1" applyBorder="1" applyAlignment="1"/>
    <xf numFmtId="0" fontId="6" fillId="0" borderId="1" xfId="0" applyFont="1" applyBorder="1" applyAlignment="1"/>
    <xf numFmtId="0" fontId="6" fillId="8" borderId="1" xfId="0" applyFont="1" applyFill="1" applyBorder="1" applyAlignment="1"/>
    <xf numFmtId="0" fontId="31" fillId="22" borderId="1" xfId="0" applyFont="1" applyFill="1" applyBorder="1" applyAlignment="1">
      <alignment horizontal="center"/>
    </xf>
    <xf numFmtId="17" fontId="31" fillId="22" borderId="1" xfId="0" applyNumberFormat="1" applyFont="1" applyFill="1" applyBorder="1" applyAlignment="1">
      <alignment horizontal="center"/>
    </xf>
    <xf numFmtId="0" fontId="6" fillId="0" borderId="1" xfId="0" applyFont="1" applyFill="1" applyBorder="1" applyAlignment="1">
      <alignment horizontal="center"/>
    </xf>
    <xf numFmtId="0" fontId="6" fillId="8" borderId="1" xfId="0" applyNumberFormat="1" applyFont="1" applyFill="1" applyBorder="1" applyAlignment="1">
      <alignment horizontal="center"/>
    </xf>
    <xf numFmtId="0" fontId="6" fillId="9" borderId="1" xfId="0" applyNumberFormat="1" applyFont="1" applyFill="1" applyBorder="1" applyAlignment="1">
      <alignment horizontal="center"/>
    </xf>
    <xf numFmtId="0" fontId="6" fillId="0" borderId="1" xfId="0" applyNumberFormat="1" applyFont="1" applyFill="1" applyBorder="1" applyAlignment="1">
      <alignment horizontal="center"/>
    </xf>
    <xf numFmtId="3" fontId="7" fillId="0" borderId="1" xfId="0" applyNumberFormat="1" applyFont="1" applyFill="1" applyBorder="1" applyAlignment="1">
      <alignment horizontal="center"/>
    </xf>
    <xf numFmtId="3" fontId="7" fillId="9" borderId="1" xfId="0" applyNumberFormat="1" applyFont="1" applyFill="1" applyBorder="1" applyAlignment="1">
      <alignment horizontal="center"/>
    </xf>
    <xf numFmtId="0" fontId="6" fillId="9" borderId="1" xfId="0" applyFont="1" applyFill="1" applyBorder="1" applyAlignment="1">
      <alignment horizontal="center"/>
    </xf>
    <xf numFmtId="0" fontId="7" fillId="0" borderId="1" xfId="0" applyFont="1" applyBorder="1" applyAlignment="1">
      <alignment horizontal="center"/>
    </xf>
    <xf numFmtId="3" fontId="7" fillId="0" borderId="1" xfId="0" applyNumberFormat="1" applyFont="1" applyBorder="1" applyAlignment="1">
      <alignment horizontal="center"/>
    </xf>
    <xf numFmtId="0" fontId="6" fillId="0" borderId="1" xfId="0" applyFont="1" applyBorder="1" applyAlignment="1">
      <alignment horizontal="center"/>
    </xf>
    <xf numFmtId="0" fontId="6" fillId="6" borderId="1" xfId="0" applyFont="1" applyFill="1" applyBorder="1"/>
    <xf numFmtId="3" fontId="6" fillId="0" borderId="1" xfId="0" applyNumberFormat="1" applyFont="1" applyBorder="1" applyAlignment="1">
      <alignment horizontal="center"/>
    </xf>
    <xf numFmtId="3" fontId="6" fillId="8" borderId="1" xfId="0" applyNumberFormat="1" applyFont="1" applyFill="1" applyBorder="1" applyAlignment="1">
      <alignment horizontal="center"/>
    </xf>
    <xf numFmtId="3" fontId="6" fillId="9" borderId="1" xfId="0" applyNumberFormat="1" applyFont="1" applyFill="1" applyBorder="1" applyAlignment="1">
      <alignment horizontal="center"/>
    </xf>
    <xf numFmtId="0" fontId="32" fillId="8" borderId="1" xfId="0" applyFont="1" applyFill="1" applyBorder="1" applyAlignment="1"/>
    <xf numFmtId="3" fontId="32" fillId="8" borderId="1" xfId="0" applyNumberFormat="1" applyFont="1" applyFill="1" applyBorder="1" applyAlignment="1">
      <alignment horizontal="center"/>
    </xf>
    <xf numFmtId="3" fontId="32" fillId="9" borderId="1" xfId="0" applyNumberFormat="1" applyFont="1" applyFill="1" applyBorder="1" applyAlignment="1">
      <alignment horizontal="center"/>
    </xf>
    <xf numFmtId="0" fontId="6" fillId="9" borderId="1" xfId="0" applyFont="1" applyFill="1" applyBorder="1" applyAlignment="1"/>
    <xf numFmtId="9" fontId="6" fillId="9" borderId="1" xfId="3" applyFont="1" applyFill="1" applyBorder="1" applyAlignment="1">
      <alignment horizontal="center"/>
    </xf>
    <xf numFmtId="0" fontId="33" fillId="0" borderId="1" xfId="0" applyNumberFormat="1" applyFont="1" applyFill="1" applyBorder="1" applyAlignment="1">
      <alignment horizontal="center"/>
    </xf>
    <xf numFmtId="1" fontId="33" fillId="0" borderId="1" xfId="0" applyNumberFormat="1" applyFont="1" applyBorder="1" applyAlignment="1">
      <alignment horizontal="center"/>
    </xf>
    <xf numFmtId="0" fontId="33" fillId="0" borderId="1" xfId="0" applyFont="1" applyBorder="1" applyAlignment="1">
      <alignment horizontal="center"/>
    </xf>
    <xf numFmtId="0" fontId="6" fillId="0" borderId="1" xfId="0" applyFont="1" applyBorder="1" applyAlignment="1">
      <alignment horizontal="left"/>
    </xf>
    <xf numFmtId="0" fontId="6" fillId="0" borderId="1" xfId="0" applyNumberFormat="1" applyFont="1" applyBorder="1" applyAlignment="1">
      <alignment horizontal="center"/>
    </xf>
    <xf numFmtId="9" fontId="6" fillId="0" borderId="1" xfId="3" applyFont="1" applyBorder="1" applyAlignment="1">
      <alignment horizontal="center"/>
    </xf>
    <xf numFmtId="9" fontId="33" fillId="0" borderId="1" xfId="3" applyFont="1" applyBorder="1" applyAlignment="1">
      <alignment horizontal="center"/>
    </xf>
    <xf numFmtId="0" fontId="34" fillId="6" borderId="1" xfId="0" applyFont="1" applyFill="1" applyBorder="1" applyAlignment="1">
      <alignment horizontal="center"/>
    </xf>
    <xf numFmtId="0" fontId="6" fillId="6" borderId="1" xfId="0" applyFont="1" applyFill="1" applyBorder="1" applyAlignment="1">
      <alignment horizontal="center"/>
    </xf>
    <xf numFmtId="0" fontId="6" fillId="6" borderId="2" xfId="0" applyFont="1" applyFill="1" applyBorder="1"/>
    <xf numFmtId="0" fontId="6" fillId="9" borderId="2" xfId="0" applyFont="1" applyFill="1" applyBorder="1" applyAlignment="1"/>
    <xf numFmtId="9" fontId="6" fillId="9" borderId="2" xfId="3" applyFont="1" applyFill="1" applyBorder="1" applyAlignment="1">
      <alignment horizontal="center"/>
    </xf>
    <xf numFmtId="0" fontId="6" fillId="0" borderId="0" xfId="0" applyFont="1" applyFill="1" applyBorder="1"/>
    <xf numFmtId="0" fontId="6" fillId="0" borderId="0" xfId="0" applyFont="1" applyFill="1" applyBorder="1" applyAlignment="1">
      <alignment horizontal="center"/>
    </xf>
    <xf numFmtId="0" fontId="33" fillId="0" borderId="0" xfId="0" applyFont="1" applyBorder="1" applyAlignment="1">
      <alignment horizontal="center"/>
    </xf>
    <xf numFmtId="0" fontId="6" fillId="0" borderId="0" xfId="0" applyFont="1" applyBorder="1" applyAlignment="1">
      <alignment horizontal="center"/>
    </xf>
    <xf numFmtId="0" fontId="33" fillId="0" borderId="0" xfId="0" applyNumberFormat="1" applyFont="1" applyFill="1" applyBorder="1" applyAlignment="1">
      <alignment horizontal="center"/>
    </xf>
    <xf numFmtId="0" fontId="33" fillId="0" borderId="0" xfId="0" applyFont="1" applyBorder="1" applyAlignment="1">
      <alignment horizontal="center" vertical="center"/>
    </xf>
    <xf numFmtId="0" fontId="6" fillId="0" borderId="0" xfId="0" applyFont="1" applyBorder="1" applyAlignment="1">
      <alignment horizontal="left"/>
    </xf>
    <xf numFmtId="0" fontId="6" fillId="0" borderId="0" xfId="0" applyNumberFormat="1" applyFont="1" applyBorder="1" applyAlignment="1">
      <alignment horizontal="center"/>
    </xf>
    <xf numFmtId="9" fontId="35" fillId="0" borderId="1" xfId="3" applyFont="1" applyFill="1" applyBorder="1" applyAlignment="1">
      <alignment horizontal="center"/>
    </xf>
    <xf numFmtId="9" fontId="35" fillId="0" borderId="1" xfId="3" applyFont="1" applyBorder="1" applyAlignment="1">
      <alignment horizontal="center"/>
    </xf>
    <xf numFmtId="0" fontId="33" fillId="4" borderId="1" xfId="0" applyFont="1" applyFill="1" applyBorder="1" applyAlignment="1">
      <alignment horizontal="center"/>
    </xf>
    <xf numFmtId="0" fontId="35" fillId="16" borderId="1" xfId="0" applyNumberFormat="1" applyFont="1" applyFill="1" applyBorder="1" applyAlignment="1">
      <alignment horizontal="center"/>
    </xf>
    <xf numFmtId="1" fontId="35" fillId="0" borderId="1" xfId="0" applyNumberFormat="1" applyFont="1" applyFill="1" applyBorder="1" applyAlignment="1">
      <alignment horizontal="center"/>
    </xf>
    <xf numFmtId="1" fontId="35" fillId="16" borderId="1" xfId="0" applyNumberFormat="1" applyFont="1" applyFill="1" applyBorder="1" applyAlignment="1">
      <alignment horizontal="center"/>
    </xf>
    <xf numFmtId="0" fontId="31" fillId="23" borderId="1" xfId="0" applyFont="1" applyFill="1" applyBorder="1" applyAlignment="1"/>
    <xf numFmtId="3" fontId="0" fillId="0" borderId="0" xfId="0" applyNumberFormat="1"/>
    <xf numFmtId="9" fontId="0" fillId="0" borderId="0" xfId="3" applyFont="1"/>
    <xf numFmtId="0" fontId="34" fillId="6" borderId="2" xfId="0" applyFont="1" applyFill="1" applyBorder="1" applyAlignment="1">
      <alignment horizontal="center"/>
    </xf>
    <xf numFmtId="0" fontId="6" fillId="6" borderId="3" xfId="0" applyFont="1" applyFill="1" applyBorder="1"/>
    <xf numFmtId="0" fontId="34" fillId="6" borderId="3" xfId="0" applyFont="1" applyFill="1" applyBorder="1" applyAlignment="1">
      <alignment horizontal="center"/>
    </xf>
    <xf numFmtId="0" fontId="36" fillId="6" borderId="1" xfId="0" applyFont="1" applyFill="1" applyBorder="1" applyAlignment="1"/>
    <xf numFmtId="0" fontId="33" fillId="0" borderId="1" xfId="0" quotePrefix="1" applyFont="1" applyBorder="1" applyAlignment="1">
      <alignment horizontal="center"/>
    </xf>
    <xf numFmtId="3" fontId="33" fillId="16" borderId="1" xfId="0" applyNumberFormat="1" applyFont="1" applyFill="1" applyBorder="1" applyAlignment="1">
      <alignment horizontal="center"/>
    </xf>
    <xf numFmtId="3" fontId="33" fillId="8" borderId="1" xfId="0" applyNumberFormat="1" applyFont="1" applyFill="1" applyBorder="1" applyAlignment="1">
      <alignment horizontal="center"/>
    </xf>
    <xf numFmtId="0" fontId="0" fillId="0" borderId="1" xfId="0" applyBorder="1" applyAlignment="1">
      <alignment horizontal="left" indent="1"/>
    </xf>
    <xf numFmtId="3" fontId="6" fillId="6" borderId="1" xfId="0" applyNumberFormat="1" applyFont="1" applyFill="1" applyBorder="1" applyAlignment="1">
      <alignment horizontal="center"/>
    </xf>
    <xf numFmtId="0" fontId="6" fillId="8" borderId="1" xfId="0" applyFont="1" applyFill="1" applyBorder="1" applyAlignment="1">
      <alignment wrapText="1"/>
    </xf>
    <xf numFmtId="0" fontId="33" fillId="0" borderId="2" xfId="0" applyFont="1" applyBorder="1" applyAlignment="1">
      <alignment horizontal="center"/>
    </xf>
    <xf numFmtId="3" fontId="35" fillId="16" borderId="1" xfId="0" applyNumberFormat="1" applyFont="1" applyFill="1" applyBorder="1" applyAlignment="1">
      <alignment horizontal="center"/>
    </xf>
    <xf numFmtId="0" fontId="0" fillId="0" borderId="0" xfId="0" applyAlignment="1">
      <alignment horizontal="left"/>
    </xf>
    <xf numFmtId="0" fontId="0" fillId="0" borderId="0" xfId="0" applyAlignment="1">
      <alignment wrapText="1"/>
    </xf>
    <xf numFmtId="0" fontId="2" fillId="4" borderId="1" xfId="0" applyFont="1" applyFill="1" applyBorder="1" applyAlignment="1">
      <alignment horizontal="center"/>
    </xf>
    <xf numFmtId="16" fontId="0" fillId="0" borderId="1" xfId="0" applyNumberFormat="1" applyBorder="1"/>
    <xf numFmtId="0" fontId="38" fillId="24" borderId="1" xfId="0" applyFont="1" applyFill="1" applyBorder="1" applyAlignment="1">
      <alignment horizontal="center" vertical="center" wrapText="1"/>
    </xf>
    <xf numFmtId="166" fontId="38" fillId="20" borderId="1" xfId="0" applyNumberFormat="1" applyFont="1" applyFill="1" applyBorder="1" applyAlignment="1">
      <alignment horizontal="center" vertical="center" wrapText="1"/>
    </xf>
    <xf numFmtId="167" fontId="38" fillId="24" borderId="1" xfId="0" applyNumberFormat="1" applyFont="1" applyFill="1" applyBorder="1" applyAlignment="1">
      <alignment horizontal="center" vertical="center" wrapText="1"/>
    </xf>
    <xf numFmtId="0" fontId="38" fillId="10" borderId="1" xfId="0" applyFont="1" applyFill="1" applyBorder="1" applyAlignment="1">
      <alignment horizontal="center" vertical="center" wrapText="1"/>
    </xf>
    <xf numFmtId="0" fontId="38" fillId="24" borderId="1" xfId="0" applyNumberFormat="1" applyFont="1" applyFill="1" applyBorder="1" applyAlignment="1">
      <alignment horizontal="center" vertical="center" wrapText="1"/>
    </xf>
    <xf numFmtId="166" fontId="37" fillId="25" borderId="1" xfId="0" applyNumberFormat="1" applyFont="1" applyFill="1" applyBorder="1" applyAlignment="1">
      <alignment horizontal="center" vertical="center" wrapText="1"/>
    </xf>
    <xf numFmtId="14" fontId="14" fillId="0" borderId="1" xfId="0" applyNumberFormat="1" applyFont="1" applyFill="1" applyBorder="1" applyAlignment="1">
      <alignment horizontal="center" vertical="center" wrapText="1"/>
    </xf>
    <xf numFmtId="1" fontId="39" fillId="0" borderId="1" xfId="0" applyNumberFormat="1" applyFont="1" applyFill="1" applyBorder="1" applyAlignment="1">
      <alignment horizontal="center" vertical="center" wrapText="1"/>
    </xf>
    <xf numFmtId="167" fontId="39" fillId="0" borderId="1" xfId="0" applyNumberFormat="1" applyFont="1" applyFill="1" applyBorder="1" applyAlignment="1">
      <alignment horizontal="left" vertical="center" wrapText="1"/>
    </xf>
    <xf numFmtId="49" fontId="39" fillId="0" borderId="1" xfId="0" applyNumberFormat="1" applyFont="1" applyFill="1" applyBorder="1" applyAlignment="1">
      <alignment horizontal="left" vertical="center" wrapText="1"/>
    </xf>
    <xf numFmtId="169" fontId="39" fillId="0" borderId="1" xfId="0" applyNumberFormat="1" applyFont="1" applyFill="1" applyBorder="1" applyAlignment="1">
      <alignment horizontal="left" vertical="center" wrapText="1"/>
    </xf>
    <xf numFmtId="168" fontId="39" fillId="0" borderId="1" xfId="0" applyNumberFormat="1" applyFont="1" applyFill="1" applyBorder="1" applyAlignment="1">
      <alignment horizontal="center" vertical="center" wrapText="1"/>
    </xf>
    <xf numFmtId="167" fontId="39" fillId="0" borderId="1" xfId="0" applyNumberFormat="1" applyFont="1" applyFill="1" applyBorder="1" applyAlignment="1">
      <alignment horizontal="center" vertical="center" wrapText="1"/>
    </xf>
    <xf numFmtId="0" fontId="39" fillId="3" borderId="1" xfId="0" applyFont="1" applyFill="1" applyBorder="1" applyAlignment="1">
      <alignment horizontal="left" vertical="center" wrapText="1"/>
    </xf>
    <xf numFmtId="0" fontId="0" fillId="0" borderId="0" xfId="0" applyAlignment="1">
      <alignment horizontal="center" wrapText="1"/>
    </xf>
    <xf numFmtId="0" fontId="0" fillId="0" borderId="0" xfId="0" applyAlignment="1">
      <alignment horizontal="center" vertical="center" wrapText="1"/>
    </xf>
    <xf numFmtId="0" fontId="39" fillId="0" borderId="1" xfId="0" applyFont="1" applyFill="1" applyBorder="1" applyAlignment="1">
      <alignment horizontal="center" vertical="center" wrapText="1"/>
    </xf>
    <xf numFmtId="0" fontId="39" fillId="0" borderId="1" xfId="0" applyFont="1" applyFill="1" applyBorder="1" applyAlignment="1">
      <alignment horizontal="left" vertical="center" wrapText="1"/>
    </xf>
    <xf numFmtId="14" fontId="39" fillId="3" borderId="1" xfId="0" applyNumberFormat="1" applyFont="1" applyFill="1" applyBorder="1" applyAlignment="1">
      <alignment horizontal="center" vertical="center" wrapText="1"/>
    </xf>
    <xf numFmtId="169" fontId="39" fillId="0" borderId="1" xfId="0" applyNumberFormat="1" applyFont="1" applyFill="1" applyBorder="1" applyAlignment="1">
      <alignment horizontal="center" vertical="center" wrapText="1"/>
    </xf>
    <xf numFmtId="169" fontId="39" fillId="0" borderId="2" xfId="0" applyNumberFormat="1" applyFont="1" applyFill="1" applyBorder="1" applyAlignment="1">
      <alignment horizontal="left" vertical="center" wrapText="1"/>
    </xf>
    <xf numFmtId="0" fontId="2" fillId="0" borderId="4" xfId="0" applyFont="1" applyBorder="1" applyAlignment="1">
      <alignment horizontal="center" vertical="center" wrapText="1"/>
    </xf>
    <xf numFmtId="169" fontId="39" fillId="0" borderId="2" xfId="0" applyNumberFormat="1" applyFont="1" applyFill="1" applyBorder="1" applyAlignment="1">
      <alignment horizontal="center" vertical="center" wrapText="1"/>
    </xf>
    <xf numFmtId="169" fontId="15" fillId="0" borderId="6" xfId="0" applyNumberFormat="1" applyFont="1" applyFill="1" applyBorder="1" applyAlignment="1">
      <alignment horizontal="left" vertical="center" wrapText="1"/>
    </xf>
    <xf numFmtId="0" fontId="0" fillId="0" borderId="0" xfId="0" applyAlignment="1">
      <alignment wrapText="1"/>
    </xf>
    <xf numFmtId="0" fontId="0" fillId="0" borderId="0" xfId="0" applyAlignment="1">
      <alignment wrapText="1"/>
    </xf>
    <xf numFmtId="0" fontId="0" fillId="0" borderId="0" xfId="0" applyAlignment="1">
      <alignment horizontal="center" wrapText="1"/>
    </xf>
    <xf numFmtId="0" fontId="0" fillId="0" borderId="0" xfId="0" applyAlignment="1">
      <alignment horizontal="left"/>
    </xf>
    <xf numFmtId="0" fontId="12" fillId="26" borderId="1" xfId="0" applyNumberFormat="1" applyFont="1" applyFill="1" applyBorder="1" applyAlignment="1">
      <alignment horizontal="center"/>
    </xf>
    <xf numFmtId="0" fontId="25" fillId="0" borderId="1" xfId="0" applyFont="1" applyFill="1" applyBorder="1" applyAlignment="1">
      <alignment horizontal="center"/>
    </xf>
    <xf numFmtId="0" fontId="40" fillId="0" borderId="1" xfId="0" applyFont="1" applyBorder="1" applyAlignment="1">
      <alignment horizontal="center"/>
    </xf>
    <xf numFmtId="0" fontId="25" fillId="0" borderId="1" xfId="0" applyFont="1" applyFill="1" applyBorder="1"/>
    <xf numFmtId="14" fontId="0" fillId="0" borderId="1" xfId="0" applyNumberFormat="1" applyBorder="1" applyAlignment="1">
      <alignment horizontal="center"/>
    </xf>
    <xf numFmtId="0" fontId="0" fillId="0" borderId="1" xfId="0" applyBorder="1" applyAlignment="1">
      <alignment wrapText="1"/>
    </xf>
    <xf numFmtId="14" fontId="25" fillId="0" borderId="1" xfId="0" applyNumberFormat="1" applyFont="1" applyFill="1" applyBorder="1" applyAlignment="1">
      <alignment horizontal="center" vertical="center"/>
    </xf>
    <xf numFmtId="14" fontId="25" fillId="0" borderId="1" xfId="0" applyNumberFormat="1" applyFont="1" applyFill="1" applyBorder="1" applyAlignment="1">
      <alignment horizontal="center"/>
    </xf>
    <xf numFmtId="0" fontId="30" fillId="0" borderId="39" xfId="0" applyFont="1" applyBorder="1" applyAlignment="1">
      <alignment horizontal="center"/>
    </xf>
    <xf numFmtId="0" fontId="33" fillId="0" borderId="1" xfId="0" applyFont="1" applyBorder="1" applyAlignment="1">
      <alignment horizontal="center" vertical="center"/>
    </xf>
    <xf numFmtId="0" fontId="33" fillId="0" borderId="1" xfId="0" applyFont="1" applyBorder="1" applyAlignment="1">
      <alignment horizontal="center" vertical="center" wrapText="1"/>
    </xf>
    <xf numFmtId="0" fontId="6" fillId="0" borderId="1" xfId="0" applyFont="1" applyBorder="1" applyAlignment="1">
      <alignment horizontal="center" vertical="center"/>
    </xf>
    <xf numFmtId="0" fontId="6" fillId="0" borderId="1" xfId="0" applyFont="1" applyBorder="1" applyAlignment="1">
      <alignment horizontal="center" vertical="center" wrapText="1"/>
    </xf>
    <xf numFmtId="0" fontId="33" fillId="0" borderId="2" xfId="0" applyFont="1" applyBorder="1" applyAlignment="1">
      <alignment horizontal="center" vertical="center" wrapText="1"/>
    </xf>
    <xf numFmtId="0" fontId="33" fillId="0" borderId="7" xfId="0" applyFont="1"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left" vertical="center"/>
    </xf>
    <xf numFmtId="0" fontId="2" fillId="0" borderId="1" xfId="0" applyFont="1" applyFill="1" applyBorder="1" applyAlignment="1">
      <alignment horizontal="center" vertical="center" wrapText="1"/>
    </xf>
    <xf numFmtId="0" fontId="0" fillId="0" borderId="4" xfId="0" applyBorder="1" applyAlignment="1">
      <alignment horizontal="left" wrapText="1"/>
    </xf>
    <xf numFmtId="0" fontId="0" fillId="0" borderId="5" xfId="0" applyBorder="1" applyAlignment="1">
      <alignment horizontal="left"/>
    </xf>
    <xf numFmtId="0" fontId="0" fillId="0" borderId="6" xfId="0" applyBorder="1" applyAlignment="1">
      <alignment horizontal="left"/>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1" xfId="0" applyBorder="1" applyAlignment="1">
      <alignment horizontal="left"/>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2" fillId="0" borderId="9" xfId="0" applyFont="1" applyBorder="1" applyAlignment="1">
      <alignment horizontal="center" vertical="center" wrapText="1"/>
    </xf>
    <xf numFmtId="0" fontId="2" fillId="0" borderId="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0" fillId="15" borderId="4" xfId="0" applyFill="1" applyBorder="1" applyAlignment="1">
      <alignment horizontal="center"/>
    </xf>
    <xf numFmtId="0" fontId="0" fillId="15" borderId="6" xfId="0" applyFill="1" applyBorder="1" applyAlignment="1">
      <alignment horizontal="center"/>
    </xf>
    <xf numFmtId="0" fontId="2" fillId="16" borderId="9" xfId="0" applyFont="1" applyFill="1" applyBorder="1" applyAlignment="1">
      <alignment horizontal="center" vertical="center"/>
    </xf>
    <xf numFmtId="0" fontId="2" fillId="16" borderId="8" xfId="0" applyFont="1" applyFill="1" applyBorder="1" applyAlignment="1">
      <alignment horizontal="center" vertical="center"/>
    </xf>
    <xf numFmtId="0" fontId="2" fillId="16" borderId="16" xfId="0" applyFont="1" applyFill="1" applyBorder="1" applyAlignment="1">
      <alignment horizontal="center" vertical="center"/>
    </xf>
    <xf numFmtId="0" fontId="2" fillId="16" borderId="17" xfId="0" applyFont="1" applyFill="1" applyBorder="1" applyAlignment="1">
      <alignment horizontal="center" vertical="center"/>
    </xf>
    <xf numFmtId="0" fontId="2" fillId="16" borderId="1" xfId="0" applyFont="1" applyFill="1" applyBorder="1" applyAlignment="1">
      <alignment horizontal="center" vertical="center"/>
    </xf>
    <xf numFmtId="0" fontId="2" fillId="0" borderId="1" xfId="0" applyFont="1" applyBorder="1" applyAlignment="1">
      <alignment horizontal="center" vertical="center" wrapText="1"/>
    </xf>
    <xf numFmtId="0" fontId="2" fillId="16" borderId="6" xfId="0" applyFont="1" applyFill="1" applyBorder="1" applyAlignment="1">
      <alignment horizontal="center" vertical="center"/>
    </xf>
    <xf numFmtId="0" fontId="23" fillId="0" borderId="0" xfId="0" applyFont="1" applyAlignment="1">
      <alignment horizontal="center"/>
    </xf>
    <xf numFmtId="0" fontId="0" fillId="0" borderId="0" xfId="0" applyAlignment="1">
      <alignment horizontal="left" vertical="center"/>
    </xf>
    <xf numFmtId="0" fontId="21" fillId="0" borderId="0" xfId="0" applyFont="1" applyAlignment="1">
      <alignment horizontal="center"/>
    </xf>
    <xf numFmtId="0" fontId="21" fillId="0" borderId="0" xfId="0" applyFont="1" applyAlignment="1">
      <alignment horizontal="left"/>
    </xf>
    <xf numFmtId="0" fontId="0" fillId="0" borderId="0" xfId="0" applyAlignment="1">
      <alignment horizontal="left" wrapText="1"/>
    </xf>
    <xf numFmtId="0" fontId="0" fillId="0" borderId="0" xfId="0" applyAlignment="1">
      <alignment horizontal="left"/>
    </xf>
    <xf numFmtId="0" fontId="0" fillId="0" borderId="0" xfId="0" applyAlignment="1">
      <alignment wrapText="1"/>
    </xf>
    <xf numFmtId="0" fontId="0" fillId="0" borderId="19" xfId="0" applyBorder="1" applyAlignment="1">
      <alignment horizontal="left" wrapText="1"/>
    </xf>
    <xf numFmtId="0" fontId="0" fillId="0" borderId="20" xfId="0" applyBorder="1" applyAlignment="1">
      <alignment horizontal="left" wrapText="1"/>
    </xf>
    <xf numFmtId="0" fontId="2" fillId="0" borderId="18" xfId="0" applyFont="1" applyBorder="1" applyAlignment="1">
      <alignment horizontal="left" vertical="center" wrapText="1"/>
    </xf>
    <xf numFmtId="0" fontId="2" fillId="0" borderId="21" xfId="0" applyFont="1" applyBorder="1" applyAlignment="1">
      <alignment horizontal="left" vertical="center" wrapText="1"/>
    </xf>
    <xf numFmtId="0" fontId="0" fillId="0" borderId="0" xfId="0" applyBorder="1" applyAlignment="1">
      <alignment horizontal="left" wrapText="1"/>
    </xf>
    <xf numFmtId="0" fontId="0" fillId="0" borderId="0" xfId="0"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7" xfId="0" applyBorder="1" applyAlignment="1">
      <alignment horizontal="center" vertical="center" wrapText="1"/>
    </xf>
    <xf numFmtId="0" fontId="0" fillId="0" borderId="3" xfId="0" applyBorder="1" applyAlignment="1">
      <alignment horizontal="left"/>
    </xf>
    <xf numFmtId="0" fontId="0" fillId="0" borderId="11" xfId="0" applyBorder="1" applyAlignment="1">
      <alignment horizontal="left"/>
    </xf>
    <xf numFmtId="0" fontId="2" fillId="0" borderId="35" xfId="0" applyFont="1" applyBorder="1" applyAlignment="1">
      <alignment horizontal="center" vertical="center" wrapText="1"/>
    </xf>
    <xf numFmtId="0" fontId="0" fillId="0" borderId="9" xfId="0" applyBorder="1" applyAlignment="1">
      <alignment horizontal="center" vertical="center" wrapText="1"/>
    </xf>
    <xf numFmtId="0" fontId="0" fillId="0" borderId="14" xfId="0" applyBorder="1" applyAlignment="1">
      <alignment horizontal="center" vertical="center" wrapText="1"/>
    </xf>
    <xf numFmtId="0" fontId="0" fillId="0" borderId="16" xfId="0" applyBorder="1" applyAlignment="1">
      <alignment horizontal="center" vertical="center" wrapText="1"/>
    </xf>
    <xf numFmtId="0" fontId="0" fillId="0" borderId="2" xfId="0" applyBorder="1" applyAlignment="1">
      <alignment horizontal="left" vertical="center" wrapText="1" indent="1"/>
    </xf>
    <xf numFmtId="0" fontId="0" fillId="0" borderId="7" xfId="0" applyBorder="1" applyAlignment="1">
      <alignment horizontal="left" vertical="center" wrapText="1" indent="1"/>
    </xf>
    <xf numFmtId="0" fontId="0" fillId="0" borderId="3" xfId="0" applyBorder="1" applyAlignment="1">
      <alignment horizontal="left" vertical="center" wrapText="1" indent="1"/>
    </xf>
    <xf numFmtId="0" fontId="0" fillId="0" borderId="6" xfId="0" applyBorder="1" applyAlignment="1">
      <alignment horizontal="center" vertical="center" wrapText="1"/>
    </xf>
    <xf numFmtId="0" fontId="0" fillId="0" borderId="15" xfId="0" applyBorder="1" applyAlignment="1">
      <alignment horizontal="left" vertical="center" wrapText="1" indent="1"/>
    </xf>
    <xf numFmtId="0" fontId="0" fillId="0" borderId="17" xfId="0" applyBorder="1" applyAlignment="1">
      <alignment horizontal="left" vertical="center" wrapText="1" indent="1"/>
    </xf>
    <xf numFmtId="0" fontId="0" fillId="0" borderId="8" xfId="0" applyBorder="1" applyAlignment="1">
      <alignment horizontal="left" vertical="top" wrapText="1" indent="1"/>
    </xf>
    <xf numFmtId="0" fontId="0" fillId="0" borderId="15" xfId="0" applyBorder="1" applyAlignment="1">
      <alignment horizontal="left" vertical="top" wrapText="1" indent="1"/>
    </xf>
    <xf numFmtId="0" fontId="0" fillId="0" borderId="17" xfId="0" applyBorder="1" applyAlignment="1">
      <alignment horizontal="left" vertical="top" wrapText="1" indent="1"/>
    </xf>
    <xf numFmtId="0" fontId="0" fillId="0" borderId="8" xfId="0" applyBorder="1" applyAlignment="1">
      <alignment horizontal="left" vertical="center" wrapText="1" indent="1"/>
    </xf>
    <xf numFmtId="0" fontId="0" fillId="0" borderId="1" xfId="0" applyBorder="1" applyAlignment="1">
      <alignment horizontal="left" vertical="top" wrapText="1" indent="1"/>
    </xf>
    <xf numFmtId="0" fontId="0" fillId="0" borderId="1" xfId="0" applyBorder="1" applyAlignment="1">
      <alignment horizontal="left" vertical="center" wrapText="1" indent="1"/>
    </xf>
    <xf numFmtId="0" fontId="0" fillId="0" borderId="17" xfId="0" applyBorder="1" applyAlignment="1">
      <alignment horizontal="center" vertical="center" wrapText="1"/>
    </xf>
    <xf numFmtId="0" fontId="0" fillId="0" borderId="3" xfId="0" applyBorder="1" applyAlignment="1">
      <alignment horizontal="center" vertical="center"/>
    </xf>
    <xf numFmtId="0" fontId="0" fillId="0" borderId="2" xfId="0" applyBorder="1" applyAlignment="1">
      <alignment horizontal="center" vertical="center"/>
    </xf>
    <xf numFmtId="0" fontId="0" fillId="0" borderId="7" xfId="0" applyBorder="1" applyAlignment="1">
      <alignment horizontal="center" vertical="center"/>
    </xf>
    <xf numFmtId="0" fontId="0" fillId="0" borderId="14" xfId="0" applyBorder="1" applyAlignment="1">
      <alignment horizontal="left" wrapText="1"/>
    </xf>
  </cellXfs>
  <cellStyles count="17">
    <cellStyle name="Excel Built-in Normal" xfId="8"/>
    <cellStyle name="Excel Built-in Normal 2" xfId="9"/>
    <cellStyle name="Excel Built-in Normal 2 2" xfId="10"/>
    <cellStyle name="Excel Built-in Normal 2 2 2" xfId="11"/>
    <cellStyle name="Excel Built-in Normal 2 3" xfId="12"/>
    <cellStyle name="Excel Built-in Normal 3" xfId="13"/>
    <cellStyle name="Excel Built-in Normal 3 2" xfId="14"/>
    <cellStyle name="Excel Built-in Normal 4" xfId="15"/>
    <cellStyle name="Hipervínculo" xfId="2" builtinId="8"/>
    <cellStyle name="Hipervínculo 2" xfId="16"/>
    <cellStyle name="Moneda" xfId="1" builtinId="4"/>
    <cellStyle name="Moneda 2" xfId="5"/>
    <cellStyle name="Normal" xfId="0" builtinId="0"/>
    <cellStyle name="Normal 2" xfId="4"/>
    <cellStyle name="Normal 3" xfId="6"/>
    <cellStyle name="Normal 3 2" xfId="7"/>
    <cellStyle name="Porcentaje" xfId="3" builtinId="5"/>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FF"/>
      <color rgb="FF66FF33"/>
      <color rgb="FF66FF99"/>
      <color rgb="FF99FF99"/>
      <color rgb="FF33CC33"/>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5.gif"/></Relationships>
</file>

<file path=xl/drawings/drawing1.xml><?xml version="1.0" encoding="utf-8"?>
<xdr:wsDr xmlns:xdr="http://schemas.openxmlformats.org/drawingml/2006/spreadsheetDrawing" xmlns:a="http://schemas.openxmlformats.org/drawingml/2006/main">
  <xdr:twoCellAnchor>
    <xdr:from>
      <xdr:col>1</xdr:col>
      <xdr:colOff>21167</xdr:colOff>
      <xdr:row>3</xdr:row>
      <xdr:rowOff>0</xdr:rowOff>
    </xdr:from>
    <xdr:to>
      <xdr:col>2</xdr:col>
      <xdr:colOff>10583</xdr:colOff>
      <xdr:row>4</xdr:row>
      <xdr:rowOff>169333</xdr:rowOff>
    </xdr:to>
    <xdr:cxnSp macro="">
      <xdr:nvCxnSpPr>
        <xdr:cNvPr id="3" name="2 Conector recto"/>
        <xdr:cNvCxnSpPr/>
      </xdr:nvCxnSpPr>
      <xdr:spPr>
        <a:xfrm>
          <a:off x="783167" y="571500"/>
          <a:ext cx="1090083" cy="359833"/>
        </a:xfrm>
        <a:prstGeom prst="line">
          <a:avLst/>
        </a:prstGeom>
        <a:ln>
          <a:solidFill>
            <a:sysClr val="windowText" lastClr="000000"/>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21167</xdr:colOff>
      <xdr:row>3</xdr:row>
      <xdr:rowOff>0</xdr:rowOff>
    </xdr:from>
    <xdr:to>
      <xdr:col>14</xdr:col>
      <xdr:colOff>10583</xdr:colOff>
      <xdr:row>4</xdr:row>
      <xdr:rowOff>169333</xdr:rowOff>
    </xdr:to>
    <xdr:cxnSp macro="">
      <xdr:nvCxnSpPr>
        <xdr:cNvPr id="4" name="3 Conector recto"/>
        <xdr:cNvCxnSpPr/>
      </xdr:nvCxnSpPr>
      <xdr:spPr>
        <a:xfrm>
          <a:off x="783167" y="571500"/>
          <a:ext cx="1096697" cy="359833"/>
        </a:xfrm>
        <a:prstGeom prst="line">
          <a:avLst/>
        </a:prstGeom>
        <a:ln>
          <a:solidFill>
            <a:sysClr val="windowText" lastClr="000000"/>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21167</xdr:colOff>
      <xdr:row>34</xdr:row>
      <xdr:rowOff>0</xdr:rowOff>
    </xdr:from>
    <xdr:to>
      <xdr:col>2</xdr:col>
      <xdr:colOff>10583</xdr:colOff>
      <xdr:row>35</xdr:row>
      <xdr:rowOff>169333</xdr:rowOff>
    </xdr:to>
    <xdr:cxnSp macro="">
      <xdr:nvCxnSpPr>
        <xdr:cNvPr id="5" name="4 Conector recto"/>
        <xdr:cNvCxnSpPr/>
      </xdr:nvCxnSpPr>
      <xdr:spPr>
        <a:xfrm>
          <a:off x="783167" y="571500"/>
          <a:ext cx="1096697" cy="359833"/>
        </a:xfrm>
        <a:prstGeom prst="line">
          <a:avLst/>
        </a:prstGeom>
        <a:ln>
          <a:solidFill>
            <a:sysClr val="windowText" lastClr="000000"/>
          </a:solidFill>
        </a:ln>
      </xdr:spPr>
      <xdr:style>
        <a:lnRef idx="1">
          <a:schemeClr val="dk1"/>
        </a:lnRef>
        <a:fillRef idx="0">
          <a:schemeClr val="dk1"/>
        </a:fillRef>
        <a:effectRef idx="0">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19050</xdr:colOff>
      <xdr:row>18</xdr:row>
      <xdr:rowOff>114300</xdr:rowOff>
    </xdr:from>
    <xdr:to>
      <xdr:col>8</xdr:col>
      <xdr:colOff>87086</xdr:colOff>
      <xdr:row>24</xdr:row>
      <xdr:rowOff>167241</xdr:rowOff>
    </xdr:to>
    <xdr:pic>
      <xdr:nvPicPr>
        <xdr:cNvPr id="2" name="1 Imagen"/>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1050" y="1447800"/>
          <a:ext cx="7019925" cy="119594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66676</xdr:colOff>
      <xdr:row>24</xdr:row>
      <xdr:rowOff>180976</xdr:rowOff>
    </xdr:from>
    <xdr:to>
      <xdr:col>6</xdr:col>
      <xdr:colOff>689479</xdr:colOff>
      <xdr:row>35</xdr:row>
      <xdr:rowOff>66676</xdr:rowOff>
    </xdr:to>
    <xdr:pic>
      <xdr:nvPicPr>
        <xdr:cNvPr id="3" name="2 Imagen"/>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8676" y="2657476"/>
          <a:ext cx="6050692" cy="1981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112447</xdr:colOff>
      <xdr:row>18</xdr:row>
      <xdr:rowOff>38365</xdr:rowOff>
    </xdr:from>
    <xdr:to>
      <xdr:col>22</xdr:col>
      <xdr:colOff>435608</xdr:colOff>
      <xdr:row>25</xdr:row>
      <xdr:rowOff>154782</xdr:rowOff>
    </xdr:to>
    <xdr:pic>
      <xdr:nvPicPr>
        <xdr:cNvPr id="4" name="3 Imagen"/>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970697" y="4753240"/>
          <a:ext cx="9332224" cy="144991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83341</xdr:colOff>
      <xdr:row>25</xdr:row>
      <xdr:rowOff>190499</xdr:rowOff>
    </xdr:from>
    <xdr:to>
      <xdr:col>22</xdr:col>
      <xdr:colOff>634996</xdr:colOff>
      <xdr:row>48</xdr:row>
      <xdr:rowOff>71326</xdr:rowOff>
    </xdr:to>
    <xdr:pic>
      <xdr:nvPicPr>
        <xdr:cNvPr id="6" name="5 Imagen"/>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941591" y="6238874"/>
          <a:ext cx="9560718" cy="47266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295275</xdr:colOff>
      <xdr:row>4</xdr:row>
      <xdr:rowOff>171450</xdr:rowOff>
    </xdr:from>
    <xdr:to>
      <xdr:col>14</xdr:col>
      <xdr:colOff>161925</xdr:colOff>
      <xdr:row>20</xdr:row>
      <xdr:rowOff>85725</xdr:rowOff>
    </xdr:to>
    <xdr:pic>
      <xdr:nvPicPr>
        <xdr:cNvPr id="2" name="1 Imagen"/>
        <xdr:cNvPicPr>
          <a:picLocks noChangeAspect="1"/>
        </xdr:cNvPicPr>
      </xdr:nvPicPr>
      <xdr:blipFill>
        <a:blip xmlns:r="http://schemas.openxmlformats.org/officeDocument/2006/relationships" r:embed="rId1"/>
        <a:stretch>
          <a:fillRect/>
        </a:stretch>
      </xdr:blipFill>
      <xdr:spPr>
        <a:xfrm>
          <a:off x="5629275" y="933450"/>
          <a:ext cx="4438650" cy="3019425"/>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Lady MERINO" refreshedDate="43334.688106597219" createdVersion="4" refreshedVersion="4" minRefreshableVersion="3" recordCount="387">
  <cacheSource type="worksheet">
    <worksheetSource ref="A1:AM388" sheet="BD REPUESTO"/>
  </cacheSource>
  <cacheFields count="39">
    <cacheField name="Item" numFmtId="0">
      <sharedItems containsSemiMixedTypes="0" containsString="0" containsNumber="1" containsInteger="1" minValue="1" maxValue="387"/>
    </cacheField>
    <cacheField name="Nº OT" numFmtId="0">
      <sharedItems containsString="0" containsBlank="1" containsNumber="1" containsInteger="1" minValue="211727" maxValue="233590"/>
    </cacheField>
    <cacheField name="Ajustador" numFmtId="0">
      <sharedItems containsBlank="1" count="7">
        <s v="Rogelio Comeca"/>
        <s v="Ana Eusebio"/>
        <s v="Carina Saldaña"/>
        <s v="Elda Pichen"/>
        <s v="Clina Livisi"/>
        <s v="Rogelio Comeca "/>
        <m/>
      </sharedItems>
    </cacheField>
    <cacheField name="Fecha de solicitud" numFmtId="0">
      <sharedItems containsNonDate="0" containsDate="1" containsString="0" containsBlank="1" minDate="2018-01-02T00:00:00" maxDate="2018-08-22T00:00:00"/>
    </cacheField>
    <cacheField name="Fecha" numFmtId="0">
      <sharedItems containsBlank="1" count="9">
        <s v="2018.1"/>
        <s v="2018.2"/>
        <s v="2018.3"/>
        <s v="2018.4"/>
        <s v="2018.5"/>
        <s v="2018.6"/>
        <s v="2018.7"/>
        <s v="2018.8"/>
        <m/>
      </sharedItems>
    </cacheField>
    <cacheField name="Fecha Estimada de Termino de Reparacion" numFmtId="0">
      <sharedItems containsNonDate="0" containsDate="1" containsString="0" containsBlank="1" minDate="2018-01-02T00:00:00" maxDate="2018-09-15T00:00:00"/>
    </cacheField>
    <cacheField name="Dias x Vencer" numFmtId="0">
      <sharedItems containsString="0" containsBlank="1" containsNumber="1" containsInteger="1" minValue="-7" maxValue="42"/>
    </cacheField>
    <cacheField name="Estado" numFmtId="0">
      <sharedItems containsBlank="1" count="4">
        <s v="Cerrado"/>
        <s v="Anulado"/>
        <s v="Busqueda"/>
        <m/>
      </sharedItems>
    </cacheField>
    <cacheField name="Estado2" numFmtId="0">
      <sharedItems containsNonDate="0" containsString="0" containsBlank="1"/>
    </cacheField>
    <cacheField name="Estado Segya" numFmtId="0">
      <sharedItems containsBlank="1"/>
    </cacheField>
    <cacheField name="Suma Asegurada" numFmtId="0">
      <sharedItems containsString="0" containsBlank="1" containsNumber="1" containsInteger="1" minValue="649" maxValue="15299"/>
    </cacheField>
    <cacheField name="Costo de Rpto" numFmtId="0">
      <sharedItems containsString="0" containsBlank="1" containsNumber="1" minValue="35" maxValue="3446"/>
    </cacheField>
    <cacheField name="Costo Reparacion" numFmtId="0">
      <sharedItems containsString="0" containsBlank="1" containsNumber="1" minValue="0" maxValue="550"/>
    </cacheField>
    <cacheField name="Ahorro" numFmtId="3">
      <sharedItems containsSemiMixedTypes="0" containsString="0" containsNumber="1" minValue="0" maxValue="11405.46"/>
    </cacheField>
    <cacheField name="Tipo de Solicitud" numFmtId="0">
      <sharedItems containsBlank="1"/>
    </cacheField>
    <cacheField name="Socio" numFmtId="0">
      <sharedItems containsBlank="1"/>
    </cacheField>
    <cacheField name="Grupo" numFmtId="0">
      <sharedItems containsBlank="1"/>
    </cacheField>
    <cacheField name="Producto " numFmtId="0">
      <sharedItems containsBlank="1"/>
    </cacheField>
    <cacheField name="Linea" numFmtId="0">
      <sharedItems containsBlank="1" count="4">
        <s v="Linea Blanca"/>
        <s v="Audio Video"/>
        <s v="Computo"/>
        <m/>
      </sharedItems>
    </cacheField>
    <cacheField name="Marca" numFmtId="0">
      <sharedItems containsBlank="1"/>
    </cacheField>
    <cacheField name="Modelo" numFmtId="0">
      <sharedItems containsBlank="1"/>
    </cacheField>
    <cacheField name="Repuesto" numFmtId="0">
      <sharedItems containsBlank="1"/>
    </cacheField>
    <cacheField name="Numero de Parte" numFmtId="0">
      <sharedItems containsBlank="1"/>
    </cacheField>
    <cacheField name="Foto de Rpto" numFmtId="0">
      <sharedItems containsNonDate="0" containsString="0" containsBlank="1"/>
    </cacheField>
    <cacheField name="Proveedor" numFmtId="0">
      <sharedItems containsBlank="1"/>
    </cacheField>
    <cacheField name="Entrega de Repuesto a:" numFmtId="0">
      <sharedItems containsBlank="1"/>
    </cacheField>
    <cacheField name="Fecha de Aprobacion" numFmtId="14">
      <sharedItems containsNonDate="0" containsDate="1" containsString="0" containsBlank="1" minDate="2018-01-05T00:00:00" maxDate="2018-08-23T00:00:00"/>
    </cacheField>
    <cacheField name="Disponibilidad" numFmtId="0">
      <sharedItems containsBlank="1" containsMixedTypes="1" containsNumber="1" containsInteger="1" minValue="1" maxValue="1"/>
    </cacheField>
    <cacheField name="Con Ahorro" numFmtId="0">
      <sharedItems containsSemiMixedTypes="0" containsString="0" containsNumber="1" containsInteger="1" minValue="0" maxValue="1" count="2">
        <n v="0"/>
        <n v="1"/>
      </sharedItems>
    </cacheField>
    <cacheField name="Tipo de Ahorro" numFmtId="0">
      <sharedItems containsBlank="1" count="2">
        <m/>
        <s v="Reemplazo"/>
      </sharedItems>
    </cacheField>
    <cacheField name="Motivo de Cierre" numFmtId="0">
      <sharedItems containsBlank="1" count="4">
        <s v="Reemplazo"/>
        <m/>
        <s v="Reparado"/>
        <s v="Reemplazo "/>
      </sharedItems>
    </cacheField>
    <cacheField name="Motivo de Reemplazo" numFmtId="0">
      <sharedItems containsBlank="1"/>
    </cacheField>
    <cacheField name="Sustento de Ajustador" numFmtId="0">
      <sharedItems containsNonDate="0" containsString="0" containsBlank="1"/>
    </cacheField>
    <cacheField name="Observacion" numFmtId="0">
      <sharedItems containsBlank="1"/>
    </cacheField>
    <cacheField name="Modo de Pago" numFmtId="0">
      <sharedItems containsBlank="1"/>
    </cacheField>
    <cacheField name="Fecha recepcion " numFmtId="0">
      <sharedItems containsNonDate="0" containsDate="1" containsString="0" containsBlank="1" minDate="2018-01-08T00:00:00" maxDate="2018-02-17T00:00:00"/>
    </cacheField>
    <cacheField name="Nº de Factura" numFmtId="0">
      <sharedItems containsBlank="1"/>
    </cacheField>
    <cacheField name="Estado de Pago" numFmtId="0">
      <sharedItems containsBlank="1"/>
    </cacheField>
    <cacheField name="Fecha de entrega a Activos" numFmtId="0">
      <sharedItems containsNonDate="0" containsDate="1" containsString="0" containsBlank="1" minDate="2017-01-15T00:00:00" maxDate="2018-02-17T00:0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387">
  <r>
    <n v="1"/>
    <n v="214682"/>
    <x v="0"/>
    <d v="2018-01-02T00:00:00"/>
    <x v="0"/>
    <d v="2018-01-13T00:00:00"/>
    <n v="11"/>
    <x v="0"/>
    <m/>
    <s v="Ppto. en Evaluación"/>
    <n v="4299"/>
    <m/>
    <m/>
    <n v="0"/>
    <m/>
    <s v="Tottus"/>
    <s v="Falabella"/>
    <s v="Cocina"/>
    <x v="0"/>
    <s v="Whirlpool"/>
    <s v="WFG715H0ES0"/>
    <s v="Panel Membrana"/>
    <m/>
    <m/>
    <m/>
    <s v="Serfac"/>
    <m/>
    <m/>
    <x v="0"/>
    <x v="0"/>
    <x v="0"/>
    <s v="Disponibilidad de repuesto"/>
    <m/>
    <m/>
    <m/>
    <m/>
    <m/>
    <m/>
    <m/>
  </r>
  <r>
    <n v="2"/>
    <n v="214715"/>
    <x v="1"/>
    <d v="2018-01-03T00:00:00"/>
    <x v="0"/>
    <d v="2018-01-14T00:00:00"/>
    <n v="11"/>
    <x v="0"/>
    <m/>
    <s v="Ppto. en Evaluación"/>
    <n v="5975"/>
    <n v="787"/>
    <n v="514"/>
    <n v="0"/>
    <m/>
    <s v="Saga"/>
    <s v="Falabella"/>
    <s v="Refrigeradora"/>
    <x v="0"/>
    <s v="Samsung"/>
    <s v="RH25H5613SL/PE"/>
    <s v="Assy Cover Evaporador Conservador / Tarjeta Principal"/>
    <m/>
    <m/>
    <s v="Toralva Flores Jose Manuel"/>
    <s v="Seisa"/>
    <d v="2018-01-10T00:00:00"/>
    <s v="3 dias"/>
    <x v="0"/>
    <x v="0"/>
    <x v="0"/>
    <s v="Plazo de Reparacion"/>
    <m/>
    <s v="19/01 Ajustador autorizo reemplazo de producto"/>
    <s v="Facturado"/>
    <d v="2018-01-08T00:00:00"/>
    <s v="001 - 002310"/>
    <s v="Pendiente"/>
    <d v="2018-01-08T00:00:00"/>
  </r>
  <r>
    <n v="3"/>
    <n v="214568"/>
    <x v="1"/>
    <d v="2018-01-03T00:00:00"/>
    <x v="0"/>
    <d v="2018-01-13T00:00:00"/>
    <n v="10"/>
    <x v="1"/>
    <m/>
    <s v="Ppto. en Evaluación"/>
    <m/>
    <m/>
    <m/>
    <n v="0"/>
    <m/>
    <s v="Tottus"/>
    <s v="Falabella"/>
    <s v="Lavadora"/>
    <x v="0"/>
    <s v="Samsung"/>
    <s v="WA15J5730LW/PE"/>
    <s v="Caja de Transmision"/>
    <m/>
    <m/>
    <m/>
    <s v="Seisa"/>
    <m/>
    <s v="2 dias"/>
    <x v="0"/>
    <x v="0"/>
    <x v="1"/>
    <m/>
    <m/>
    <s v="05/01 Ajustador aprobo repuesto de ST."/>
    <m/>
    <m/>
    <m/>
    <m/>
    <m/>
  </r>
  <r>
    <n v="4"/>
    <n v="214554"/>
    <x v="1"/>
    <d v="2018-01-03T00:00:00"/>
    <x v="0"/>
    <d v="2018-01-13T00:00:00"/>
    <n v="10"/>
    <x v="0"/>
    <m/>
    <s v="Ppto. en Evaluación"/>
    <n v="1399"/>
    <n v="592"/>
    <n v="80"/>
    <n v="723.06"/>
    <m/>
    <s v="Saga"/>
    <s v="Falabella"/>
    <s v="Lavadora"/>
    <x v="0"/>
    <s v="Samsung"/>
    <s v="WA15J5730LW/PE"/>
    <s v="Tarjeta Principal / Caja de Transmision / Faja"/>
    <m/>
    <m/>
    <s v="Toralva Flores Jose Manuel"/>
    <s v="Seisa"/>
    <d v="2018-01-10T00:00:00"/>
    <s v="3 dias"/>
    <x v="1"/>
    <x v="1"/>
    <x v="2"/>
    <m/>
    <m/>
    <m/>
    <s v="Facturado"/>
    <d v="2018-01-15T00:00:00"/>
    <s v="001 - 002328"/>
    <s v="Pendiente"/>
    <d v="2018-01-15T00:00:00"/>
  </r>
  <r>
    <n v="5"/>
    <n v="214542"/>
    <x v="1"/>
    <d v="2018-01-03T00:00:00"/>
    <x v="0"/>
    <d v="2018-01-13T00:00:00"/>
    <n v="10"/>
    <x v="0"/>
    <m/>
    <s v="Ppto. en Evaluación"/>
    <n v="1839"/>
    <n v="668"/>
    <n v="80"/>
    <n v="1060.6600000000001"/>
    <m/>
    <s v="Saga"/>
    <s v="Falabella"/>
    <s v="Lavadora"/>
    <x v="0"/>
    <s v="Samsung"/>
    <s v="WA16F7L8DTA/PE"/>
    <s v="Amortiguadores / Caja de Transmision"/>
    <m/>
    <m/>
    <s v="Toralva Flores Jose Manuel"/>
    <s v="Seisa"/>
    <d v="2018-01-05T00:00:00"/>
    <s v="3 dias"/>
    <x v="1"/>
    <x v="1"/>
    <x v="2"/>
    <m/>
    <m/>
    <m/>
    <s v="Facturado"/>
    <d v="2018-01-08T00:00:00"/>
    <s v="001 - 002309"/>
    <s v="Pendiente"/>
    <d v="2018-01-08T00:00:00"/>
  </r>
  <r>
    <n v="6"/>
    <n v="214615"/>
    <x v="1"/>
    <d v="2018-01-03T00:00:00"/>
    <x v="0"/>
    <d v="2018-01-13T00:00:00"/>
    <n v="10"/>
    <x v="0"/>
    <m/>
    <s v="Ppto. en Evaluación"/>
    <n v="999"/>
    <n v="420"/>
    <n v="195"/>
    <n v="519.05999999999995"/>
    <m/>
    <s v="Saga"/>
    <s v="Falabella"/>
    <s v="Lavadora"/>
    <x v="0"/>
    <s v="Samsung"/>
    <s v="WA15W8MFP/XPE"/>
    <s v="Tarjeta Principal"/>
    <m/>
    <m/>
    <s v="Toralva Flores Jose Manuel"/>
    <s v="Seisa"/>
    <d v="2018-01-05T00:00:00"/>
    <s v="4 dias"/>
    <x v="1"/>
    <x v="1"/>
    <x v="2"/>
    <m/>
    <m/>
    <m/>
    <s v="Facturado"/>
    <d v="2018-01-15T00:00:00"/>
    <s v="001 - 002326"/>
    <s v="Pendiente"/>
    <d v="2017-01-15T00:00:00"/>
  </r>
  <r>
    <n v="7"/>
    <n v="214597"/>
    <x v="2"/>
    <d v="2018-01-03T00:00:00"/>
    <x v="0"/>
    <d v="2018-01-15T00:00:00"/>
    <n v="12"/>
    <x v="0"/>
    <m/>
    <s v="Ppto. en Evaluación"/>
    <n v="899"/>
    <n v="190"/>
    <n v="80"/>
    <n v="0"/>
    <m/>
    <s v="Plaza Vea"/>
    <s v="TP"/>
    <s v="Lavadora"/>
    <x v="0"/>
    <s v="Daewoo"/>
    <s v="DWF-210GW"/>
    <s v="Pulsator"/>
    <m/>
    <m/>
    <s v="Reyes Alegre Rosa Isabel"/>
    <s v="SOS Service"/>
    <d v="2018-01-10T00:00:00"/>
    <s v="2 dias"/>
    <x v="0"/>
    <x v="0"/>
    <x v="0"/>
    <s v="Plazo de Reparacion"/>
    <m/>
    <m/>
    <s v="Facturado"/>
    <d v="2018-01-15T00:00:00"/>
    <s v="001 - 000303"/>
    <s v="Pendiente"/>
    <d v="2018-01-18T00:00:00"/>
  </r>
  <r>
    <n v="8"/>
    <n v="213820"/>
    <x v="1"/>
    <d v="2018-01-03T00:00:00"/>
    <x v="0"/>
    <d v="2018-01-08T00:00:00"/>
    <n v="5"/>
    <x v="1"/>
    <m/>
    <s v="Ppto. en Evaluación"/>
    <m/>
    <m/>
    <m/>
    <n v="0"/>
    <m/>
    <s v="Saga"/>
    <s v="Falabella"/>
    <s v="Refrigeradora"/>
    <x v="0"/>
    <s v="Samsung"/>
    <s v="RSA1JTSL1/XPE"/>
    <s v="Assy Bucket"/>
    <s v="DA97-06072E"/>
    <m/>
    <s v="Toralva Flores Jose Manuel"/>
    <s v="Seisa"/>
    <m/>
    <s v="4 dias"/>
    <x v="0"/>
    <x v="0"/>
    <x v="1"/>
    <m/>
    <m/>
    <m/>
    <m/>
    <m/>
    <m/>
    <m/>
    <m/>
  </r>
  <r>
    <n v="9"/>
    <n v="213852"/>
    <x v="1"/>
    <d v="2018-01-03T00:00:00"/>
    <x v="0"/>
    <d v="2018-01-10T00:00:00"/>
    <n v="7"/>
    <x v="1"/>
    <m/>
    <s v="Ppto. en Evaluación"/>
    <m/>
    <m/>
    <m/>
    <n v="0"/>
    <m/>
    <s v="Tiendas Peruanas"/>
    <s v="TP"/>
    <s v="Lavadora"/>
    <x v="0"/>
    <s v="Samsung"/>
    <s v="RT35K5930SL/PE"/>
    <s v="Tarjeta Principal"/>
    <s v="DA92-00756G"/>
    <m/>
    <m/>
    <s v="Seisa"/>
    <m/>
    <s v="2 dias"/>
    <x v="0"/>
    <x v="0"/>
    <x v="1"/>
    <m/>
    <m/>
    <m/>
    <m/>
    <m/>
    <m/>
    <m/>
    <m/>
  </r>
  <r>
    <n v="10"/>
    <n v="213764"/>
    <x v="1"/>
    <d v="2018-01-03T00:00:00"/>
    <x v="0"/>
    <d v="2018-01-07T00:00:00"/>
    <n v="4"/>
    <x v="1"/>
    <m/>
    <s v="Ppto. en Evaluación"/>
    <m/>
    <m/>
    <m/>
    <n v="0"/>
    <m/>
    <s v="Saga"/>
    <s v="Falabella"/>
    <s v="Lavadora"/>
    <x v="0"/>
    <s v="Samsung"/>
    <s v="WD90J6410AW/PE"/>
    <s v="Tarjeta de Control"/>
    <s v="DC92-01789B"/>
    <m/>
    <s v="Toralva Flores Jose Manuel"/>
    <s v="Seisa"/>
    <m/>
    <s v="4  dias"/>
    <x v="0"/>
    <x v="0"/>
    <x v="1"/>
    <m/>
    <m/>
    <m/>
    <m/>
    <m/>
    <m/>
    <m/>
    <m/>
  </r>
  <r>
    <n v="11"/>
    <n v="214303"/>
    <x v="1"/>
    <d v="2018-01-03T00:00:00"/>
    <x v="0"/>
    <d v="2018-01-12T00:00:00"/>
    <n v="9"/>
    <x v="1"/>
    <m/>
    <s v="Ppto. en Evaluación"/>
    <m/>
    <m/>
    <m/>
    <n v="0"/>
    <m/>
    <s v="Saga"/>
    <s v="Falabella"/>
    <s v="Lavadora"/>
    <x v="0"/>
    <s v="Samsung"/>
    <s v="WA10F5L4UWA/PE"/>
    <s v="Caja de Transmision / Faja / Paleta"/>
    <m/>
    <m/>
    <s v="Toralva Flores Jose Manuel"/>
    <s v="Seisa"/>
    <m/>
    <s v="3 dias"/>
    <x v="0"/>
    <x v="0"/>
    <x v="1"/>
    <m/>
    <m/>
    <m/>
    <m/>
    <m/>
    <m/>
    <m/>
    <m/>
  </r>
  <r>
    <n v="12"/>
    <n v="214744"/>
    <x v="0"/>
    <d v="2018-01-03T00:00:00"/>
    <x v="0"/>
    <d v="2018-01-13T00:00:00"/>
    <n v="10"/>
    <x v="0"/>
    <m/>
    <s v="Ppto. en Evaluación"/>
    <n v="1265"/>
    <m/>
    <m/>
    <n v="0"/>
    <m/>
    <s v="Saga"/>
    <s v="Falabella"/>
    <s v="Lavadora"/>
    <x v="0"/>
    <s v="Whirlpool"/>
    <s v="WWI14ASGLA"/>
    <s v="Caja de Transmision"/>
    <m/>
    <m/>
    <m/>
    <s v="Serfac"/>
    <m/>
    <m/>
    <x v="0"/>
    <x v="0"/>
    <x v="0"/>
    <s v="Disponibilidad de repuesto"/>
    <m/>
    <m/>
    <m/>
    <m/>
    <m/>
    <m/>
    <m/>
  </r>
  <r>
    <n v="13"/>
    <n v="214227"/>
    <x v="3"/>
    <d v="2018-01-04T00:00:00"/>
    <x v="0"/>
    <d v="2018-01-10T00:00:00"/>
    <n v="6"/>
    <x v="0"/>
    <m/>
    <s v="Ppto. en Evaluación"/>
    <n v="1120"/>
    <m/>
    <m/>
    <n v="0"/>
    <m/>
    <s v="Saga"/>
    <s v="Falabella"/>
    <s v="Cocina"/>
    <x v="0"/>
    <s v="Electrolux"/>
    <s v="EKGE24A12NMS"/>
    <s v="Timer"/>
    <m/>
    <m/>
    <m/>
    <s v="TBS"/>
    <m/>
    <m/>
    <x v="0"/>
    <x v="0"/>
    <x v="0"/>
    <s v="Plazo de Reparacion"/>
    <m/>
    <m/>
    <m/>
    <m/>
    <m/>
    <m/>
    <m/>
  </r>
  <r>
    <n v="14"/>
    <n v="214186"/>
    <x v="1"/>
    <d v="2018-01-04T00:00:00"/>
    <x v="0"/>
    <d v="2018-01-16T00:00:00"/>
    <n v="12"/>
    <x v="0"/>
    <m/>
    <s v="Ppto. en Evaluación"/>
    <n v="5999"/>
    <n v="315"/>
    <n v="35"/>
    <n v="5324.06"/>
    <m/>
    <s v="Saga"/>
    <s v="Falabella"/>
    <s v="TV Led"/>
    <x v="1"/>
    <s v="Sony"/>
    <s v="RMF-TX100U"/>
    <s v="Control Remoto"/>
    <m/>
    <m/>
    <s v="Toralva Flores Jose Manuel"/>
    <s v="Electronica Lima Sur"/>
    <d v="2018-01-10T00:00:00"/>
    <s v="3 dias"/>
    <x v="1"/>
    <x v="1"/>
    <x v="2"/>
    <m/>
    <m/>
    <m/>
    <s v="Facturado"/>
    <d v="2018-01-15T00:00:00"/>
    <s v="001 - 0002330"/>
    <s v="Pendiente"/>
    <d v="2018-01-15T00:00:00"/>
  </r>
  <r>
    <n v="15"/>
    <n v="214980"/>
    <x v="0"/>
    <d v="2018-01-04T00:00:00"/>
    <x v="0"/>
    <d v="2018-02-14T00:00:00"/>
    <n v="41"/>
    <x v="0"/>
    <m/>
    <s v="Ppto. en Evaluación"/>
    <m/>
    <m/>
    <m/>
    <n v="0"/>
    <m/>
    <s v="Tiendas Peruanas"/>
    <s v="TP"/>
    <s v="Notebook"/>
    <x v="2"/>
    <s v="Asus"/>
    <s v="X540LA-XX053T"/>
    <s v="Mainboard"/>
    <m/>
    <m/>
    <m/>
    <s v="Binar Tec"/>
    <m/>
    <m/>
    <x v="0"/>
    <x v="0"/>
    <x v="0"/>
    <s v="Disponibilidad de repuesto"/>
    <m/>
    <m/>
    <m/>
    <m/>
    <m/>
    <m/>
    <m/>
  </r>
  <r>
    <n v="16"/>
    <n v="213166"/>
    <x v="0"/>
    <d v="2018-01-04T00:00:00"/>
    <x v="0"/>
    <d v="2018-02-14T00:00:00"/>
    <n v="41"/>
    <x v="0"/>
    <m/>
    <s v="Ppto. en Evaluación"/>
    <m/>
    <m/>
    <m/>
    <n v="0"/>
    <m/>
    <s v="Tiendas Peruanas"/>
    <s v="TP"/>
    <s v="Notebook"/>
    <x v="2"/>
    <s v="Asus"/>
    <s v="X540LA-XX053T"/>
    <s v="Mainboard"/>
    <m/>
    <m/>
    <m/>
    <s v="Siems"/>
    <m/>
    <m/>
    <x v="0"/>
    <x v="0"/>
    <x v="0"/>
    <s v="Disponibilidad de repuesto"/>
    <m/>
    <m/>
    <m/>
    <m/>
    <m/>
    <m/>
    <m/>
  </r>
  <r>
    <n v="17"/>
    <n v="214546"/>
    <x v="1"/>
    <d v="2018-01-05T00:00:00"/>
    <x v="0"/>
    <d v="2018-01-16T00:00:00"/>
    <n v="11"/>
    <x v="0"/>
    <m/>
    <s v="Ppto. en Evaluación"/>
    <n v="2510"/>
    <n v="75"/>
    <n v="70"/>
    <n v="2284.4"/>
    <m/>
    <s v="Saga"/>
    <s v="Falabella"/>
    <s v="Cocina"/>
    <x v="0"/>
    <s v="Indurama"/>
    <s v="NIZA"/>
    <s v="Bisagra"/>
    <m/>
    <m/>
    <s v="Tecnimax"/>
    <s v="TBS"/>
    <d v="2018-01-10T00:00:00"/>
    <s v="5 dias"/>
    <x v="1"/>
    <x v="1"/>
    <x v="2"/>
    <m/>
    <m/>
    <m/>
    <m/>
    <m/>
    <m/>
    <m/>
    <m/>
  </r>
  <r>
    <n v="18"/>
    <n v="214573"/>
    <x v="2"/>
    <d v="2018-01-05T00:00:00"/>
    <x v="0"/>
    <d v="2018-01-13T00:00:00"/>
    <n v="8"/>
    <x v="1"/>
    <m/>
    <s v="Ppto. en Evaluación"/>
    <m/>
    <m/>
    <m/>
    <n v="0"/>
    <m/>
    <s v="Plaza Vea"/>
    <s v="TP"/>
    <s v="Refrigeradora"/>
    <x v="0"/>
    <s v="Daewoo"/>
    <s v="RGP-480DPH"/>
    <s v="Motor Compresor"/>
    <m/>
    <m/>
    <m/>
    <s v="SOS Service"/>
    <m/>
    <m/>
    <x v="0"/>
    <x v="0"/>
    <x v="1"/>
    <m/>
    <m/>
    <s v="08/01 Ajustador anula la solicitud"/>
    <m/>
    <m/>
    <m/>
    <m/>
    <m/>
  </r>
  <r>
    <n v="19"/>
    <n v="215150"/>
    <x v="0"/>
    <d v="2018-01-08T00:00:00"/>
    <x v="0"/>
    <d v="2018-01-21T00:00:00"/>
    <n v="13"/>
    <x v="0"/>
    <m/>
    <s v="Ppto. en Evaluación"/>
    <m/>
    <m/>
    <m/>
    <n v="0"/>
    <m/>
    <s v="Tiendas Peruanas"/>
    <s v="TP"/>
    <s v="TV Led"/>
    <x v="1"/>
    <s v="Samsung"/>
    <s v="UN55H6800AGXPE"/>
    <s v="Pantalla"/>
    <m/>
    <m/>
    <m/>
    <s v="Servinorte Cajamarca"/>
    <m/>
    <m/>
    <x v="0"/>
    <x v="0"/>
    <x v="0"/>
    <s v="Disponibilidad de repuesto"/>
    <m/>
    <m/>
    <m/>
    <m/>
    <m/>
    <m/>
    <m/>
  </r>
  <r>
    <n v="20"/>
    <n v="214144"/>
    <x v="1"/>
    <d v="2018-01-08T00:00:00"/>
    <x v="0"/>
    <d v="2018-01-19T00:00:00"/>
    <n v="11"/>
    <x v="0"/>
    <m/>
    <s v="Ppto. en Evaluación"/>
    <n v="1199"/>
    <n v="168"/>
    <n v="80"/>
    <n v="959.06"/>
    <m/>
    <s v="Plaza Vea"/>
    <s v="TP"/>
    <s v="Lavadora"/>
    <x v="0"/>
    <s v="Samsung"/>
    <s v="WA10F5L4UWA/PE"/>
    <s v="Valvula de Ingreso de Agua"/>
    <m/>
    <m/>
    <s v="Toralva Flores Jose Manuel"/>
    <s v="Asmat"/>
    <d v="2018-01-09T00:00:00"/>
    <s v="3 dias"/>
    <x v="1"/>
    <x v="1"/>
    <x v="2"/>
    <m/>
    <m/>
    <m/>
    <s v="Facturado"/>
    <d v="2018-01-15T00:00:00"/>
    <s v="001 - 0002327"/>
    <s v="Pendiente"/>
    <d v="2018-01-15T00:00:00"/>
  </r>
  <r>
    <n v="21"/>
    <n v="214165"/>
    <x v="1"/>
    <d v="2018-01-08T00:00:00"/>
    <x v="0"/>
    <d v="2018-01-14T00:00:00"/>
    <n v="6"/>
    <x v="0"/>
    <m/>
    <s v="Ppto. en Evaluación"/>
    <m/>
    <m/>
    <m/>
    <n v="0"/>
    <m/>
    <s v="Saga"/>
    <s v="Falabella"/>
    <s v="Refrigeradora"/>
    <x v="0"/>
    <s v="Samsung"/>
    <s v="RF67DEPN1/SAM"/>
    <s v="Assy Cover Conservador"/>
    <m/>
    <m/>
    <m/>
    <s v="Seisa"/>
    <m/>
    <m/>
    <x v="0"/>
    <x v="0"/>
    <x v="0"/>
    <s v="Disponibilidad de repuesto"/>
    <m/>
    <m/>
    <m/>
    <m/>
    <m/>
    <m/>
    <m/>
  </r>
  <r>
    <n v="22"/>
    <n v="214390"/>
    <x v="1"/>
    <d v="2018-01-08T00:00:00"/>
    <x v="0"/>
    <d v="2018-01-13T00:00:00"/>
    <n v="5"/>
    <x v="0"/>
    <m/>
    <s v="Ppto. en Evaluación"/>
    <n v="2060"/>
    <n v="770"/>
    <n v="172"/>
    <n v="1166.4000000000001"/>
    <m/>
    <s v="Saga"/>
    <s v="Falabella"/>
    <s v="TV Led"/>
    <x v="1"/>
    <s v="LG"/>
    <s v="47LB7050-SF.AWFZTJR"/>
    <s v="Tarjeta Principal"/>
    <m/>
    <m/>
    <s v="Toralva Flores Jose Manuel"/>
    <s v="Tecnimax"/>
    <d v="2018-01-10T00:00:00"/>
    <s v="4 dias"/>
    <x v="1"/>
    <x v="1"/>
    <x v="2"/>
    <m/>
    <m/>
    <m/>
    <s v="Facturado"/>
    <d v="2018-01-15T00:00:00"/>
    <s v="001 - 0002329"/>
    <s v="Pendiente"/>
    <d v="2018-01-15T00:00:00"/>
  </r>
  <r>
    <n v="23"/>
    <n v="214026"/>
    <x v="1"/>
    <d v="2018-01-08T00:00:00"/>
    <x v="0"/>
    <d v="2018-01-09T00:00:00"/>
    <n v="1"/>
    <x v="1"/>
    <m/>
    <s v="Ppto. en Evaluación"/>
    <m/>
    <m/>
    <m/>
    <n v="0"/>
    <m/>
    <s v="Saga"/>
    <s v="Falabella"/>
    <s v="Refrigeradora"/>
    <x v="0"/>
    <s v="Samsung"/>
    <s v="UN40FH5303GXPE"/>
    <s v="Barra Led"/>
    <m/>
    <m/>
    <m/>
    <s v="Seisa"/>
    <m/>
    <m/>
    <x v="0"/>
    <x v="0"/>
    <x v="1"/>
    <m/>
    <m/>
    <s v="09/01 se anula pedido repuesto llego al st"/>
    <m/>
    <m/>
    <m/>
    <m/>
    <m/>
  </r>
  <r>
    <n v="24"/>
    <n v="214056"/>
    <x v="1"/>
    <d v="2018-01-08T00:00:00"/>
    <x v="0"/>
    <d v="2018-01-09T00:00:00"/>
    <n v="1"/>
    <x v="1"/>
    <m/>
    <s v="Ppto. en Evaluación"/>
    <m/>
    <m/>
    <m/>
    <n v="0"/>
    <m/>
    <s v="Saga"/>
    <s v="Falabella"/>
    <s v="Refrigeradora"/>
    <x v="0"/>
    <s v="Samsung"/>
    <s v="RT35K5930SL/PE"/>
    <s v="Tarjeta Principal"/>
    <m/>
    <m/>
    <m/>
    <s v="Seisa"/>
    <m/>
    <m/>
    <x v="0"/>
    <x v="0"/>
    <x v="1"/>
    <m/>
    <m/>
    <s v="09/01 St esta enviando repuesto."/>
    <m/>
    <m/>
    <m/>
    <m/>
    <m/>
  </r>
  <r>
    <n v="25"/>
    <n v="214308"/>
    <x v="1"/>
    <d v="2018-01-08T00:00:00"/>
    <x v="0"/>
    <d v="2018-01-21T00:00:00"/>
    <n v="13"/>
    <x v="0"/>
    <m/>
    <s v="Ppto. en Evaluación"/>
    <n v="3324"/>
    <n v="688"/>
    <n v="120"/>
    <n v="0"/>
    <m/>
    <s v="Saga"/>
    <s v="Falabella"/>
    <s v="Refrigeradora"/>
    <x v="0"/>
    <s v="Samsung"/>
    <s v="RSA1JTSL1/XPE"/>
    <s v="Tarjeta Principal / Assy Damper Conservador"/>
    <m/>
    <m/>
    <s v="Toralva Flores Jose Manuel"/>
    <s v="Seisa"/>
    <m/>
    <s v="2 dias"/>
    <x v="0"/>
    <x v="0"/>
    <x v="0"/>
    <s v="Plazo de Reparacion"/>
    <m/>
    <m/>
    <m/>
    <m/>
    <m/>
    <m/>
    <m/>
  </r>
  <r>
    <n v="26"/>
    <n v="214381"/>
    <x v="1"/>
    <d v="2018-01-08T00:00:00"/>
    <x v="0"/>
    <d v="2018-01-13T00:00:00"/>
    <n v="5"/>
    <x v="0"/>
    <m/>
    <s v="Ppto. en Evaluación"/>
    <n v="2699"/>
    <n v="360"/>
    <n v="160"/>
    <n v="2177.06"/>
    <m/>
    <s v="Saga"/>
    <s v="Falabella"/>
    <s v="TV Led"/>
    <x v="0"/>
    <s v="Samsung"/>
    <s v="UN48JU6000GXPE"/>
    <s v="Tarjeta Fuente"/>
    <m/>
    <m/>
    <s v="Reyes Alegre Rosa Isabel"/>
    <s v="Seisa"/>
    <d v="2018-01-09T00:00:00"/>
    <s v="4 dias"/>
    <x v="1"/>
    <x v="1"/>
    <x v="2"/>
    <m/>
    <m/>
    <m/>
    <s v="Facturado"/>
    <d v="2018-01-31T00:00:00"/>
    <s v="001 - 000319"/>
    <s v="Pendiente"/>
    <d v="2018-01-31T00:00:00"/>
  </r>
  <r>
    <n v="27"/>
    <n v="214844"/>
    <x v="1"/>
    <d v="2018-01-08T00:00:00"/>
    <x v="0"/>
    <d v="2018-01-16T00:00:00"/>
    <n v="8"/>
    <x v="1"/>
    <m/>
    <s v="Ppto. en Evaluación"/>
    <m/>
    <m/>
    <m/>
    <n v="0"/>
    <m/>
    <s v="Saga"/>
    <s v="Falabella"/>
    <s v="Lavadora"/>
    <x v="0"/>
    <s v="Samsung"/>
    <s v="WD15F5K5ASG/PE"/>
    <s v="Motor Fan"/>
    <m/>
    <m/>
    <m/>
    <s v="Seisa"/>
    <m/>
    <m/>
    <x v="0"/>
    <x v="0"/>
    <x v="1"/>
    <m/>
    <m/>
    <s v="09/01 Se anula pedido ST procedio con la reparacion"/>
    <m/>
    <m/>
    <m/>
    <m/>
    <m/>
  </r>
  <r>
    <n v="28"/>
    <n v="214928"/>
    <x v="1"/>
    <d v="2018-01-08T00:00:00"/>
    <x v="0"/>
    <d v="2018-01-13T00:00:00"/>
    <n v="5"/>
    <x v="1"/>
    <m/>
    <s v="Ppto. en Evaluación"/>
    <m/>
    <m/>
    <m/>
    <n v="0"/>
    <m/>
    <s v="Saga"/>
    <s v="Falabella"/>
    <s v="Refrigeradora"/>
    <x v="0"/>
    <s v="Samsung"/>
    <s v="RSA1JHSL1/XPE"/>
    <s v="Sensor / Tanque de Agua / Assy Damper"/>
    <m/>
    <m/>
    <m/>
    <s v="Seisa"/>
    <m/>
    <s v="3 dias"/>
    <x v="0"/>
    <x v="0"/>
    <x v="1"/>
    <m/>
    <m/>
    <s v="12/01 Ajustador realizo reparacion con el ST."/>
    <m/>
    <m/>
    <m/>
    <m/>
    <m/>
  </r>
  <r>
    <n v="29"/>
    <n v="214626"/>
    <x v="1"/>
    <d v="2018-01-08T00:00:00"/>
    <x v="0"/>
    <d v="2018-01-15T00:00:00"/>
    <n v="7"/>
    <x v="0"/>
    <m/>
    <s v="Ppto. en Evaluación"/>
    <m/>
    <m/>
    <m/>
    <n v="0"/>
    <m/>
    <s v="Saga"/>
    <s v="Falabella"/>
    <s v="Minicomponente"/>
    <x v="1"/>
    <s v="LG"/>
    <s v="CM9960"/>
    <s v="Tarjeta Principal"/>
    <m/>
    <m/>
    <m/>
    <s v="Sertepi"/>
    <m/>
    <m/>
    <x v="0"/>
    <x v="0"/>
    <x v="0"/>
    <s v="Disponibilidad de repuesto"/>
    <m/>
    <m/>
    <m/>
    <m/>
    <m/>
    <m/>
    <m/>
  </r>
  <r>
    <n v="30"/>
    <n v="214785"/>
    <x v="1"/>
    <d v="2018-01-08T00:00:00"/>
    <x v="0"/>
    <d v="2018-01-20T00:00:00"/>
    <n v="12"/>
    <x v="1"/>
    <m/>
    <s v="Ppto. en Evaluación"/>
    <m/>
    <m/>
    <m/>
    <n v="0"/>
    <m/>
    <s v="Saga"/>
    <s v="Falabella"/>
    <s v="Minicomponente"/>
    <x v="1"/>
    <s v="LG"/>
    <s v="CM9960 - AB.DPERLLB"/>
    <s v="Lector Optico  "/>
    <m/>
    <m/>
    <m/>
    <s v="Tecnimax"/>
    <m/>
    <m/>
    <x v="0"/>
    <x v="0"/>
    <x v="1"/>
    <m/>
    <m/>
    <s v="15/01 Ajustador aprueba cotizacion de ST."/>
    <m/>
    <m/>
    <m/>
    <m/>
    <m/>
  </r>
  <r>
    <n v="31"/>
    <n v="214286"/>
    <x v="1"/>
    <d v="2018-01-09T00:00:00"/>
    <x v="0"/>
    <d v="2018-01-09T00:00:00"/>
    <n v="0"/>
    <x v="1"/>
    <m/>
    <m/>
    <m/>
    <m/>
    <m/>
    <n v="0"/>
    <m/>
    <s v="Saga"/>
    <s v="Falabella"/>
    <s v="Refrigeradora"/>
    <x v="0"/>
    <s v="Mabe"/>
    <s v="RML295YJPX"/>
    <s v="Tarjeta Principal / Motor Ventilador / Resistencia"/>
    <m/>
    <m/>
    <m/>
    <s v="Sertepi"/>
    <m/>
    <m/>
    <x v="0"/>
    <x v="0"/>
    <x v="1"/>
    <m/>
    <m/>
    <s v="09/01 St realizo reparacion del producto"/>
    <m/>
    <m/>
    <m/>
    <m/>
    <m/>
  </r>
  <r>
    <n v="32"/>
    <n v="215197"/>
    <x v="1"/>
    <d v="2018-01-09T00:00:00"/>
    <x v="0"/>
    <d v="2018-01-09T00:00:00"/>
    <n v="0"/>
    <x v="0"/>
    <m/>
    <s v="Ppto. en Evaluación"/>
    <n v="1689"/>
    <n v="400"/>
    <n v="250"/>
    <n v="1187.6600000000001"/>
    <m/>
    <s v="Tiendas Peruanas"/>
    <s v="TP"/>
    <s v="Refrigeradora"/>
    <x v="0"/>
    <s v="Daewoo"/>
    <s v="RGP-510DPH"/>
    <s v="Motor Compresor"/>
    <m/>
    <m/>
    <s v="Reyes Alegre Rosa Isabel"/>
    <s v="Ceser Cusco"/>
    <d v="2018-01-10T00:00:00"/>
    <s v="4 dias"/>
    <x v="1"/>
    <x v="1"/>
    <x v="2"/>
    <m/>
    <m/>
    <m/>
    <s v="Facturado"/>
    <d v="2018-01-15T00:00:00"/>
    <s v="001 - 000306"/>
    <s v="Pendiente"/>
    <d v="2018-01-18T00:00:00"/>
  </r>
  <r>
    <n v="33"/>
    <n v="213728"/>
    <x v="1"/>
    <d v="2018-01-09T00:00:00"/>
    <x v="0"/>
    <d v="2018-01-02T00:00:00"/>
    <n v="-7"/>
    <x v="1"/>
    <m/>
    <s v="Ppto. en Evaluación"/>
    <m/>
    <m/>
    <m/>
    <n v="0"/>
    <m/>
    <s v="Saga"/>
    <s v="Falabella"/>
    <s v="TV Led"/>
    <x v="1"/>
    <s v="Samsung"/>
    <s v="UN55F8000AGXPE"/>
    <s v="Tarjeta Fuente"/>
    <m/>
    <m/>
    <m/>
    <s v="Seisa"/>
    <m/>
    <m/>
    <x v="0"/>
    <x v="0"/>
    <x v="1"/>
    <m/>
    <m/>
    <s v="10/01 Ajustador solicito reemplazo."/>
    <m/>
    <m/>
    <m/>
    <m/>
    <m/>
  </r>
  <r>
    <n v="34"/>
    <n v="215273"/>
    <x v="2"/>
    <d v="2018-01-09T00:00:00"/>
    <x v="0"/>
    <d v="2018-01-16T00:00:00"/>
    <n v="7"/>
    <x v="1"/>
    <m/>
    <s v="Ppto. en Evaluación"/>
    <m/>
    <m/>
    <m/>
    <n v="0"/>
    <m/>
    <s v="Saga"/>
    <s v="Falabella"/>
    <s v="Lavadora"/>
    <x v="0"/>
    <s v="Daewoo"/>
    <s v="DWC-110S"/>
    <s v="Tarjeta Principal"/>
    <m/>
    <m/>
    <m/>
    <s v="SOS Service"/>
    <m/>
    <m/>
    <x v="0"/>
    <x v="0"/>
    <x v="1"/>
    <m/>
    <m/>
    <s v="10/01 Ajustador anula pedido."/>
    <m/>
    <m/>
    <m/>
    <m/>
    <m/>
  </r>
  <r>
    <n v="35"/>
    <n v="214931"/>
    <x v="2"/>
    <d v="2018-01-09T00:00:00"/>
    <x v="0"/>
    <d v="2018-01-16T00:00:00"/>
    <n v="7"/>
    <x v="0"/>
    <m/>
    <s v="Ppto. en Evaluación"/>
    <n v="899"/>
    <n v="190"/>
    <n v="80"/>
    <n v="655.05999999999995"/>
    <m/>
    <s v="Tottus"/>
    <s v="Falabella"/>
    <s v="Lavaseca"/>
    <x v="0"/>
    <s v="Daewoo"/>
    <s v="DWF-ECOWASH"/>
    <s v="Pulsator"/>
    <m/>
    <m/>
    <s v="Reyes Alegre Rosa Isabel"/>
    <s v="SOS Service"/>
    <d v="2018-01-10T00:00:00"/>
    <s v="2 dias"/>
    <x v="1"/>
    <x v="1"/>
    <x v="2"/>
    <m/>
    <m/>
    <m/>
    <s v="Facturado"/>
    <d v="2018-01-15T00:00:00"/>
    <s v="001 - 000304"/>
    <s v="Pendiente"/>
    <d v="2018-01-18T00:00:00"/>
  </r>
  <r>
    <n v="36"/>
    <n v="215279"/>
    <x v="0"/>
    <d v="2018-01-09T00:00:00"/>
    <x v="0"/>
    <d v="2018-02-20T00:00:00"/>
    <n v="42"/>
    <x v="0"/>
    <m/>
    <s v="Ppto. en Evaluación"/>
    <n v="1919"/>
    <n v="570"/>
    <n v="320"/>
    <n v="1233.8599999999999"/>
    <m/>
    <s v="Tiendas Peruanas"/>
    <s v="TP"/>
    <s v="Notebook"/>
    <x v="2"/>
    <s v="Hp"/>
    <s v="13-U00LA"/>
    <s v="Mainboard "/>
    <m/>
    <m/>
    <s v="Reyes Alegre Rosa Isabel"/>
    <s v="Binar Tec"/>
    <d v="2018-01-11T00:00:00"/>
    <s v="3 dias"/>
    <x v="1"/>
    <x v="1"/>
    <x v="2"/>
    <m/>
    <m/>
    <m/>
    <s v="Facturado"/>
    <m/>
    <m/>
    <m/>
    <m/>
  </r>
  <r>
    <n v="37"/>
    <n v="214343"/>
    <x v="2"/>
    <d v="2018-01-09T00:00:00"/>
    <x v="0"/>
    <d v="2018-01-16T00:00:00"/>
    <n v="7"/>
    <x v="1"/>
    <m/>
    <s v="Ppto. en Evaluación"/>
    <m/>
    <m/>
    <m/>
    <n v="0"/>
    <m/>
    <s v="Saga"/>
    <s v="Falabella"/>
    <s v="Consola"/>
    <x v="1"/>
    <s v="Nintendo"/>
    <s v="RVL-001"/>
    <s v="Tarjeta Principal"/>
    <m/>
    <m/>
    <m/>
    <s v="Censel"/>
    <m/>
    <m/>
    <x v="0"/>
    <x v="0"/>
    <x v="1"/>
    <m/>
    <m/>
    <s v="10/01 Ajustador anula pedido,"/>
    <m/>
    <m/>
    <m/>
    <m/>
    <m/>
  </r>
  <r>
    <n v="38"/>
    <n v="215098"/>
    <x v="0"/>
    <d v="2018-01-09T00:00:00"/>
    <x v="0"/>
    <d v="2018-01-23T00:00:00"/>
    <n v="14"/>
    <x v="0"/>
    <m/>
    <s v="Ppto. en Evaluación"/>
    <n v="1299"/>
    <n v="520"/>
    <n v="107.1"/>
    <n v="701.06"/>
    <m/>
    <s v="Saga"/>
    <s v="Falabella"/>
    <s v="Notebook"/>
    <x v="2"/>
    <s v="Hp"/>
    <s v="15-AC102LA"/>
    <s v="Mainboard"/>
    <m/>
    <m/>
    <s v="Eagle Data"/>
    <s v="High Service"/>
    <d v="2018-01-11T00:00:00"/>
    <s v="2 dias"/>
    <x v="1"/>
    <x v="1"/>
    <x v="2"/>
    <m/>
    <m/>
    <m/>
    <m/>
    <m/>
    <m/>
    <m/>
    <m/>
  </r>
  <r>
    <n v="39"/>
    <n v="214541"/>
    <x v="2"/>
    <d v="2018-01-09T00:00:00"/>
    <x v="0"/>
    <d v="2018-01-15T00:00:00"/>
    <n v="6"/>
    <x v="0"/>
    <m/>
    <s v="Ppto. en Evaluación"/>
    <m/>
    <m/>
    <m/>
    <n v="0"/>
    <m/>
    <s v="Saga"/>
    <s v="Falabella"/>
    <s v="Minicomponente"/>
    <x v="1"/>
    <s v="Sony"/>
    <s v="HCD-SHAKE99"/>
    <s v="Tarjeta Amplificadora"/>
    <m/>
    <m/>
    <m/>
    <s v="Censel"/>
    <m/>
    <m/>
    <x v="0"/>
    <x v="0"/>
    <x v="0"/>
    <s v="Disponibilidad de repuesto"/>
    <m/>
    <m/>
    <m/>
    <m/>
    <m/>
    <m/>
    <m/>
  </r>
  <r>
    <n v="40"/>
    <n v="214775"/>
    <x v="2"/>
    <d v="2018-01-09T00:00:00"/>
    <x v="0"/>
    <d v="2018-01-15T00:00:00"/>
    <n v="6"/>
    <x v="0"/>
    <m/>
    <s v="Ppto. en Evaluación"/>
    <m/>
    <m/>
    <m/>
    <n v="0"/>
    <m/>
    <s v="Saga"/>
    <s v="Falabella"/>
    <s v="Minicomponente"/>
    <x v="1"/>
    <s v="Sony"/>
    <s v="HCD-SHAKE77"/>
    <s v="Tarjeta Amplificadora"/>
    <m/>
    <m/>
    <m/>
    <s v="Censel"/>
    <m/>
    <m/>
    <x v="0"/>
    <x v="0"/>
    <x v="0"/>
    <s v="Disponibilidad de repuesto"/>
    <m/>
    <m/>
    <m/>
    <m/>
    <m/>
    <m/>
    <m/>
  </r>
  <r>
    <n v="41"/>
    <n v="215348"/>
    <x v="2"/>
    <d v="2018-01-10T00:00:00"/>
    <x v="0"/>
    <d v="2018-01-17T00:00:00"/>
    <n v="7"/>
    <x v="0"/>
    <m/>
    <s v="Ppto. en Evaluación"/>
    <n v="2849"/>
    <n v="290"/>
    <n v="120"/>
    <n v="2388.06"/>
    <m/>
    <m/>
    <m/>
    <s v="Refrigeradora"/>
    <x v="0"/>
    <s v="Daewoo"/>
    <s v="FRS - Q22"/>
    <s v="Damper"/>
    <m/>
    <m/>
    <s v="Cardif"/>
    <s v="SOS Service"/>
    <d v="2018-01-10T00:00:00"/>
    <m/>
    <x v="1"/>
    <x v="1"/>
    <x v="2"/>
    <m/>
    <m/>
    <m/>
    <m/>
    <m/>
    <m/>
    <m/>
    <m/>
  </r>
  <r>
    <n v="42"/>
    <n v="215069"/>
    <x v="0"/>
    <d v="2018-01-12T00:00:00"/>
    <x v="0"/>
    <d v="2018-01-19T00:00:00"/>
    <n v="7"/>
    <x v="0"/>
    <m/>
    <s v="Ppto. en Evaluación"/>
    <n v="1499"/>
    <n v="148"/>
    <n v="550"/>
    <n v="859.06"/>
    <m/>
    <s v="Tottus"/>
    <s v="Falabella"/>
    <s v="Lavadora"/>
    <x v="0"/>
    <s v="Samsung"/>
    <s v="WA12F5L4UWA/PE"/>
    <s v="Valvula de Ingreso de Agua"/>
    <m/>
    <m/>
    <s v="Toralva Flores Jose Manuel"/>
    <s v="Seisa"/>
    <d v="2018-01-18T00:00:00"/>
    <s v="2 dias"/>
    <x v="1"/>
    <x v="1"/>
    <x v="2"/>
    <m/>
    <m/>
    <m/>
    <s v="Facturado"/>
    <d v="2018-01-29T00:00:00"/>
    <s v="001 - 002359"/>
    <s v="Pendiente"/>
    <m/>
  </r>
  <r>
    <n v="43"/>
    <n v="215756"/>
    <x v="0"/>
    <d v="2018-01-15T00:00:00"/>
    <x v="0"/>
    <d v="2018-01-30T00:00:00"/>
    <n v="15"/>
    <x v="0"/>
    <m/>
    <s v="Ppto. en Evaluación"/>
    <n v="2799"/>
    <n v="230"/>
    <n v="120"/>
    <n v="0"/>
    <m/>
    <s v="Tiendas Peruanas"/>
    <s v="TP"/>
    <s v="Refrigeradora"/>
    <x v="0"/>
    <s v="Electrolux"/>
    <s v="ERSB56B2MLT"/>
    <s v="Damper"/>
    <m/>
    <m/>
    <s v="Reyes Alegre Rosa Isabel"/>
    <s v="Serfac"/>
    <d v="2018-01-17T00:00:00"/>
    <s v="2 dias"/>
    <x v="0"/>
    <x v="0"/>
    <x v="0"/>
    <s v="Disponibilidad de repuesto"/>
    <m/>
    <m/>
    <m/>
    <m/>
    <m/>
    <m/>
    <m/>
  </r>
  <r>
    <n v="44"/>
    <n v="215557"/>
    <x v="0"/>
    <d v="2018-01-15T00:00:00"/>
    <x v="0"/>
    <d v="2018-01-30T00:00:00"/>
    <n v="15"/>
    <x v="0"/>
    <m/>
    <s v="Ppto. en Evaluación"/>
    <n v="1099"/>
    <n v="180"/>
    <n v="80"/>
    <n v="853.06"/>
    <m/>
    <s v="Tiendas Peruanas"/>
    <s v="TP"/>
    <s v="Lavadora"/>
    <x v="0"/>
    <s v="Electrolux"/>
    <s v="EWI18D2CSGPG"/>
    <s v="Amortiguadores"/>
    <m/>
    <m/>
    <s v="Reyes Alegre Rosa Isabel"/>
    <s v="Serfac"/>
    <d v="2018-01-18T00:00:00"/>
    <s v="3 dias"/>
    <x v="1"/>
    <x v="1"/>
    <x v="2"/>
    <m/>
    <m/>
    <m/>
    <s v="Facturado"/>
    <d v="2018-01-31T00:00:00"/>
    <s v="001 - 000314"/>
    <s v="Cancelado"/>
    <d v="2018-01-31T00:00:00"/>
  </r>
  <r>
    <n v="45"/>
    <n v="214976"/>
    <x v="1"/>
    <d v="2018-01-15T00:00:00"/>
    <x v="0"/>
    <d v="2018-01-19T00:00:00"/>
    <n v="4"/>
    <x v="0"/>
    <m/>
    <s v="Ppto. en Evaluación"/>
    <m/>
    <m/>
    <m/>
    <n v="0"/>
    <m/>
    <s v="Saga"/>
    <s v="Falabella"/>
    <s v="Notebook"/>
    <x v="2"/>
    <s v="Asus"/>
    <s v="TP200SA-FV0108TS"/>
    <s v="Teclado"/>
    <m/>
    <m/>
    <m/>
    <s v="CVC Service"/>
    <m/>
    <m/>
    <x v="0"/>
    <x v="0"/>
    <x v="0"/>
    <s v="Disponibilidad de repuesto"/>
    <m/>
    <m/>
    <m/>
    <m/>
    <m/>
    <m/>
    <m/>
  </r>
  <r>
    <n v="46"/>
    <n v="214962"/>
    <x v="1"/>
    <d v="2018-01-15T00:00:00"/>
    <x v="0"/>
    <d v="2018-01-20T00:00:00"/>
    <n v="5"/>
    <x v="0"/>
    <m/>
    <s v="Ppto. en Evaluación"/>
    <m/>
    <m/>
    <m/>
    <n v="0"/>
    <m/>
    <s v="Tottus"/>
    <s v="Falabella"/>
    <s v="Consola"/>
    <x v="1"/>
    <s v="Sony"/>
    <s v="CECH-4311C"/>
    <s v="Tarjeta Principal / Lector Optico"/>
    <m/>
    <m/>
    <m/>
    <s v="Ceser Trujillo"/>
    <m/>
    <m/>
    <x v="0"/>
    <x v="0"/>
    <x v="0"/>
    <s v="Disponibilidad de repuesto"/>
    <m/>
    <m/>
    <m/>
    <m/>
    <m/>
    <m/>
    <m/>
  </r>
  <r>
    <n v="47"/>
    <n v="215163"/>
    <x v="1"/>
    <d v="2018-01-15T00:00:00"/>
    <x v="0"/>
    <d v="2018-01-21T00:00:00"/>
    <n v="6"/>
    <x v="0"/>
    <m/>
    <s v="Ppto. en Evaluación"/>
    <m/>
    <m/>
    <m/>
    <n v="0"/>
    <m/>
    <s v="Saga"/>
    <s v="Falabella"/>
    <s v="Cocina"/>
    <x v="0"/>
    <s v="Klimatic"/>
    <s v="Vittoria"/>
    <s v="Termocupla y Valvula de hornilla"/>
    <m/>
    <m/>
    <m/>
    <s v="TBS"/>
    <m/>
    <m/>
    <x v="0"/>
    <x v="0"/>
    <x v="0"/>
    <s v="Disponibilidad de repuesto"/>
    <m/>
    <m/>
    <m/>
    <m/>
    <m/>
    <m/>
    <m/>
  </r>
  <r>
    <n v="48"/>
    <n v="215246"/>
    <x v="2"/>
    <d v="2018-01-15T00:00:00"/>
    <x v="0"/>
    <d v="2018-01-18T00:00:00"/>
    <n v="3"/>
    <x v="0"/>
    <m/>
    <s v="Ppto. en Evaluación"/>
    <n v="2899"/>
    <n v="290"/>
    <n v="220"/>
    <n v="2435.06"/>
    <m/>
    <m/>
    <m/>
    <s v="Refrigeradora"/>
    <x v="0"/>
    <s v="Daewoo"/>
    <s v="FRS - MANCORA"/>
    <s v="Damper"/>
    <m/>
    <m/>
    <s v="Cardif"/>
    <s v="SOS Service"/>
    <d v="2018-01-15T00:00:00"/>
    <m/>
    <x v="1"/>
    <x v="1"/>
    <x v="2"/>
    <m/>
    <m/>
    <m/>
    <m/>
    <m/>
    <m/>
    <m/>
    <m/>
  </r>
  <r>
    <n v="49"/>
    <n v="215715"/>
    <x v="2"/>
    <d v="2018-01-15T00:00:00"/>
    <x v="0"/>
    <d v="2018-01-22T00:00:00"/>
    <n v="7"/>
    <x v="0"/>
    <m/>
    <s v="Ppto. en Evaluación"/>
    <n v="2650"/>
    <n v="290"/>
    <n v="220"/>
    <n v="2201"/>
    <m/>
    <m/>
    <m/>
    <s v="Refrigeradora"/>
    <x v="0"/>
    <s v="Daewoo"/>
    <s v="FRS - Q24"/>
    <s v="Damper"/>
    <m/>
    <m/>
    <s v="Cardif"/>
    <s v="SOS Service"/>
    <d v="2018-01-15T00:00:00"/>
    <m/>
    <x v="1"/>
    <x v="1"/>
    <x v="2"/>
    <m/>
    <m/>
    <m/>
    <m/>
    <m/>
    <m/>
    <m/>
    <m/>
  </r>
  <r>
    <n v="50"/>
    <n v="215302"/>
    <x v="1"/>
    <d v="2018-01-16T00:00:00"/>
    <x v="0"/>
    <d v="2018-01-25T00:00:00"/>
    <n v="9"/>
    <x v="1"/>
    <m/>
    <s v="Ppto. en Evaluación"/>
    <m/>
    <m/>
    <m/>
    <n v="0"/>
    <m/>
    <s v="Saga"/>
    <s v="Falabella"/>
    <s v="Minicomponente"/>
    <x v="1"/>
    <s v="Phillips"/>
    <s v="NTX900MU/56"/>
    <s v="Parlante / Lector Optico / Pulsador"/>
    <m/>
    <m/>
    <m/>
    <s v="Serviteco"/>
    <m/>
    <m/>
    <x v="0"/>
    <x v="0"/>
    <x v="1"/>
    <m/>
    <m/>
    <s v="22/01 Ajustador aprueba reparacion de ST"/>
    <m/>
    <m/>
    <m/>
    <m/>
    <m/>
  </r>
  <r>
    <n v="51"/>
    <n v="215165"/>
    <x v="1"/>
    <d v="2018-01-16T00:00:00"/>
    <x v="0"/>
    <d v="2018-01-21T00:00:00"/>
    <n v="5"/>
    <x v="0"/>
    <m/>
    <s v="Ppto. en Evaluación"/>
    <m/>
    <m/>
    <m/>
    <n v="0"/>
    <m/>
    <s v="Saga"/>
    <s v="Falabella"/>
    <s v="Refrigeradora"/>
    <x v="0"/>
    <s v="LG"/>
    <s v="GS65SPPN"/>
    <s v="Sensor Defrost"/>
    <m/>
    <m/>
    <m/>
    <s v="Ceser Trujillo"/>
    <m/>
    <m/>
    <x v="0"/>
    <x v="0"/>
    <x v="0"/>
    <s v="Disponibilidad de repuesto"/>
    <m/>
    <m/>
    <m/>
    <m/>
    <m/>
    <m/>
    <m/>
  </r>
  <r>
    <n v="52"/>
    <n v="214912"/>
    <x v="1"/>
    <d v="2018-01-16T00:00:00"/>
    <x v="0"/>
    <d v="2018-02-03T00:00:00"/>
    <n v="18"/>
    <x v="1"/>
    <m/>
    <s v="Ppto. en Evaluación"/>
    <m/>
    <m/>
    <m/>
    <n v="0"/>
    <m/>
    <s v="Tiendas Peruanas"/>
    <s v="TP"/>
    <s v="Notebook"/>
    <x v="2"/>
    <s v="Acer"/>
    <s v="E5 - 571G - 71B1"/>
    <s v="Mainboard"/>
    <m/>
    <m/>
    <m/>
    <s v="Tecnimax"/>
    <m/>
    <m/>
    <x v="0"/>
    <x v="0"/>
    <x v="1"/>
    <m/>
    <m/>
    <s v="25/01 Ajustador informa que el producto lo ingreso a otro ST."/>
    <m/>
    <m/>
    <m/>
    <m/>
    <m/>
  </r>
  <r>
    <n v="53"/>
    <n v="215924"/>
    <x v="0"/>
    <d v="2018-01-16T00:00:00"/>
    <x v="0"/>
    <d v="2018-01-27T00:00:00"/>
    <n v="11"/>
    <x v="0"/>
    <m/>
    <s v="Ppto. en Evaluación"/>
    <n v="1899"/>
    <n v="350"/>
    <n v="230"/>
    <n v="1435.06"/>
    <m/>
    <s v="Tottus"/>
    <s v="Falabella"/>
    <s v="TV Led"/>
    <x v="1"/>
    <s v="LG"/>
    <s v="43LF5900.SB.BWFXLOR"/>
    <s v="Tarjeta Principal"/>
    <m/>
    <m/>
    <s v="Reyes Alegre Rosa Isabel"/>
    <s v="Celesur"/>
    <d v="2018-01-18T00:00:00"/>
    <s v="5 dias"/>
    <x v="1"/>
    <x v="1"/>
    <x v="2"/>
    <m/>
    <m/>
    <m/>
    <s v="Facturado"/>
    <d v="2018-01-31T00:00:00"/>
    <s v="001 - 000315"/>
    <s v="Cancelado"/>
    <d v="2018-01-31T00:00:00"/>
  </r>
  <r>
    <n v="54"/>
    <n v="215310"/>
    <x v="0"/>
    <d v="2018-01-16T00:00:00"/>
    <x v="0"/>
    <d v="2018-01-25T00:00:00"/>
    <n v="9"/>
    <x v="0"/>
    <m/>
    <s v="Ppto. en Evaluación"/>
    <n v="1499"/>
    <n v="130"/>
    <n v="145"/>
    <n v="1264.06"/>
    <m/>
    <s v="Tottus"/>
    <s v="Falabella"/>
    <s v="Refrigeradora"/>
    <x v="0"/>
    <s v="LG"/>
    <s v="GT32WPP"/>
    <s v="Motor Ventilador"/>
    <m/>
    <m/>
    <s v="Reyes Alegre Rosa Isabel"/>
    <s v="Tecnimax"/>
    <d v="2018-01-17T00:00:00"/>
    <s v="3 dias"/>
    <x v="1"/>
    <x v="1"/>
    <x v="2"/>
    <m/>
    <m/>
    <m/>
    <m/>
    <m/>
    <m/>
    <m/>
    <m/>
  </r>
  <r>
    <n v="55"/>
    <n v="215570"/>
    <x v="0"/>
    <d v="2018-01-17T00:00:00"/>
    <x v="0"/>
    <d v="2018-01-28T00:00:00"/>
    <n v="11"/>
    <x v="0"/>
    <m/>
    <s v="Ppto. en Evaluación"/>
    <m/>
    <m/>
    <m/>
    <n v="0"/>
    <m/>
    <s v="Tiendas Peruanas"/>
    <s v="TP"/>
    <s v="Lavadora"/>
    <x v="0"/>
    <s v="Whirlpool"/>
    <s v="4GWTW5550YW2"/>
    <s v="Tarjeta de Poder / Motor"/>
    <m/>
    <m/>
    <m/>
    <s v="Serfac"/>
    <m/>
    <m/>
    <x v="0"/>
    <x v="0"/>
    <x v="0"/>
    <s v="Disponibilidad de repuesto"/>
    <m/>
    <m/>
    <m/>
    <m/>
    <m/>
    <m/>
    <m/>
  </r>
  <r>
    <n v="56"/>
    <n v="215838"/>
    <x v="1"/>
    <d v="2018-01-18T00:00:00"/>
    <x v="0"/>
    <d v="2018-01-28T00:00:00"/>
    <n v="10"/>
    <x v="0"/>
    <m/>
    <s v="Ppto. en Evaluación"/>
    <n v="999"/>
    <n v="420"/>
    <n v="245"/>
    <n v="519.05999999999995"/>
    <m/>
    <s v="Saga"/>
    <s v="Falabella"/>
    <s v="Lavadora"/>
    <x v="0"/>
    <s v="Samsung"/>
    <s v="WA15W8MFP/XPE"/>
    <s v="Tarjeta Principal"/>
    <m/>
    <m/>
    <s v="Toralva Flores Jose Manuel"/>
    <s v="Seisa"/>
    <d v="2018-01-22T00:00:00"/>
    <s v="3 dias"/>
    <x v="1"/>
    <x v="1"/>
    <x v="2"/>
    <m/>
    <m/>
    <m/>
    <m/>
    <m/>
    <s v="001 - 002360"/>
    <m/>
    <m/>
  </r>
  <r>
    <n v="57"/>
    <n v="215230"/>
    <x v="2"/>
    <d v="2018-01-18T00:00:00"/>
    <x v="0"/>
    <d v="2018-01-23T00:00:00"/>
    <n v="5"/>
    <x v="0"/>
    <m/>
    <s v="Ppto. en Evaluación"/>
    <m/>
    <m/>
    <m/>
    <n v="0"/>
    <m/>
    <s v="Saga"/>
    <s v="Falabella"/>
    <s v="Refrigeradora"/>
    <x v="2"/>
    <s v="Daewoo"/>
    <s v="DFR553SD"/>
    <s v="Tarjeta Principal"/>
    <m/>
    <m/>
    <m/>
    <s v="SOS Service"/>
    <m/>
    <m/>
    <x v="0"/>
    <x v="0"/>
    <x v="0"/>
    <s v="Disponibilidad de repuesto"/>
    <m/>
    <m/>
    <m/>
    <m/>
    <m/>
    <m/>
    <m/>
  </r>
  <r>
    <n v="58"/>
    <n v="211727"/>
    <x v="2"/>
    <d v="2018-01-18T00:00:00"/>
    <x v="0"/>
    <d v="2018-01-30T00:00:00"/>
    <n v="12"/>
    <x v="1"/>
    <m/>
    <s v="Ppto. en Evaluación"/>
    <m/>
    <m/>
    <m/>
    <n v="0"/>
    <m/>
    <s v="Tottus"/>
    <s v="Falabella"/>
    <s v="Lavadora"/>
    <x v="1"/>
    <s v="Daewoo"/>
    <s v="DWF-340GI"/>
    <s v="Tarjeta Principal"/>
    <m/>
    <m/>
    <m/>
    <s v="SOS Service"/>
    <m/>
    <m/>
    <x v="0"/>
    <x v="0"/>
    <x v="1"/>
    <m/>
    <m/>
    <s v="19/01 Ajustador solicito anulacion de compra"/>
    <m/>
    <m/>
    <m/>
    <m/>
    <m/>
  </r>
  <r>
    <n v="59"/>
    <n v="215992"/>
    <x v="0"/>
    <d v="2018-01-18T00:00:00"/>
    <x v="0"/>
    <d v="2018-02-02T00:00:00"/>
    <n v="15"/>
    <x v="0"/>
    <m/>
    <s v="Ppto. en Evaluación"/>
    <m/>
    <m/>
    <m/>
    <n v="0"/>
    <m/>
    <s v="Saga"/>
    <s v="Falabella"/>
    <s v="All In One"/>
    <x v="2"/>
    <s v="Lenovo"/>
    <s v="700-24ISH"/>
    <s v="Panel Touch"/>
    <m/>
    <m/>
    <m/>
    <s v="High Service"/>
    <m/>
    <m/>
    <x v="0"/>
    <x v="0"/>
    <x v="0"/>
    <s v="Disponibilidad de repuesto"/>
    <m/>
    <m/>
    <m/>
    <m/>
    <m/>
    <m/>
    <m/>
  </r>
  <r>
    <n v="60"/>
    <n v="215861"/>
    <x v="2"/>
    <d v="2018-01-18T00:00:00"/>
    <x v="0"/>
    <d v="2018-01-25T00:00:00"/>
    <n v="7"/>
    <x v="0"/>
    <m/>
    <s v="Ppto. en Evaluación"/>
    <n v="1999"/>
    <n v="290"/>
    <n v="220"/>
    <n v="1589.06"/>
    <m/>
    <m/>
    <m/>
    <s v="Refrigeradora"/>
    <x v="0"/>
    <s v="Daewoo"/>
    <s v="FRS - Q24"/>
    <s v="Damper"/>
    <m/>
    <m/>
    <s v="Cardif"/>
    <s v="SOS Service"/>
    <d v="2018-01-18T00:00:00"/>
    <m/>
    <x v="1"/>
    <x v="1"/>
    <x v="2"/>
    <m/>
    <m/>
    <m/>
    <m/>
    <m/>
    <m/>
    <m/>
    <m/>
  </r>
  <r>
    <n v="61"/>
    <n v="216048"/>
    <x v="0"/>
    <d v="2018-01-19T00:00:00"/>
    <x v="0"/>
    <d v="2018-01-28T00:00:00"/>
    <n v="9"/>
    <x v="0"/>
    <m/>
    <s v="Ppto. en Evaluación"/>
    <m/>
    <m/>
    <m/>
    <n v="0"/>
    <m/>
    <s v="Saga"/>
    <s v="Falabella"/>
    <s v="Consola"/>
    <x v="1"/>
    <s v="Sony"/>
    <s v="CUH-2015A"/>
    <s v="Tarjeta Principal"/>
    <m/>
    <m/>
    <m/>
    <s v="Electronica Lima Sur"/>
    <m/>
    <m/>
    <x v="0"/>
    <x v="0"/>
    <x v="0"/>
    <s v="Disponibilidad de repuesto"/>
    <m/>
    <m/>
    <m/>
    <m/>
    <m/>
    <m/>
    <m/>
  </r>
  <r>
    <n v="62"/>
    <n v="216011"/>
    <x v="2"/>
    <d v="2018-01-19T00:00:00"/>
    <x v="0"/>
    <d v="2018-01-31T00:00:00"/>
    <n v="12"/>
    <x v="0"/>
    <m/>
    <s v="Ppto. en Evaluación"/>
    <n v="1499"/>
    <n v="115"/>
    <n v="80"/>
    <n v="1294.06"/>
    <m/>
    <s v="Plaza Vea"/>
    <s v="TP"/>
    <s v="Refrigeradora"/>
    <x v="0"/>
    <s v="Bosch"/>
    <s v="ECO-TT260"/>
    <s v="Timer"/>
    <m/>
    <m/>
    <s v="Reyes Alegre Rosa Isabel"/>
    <s v="Ceser Cusco"/>
    <d v="2018-01-22T00:00:00"/>
    <s v="3 dias"/>
    <x v="1"/>
    <x v="1"/>
    <x v="2"/>
    <m/>
    <m/>
    <m/>
    <s v="Facturado"/>
    <d v="2018-01-31T00:00:00"/>
    <s v="001 - 000316"/>
    <s v="Cancelado"/>
    <d v="2018-01-31T00:00:00"/>
  </r>
  <r>
    <n v="63"/>
    <n v="215321"/>
    <x v="3"/>
    <d v="2018-01-22T00:00:00"/>
    <x v="0"/>
    <d v="2018-01-27T00:00:00"/>
    <n v="5"/>
    <x v="1"/>
    <m/>
    <s v="Ppto. en Evaluación"/>
    <m/>
    <m/>
    <m/>
    <n v="0"/>
    <m/>
    <s v="Saga"/>
    <s v="Falabella"/>
    <s v="Refrigeradora"/>
    <x v="0"/>
    <s v="Electrolux"/>
    <s v="ERFE39C2YLS"/>
    <s v="Motor Difusor"/>
    <m/>
    <m/>
    <s v="Electrolux del Peru"/>
    <s v="Serfac"/>
    <m/>
    <s v="2 dias"/>
    <x v="0"/>
    <x v="0"/>
    <x v="1"/>
    <m/>
    <m/>
    <s v="25/01 Ajustador aprueba repuesto a ST"/>
    <m/>
    <m/>
    <m/>
    <m/>
    <m/>
  </r>
  <r>
    <n v="64"/>
    <n v="216384"/>
    <x v="0"/>
    <d v="2018-01-22T00:00:00"/>
    <x v="0"/>
    <d v="2018-02-07T00:00:00"/>
    <n v="16"/>
    <x v="0"/>
    <m/>
    <s v="Ppto. en Evaluación"/>
    <n v="1599"/>
    <n v="202"/>
    <n v="100"/>
    <n v="1301.06"/>
    <m/>
    <s v="Tottus"/>
    <s v="Falabella"/>
    <s v="Refrigeradora"/>
    <x v="0"/>
    <s v="Coldex"/>
    <s v="COOLSTYLE 395N"/>
    <s v="Tarjeta Principal"/>
    <m/>
    <m/>
    <s v="Toralva Flores Jose Manuel"/>
    <s v="T&amp;C"/>
    <d v="2018-01-25T00:00:00"/>
    <s v="7 dias"/>
    <x v="1"/>
    <x v="1"/>
    <x v="2"/>
    <m/>
    <m/>
    <m/>
    <m/>
    <m/>
    <s v="001 - 002362"/>
    <m/>
    <m/>
  </r>
  <r>
    <n v="65"/>
    <n v="216232"/>
    <x v="2"/>
    <d v="2018-01-23T00:00:00"/>
    <x v="0"/>
    <d v="2018-01-31T00:00:00"/>
    <n v="8"/>
    <x v="1"/>
    <m/>
    <s v="Ppto. en Evaluación"/>
    <m/>
    <m/>
    <m/>
    <n v="0"/>
    <m/>
    <s v="Tottus"/>
    <s v="Falabella"/>
    <s v="Lavadora"/>
    <x v="0"/>
    <s v="Daewoo"/>
    <s v="GLP-CYBERDRUM"/>
    <s v="Pulsator"/>
    <m/>
    <m/>
    <m/>
    <s v="SOS Service"/>
    <m/>
    <m/>
    <x v="0"/>
    <x v="0"/>
    <x v="1"/>
    <m/>
    <m/>
    <s v="25/01 Ajustador anula el pedido"/>
    <m/>
    <m/>
    <m/>
    <m/>
    <m/>
  </r>
  <r>
    <n v="66"/>
    <n v="216430"/>
    <x v="2"/>
    <d v="2018-01-23T00:00:00"/>
    <x v="0"/>
    <d v="2018-01-31T00:00:00"/>
    <n v="8"/>
    <x v="1"/>
    <m/>
    <s v="Ppto. en Evaluación"/>
    <m/>
    <m/>
    <m/>
    <n v="0"/>
    <m/>
    <s v="Tottus"/>
    <s v="Falabella"/>
    <s v="Lavadora"/>
    <x v="0"/>
    <s v="Daewoo"/>
    <s v="DWF-160M"/>
    <s v="Pulsator"/>
    <m/>
    <m/>
    <m/>
    <s v="SOS Service"/>
    <m/>
    <m/>
    <x v="0"/>
    <x v="0"/>
    <x v="1"/>
    <m/>
    <m/>
    <s v="25/01 Ajustador anula el pedido"/>
    <m/>
    <m/>
    <m/>
    <m/>
    <m/>
  </r>
  <r>
    <n v="67"/>
    <n v="215066"/>
    <x v="1"/>
    <d v="2018-01-24T00:00:00"/>
    <x v="0"/>
    <d v="2018-01-26T00:00:00"/>
    <n v="2"/>
    <x v="0"/>
    <m/>
    <s v="Ppto. en Evaluación"/>
    <n v="1699"/>
    <n v="365"/>
    <n v="130"/>
    <n v="0"/>
    <m/>
    <s v="Saga"/>
    <s v="Falabella"/>
    <s v="Minicomponente"/>
    <x v="1"/>
    <s v="LG"/>
    <s v="CM9760AB"/>
    <s v="Tarjeta Fuente"/>
    <m/>
    <m/>
    <s v="Reyes Alegre Rosa Isabel"/>
    <s v="Sertepi"/>
    <d v="2018-01-25T00:00:00"/>
    <s v="3 dias"/>
    <x v="0"/>
    <x v="0"/>
    <x v="0"/>
    <s v="Plazo de Reparacion"/>
    <m/>
    <m/>
    <m/>
    <m/>
    <m/>
    <m/>
    <m/>
  </r>
  <r>
    <n v="68"/>
    <n v="215329"/>
    <x v="1"/>
    <d v="2018-01-24T00:00:00"/>
    <x v="0"/>
    <d v="2018-01-26T00:00:00"/>
    <n v="2"/>
    <x v="0"/>
    <m/>
    <s v="Ppto. en Evaluación"/>
    <n v="5699"/>
    <n v="497"/>
    <n v="120"/>
    <n v="4860.0600000000004"/>
    <m/>
    <s v="Saga"/>
    <s v="Falabella"/>
    <s v="Refrigeradora"/>
    <x v="0"/>
    <s v="Samsung"/>
    <s v="RF263BEAESL"/>
    <s v="Cover Conservador"/>
    <m/>
    <m/>
    <s v="Toralva Flores Jose Manuel"/>
    <s v="Seisa"/>
    <d v="2018-01-25T00:00:00"/>
    <s v="2 dias"/>
    <x v="1"/>
    <x v="1"/>
    <x v="2"/>
    <m/>
    <m/>
    <m/>
    <m/>
    <m/>
    <s v="001 - 002361"/>
    <m/>
    <m/>
  </r>
  <r>
    <n v="69"/>
    <n v="215863"/>
    <x v="2"/>
    <d v="2018-01-24T00:00:00"/>
    <x v="0"/>
    <d v="2018-01-31T00:00:00"/>
    <n v="7"/>
    <x v="1"/>
    <m/>
    <s v="Ppto. en Evaluación"/>
    <m/>
    <m/>
    <m/>
    <n v="0"/>
    <m/>
    <s v="Plaza Vea"/>
    <s v="TP"/>
    <s v="Lavadora"/>
    <x v="0"/>
    <s v="Daewoo"/>
    <s v="DWF-140M"/>
    <s v="Pulsator"/>
    <m/>
    <m/>
    <m/>
    <s v="SOS Service"/>
    <m/>
    <m/>
    <x v="0"/>
    <x v="0"/>
    <x v="1"/>
    <m/>
    <m/>
    <s v="25/01 Ajustador anula el pedido"/>
    <m/>
    <m/>
    <m/>
    <m/>
    <m/>
  </r>
  <r>
    <n v="70"/>
    <n v="215798"/>
    <x v="2"/>
    <d v="2018-01-24T00:00:00"/>
    <x v="0"/>
    <d v="2018-01-31T00:00:00"/>
    <n v="7"/>
    <x v="0"/>
    <m/>
    <s v="Ppto. en Evaluación"/>
    <n v="1399"/>
    <n v="170"/>
    <n v="80"/>
    <n v="1145.06"/>
    <m/>
    <s v="Tottus"/>
    <s v="Falabella"/>
    <s v="Lavadora"/>
    <x v="0"/>
    <s v="Daewoo"/>
    <s v="DWF-160R"/>
    <s v="Pulsator"/>
    <m/>
    <m/>
    <s v="Reyes Alegre Rosa Isabel"/>
    <s v="SOS Service"/>
    <d v="2018-01-24T00:00:00"/>
    <s v="1 dias"/>
    <x v="1"/>
    <x v="1"/>
    <x v="2"/>
    <m/>
    <m/>
    <m/>
    <m/>
    <m/>
    <m/>
    <m/>
    <m/>
  </r>
  <r>
    <n v="71"/>
    <n v="215955"/>
    <x v="2"/>
    <d v="2018-01-24T00:00:00"/>
    <x v="0"/>
    <d v="2018-01-30T00:00:00"/>
    <n v="6"/>
    <x v="0"/>
    <m/>
    <s v="Ppto. en Evaluación"/>
    <n v="999"/>
    <n v="170"/>
    <n v="80"/>
    <n v="769.06"/>
    <m/>
    <s v="Saga"/>
    <s v="Falabella"/>
    <s v="Lavadora"/>
    <x v="0"/>
    <s v="Daewoo"/>
    <s v="DWF-150M"/>
    <s v="Pulsator"/>
    <m/>
    <m/>
    <s v="Reyes Alegre Rosa Isabel"/>
    <s v="SOS Service"/>
    <d v="2018-01-25T00:00:00"/>
    <s v="2 dias"/>
    <x v="1"/>
    <x v="1"/>
    <x v="2"/>
    <m/>
    <m/>
    <m/>
    <s v="Facturado"/>
    <d v="2018-01-31T00:00:00"/>
    <s v="001 - 000317"/>
    <s v="Cancelado"/>
    <d v="2018-01-31T00:00:00"/>
  </r>
  <r>
    <n v="72"/>
    <n v="216421"/>
    <x v="0"/>
    <d v="2018-01-24T00:00:00"/>
    <x v="0"/>
    <d v="2018-02-08T00:00:00"/>
    <n v="15"/>
    <x v="0"/>
    <m/>
    <s v="Ppto. en Evaluación"/>
    <m/>
    <m/>
    <m/>
    <n v="0"/>
    <m/>
    <s v="Saga"/>
    <s v="Falabella"/>
    <s v="All In One"/>
    <x v="2"/>
    <s v="Hp"/>
    <s v="23-Q103LA"/>
    <s v="Mainboard"/>
    <m/>
    <m/>
    <m/>
    <s v="High Service"/>
    <m/>
    <m/>
    <x v="0"/>
    <x v="0"/>
    <x v="0"/>
    <s v="Disponibilidad de repuesto"/>
    <m/>
    <m/>
    <m/>
    <m/>
    <m/>
    <m/>
    <m/>
  </r>
  <r>
    <n v="73"/>
    <n v="216215"/>
    <x v="2"/>
    <d v="2018-01-24T00:00:00"/>
    <x v="0"/>
    <d v="2018-02-06T00:00:00"/>
    <n v="13"/>
    <x v="0"/>
    <m/>
    <s v="Ppto. en Evaluación"/>
    <n v="2770"/>
    <n v="290"/>
    <n v="270"/>
    <n v="2313.8000000000002"/>
    <m/>
    <m/>
    <m/>
    <s v="Refrigeradora"/>
    <x v="0"/>
    <s v="Daewoo"/>
    <s v="FRS - PUNTASAL"/>
    <s v="Damper"/>
    <m/>
    <m/>
    <s v="Cardif"/>
    <s v="SOS Service"/>
    <d v="2018-01-24T00:00:00"/>
    <m/>
    <x v="1"/>
    <x v="1"/>
    <x v="2"/>
    <m/>
    <m/>
    <m/>
    <m/>
    <m/>
    <m/>
    <m/>
    <m/>
  </r>
  <r>
    <n v="74"/>
    <n v="216876"/>
    <x v="2"/>
    <d v="2018-01-26T00:00:00"/>
    <x v="0"/>
    <d v="2018-02-10T00:00:00"/>
    <n v="15"/>
    <x v="0"/>
    <m/>
    <m/>
    <m/>
    <m/>
    <m/>
    <n v="0"/>
    <m/>
    <m/>
    <m/>
    <s v="TV Led"/>
    <x v="1"/>
    <s v="LG"/>
    <s v="49LF6350-SB.BWFYLOR "/>
    <s v="Pantalla"/>
    <m/>
    <m/>
    <m/>
    <s v="Censel"/>
    <m/>
    <m/>
    <x v="0"/>
    <x v="0"/>
    <x v="0"/>
    <s v="Disponibilidad de repuesto"/>
    <m/>
    <m/>
    <m/>
    <m/>
    <m/>
    <m/>
    <m/>
  </r>
  <r>
    <n v="75"/>
    <n v="216423"/>
    <x v="2"/>
    <d v="2018-01-26T00:00:00"/>
    <x v="0"/>
    <d v="2018-02-04T00:00:00"/>
    <n v="9"/>
    <x v="0"/>
    <m/>
    <s v="Ppto. en Evaluación"/>
    <n v="1799"/>
    <n v="250"/>
    <n v="230"/>
    <n v="1441.06"/>
    <m/>
    <m/>
    <m/>
    <s v="TV Led"/>
    <x v="1"/>
    <s v="LG"/>
    <s v="43LF6350-SB.AWFYLJM"/>
    <s v="Barra Led"/>
    <m/>
    <m/>
    <s v="Reyes Alegre Rosa Isabel"/>
    <s v="Censel"/>
    <d v="2018-01-30T00:00:00"/>
    <s v="3 dias"/>
    <x v="1"/>
    <x v="1"/>
    <x v="2"/>
    <m/>
    <m/>
    <m/>
    <s v="Facturado"/>
    <d v="2018-01-31T00:00:00"/>
    <s v="001 - 000318"/>
    <s v="Cancelado"/>
    <d v="2018-01-31T00:00:00"/>
  </r>
  <r>
    <n v="76"/>
    <n v="216660"/>
    <x v="2"/>
    <d v="2018-01-29T00:00:00"/>
    <x v="0"/>
    <d v="2018-02-04T00:00:00"/>
    <n v="6"/>
    <x v="0"/>
    <m/>
    <s v="Ppto. en Evaluación"/>
    <m/>
    <m/>
    <m/>
    <n v="0"/>
    <m/>
    <m/>
    <m/>
    <s v="TV Led"/>
    <x v="1"/>
    <s v="LG"/>
    <s v="55LA9700-SA.AWFZLH"/>
    <s v="Barra Led"/>
    <m/>
    <m/>
    <m/>
    <s v="Censel"/>
    <m/>
    <m/>
    <x v="0"/>
    <x v="0"/>
    <x v="0"/>
    <s v="Disponibilidad de repuesto"/>
    <m/>
    <m/>
    <m/>
    <m/>
    <m/>
    <m/>
    <m/>
  </r>
  <r>
    <n v="77"/>
    <n v="216844"/>
    <x v="0"/>
    <d v="2018-01-30T00:00:00"/>
    <x v="0"/>
    <d v="2018-02-09T00:00:00"/>
    <n v="10"/>
    <x v="0"/>
    <m/>
    <s v="Ppto. en Evaluación"/>
    <n v="3999"/>
    <n v="500"/>
    <n v="255"/>
    <n v="3259.06"/>
    <m/>
    <m/>
    <m/>
    <s v="Centro de Lavado"/>
    <x v="0"/>
    <s v="Frigidaire"/>
    <s v="FFLG1011MW3"/>
    <s v="Tarjeta Principal"/>
    <m/>
    <m/>
    <s v="Electrolux del Peru"/>
    <s v="Teccnis"/>
    <d v="2018-01-30T00:00:00"/>
    <s v="4 dias"/>
    <x v="1"/>
    <x v="1"/>
    <x v="2"/>
    <m/>
    <m/>
    <m/>
    <m/>
    <m/>
    <m/>
    <m/>
    <m/>
  </r>
  <r>
    <n v="78"/>
    <n v="216828"/>
    <x v="2"/>
    <d v="2018-01-30T00:00:00"/>
    <x v="0"/>
    <d v="2018-02-05T00:00:00"/>
    <n v="6"/>
    <x v="0"/>
    <m/>
    <s v="Ppto. en Evaluación"/>
    <n v="960"/>
    <n v="170"/>
    <n v="80"/>
    <n v="732.4"/>
    <m/>
    <m/>
    <m/>
    <s v="Refrigeradora"/>
    <x v="0"/>
    <s v="Daewoo"/>
    <s v="DWF-160GMG"/>
    <s v="Pulsator"/>
    <m/>
    <m/>
    <s v="Reyes Alegre Rosa Isabel"/>
    <s v="SOS Service"/>
    <d v="2018-01-31T00:00:00"/>
    <s v="2 dias"/>
    <x v="1"/>
    <x v="1"/>
    <x v="2"/>
    <m/>
    <m/>
    <m/>
    <s v="Facturado"/>
    <d v="2018-01-31T00:00:00"/>
    <s v="001 - 000320"/>
    <s v="Cancelado"/>
    <d v="2018-01-31T00:00:00"/>
  </r>
  <r>
    <n v="79"/>
    <n v="217003"/>
    <x v="2"/>
    <d v="2018-01-30T00:00:00"/>
    <x v="0"/>
    <d v="2018-02-10T00:00:00"/>
    <n v="11"/>
    <x v="0"/>
    <m/>
    <s v="Ppto. en Evaluación"/>
    <m/>
    <m/>
    <m/>
    <n v="0"/>
    <m/>
    <m/>
    <m/>
    <s v="Refrigeradora"/>
    <x v="0"/>
    <s v="Samsung"/>
    <s v="RSA1JHSL1/XPE"/>
    <s v="Condensador"/>
    <m/>
    <m/>
    <m/>
    <s v="Ceser Piura"/>
    <m/>
    <m/>
    <x v="0"/>
    <x v="0"/>
    <x v="0"/>
    <s v="Disponibilidad de repuesto"/>
    <m/>
    <m/>
    <m/>
    <m/>
    <m/>
    <m/>
    <m/>
  </r>
  <r>
    <n v="80"/>
    <n v="214953"/>
    <x v="0"/>
    <d v="2018-01-30T00:00:00"/>
    <x v="0"/>
    <d v="2018-02-12T00:00:00"/>
    <n v="13"/>
    <x v="0"/>
    <m/>
    <s v="Ppto. en Evaluación"/>
    <n v="1899"/>
    <n v="660"/>
    <n v="160"/>
    <n v="1125.06"/>
    <m/>
    <m/>
    <m/>
    <s v="TV Led"/>
    <x v="1"/>
    <s v="Hyundai"/>
    <s v="HYLED554INT "/>
    <s v="Tarjeta Principal"/>
    <m/>
    <m/>
    <s v="Allied Electronics"/>
    <s v="Elausi"/>
    <d v="2018-02-02T00:00:00"/>
    <s v="5 dias"/>
    <x v="1"/>
    <x v="1"/>
    <x v="2"/>
    <m/>
    <m/>
    <m/>
    <m/>
    <m/>
    <m/>
    <m/>
    <m/>
  </r>
  <r>
    <n v="81"/>
    <n v="216641"/>
    <x v="1"/>
    <d v="2018-01-30T00:00:00"/>
    <x v="0"/>
    <d v="2018-02-08T00:00:00"/>
    <n v="9"/>
    <x v="0"/>
    <m/>
    <s v="Ppto. en Evaluación"/>
    <n v="2399"/>
    <n v="120"/>
    <n v="80"/>
    <n v="2135.06"/>
    <m/>
    <m/>
    <m/>
    <s v="Lavadora"/>
    <x v="0"/>
    <s v="Samsung"/>
    <s v="WA18F7G6DTS/PE"/>
    <s v="Valvula de Ingreso de Agua"/>
    <m/>
    <m/>
    <s v="Toralva Flores Jose Manuel"/>
    <s v="Seisa"/>
    <d v="2018-01-31T00:00:00"/>
    <s v="3 dias"/>
    <x v="1"/>
    <x v="1"/>
    <x v="2"/>
    <m/>
    <m/>
    <m/>
    <m/>
    <m/>
    <m/>
    <m/>
    <m/>
  </r>
  <r>
    <n v="82"/>
    <n v="216715"/>
    <x v="1"/>
    <d v="2018-01-31T00:00:00"/>
    <x v="0"/>
    <d v="2018-02-05T00:00:00"/>
    <n v="5"/>
    <x v="0"/>
    <m/>
    <s v="Ppto. en Evaluación"/>
    <n v="3099"/>
    <n v="437"/>
    <n v="0"/>
    <n v="0"/>
    <m/>
    <m/>
    <m/>
    <s v="Refrigeradora"/>
    <x v="0"/>
    <s v="Samsung"/>
    <s v="RSA1JHSL1/XPE"/>
    <s v="Tanque de Agua"/>
    <m/>
    <m/>
    <s v="Toralva Flores Jose Manuel"/>
    <s v="Seisa"/>
    <d v="2018-02-07T00:00:00"/>
    <s v="9 dias"/>
    <x v="0"/>
    <x v="0"/>
    <x v="0"/>
    <s v="Plazo de Reparacion"/>
    <m/>
    <m/>
    <m/>
    <m/>
    <m/>
    <m/>
    <m/>
  </r>
  <r>
    <n v="83"/>
    <n v="217139"/>
    <x v="2"/>
    <d v="2018-01-31T00:00:00"/>
    <x v="0"/>
    <d v="2018-02-10T00:00:00"/>
    <n v="10"/>
    <x v="0"/>
    <m/>
    <s v="Ppto. en Evaluación"/>
    <n v="3740"/>
    <n v="290"/>
    <n v="120"/>
    <n v="3225.6"/>
    <m/>
    <m/>
    <m/>
    <s v="Refrigeradora"/>
    <x v="0"/>
    <s v="Daewoo"/>
    <s v="FRS - PUNTASAL"/>
    <s v="Damper"/>
    <m/>
    <m/>
    <s v="Reyes Alegre Rosa Isabel"/>
    <s v="SOS Service"/>
    <d v="2018-02-02T00:00:00"/>
    <s v="5 dias"/>
    <x v="1"/>
    <x v="1"/>
    <x v="2"/>
    <m/>
    <m/>
    <m/>
    <s v="Facturado"/>
    <d v="2018-02-16T00:00:00"/>
    <s v="001 - 000328"/>
    <m/>
    <d v="2018-02-16T00:00:00"/>
  </r>
  <r>
    <n v="84"/>
    <n v="217025"/>
    <x v="2"/>
    <d v="2018-01-31T00:00:00"/>
    <x v="0"/>
    <d v="2018-02-05T00:00:00"/>
    <n v="5"/>
    <x v="0"/>
    <m/>
    <s v="Ppto. en Evaluación"/>
    <n v="2909"/>
    <n v="290"/>
    <n v="120"/>
    <n v="2444.46"/>
    <m/>
    <m/>
    <m/>
    <s v="Refrigeradora"/>
    <x v="0"/>
    <s v="Daewoo"/>
    <s v="FRS - PUNTASAL"/>
    <s v="Damper"/>
    <m/>
    <m/>
    <s v="Cardif"/>
    <s v="SOS Service"/>
    <d v="2018-01-31T00:00:00"/>
    <m/>
    <x v="1"/>
    <x v="1"/>
    <x v="2"/>
    <m/>
    <m/>
    <m/>
    <m/>
    <m/>
    <m/>
    <m/>
    <m/>
  </r>
  <r>
    <n v="85"/>
    <n v="217469"/>
    <x v="2"/>
    <d v="2018-02-02T00:00:00"/>
    <x v="1"/>
    <d v="2018-02-10T00:00:00"/>
    <n v="8"/>
    <x v="0"/>
    <m/>
    <s v="Ppto. en Evaluación"/>
    <n v="1899"/>
    <n v="280"/>
    <n v="230"/>
    <n v="1505.06"/>
    <m/>
    <m/>
    <m/>
    <s v="TV Led"/>
    <x v="1"/>
    <s v="LG"/>
    <s v="49UF6400-SA.BWFYMOR"/>
    <s v="Barra Led"/>
    <m/>
    <m/>
    <s v="Reyes Alegre Rosa Isabel"/>
    <s v="Censel"/>
    <d v="2018-02-05T00:00:00"/>
    <s v="2 dias"/>
    <x v="1"/>
    <x v="1"/>
    <x v="2"/>
    <m/>
    <m/>
    <m/>
    <s v="Facturado"/>
    <d v="2018-02-16T00:00:00"/>
    <s v="001 - 000325"/>
    <m/>
    <d v="2018-02-16T00:00:00"/>
  </r>
  <r>
    <n v="86"/>
    <n v="217494"/>
    <x v="2"/>
    <d v="2018-02-05T00:00:00"/>
    <x v="1"/>
    <d v="2018-02-10T00:00:00"/>
    <n v="5"/>
    <x v="0"/>
    <m/>
    <s v="Ppto. en Evaluación"/>
    <n v="999"/>
    <n v="190"/>
    <n v="80"/>
    <n v="749.06"/>
    <m/>
    <m/>
    <m/>
    <s v="Lavadora"/>
    <x v="0"/>
    <s v="Daewoo"/>
    <s v="DWF-160GMG"/>
    <s v="Pulsator"/>
    <m/>
    <m/>
    <s v="Reyes Alegre Rosa Isabel"/>
    <s v="SOS Service"/>
    <d v="2018-02-06T00:00:00"/>
    <s v="2 dias"/>
    <x v="1"/>
    <x v="1"/>
    <x v="2"/>
    <m/>
    <m/>
    <m/>
    <s v="Facturado"/>
    <d v="2018-02-16T00:00:00"/>
    <s v="001 - 000326"/>
    <m/>
    <d v="2018-02-16T00:00:00"/>
  </r>
  <r>
    <n v="87"/>
    <n v="217547"/>
    <x v="2"/>
    <d v="2018-02-05T00:00:00"/>
    <x v="1"/>
    <d v="2018-02-11T00:00:00"/>
    <n v="6"/>
    <x v="0"/>
    <m/>
    <s v="Ppto. en Evaluación"/>
    <n v="1099"/>
    <n v="190"/>
    <n v="400"/>
    <n v="633.05999999999995"/>
    <m/>
    <m/>
    <m/>
    <s v="Lavadora"/>
    <x v="0"/>
    <s v="Daewoo"/>
    <s v="GLP-CYBERDRUM18"/>
    <s v="Pulsator"/>
    <m/>
    <m/>
    <s v="Reyes Alegre Rosa Isabel"/>
    <s v="SOS Service"/>
    <d v="2018-02-06T00:00:00"/>
    <s v="2 dias"/>
    <x v="1"/>
    <x v="1"/>
    <x v="2"/>
    <m/>
    <m/>
    <m/>
    <s v="Facturado"/>
    <d v="2018-02-16T00:00:00"/>
    <s v="001 - 000327"/>
    <m/>
    <d v="2018-02-16T00:00:00"/>
  </r>
  <r>
    <n v="88"/>
    <n v="217363"/>
    <x v="2"/>
    <d v="2018-02-05T00:00:00"/>
    <x v="1"/>
    <d v="2018-02-14T00:00:00"/>
    <n v="9"/>
    <x v="0"/>
    <m/>
    <s v="Ppto. en Evaluación"/>
    <m/>
    <m/>
    <m/>
    <n v="0"/>
    <m/>
    <m/>
    <m/>
    <s v="Refrigeradora"/>
    <x v="0"/>
    <s v="LG"/>
    <s v="GM84SDSB"/>
    <s v="Fabricador de Hielo"/>
    <m/>
    <m/>
    <m/>
    <s v="Servinorte"/>
    <m/>
    <m/>
    <x v="0"/>
    <x v="0"/>
    <x v="0"/>
    <s v="Disponibilidad de repuesto"/>
    <m/>
    <m/>
    <m/>
    <m/>
    <m/>
    <m/>
    <m/>
  </r>
  <r>
    <n v="89"/>
    <n v="216820"/>
    <x v="1"/>
    <d v="2018-02-05T00:00:00"/>
    <x v="1"/>
    <d v="2018-02-09T00:00:00"/>
    <n v="4"/>
    <x v="0"/>
    <m/>
    <s v="Ppto. en Evaluación"/>
    <n v="1446"/>
    <m/>
    <m/>
    <n v="0"/>
    <m/>
    <m/>
    <m/>
    <s v="Laptop "/>
    <x v="2"/>
    <s v="Hp"/>
    <s v="11-K172LA"/>
    <s v="Pantalla"/>
    <m/>
    <m/>
    <m/>
    <s v="CVC Service"/>
    <m/>
    <m/>
    <x v="0"/>
    <x v="0"/>
    <x v="0"/>
    <s v="Disponibilidad de repuesto"/>
    <m/>
    <m/>
    <m/>
    <m/>
    <m/>
    <m/>
    <m/>
  </r>
  <r>
    <n v="90"/>
    <n v="217878"/>
    <x v="2"/>
    <d v="2018-02-07T00:00:00"/>
    <x v="1"/>
    <d v="2018-02-17T00:00:00"/>
    <n v="10"/>
    <x v="0"/>
    <m/>
    <s v="Ppto. en Evaluación"/>
    <n v="1838"/>
    <n v="270"/>
    <n v="250"/>
    <n v="1457.72"/>
    <m/>
    <m/>
    <m/>
    <s v="TV Led"/>
    <x v="1"/>
    <s v="LG"/>
    <s v="43UF6400-SA.BWFYMJR"/>
    <s v="Barra Led"/>
    <m/>
    <m/>
    <s v="Reyes Alegre Rosa Isabel"/>
    <s v="Censel"/>
    <d v="2018-02-08T00:00:00"/>
    <s v="3 dias"/>
    <x v="1"/>
    <x v="1"/>
    <x v="2"/>
    <m/>
    <m/>
    <m/>
    <s v="Facturado"/>
    <d v="2018-02-16T00:00:00"/>
    <s v="001  -000329"/>
    <m/>
    <d v="2018-02-16T00:00:00"/>
  </r>
  <r>
    <n v="91"/>
    <n v="217999"/>
    <x v="2"/>
    <d v="2018-02-07T00:00:00"/>
    <x v="1"/>
    <d v="2018-02-15T00:00:00"/>
    <n v="8"/>
    <x v="0"/>
    <m/>
    <s v="Ppto. en Evaluación"/>
    <n v="1799"/>
    <n v="160"/>
    <n v="80"/>
    <n v="1531.06"/>
    <m/>
    <m/>
    <m/>
    <s v="Refrigeradora"/>
    <x v="0"/>
    <s v="Haceb"/>
    <s v="NEV AS"/>
    <s v="Damper"/>
    <m/>
    <m/>
    <s v="Reyes Alegre Rosa Isabel"/>
    <s v="Servidoctors"/>
    <d v="2018-02-13T00:00:00"/>
    <s v="3 dias"/>
    <x v="1"/>
    <x v="1"/>
    <x v="2"/>
    <m/>
    <m/>
    <m/>
    <s v="Facturado"/>
    <d v="2018-02-16T00:00:00"/>
    <s v="001 - 000330"/>
    <m/>
    <d v="2018-02-16T00:00:00"/>
  </r>
  <r>
    <n v="92"/>
    <n v="217626"/>
    <x v="1"/>
    <d v="2018-02-12T00:00:00"/>
    <x v="1"/>
    <d v="2018-02-22T00:00:00"/>
    <n v="10"/>
    <x v="0"/>
    <m/>
    <s v="Ppto. en Evaluación"/>
    <n v="1549"/>
    <n v="205"/>
    <n v="95"/>
    <n v="1251.06"/>
    <m/>
    <m/>
    <m/>
    <s v="Lavadora"/>
    <x v="0"/>
    <s v="Daewoo"/>
    <s v="DWF-340GR"/>
    <s v="Pulsator"/>
    <m/>
    <m/>
    <s v="Reyes Alegre Rosa Isabel"/>
    <s v="Tecnimax"/>
    <d v="2018-02-12T00:00:00"/>
    <s v="3 dias"/>
    <x v="1"/>
    <x v="1"/>
    <x v="2"/>
    <m/>
    <m/>
    <m/>
    <m/>
    <m/>
    <m/>
    <m/>
    <m/>
  </r>
  <r>
    <n v="93"/>
    <n v="218100"/>
    <x v="1"/>
    <d v="2018-02-13T00:00:00"/>
    <x v="1"/>
    <d v="2018-02-26T00:00:00"/>
    <n v="13"/>
    <x v="0"/>
    <m/>
    <s v="Ppto. en Evaluación"/>
    <n v="1699"/>
    <n v="310"/>
    <n v="493"/>
    <n v="1104.06"/>
    <m/>
    <m/>
    <m/>
    <s v="TV Led"/>
    <x v="1"/>
    <s v="Samsung"/>
    <s v="UN46EH5300GXPE"/>
    <s v="Tarjeta Principal"/>
    <m/>
    <m/>
    <s v="Reyes Alegre Rosa Isabel"/>
    <s v="Seisa"/>
    <d v="2018-02-14T00:00:00"/>
    <s v="2 dias"/>
    <x v="1"/>
    <x v="1"/>
    <x v="2"/>
    <m/>
    <m/>
    <m/>
    <s v="Facturado"/>
    <d v="2018-02-16T00:00:00"/>
    <s v="001 - 000331"/>
    <m/>
    <d v="2018-02-16T00:00:00"/>
  </r>
  <r>
    <n v="94"/>
    <n v="217797"/>
    <x v="2"/>
    <d v="2018-02-13T00:00:00"/>
    <x v="1"/>
    <d v="2018-03-03T00:00:00"/>
    <n v="18"/>
    <x v="0"/>
    <m/>
    <s v="Ppto. en Evaluación"/>
    <n v="1199"/>
    <n v="355"/>
    <n v="80"/>
    <n v="772.06"/>
    <m/>
    <m/>
    <m/>
    <s v="Lavadora"/>
    <x v="0"/>
    <s v="Daewoo"/>
    <s v="DWF-260GS"/>
    <s v="Tarjeta Principal"/>
    <m/>
    <m/>
    <s v="Repainter"/>
    <s v="SOS Service"/>
    <d v="2018-02-15T00:00:00"/>
    <s v="4 dias"/>
    <x v="1"/>
    <x v="1"/>
    <x v="2"/>
    <m/>
    <m/>
    <m/>
    <m/>
    <m/>
    <m/>
    <m/>
    <m/>
  </r>
  <r>
    <n v="95"/>
    <n v="217715"/>
    <x v="2"/>
    <d v="2018-02-13T00:00:00"/>
    <x v="1"/>
    <d v="2018-02-20T00:00:00"/>
    <n v="7"/>
    <x v="0"/>
    <m/>
    <s v="Ppto. en Evaluación"/>
    <m/>
    <m/>
    <m/>
    <n v="0"/>
    <m/>
    <m/>
    <m/>
    <s v="Home Theater"/>
    <x v="1"/>
    <s v="Samsung"/>
    <s v="HT-E5530K/PE"/>
    <s v="Panel Tactil"/>
    <m/>
    <m/>
    <m/>
    <s v="Electronica Lima Sur"/>
    <m/>
    <m/>
    <x v="0"/>
    <x v="0"/>
    <x v="0"/>
    <s v="Disponibilidad de repuesto"/>
    <m/>
    <m/>
    <m/>
    <m/>
    <m/>
    <m/>
    <m/>
  </r>
  <r>
    <n v="96"/>
    <n v="217563"/>
    <x v="2"/>
    <d v="2018-02-13T00:00:00"/>
    <x v="1"/>
    <d v="2018-02-23T00:00:00"/>
    <n v="10"/>
    <x v="0"/>
    <m/>
    <s v="Ppto. en Evaluación"/>
    <m/>
    <m/>
    <m/>
    <n v="0"/>
    <m/>
    <m/>
    <m/>
    <s v="TV Led"/>
    <x v="1"/>
    <s v="Sony"/>
    <s v="KDL-50W805B"/>
    <s v="Pantalla"/>
    <m/>
    <m/>
    <m/>
    <s v="Censel"/>
    <m/>
    <m/>
    <x v="0"/>
    <x v="0"/>
    <x v="0"/>
    <s v="Disponibilidad de repuesto"/>
    <m/>
    <m/>
    <m/>
    <m/>
    <m/>
    <m/>
    <m/>
  </r>
  <r>
    <n v="97"/>
    <n v="218318"/>
    <x v="2"/>
    <d v="2018-02-13T00:00:00"/>
    <x v="1"/>
    <d v="2018-02-25T00:00:00"/>
    <n v="12"/>
    <x v="0"/>
    <m/>
    <s v="Ppto. en Evaluación"/>
    <m/>
    <m/>
    <m/>
    <n v="0"/>
    <m/>
    <m/>
    <m/>
    <s v="TV Led"/>
    <x v="1"/>
    <s v="LG"/>
    <s v="55LF5950-SB.BWFYLJR"/>
    <s v="Pantalla"/>
    <m/>
    <m/>
    <m/>
    <s v="Censel"/>
    <m/>
    <m/>
    <x v="0"/>
    <x v="0"/>
    <x v="0"/>
    <s v="Disponibilidad de repuesto"/>
    <m/>
    <m/>
    <m/>
    <m/>
    <m/>
    <m/>
    <m/>
  </r>
  <r>
    <n v="98"/>
    <n v="218211"/>
    <x v="2"/>
    <d v="2018-02-13T00:00:00"/>
    <x v="1"/>
    <d v="2018-02-23T00:00:00"/>
    <n v="10"/>
    <x v="0"/>
    <m/>
    <s v="Ppto. en Evaluación"/>
    <m/>
    <m/>
    <m/>
    <n v="0"/>
    <m/>
    <m/>
    <m/>
    <s v="TV Led"/>
    <x v="1"/>
    <s v="AOC"/>
    <s v="LE55F1761"/>
    <s v="Pantalla"/>
    <m/>
    <m/>
    <m/>
    <s v="Ceser Cusco"/>
    <m/>
    <m/>
    <x v="0"/>
    <x v="0"/>
    <x v="0"/>
    <s v="Disponibilidad de repuesto"/>
    <m/>
    <m/>
    <m/>
    <m/>
    <m/>
    <m/>
    <m/>
  </r>
  <r>
    <n v="99"/>
    <n v="218040"/>
    <x v="1"/>
    <d v="2018-02-14T00:00:00"/>
    <x v="1"/>
    <d v="2018-02-25T00:00:00"/>
    <n v="11"/>
    <x v="0"/>
    <m/>
    <s v="Ppto. en Evaluación"/>
    <n v="3280"/>
    <n v="315"/>
    <n v="120"/>
    <n v="2768.2"/>
    <m/>
    <m/>
    <m/>
    <s v="Refrigeradora"/>
    <x v="0"/>
    <s v="Daewoo"/>
    <s v="FRS - PUNTASAL"/>
    <s v="Damper"/>
    <m/>
    <m/>
    <s v="Reyes Alegre Rosa Isabel"/>
    <s v="TBS"/>
    <d v="2018-02-15T00:00:00"/>
    <s v="4 dias"/>
    <x v="1"/>
    <x v="1"/>
    <x v="2"/>
    <m/>
    <m/>
    <m/>
    <m/>
    <m/>
    <m/>
    <m/>
    <m/>
  </r>
  <r>
    <n v="100"/>
    <n v="217605"/>
    <x v="0"/>
    <d v="2018-02-15T00:00:00"/>
    <x v="1"/>
    <d v="2018-02-19T00:00:00"/>
    <n v="4"/>
    <x v="0"/>
    <m/>
    <s v="Ppto. en Evaluación"/>
    <n v="1299"/>
    <n v="438"/>
    <n v="200"/>
    <n v="783.06"/>
    <m/>
    <m/>
    <m/>
    <s v="Refrigeradora"/>
    <x v="0"/>
    <s v="Samsung"/>
    <s v="RT29K5030S8"/>
    <s v="Tarjeta Principal"/>
    <m/>
    <m/>
    <s v="Toralva Flores Jose Manuel"/>
    <s v="T&amp;C"/>
    <d v="2018-02-15T00:00:00"/>
    <s v="2 dias"/>
    <x v="1"/>
    <x v="1"/>
    <x v="2"/>
    <m/>
    <m/>
    <m/>
    <m/>
    <m/>
    <m/>
    <m/>
    <m/>
  </r>
  <r>
    <n v="101"/>
    <n v="218203"/>
    <x v="1"/>
    <d v="2018-02-15T00:00:00"/>
    <x v="1"/>
    <d v="2018-02-28T00:00:00"/>
    <n v="13"/>
    <x v="0"/>
    <m/>
    <s v="Ppto. en Evaluación"/>
    <m/>
    <m/>
    <m/>
    <n v="0"/>
    <m/>
    <m/>
    <m/>
    <s v="Refrigeradora"/>
    <x v="0"/>
    <s v="Samsung"/>
    <s v="RSA1JTSL1/XPE"/>
    <s v="Damper"/>
    <m/>
    <m/>
    <m/>
    <s v="Seisa"/>
    <m/>
    <m/>
    <x v="0"/>
    <x v="0"/>
    <x v="0"/>
    <s v="Plazo de Reparacion"/>
    <m/>
    <m/>
    <m/>
    <m/>
    <m/>
    <m/>
    <m/>
  </r>
  <r>
    <n v="102"/>
    <n v="218222"/>
    <x v="0"/>
    <d v="2018-02-19T00:00:00"/>
    <x v="1"/>
    <d v="2018-03-29T00:00:00"/>
    <n v="38"/>
    <x v="0"/>
    <m/>
    <s v="Ppto. en Evaluación"/>
    <n v="2099"/>
    <n v="458"/>
    <n v="115"/>
    <n v="1515.06"/>
    <m/>
    <m/>
    <m/>
    <s v="Refrigeradora"/>
    <x v="0"/>
    <s v="Samsung"/>
    <s v="RT32K5730SL/PE"/>
    <s v="Tarjeta Principal"/>
    <m/>
    <m/>
    <s v="Toralva Flores Jose Manuel"/>
    <s v="Fisher Electronics"/>
    <d v="2018-02-21T00:00:00"/>
    <s v="5 dias"/>
    <x v="1"/>
    <x v="1"/>
    <x v="2"/>
    <m/>
    <m/>
    <m/>
    <m/>
    <m/>
    <m/>
    <m/>
    <m/>
  </r>
  <r>
    <n v="103"/>
    <n v="218727"/>
    <x v="2"/>
    <d v="2018-02-19T00:00:00"/>
    <x v="1"/>
    <d v="2018-02-28T00:00:00"/>
    <n v="9"/>
    <x v="0"/>
    <m/>
    <s v="Ppto. en Evaluación"/>
    <n v="2840"/>
    <m/>
    <m/>
    <n v="0"/>
    <m/>
    <m/>
    <m/>
    <s v="Refrigeradora"/>
    <x v="0"/>
    <s v="Daewoo"/>
    <s v="FRS-Q24"/>
    <s v="Damper"/>
    <m/>
    <m/>
    <m/>
    <s v="SOS Service"/>
    <m/>
    <m/>
    <x v="0"/>
    <x v="0"/>
    <x v="0"/>
    <s v="Disponibilidad de repuesto"/>
    <m/>
    <m/>
    <m/>
    <m/>
    <m/>
    <m/>
    <m/>
  </r>
  <r>
    <n v="104"/>
    <n v="218724"/>
    <x v="2"/>
    <d v="2018-02-19T00:00:00"/>
    <x v="1"/>
    <d v="2018-02-28T00:00:00"/>
    <n v="9"/>
    <x v="0"/>
    <m/>
    <s v="Ppto. en Evaluación"/>
    <n v="799"/>
    <n v="170"/>
    <n v="120"/>
    <n v="581.05999999999995"/>
    <m/>
    <m/>
    <m/>
    <s v="Lavadora"/>
    <x v="0"/>
    <s v="Daewoo"/>
    <s v="DWF-210GW"/>
    <s v="Paleta"/>
    <m/>
    <m/>
    <s v="Reyes Alegre Rosa Isabel"/>
    <s v="SOS Service"/>
    <d v="2018-02-20T00:00:00"/>
    <s v="2 dias"/>
    <x v="1"/>
    <x v="1"/>
    <x v="2"/>
    <m/>
    <m/>
    <m/>
    <m/>
    <m/>
    <m/>
    <m/>
    <m/>
  </r>
  <r>
    <n v="105"/>
    <n v="218842"/>
    <x v="2"/>
    <d v="2018-02-19T00:00:00"/>
    <x v="1"/>
    <d v="2018-03-07T00:00:00"/>
    <n v="16"/>
    <x v="0"/>
    <m/>
    <s v="Ppto. en Evaluación"/>
    <n v="15299"/>
    <m/>
    <m/>
    <n v="0"/>
    <m/>
    <m/>
    <m/>
    <s v="TV Led"/>
    <x v="1"/>
    <s v="LG"/>
    <s v="84UB9800-SA.AWFWLJR"/>
    <s v="Pantalla"/>
    <m/>
    <m/>
    <m/>
    <s v="Censel"/>
    <m/>
    <m/>
    <x v="0"/>
    <x v="0"/>
    <x v="0"/>
    <s v="Costo de la reparacion"/>
    <m/>
    <m/>
    <m/>
    <m/>
    <m/>
    <m/>
    <m/>
  </r>
  <r>
    <n v="106"/>
    <n v="218503"/>
    <x v="0"/>
    <d v="2018-02-19T00:00:00"/>
    <x v="1"/>
    <d v="2018-03-06T00:00:00"/>
    <n v="15"/>
    <x v="0"/>
    <m/>
    <s v="Ppto. en Evaluación"/>
    <n v="2999"/>
    <m/>
    <m/>
    <n v="0"/>
    <m/>
    <m/>
    <m/>
    <s v="Laptop"/>
    <x v="2"/>
    <s v="Lenovo"/>
    <s v="IDEAPAD 510"/>
    <s v="Mainboard"/>
    <m/>
    <m/>
    <m/>
    <s v="Busines Data"/>
    <d v="2018-02-19T00:00:00"/>
    <m/>
    <x v="0"/>
    <x v="0"/>
    <x v="0"/>
    <s v="Disponibilidad de repuesto"/>
    <m/>
    <m/>
    <m/>
    <m/>
    <m/>
    <m/>
    <m/>
  </r>
  <r>
    <n v="107"/>
    <n v="218512"/>
    <x v="0"/>
    <d v="2018-02-19T00:00:00"/>
    <x v="1"/>
    <d v="2018-03-15T00:00:00"/>
    <n v="24"/>
    <x v="0"/>
    <m/>
    <s v="Ppto. en Evaluación"/>
    <n v="1199"/>
    <m/>
    <m/>
    <n v="0"/>
    <m/>
    <m/>
    <m/>
    <s v="Laptop"/>
    <x v="2"/>
    <s v="Lenovo"/>
    <s v="G400S"/>
    <s v="Mainboard"/>
    <m/>
    <m/>
    <m/>
    <s v="Busines Data"/>
    <m/>
    <m/>
    <x v="0"/>
    <x v="0"/>
    <x v="0"/>
    <s v="Disponibilidad de repuesto"/>
    <m/>
    <m/>
    <m/>
    <m/>
    <m/>
    <m/>
    <m/>
  </r>
  <r>
    <n v="108"/>
    <n v="218683"/>
    <x v="2"/>
    <d v="2018-02-20T00:00:00"/>
    <x v="1"/>
    <d v="2018-03-03T00:00:00"/>
    <n v="11"/>
    <x v="0"/>
    <m/>
    <s v="Ppto. en Evaluación"/>
    <n v="2899"/>
    <m/>
    <m/>
    <n v="0"/>
    <m/>
    <m/>
    <m/>
    <s v="Refrigeradora"/>
    <x v="0"/>
    <s v="Whirlpool"/>
    <s v="WRE50NRBPE"/>
    <s v="Damper"/>
    <m/>
    <m/>
    <m/>
    <s v="Serfac"/>
    <m/>
    <m/>
    <x v="0"/>
    <x v="0"/>
    <x v="0"/>
    <s v="Disponibilidad de repuesto"/>
    <m/>
    <m/>
    <m/>
    <m/>
    <m/>
    <m/>
    <m/>
  </r>
  <r>
    <n v="109"/>
    <n v="218258"/>
    <x v="2"/>
    <d v="2018-02-20T00:00:00"/>
    <x v="1"/>
    <d v="2018-03-03T00:00:00"/>
    <n v="11"/>
    <x v="0"/>
    <m/>
    <s v="Ppto. en Evaluación"/>
    <n v="1699"/>
    <m/>
    <m/>
    <n v="0"/>
    <m/>
    <m/>
    <m/>
    <s v="Camara Digital"/>
    <x v="1"/>
    <s v="Canon"/>
    <s v="POWERSHOT SX-60 HS"/>
    <s v="Selector de Funciones"/>
    <m/>
    <m/>
    <m/>
    <s v="Ceser Piura"/>
    <m/>
    <m/>
    <x v="0"/>
    <x v="0"/>
    <x v="0"/>
    <s v="Costo de la reparacion"/>
    <m/>
    <m/>
    <m/>
    <m/>
    <m/>
    <m/>
    <m/>
  </r>
  <r>
    <n v="110"/>
    <n v="218811"/>
    <x v="1"/>
    <d v="2018-02-21T00:00:00"/>
    <x v="1"/>
    <d v="2018-03-03T00:00:00"/>
    <n v="10"/>
    <x v="0"/>
    <m/>
    <s v="Ppto. en Evaluación"/>
    <n v="1599"/>
    <n v="335"/>
    <n v="310"/>
    <n v="1168.06"/>
    <m/>
    <m/>
    <m/>
    <s v="TV Led"/>
    <x v="1"/>
    <s v="Samsung"/>
    <s v="UN40J6400AGXPE"/>
    <s v="Tarjeta Principal"/>
    <m/>
    <m/>
    <s v="Reyes Alegre Rosa Isabel"/>
    <s v="Seisa"/>
    <d v="2018-02-23T00:00:00"/>
    <s v="3 dias"/>
    <x v="1"/>
    <x v="1"/>
    <x v="2"/>
    <m/>
    <m/>
    <m/>
    <m/>
    <m/>
    <m/>
    <m/>
    <m/>
  </r>
  <r>
    <n v="111"/>
    <n v="218949"/>
    <x v="2"/>
    <d v="2018-02-21T00:00:00"/>
    <x v="1"/>
    <d v="2018-02-28T00:00:00"/>
    <n v="7"/>
    <x v="0"/>
    <m/>
    <s v="Ppto. en Evaluación"/>
    <n v="2999"/>
    <n v="345"/>
    <n v="220"/>
    <n v="2474.06"/>
    <m/>
    <m/>
    <m/>
    <s v="Refrigeradora"/>
    <x v="0"/>
    <s v="Daewoo"/>
    <s v="FRS-MANCORA"/>
    <s v="Damper"/>
    <m/>
    <m/>
    <s v="Repainter"/>
    <s v="SOS Service"/>
    <d v="2018-02-26T00:00:00"/>
    <s v="3 dias"/>
    <x v="1"/>
    <x v="1"/>
    <x v="2"/>
    <m/>
    <m/>
    <m/>
    <m/>
    <m/>
    <m/>
    <m/>
    <m/>
  </r>
  <r>
    <n v="112"/>
    <n v="218953"/>
    <x v="2"/>
    <d v="2018-02-21T00:00:00"/>
    <x v="1"/>
    <d v="2018-02-28T00:00:00"/>
    <n v="7"/>
    <x v="0"/>
    <m/>
    <s v="Ppto. en Evaluación"/>
    <n v="2948"/>
    <n v="345"/>
    <n v="220"/>
    <n v="2426.12"/>
    <m/>
    <m/>
    <m/>
    <s v="Refrigeradora"/>
    <x v="0"/>
    <s v="Daewoo"/>
    <s v="FRS-PUNTASAL"/>
    <s v="Damper"/>
    <m/>
    <m/>
    <s v="Repainter"/>
    <s v="SOS Service"/>
    <d v="2018-02-26T00:00:00"/>
    <s v="3 dias"/>
    <x v="1"/>
    <x v="1"/>
    <x v="2"/>
    <m/>
    <m/>
    <m/>
    <m/>
    <m/>
    <m/>
    <m/>
    <m/>
  </r>
  <r>
    <n v="113"/>
    <n v="219004"/>
    <x v="2"/>
    <d v="2018-02-21T00:00:00"/>
    <x v="1"/>
    <d v="2018-02-28T00:00:00"/>
    <n v="7"/>
    <x v="1"/>
    <m/>
    <s v="Ppto. en Evaluación"/>
    <m/>
    <m/>
    <m/>
    <n v="0"/>
    <m/>
    <m/>
    <m/>
    <s v="Lavadora"/>
    <x v="0"/>
    <s v="Daewoo"/>
    <s v="DWF-340GR"/>
    <s v="Pulsator"/>
    <m/>
    <m/>
    <m/>
    <s v="SOS Service"/>
    <m/>
    <m/>
    <x v="0"/>
    <x v="0"/>
    <x v="1"/>
    <m/>
    <m/>
    <s v="22/02 Ajustador aprobo repuesto de ST"/>
    <m/>
    <m/>
    <m/>
    <m/>
    <m/>
  </r>
  <r>
    <n v="114"/>
    <n v="219020"/>
    <x v="2"/>
    <d v="2018-02-21T00:00:00"/>
    <x v="1"/>
    <d v="2018-03-02T00:00:00"/>
    <n v="9"/>
    <x v="0"/>
    <m/>
    <s v="Ppto. en Evaluación"/>
    <n v="960"/>
    <n v="170"/>
    <n v="80"/>
    <n v="732.4"/>
    <m/>
    <m/>
    <m/>
    <s v="Lavadora"/>
    <x v="0"/>
    <s v="Daewoo"/>
    <s v="DWF-160GMG"/>
    <s v="Pulsator"/>
    <m/>
    <m/>
    <s v="Reyes Alegre Rosa Isabel"/>
    <s v="SOS Service"/>
    <d v="2018-02-23T00:00:00"/>
    <s v="2 dias"/>
    <x v="1"/>
    <x v="1"/>
    <x v="2"/>
    <m/>
    <m/>
    <m/>
    <m/>
    <m/>
    <m/>
    <m/>
    <m/>
  </r>
  <r>
    <n v="115"/>
    <n v="219101"/>
    <x v="2"/>
    <d v="2018-02-21T00:00:00"/>
    <x v="1"/>
    <d v="2018-03-02T00:00:00"/>
    <n v="9"/>
    <x v="0"/>
    <m/>
    <s v="Ppto. en Evaluación"/>
    <n v="1000"/>
    <n v="170"/>
    <n v="80"/>
    <n v="770"/>
    <m/>
    <m/>
    <m/>
    <s v="Lavadora"/>
    <x v="0"/>
    <s v="Daewoo"/>
    <s v="DWF-160R"/>
    <s v="Pulsator"/>
    <m/>
    <m/>
    <s v="Reyes Alegre Rosa Isabel"/>
    <s v="SOS Service"/>
    <d v="2018-02-23T00:00:00"/>
    <s v="2 dias"/>
    <x v="1"/>
    <x v="1"/>
    <x v="2"/>
    <m/>
    <m/>
    <m/>
    <m/>
    <m/>
    <m/>
    <m/>
    <m/>
  </r>
  <r>
    <n v="116"/>
    <n v="219038"/>
    <x v="0"/>
    <d v="2018-02-22T00:00:00"/>
    <x v="1"/>
    <d v="2018-03-12T00:00:00"/>
    <n v="18"/>
    <x v="0"/>
    <m/>
    <s v="Ppto. en Evaluación"/>
    <n v="1549"/>
    <n v="145"/>
    <n v="100"/>
    <n v="1311.06"/>
    <m/>
    <m/>
    <m/>
    <s v="Refrigeradora"/>
    <x v="0"/>
    <s v="Bosch"/>
    <s v="ECO-TT300"/>
    <s v="Termostato"/>
    <m/>
    <m/>
    <s v="Reyes Alegre Rosa Isabel"/>
    <s v="Servited"/>
    <d v="2018-02-27T00:00:00"/>
    <s v="3 dias"/>
    <x v="1"/>
    <x v="1"/>
    <x v="2"/>
    <m/>
    <m/>
    <m/>
    <m/>
    <m/>
    <m/>
    <m/>
    <m/>
  </r>
  <r>
    <n v="117"/>
    <n v="218805"/>
    <x v="1"/>
    <d v="2018-02-23T00:00:00"/>
    <x v="1"/>
    <d v="2018-03-05T00:00:00"/>
    <n v="10"/>
    <x v="0"/>
    <m/>
    <s v="Ppto. en Evaluación"/>
    <n v="999"/>
    <m/>
    <m/>
    <n v="0"/>
    <m/>
    <m/>
    <m/>
    <s v="Lavadora"/>
    <x v="0"/>
    <s v="Samsung"/>
    <s v="WA15W8MFP/XPE"/>
    <s v="Tarjeta Principal"/>
    <m/>
    <m/>
    <m/>
    <s v="Asmat"/>
    <m/>
    <m/>
    <x v="0"/>
    <x v="0"/>
    <x v="0"/>
    <s v="Disponibilidad de repuesto"/>
    <m/>
    <m/>
    <m/>
    <m/>
    <m/>
    <m/>
    <m/>
  </r>
  <r>
    <n v="118"/>
    <n v="218845"/>
    <x v="0"/>
    <d v="2018-02-23T00:00:00"/>
    <x v="1"/>
    <d v="2018-03-11T00:00:00"/>
    <n v="16"/>
    <x v="0"/>
    <m/>
    <s v="Ppto. en Evaluación"/>
    <n v="1899"/>
    <n v="290"/>
    <n v="200"/>
    <n v="1495.06"/>
    <m/>
    <m/>
    <m/>
    <s v="Refrigeradora"/>
    <x v="0"/>
    <s v="Samsung"/>
    <s v="RT35K5930SL"/>
    <s v="Tarjeta Principal"/>
    <m/>
    <m/>
    <s v="Reyes Alegre Rosa Isabel"/>
    <s v="T&amp;C"/>
    <d v="2018-02-23T00:00:00"/>
    <s v="3 dias"/>
    <x v="1"/>
    <x v="1"/>
    <x v="2"/>
    <m/>
    <m/>
    <m/>
    <m/>
    <m/>
    <m/>
    <m/>
    <m/>
  </r>
  <r>
    <n v="119"/>
    <n v="217737"/>
    <x v="0"/>
    <d v="2018-02-23T00:00:00"/>
    <x v="2"/>
    <d v="2018-03-10T00:00:00"/>
    <n v="15"/>
    <x v="0"/>
    <m/>
    <s v="Ppto. en Evaluación"/>
    <n v="999"/>
    <n v="295"/>
    <n v="25"/>
    <n v="0"/>
    <m/>
    <m/>
    <m/>
    <s v="Camara Digital"/>
    <x v="1"/>
    <s v="Canon"/>
    <s v="PC2200"/>
    <s v="Tarjeta Principal"/>
    <m/>
    <m/>
    <s v="Reyes Alegre Rosa Isabel"/>
    <s v="Binar Tec"/>
    <d v="2018-03-08T00:00:00"/>
    <s v="4 dias"/>
    <x v="0"/>
    <x v="0"/>
    <x v="0"/>
    <s v="Plazo de Reparacion"/>
    <m/>
    <m/>
    <m/>
    <m/>
    <m/>
    <m/>
    <m/>
  </r>
  <r>
    <n v="120"/>
    <n v="218488"/>
    <x v="0"/>
    <d v="2018-02-26T00:00:00"/>
    <x v="1"/>
    <d v="2018-03-08T00:00:00"/>
    <n v="10"/>
    <x v="0"/>
    <m/>
    <s v="Ppto. en Evaluación"/>
    <n v="2399"/>
    <n v="450"/>
    <n v="115"/>
    <n v="1805.06"/>
    <m/>
    <m/>
    <m/>
    <s v="Lavadora"/>
    <x v="0"/>
    <s v="Daewoo"/>
    <s v="GLP-CYBERDRUM19"/>
    <s v="Tarjeta Principal"/>
    <m/>
    <m/>
    <s v="Servidoctors"/>
    <s v="Ok House"/>
    <d v="2018-03-05T00:00:00"/>
    <s v="2 dias"/>
    <x v="1"/>
    <x v="1"/>
    <x v="2"/>
    <m/>
    <m/>
    <m/>
    <m/>
    <m/>
    <m/>
    <m/>
    <m/>
  </r>
  <r>
    <n v="121"/>
    <n v="219308"/>
    <x v="0"/>
    <d v="2018-02-26T00:00:00"/>
    <x v="1"/>
    <d v="2018-03-08T00:00:00"/>
    <n v="10"/>
    <x v="0"/>
    <m/>
    <s v="Ppto. en Evaluación"/>
    <n v="1949"/>
    <m/>
    <m/>
    <n v="0"/>
    <m/>
    <m/>
    <m/>
    <s v="Laptop"/>
    <x v="2"/>
    <s v="Hp"/>
    <s v="13-U001LA"/>
    <s v="Mainboard"/>
    <m/>
    <m/>
    <m/>
    <s v="Cahuana"/>
    <m/>
    <m/>
    <x v="0"/>
    <x v="0"/>
    <x v="0"/>
    <s v="Disponibilidad de repuesto"/>
    <m/>
    <m/>
    <m/>
    <m/>
    <m/>
    <m/>
    <m/>
  </r>
  <r>
    <n v="122"/>
    <n v="219484"/>
    <x v="0"/>
    <d v="2018-02-27T00:00:00"/>
    <x v="1"/>
    <d v="2018-03-16T00:00:00"/>
    <n v="17"/>
    <x v="0"/>
    <m/>
    <s v="Ppto. en Evaluación"/>
    <n v="1599"/>
    <n v="238"/>
    <n v="330"/>
    <n v="0"/>
    <m/>
    <m/>
    <m/>
    <s v="Refrigeradora"/>
    <x v="0"/>
    <s v="Samsung"/>
    <s v="RT29K5710S8"/>
    <s v="Valvula de Gas"/>
    <m/>
    <m/>
    <s v="Toralva Flores Jose Manuel"/>
    <s v="Servited"/>
    <d v="2018-03-01T00:00:00"/>
    <s v="3 dias"/>
    <x v="0"/>
    <x v="0"/>
    <x v="0"/>
    <s v="Reclamo Indecopi"/>
    <m/>
    <m/>
    <m/>
    <m/>
    <m/>
    <m/>
    <m/>
  </r>
  <r>
    <n v="123"/>
    <n v="218734"/>
    <x v="1"/>
    <d v="2018-02-27T00:00:00"/>
    <x v="1"/>
    <d v="2018-03-04T00:00:00"/>
    <n v="5"/>
    <x v="0"/>
    <m/>
    <s v="Ppto. en Evaluación"/>
    <n v="979"/>
    <n v="178"/>
    <n v="160"/>
    <n v="0"/>
    <m/>
    <m/>
    <m/>
    <s v="Refrigeradora"/>
    <x v="0"/>
    <s v="LG"/>
    <s v="GT29BPP"/>
    <s v="Motor Ventilador"/>
    <m/>
    <m/>
    <s v="Toralva Flores Jose Manuel"/>
    <s v="Sertepi"/>
    <m/>
    <m/>
    <x v="0"/>
    <x v="0"/>
    <x v="0"/>
    <s v="Disponibilidad de repuesto"/>
    <m/>
    <m/>
    <m/>
    <m/>
    <m/>
    <m/>
    <m/>
  </r>
  <r>
    <n v="124"/>
    <n v="219452"/>
    <x v="1"/>
    <d v="2018-02-27T00:00:00"/>
    <x v="1"/>
    <d v="2018-03-10T00:00:00"/>
    <n v="11"/>
    <x v="0"/>
    <m/>
    <s v="Ppto. en Evaluación"/>
    <m/>
    <m/>
    <m/>
    <n v="0"/>
    <m/>
    <m/>
    <m/>
    <s v="Minicomponente"/>
    <x v="1"/>
    <s v="Samsung"/>
    <s v="MX-JS5500/PE"/>
    <s v="Sub Woofer"/>
    <m/>
    <m/>
    <m/>
    <s v="MV Autoservicios"/>
    <m/>
    <m/>
    <x v="0"/>
    <x v="0"/>
    <x v="0"/>
    <s v="Disponibilidad de repuesto"/>
    <m/>
    <m/>
    <m/>
    <m/>
    <m/>
    <m/>
    <m/>
  </r>
  <r>
    <n v="125"/>
    <n v="218727"/>
    <x v="3"/>
    <d v="2018-02-27T00:00:00"/>
    <x v="1"/>
    <d v="2018-03-05T00:00:00"/>
    <n v="6"/>
    <x v="0"/>
    <m/>
    <s v="Ppto. en Evaluación"/>
    <n v="2840"/>
    <m/>
    <m/>
    <n v="0"/>
    <m/>
    <m/>
    <m/>
    <s v="Refrigeradora"/>
    <x v="0"/>
    <s v="Daewoo"/>
    <s v="FRS - Q24 "/>
    <s v="Damper"/>
    <m/>
    <m/>
    <m/>
    <s v="SOS Service"/>
    <m/>
    <m/>
    <x v="0"/>
    <x v="0"/>
    <x v="0"/>
    <s v="Disponibilidad de repuesto"/>
    <m/>
    <m/>
    <m/>
    <m/>
    <m/>
    <m/>
    <m/>
  </r>
  <r>
    <n v="126"/>
    <n v="219204"/>
    <x v="3"/>
    <d v="2018-02-27T00:00:00"/>
    <x v="1"/>
    <d v="2018-03-14T00:00:00"/>
    <n v="15"/>
    <x v="0"/>
    <m/>
    <s v="Ppto. en Evaluación"/>
    <n v="3609"/>
    <n v="345"/>
    <n v="220"/>
    <n v="3047.46"/>
    <m/>
    <m/>
    <m/>
    <s v="Refrigeradora"/>
    <x v="0"/>
    <s v="Daewoo"/>
    <s v="FRS - PUNTA SAL"/>
    <s v="Damper"/>
    <m/>
    <m/>
    <s v="Repainter"/>
    <s v="SOS Service"/>
    <d v="2018-03-01T00:00:00"/>
    <s v="3 dias"/>
    <x v="1"/>
    <x v="1"/>
    <x v="2"/>
    <m/>
    <m/>
    <m/>
    <m/>
    <m/>
    <m/>
    <m/>
    <m/>
  </r>
  <r>
    <n v="127"/>
    <n v="219475"/>
    <x v="3"/>
    <d v="2018-02-27T00:00:00"/>
    <x v="1"/>
    <d v="2018-03-28T00:00:00"/>
    <n v="29"/>
    <x v="0"/>
    <m/>
    <s v="Ppto. en Evaluación"/>
    <n v="2649"/>
    <m/>
    <m/>
    <n v="0"/>
    <m/>
    <m/>
    <m/>
    <s v="Refrigeradora"/>
    <x v="0"/>
    <s v="Daewoo"/>
    <s v="FRS - Q22 "/>
    <s v="Damper"/>
    <m/>
    <m/>
    <m/>
    <s v="SOS Service"/>
    <m/>
    <m/>
    <x v="0"/>
    <x v="0"/>
    <x v="0"/>
    <s v="Disponibilidad de repuesto"/>
    <m/>
    <m/>
    <m/>
    <m/>
    <m/>
    <m/>
    <m/>
  </r>
  <r>
    <n v="128"/>
    <n v="219612"/>
    <x v="3"/>
    <d v="2018-02-27T00:00:00"/>
    <x v="1"/>
    <d v="2018-03-12T00:00:00"/>
    <n v="13"/>
    <x v="0"/>
    <m/>
    <s v="Ppto. en Evaluación"/>
    <n v="3299"/>
    <m/>
    <m/>
    <n v="0"/>
    <m/>
    <m/>
    <m/>
    <s v="Refrigeradora"/>
    <x v="0"/>
    <s v="Daewoo"/>
    <s v="FRS - Q24"/>
    <s v="Damper"/>
    <m/>
    <m/>
    <m/>
    <s v="SOS Service"/>
    <m/>
    <m/>
    <x v="0"/>
    <x v="0"/>
    <x v="0"/>
    <s v="Disponibilidad de repuesto"/>
    <m/>
    <m/>
    <m/>
    <m/>
    <m/>
    <m/>
    <m/>
  </r>
  <r>
    <n v="129"/>
    <n v="219021"/>
    <x v="1"/>
    <d v="2018-02-27T00:00:00"/>
    <x v="1"/>
    <d v="2018-03-08T00:00:00"/>
    <n v="9"/>
    <x v="0"/>
    <m/>
    <s v="Ppto. en Evaluación"/>
    <n v="1274"/>
    <n v="90"/>
    <n v="100"/>
    <n v="1097.56"/>
    <m/>
    <m/>
    <m/>
    <s v="Horno"/>
    <x v="0"/>
    <s v="Klimatic"/>
    <s v="LUBECK I"/>
    <s v="Termocupla / Timer"/>
    <m/>
    <m/>
    <m/>
    <s v="Serviteco"/>
    <d v="2018-03-05T00:00:00"/>
    <s v="2 dias"/>
    <x v="1"/>
    <x v="1"/>
    <x v="2"/>
    <m/>
    <m/>
    <m/>
    <m/>
    <m/>
    <m/>
    <m/>
    <m/>
  </r>
  <r>
    <n v="130"/>
    <n v="219670"/>
    <x v="1"/>
    <d v="2018-02-28T00:00:00"/>
    <x v="1"/>
    <d v="2018-03-12T00:00:00"/>
    <n v="12"/>
    <x v="1"/>
    <m/>
    <s v="Ppto. en Evaluación"/>
    <m/>
    <m/>
    <m/>
    <n v="0"/>
    <m/>
    <m/>
    <m/>
    <s v="TV Led"/>
    <x v="1"/>
    <s v="Samsung"/>
    <s v="UN65JS9000GXPE"/>
    <s v="Pantalla"/>
    <m/>
    <m/>
    <m/>
    <s v="Force Service"/>
    <m/>
    <m/>
    <x v="0"/>
    <x v="0"/>
    <x v="1"/>
    <m/>
    <m/>
    <s v="02/03 Se solicito anular pedido,"/>
    <m/>
    <m/>
    <m/>
    <m/>
    <m/>
  </r>
  <r>
    <n v="131"/>
    <n v="218419"/>
    <x v="1"/>
    <d v="2018-02-28T00:00:00"/>
    <x v="1"/>
    <d v="2018-03-01T00:00:00"/>
    <n v="1"/>
    <x v="0"/>
    <m/>
    <s v="Ppto. en Evaluación"/>
    <n v="3599"/>
    <n v="2238"/>
    <m/>
    <n v="0"/>
    <m/>
    <m/>
    <m/>
    <s v="TV Led"/>
    <x v="1"/>
    <s v="Samsung"/>
    <s v="UN55HU8700GXPE"/>
    <s v="Tarjeta Principal / Control Remoto"/>
    <m/>
    <m/>
    <s v="Toralva Flores Jose Manuel"/>
    <s v="CVC Service"/>
    <m/>
    <s v="3 dias"/>
    <x v="0"/>
    <x v="0"/>
    <x v="0"/>
    <s v="Plazo de Reparacion"/>
    <m/>
    <m/>
    <m/>
    <m/>
    <m/>
    <m/>
    <m/>
  </r>
  <r>
    <n v="132"/>
    <n v="219212"/>
    <x v="0"/>
    <d v="2018-02-28T00:00:00"/>
    <x v="1"/>
    <d v="2018-03-12T00:00:00"/>
    <n v="12"/>
    <x v="1"/>
    <m/>
    <s v="Ppto. en Evaluación"/>
    <m/>
    <m/>
    <m/>
    <n v="0"/>
    <m/>
    <m/>
    <m/>
    <s v="Cocina"/>
    <x v="0"/>
    <s v="Mabe"/>
    <s v="INGENIOUS601PXO"/>
    <s v="Tarjeta Principal  "/>
    <m/>
    <m/>
    <m/>
    <s v="Teccnis"/>
    <m/>
    <m/>
    <x v="0"/>
    <x v="0"/>
    <x v="1"/>
    <m/>
    <m/>
    <s v="05/03 Se aprueba reparacion de ST"/>
    <m/>
    <m/>
    <m/>
    <m/>
    <m/>
  </r>
  <r>
    <n v="133"/>
    <n v="219861"/>
    <x v="0"/>
    <d v="2018-03-01T00:00:00"/>
    <x v="2"/>
    <d v="2018-03-16T00:00:00"/>
    <n v="15"/>
    <x v="0"/>
    <m/>
    <s v="Ppto. en Evaluación"/>
    <n v="1671"/>
    <n v="368"/>
    <n v="112"/>
    <n v="1202.74"/>
    <m/>
    <m/>
    <m/>
    <s v="Minicomponente"/>
    <x v="1"/>
    <s v="LG"/>
    <s v="CM9530"/>
    <s v="Tarjeta Fuente"/>
    <m/>
    <m/>
    <s v="Toralva Flores Jose Manuel"/>
    <s v="Ok House"/>
    <d v="2018-03-01T00:00:00"/>
    <s v="4 dias"/>
    <x v="1"/>
    <x v="1"/>
    <x v="2"/>
    <m/>
    <m/>
    <m/>
    <m/>
    <m/>
    <m/>
    <m/>
    <m/>
  </r>
  <r>
    <n v="134"/>
    <n v="219281"/>
    <x v="1"/>
    <d v="2018-03-01T00:00:00"/>
    <x v="2"/>
    <d v="2018-03-15T00:00:00"/>
    <n v="14"/>
    <x v="0"/>
    <m/>
    <s v="Ppto. en Evaluación"/>
    <m/>
    <m/>
    <m/>
    <n v="0"/>
    <m/>
    <m/>
    <m/>
    <s v="TV Led"/>
    <x v="1"/>
    <s v="LG"/>
    <s v="55UF8500-SB"/>
    <s v="Pantalla"/>
    <m/>
    <m/>
    <m/>
    <s v="Tecnimax"/>
    <m/>
    <m/>
    <x v="0"/>
    <x v="0"/>
    <x v="0"/>
    <s v="Disponibilidad de repuesto"/>
    <m/>
    <m/>
    <m/>
    <m/>
    <m/>
    <m/>
    <m/>
  </r>
  <r>
    <n v="135"/>
    <n v="219871"/>
    <x v="0"/>
    <d v="2018-03-01T00:00:00"/>
    <x v="2"/>
    <d v="2018-03-26T00:00:00"/>
    <n v="25"/>
    <x v="1"/>
    <m/>
    <s v="Ppto. en Evaluación"/>
    <m/>
    <m/>
    <m/>
    <n v="0"/>
    <m/>
    <m/>
    <m/>
    <s v="Lavadora"/>
    <x v="0"/>
    <s v="Daewoo"/>
    <s v="DWF-160GMG"/>
    <s v="Pulsator"/>
    <m/>
    <m/>
    <m/>
    <s v="Ceser Piura"/>
    <m/>
    <m/>
    <x v="0"/>
    <x v="0"/>
    <x v="1"/>
    <m/>
    <m/>
    <s v="05/03 Ajustador aprobo repuesto de ST"/>
    <m/>
    <m/>
    <m/>
    <m/>
    <m/>
  </r>
  <r>
    <n v="136"/>
    <n v="219868"/>
    <x v="0"/>
    <d v="2018-03-01T00:00:00"/>
    <x v="2"/>
    <d v="2018-03-26T00:00:00"/>
    <n v="25"/>
    <x v="1"/>
    <m/>
    <s v="Ppto. en Evaluación"/>
    <m/>
    <m/>
    <m/>
    <n v="0"/>
    <m/>
    <m/>
    <m/>
    <s v="Lavadora"/>
    <x v="0"/>
    <s v="Daewoo"/>
    <s v="DWF-160GMG"/>
    <s v="Pulsator"/>
    <m/>
    <m/>
    <m/>
    <s v="Ceser Piura"/>
    <m/>
    <m/>
    <x v="0"/>
    <x v="0"/>
    <x v="1"/>
    <m/>
    <m/>
    <s v="05/03 Ajustador aprobo repuesto de ST"/>
    <m/>
    <m/>
    <m/>
    <m/>
    <m/>
  </r>
  <r>
    <n v="137"/>
    <n v="219799"/>
    <x v="1"/>
    <d v="2018-03-01T00:00:00"/>
    <x v="2"/>
    <d v="2018-03-16T00:00:00"/>
    <n v="15"/>
    <x v="1"/>
    <m/>
    <s v="Ppto. en Evaluación"/>
    <m/>
    <m/>
    <m/>
    <n v="0"/>
    <m/>
    <m/>
    <m/>
    <s v="Lavadora"/>
    <x v="0"/>
    <s v="Daewoo"/>
    <s v="DWF-340GI"/>
    <s v="Pulsator"/>
    <m/>
    <m/>
    <m/>
    <s v="Serviteco"/>
    <m/>
    <m/>
    <x v="0"/>
    <x v="0"/>
    <x v="1"/>
    <m/>
    <m/>
    <s v="02/03 Ajustador aprobo compra a ST"/>
    <m/>
    <m/>
    <m/>
    <m/>
    <m/>
  </r>
  <r>
    <n v="138"/>
    <n v="219601"/>
    <x v="1"/>
    <d v="2018-03-01T00:00:00"/>
    <x v="2"/>
    <d v="2018-03-15T00:00:00"/>
    <n v="14"/>
    <x v="0"/>
    <m/>
    <s v="Ppto. en Evaluación"/>
    <n v="2099"/>
    <n v="166.4"/>
    <n v="80"/>
    <n v="1806.6599999999999"/>
    <m/>
    <m/>
    <m/>
    <s v="Refrigeradora"/>
    <x v="0"/>
    <s v="LG"/>
    <s v="GT47HGP"/>
    <s v="Tarjeta Display"/>
    <m/>
    <m/>
    <s v="Direct Service LG"/>
    <s v="Censel"/>
    <d v="2018-03-08T00:00:00"/>
    <s v="50 dias"/>
    <x v="1"/>
    <x v="1"/>
    <x v="2"/>
    <m/>
    <m/>
    <m/>
    <m/>
    <m/>
    <m/>
    <m/>
    <m/>
  </r>
  <r>
    <n v="139"/>
    <n v="219002"/>
    <x v="1"/>
    <d v="2018-03-01T00:00:00"/>
    <x v="2"/>
    <d v="2018-03-12T00:00:00"/>
    <n v="11"/>
    <x v="0"/>
    <m/>
    <s v="Ppto. en Evaluación"/>
    <m/>
    <m/>
    <m/>
    <n v="0"/>
    <m/>
    <m/>
    <m/>
    <s v="TV Led"/>
    <x v="1"/>
    <s v="Samsung"/>
    <s v="UN50J5500AGXPE"/>
    <s v="Pantalla"/>
    <m/>
    <m/>
    <m/>
    <s v="Asmat"/>
    <m/>
    <m/>
    <x v="0"/>
    <x v="0"/>
    <x v="0"/>
    <s v="Disponibilidad de repuesto"/>
    <m/>
    <m/>
    <m/>
    <m/>
    <m/>
    <m/>
    <m/>
  </r>
  <r>
    <n v="140"/>
    <n v="219897"/>
    <x v="0"/>
    <d v="2018-03-01T00:00:00"/>
    <x v="2"/>
    <d v="2018-03-16T00:00:00"/>
    <n v="15"/>
    <x v="0"/>
    <m/>
    <s v="Ppto. en Evaluación"/>
    <m/>
    <m/>
    <m/>
    <n v="0"/>
    <m/>
    <m/>
    <m/>
    <s v="Refrigeradora"/>
    <x v="0"/>
    <s v="LG"/>
    <s v="GT24SGP"/>
    <s v="Tarjeta Principal"/>
    <m/>
    <m/>
    <m/>
    <s v="Ceser Trujillo"/>
    <m/>
    <m/>
    <x v="0"/>
    <x v="0"/>
    <x v="0"/>
    <s v="Disponibilidad de repuesto"/>
    <m/>
    <m/>
    <m/>
    <m/>
    <m/>
    <m/>
    <m/>
  </r>
  <r>
    <n v="141"/>
    <n v="218924"/>
    <x v="0"/>
    <d v="2018-03-01T00:00:00"/>
    <x v="2"/>
    <d v="2018-03-10T00:00:00"/>
    <n v="9"/>
    <x v="1"/>
    <m/>
    <s v="Ppto. en Evaluación"/>
    <m/>
    <m/>
    <m/>
    <n v="0"/>
    <m/>
    <m/>
    <m/>
    <s v="Refrigeradora"/>
    <x v="0"/>
    <s v="Whirlpool"/>
    <s v="WRW50NRBPE"/>
    <s v="Tarjeta de Poder"/>
    <m/>
    <m/>
    <m/>
    <s v="Serfac"/>
    <m/>
    <m/>
    <x v="0"/>
    <x v="0"/>
    <x v="1"/>
    <m/>
    <m/>
    <s v="01/03 Ajustador aprobo compra a ST"/>
    <m/>
    <m/>
    <m/>
    <m/>
    <m/>
  </r>
  <r>
    <n v="142"/>
    <n v="219523"/>
    <x v="1"/>
    <d v="2018-03-02T00:00:00"/>
    <x v="2"/>
    <d v="2018-03-15T00:00:00"/>
    <n v="13"/>
    <x v="0"/>
    <m/>
    <s v="Ppto. en Evaluación"/>
    <n v="1999"/>
    <n v="270"/>
    <n v="160"/>
    <n v="1609.06"/>
    <m/>
    <m/>
    <m/>
    <s v="TV Led"/>
    <x v="1"/>
    <s v="LG"/>
    <s v="42LB6500-SF.BWFDLJR"/>
    <s v="Tarjeta Principal"/>
    <m/>
    <m/>
    <s v="Reyes Alegre Rosa Isabel"/>
    <s v="Censel"/>
    <d v="2018-03-05T00:00:00"/>
    <s v="3 dias"/>
    <x v="1"/>
    <x v="1"/>
    <x v="2"/>
    <m/>
    <m/>
    <s v="16/03 Ajustador aprobo cotizacion de ST."/>
    <m/>
    <m/>
    <m/>
    <m/>
    <m/>
  </r>
  <r>
    <n v="143"/>
    <n v="219079"/>
    <x v="0"/>
    <d v="2018-03-05T00:00:00"/>
    <x v="2"/>
    <d v="2018-03-14T00:00:00"/>
    <n v="9"/>
    <x v="0"/>
    <m/>
    <s v="Ppto. en Evaluación"/>
    <n v="1269"/>
    <n v="310"/>
    <n v="160"/>
    <n v="882.8599999999999"/>
    <m/>
    <m/>
    <m/>
    <s v="TV Led"/>
    <x v="1"/>
    <s v="LG"/>
    <s v="39LB5800 - SB.BWFJTJM"/>
    <s v="Tarjeta Principal"/>
    <m/>
    <m/>
    <s v="Reyes Alegre Rosa Isabel"/>
    <s v="Ceser Cusco"/>
    <d v="2018-03-07T00:00:00"/>
    <s v="3 dias"/>
    <x v="1"/>
    <x v="1"/>
    <x v="2"/>
    <m/>
    <m/>
    <m/>
    <m/>
    <m/>
    <m/>
    <m/>
    <m/>
  </r>
  <r>
    <n v="144"/>
    <n v="219356"/>
    <x v="1"/>
    <d v="2018-03-06T00:00:00"/>
    <x v="2"/>
    <d v="2018-03-16T00:00:00"/>
    <n v="10"/>
    <x v="0"/>
    <m/>
    <s v="Ppto. en Evaluación"/>
    <m/>
    <m/>
    <m/>
    <n v="0"/>
    <m/>
    <m/>
    <m/>
    <s v="TV Led"/>
    <x v="1"/>
    <s v="LG"/>
    <s v="55UB8300-SG.AWFWLJR"/>
    <s v="Pantalla"/>
    <m/>
    <m/>
    <m/>
    <s v="Censel"/>
    <m/>
    <m/>
    <x v="0"/>
    <x v="0"/>
    <x v="0"/>
    <s v="Disponibilidad de repuesto"/>
    <m/>
    <m/>
    <m/>
    <m/>
    <m/>
    <m/>
    <m/>
  </r>
  <r>
    <n v="145"/>
    <n v="219239"/>
    <x v="3"/>
    <d v="2018-03-07T00:00:00"/>
    <x v="2"/>
    <d v="2018-03-17T00:00:00"/>
    <n v="10"/>
    <x v="1"/>
    <m/>
    <s v="Ppto. en Evaluación"/>
    <m/>
    <m/>
    <m/>
    <n v="0"/>
    <m/>
    <m/>
    <m/>
    <s v="Lavadora"/>
    <x v="0"/>
    <s v="Daewoo"/>
    <s v="DWF - 160R"/>
    <s v="Pulsator / Caja de Transmision"/>
    <m/>
    <m/>
    <m/>
    <s v="SOS Service"/>
    <m/>
    <m/>
    <x v="0"/>
    <x v="0"/>
    <x v="1"/>
    <m/>
    <m/>
    <s v="12/03 Ajustador aprobo compra de ST de la Red"/>
    <m/>
    <m/>
    <m/>
    <m/>
    <m/>
  </r>
  <r>
    <n v="146"/>
    <n v="219451"/>
    <x v="3"/>
    <d v="2018-03-07T00:00:00"/>
    <x v="2"/>
    <d v="2018-03-12T00:00:00"/>
    <n v="5"/>
    <x v="0"/>
    <m/>
    <s v="Ppto. en Evaluación"/>
    <m/>
    <m/>
    <m/>
    <n v="0"/>
    <m/>
    <m/>
    <m/>
    <s v="Lavadora"/>
    <x v="0"/>
    <s v="Daewoo"/>
    <s v="DWF-160B"/>
    <s v="Caja de Transmision / Motor Sincronico"/>
    <m/>
    <m/>
    <m/>
    <s v="SOS Service"/>
    <m/>
    <m/>
    <x v="0"/>
    <x v="0"/>
    <x v="0"/>
    <s v="Disponibilidad de repuesto"/>
    <m/>
    <m/>
    <m/>
    <m/>
    <m/>
    <m/>
    <m/>
  </r>
  <r>
    <n v="147"/>
    <n v="220076"/>
    <x v="3"/>
    <d v="2018-03-07T00:00:00"/>
    <x v="2"/>
    <d v="2018-03-19T00:00:00"/>
    <n v="12"/>
    <x v="0"/>
    <m/>
    <s v="Ppto. en Evaluación"/>
    <m/>
    <m/>
    <m/>
    <n v="0"/>
    <m/>
    <m/>
    <m/>
    <s v="Lavadora"/>
    <x v="0"/>
    <s v="Daewoo"/>
    <s v=" DWC - LD11W"/>
    <s v="Bomba de Drenaje / Motor Fan / Tarjeta Principal"/>
    <m/>
    <m/>
    <m/>
    <s v="SOS Service"/>
    <m/>
    <m/>
    <x v="0"/>
    <x v="0"/>
    <x v="0"/>
    <s v="Disponibilidad de repuesto"/>
    <m/>
    <m/>
    <m/>
    <m/>
    <m/>
    <m/>
    <m/>
  </r>
  <r>
    <n v="148"/>
    <n v="219716"/>
    <x v="3"/>
    <d v="2018-03-07T00:00:00"/>
    <x v="2"/>
    <d v="2018-03-19T00:00:00"/>
    <n v="12"/>
    <x v="1"/>
    <m/>
    <s v="Ppto. en Evaluación"/>
    <m/>
    <m/>
    <m/>
    <n v="0"/>
    <m/>
    <m/>
    <m/>
    <s v="Lavadora"/>
    <x v="0"/>
    <s v="Daewoo"/>
    <s v="DWC - 110W"/>
    <s v="Termistor Dry / Bushing"/>
    <m/>
    <m/>
    <m/>
    <s v="SOS Service"/>
    <m/>
    <m/>
    <x v="0"/>
    <x v="0"/>
    <x v="1"/>
    <m/>
    <m/>
    <s v="12/03 Ajustador aprobo compra de ST de la Red"/>
    <m/>
    <m/>
    <m/>
    <m/>
    <m/>
  </r>
  <r>
    <n v="149"/>
    <n v="219777"/>
    <x v="3"/>
    <d v="2018-03-07T00:00:00"/>
    <x v="2"/>
    <d v="2018-03-17T00:00:00"/>
    <n v="10"/>
    <x v="1"/>
    <m/>
    <s v="Ppto. en Evaluación"/>
    <m/>
    <m/>
    <m/>
    <n v="0"/>
    <m/>
    <m/>
    <m/>
    <s v="Lavadora"/>
    <x v="0"/>
    <s v="Daewoo"/>
    <s v="DWF - 160B"/>
    <s v="Caja de Transmision / Pulsator"/>
    <m/>
    <m/>
    <m/>
    <s v="SOS Service"/>
    <m/>
    <m/>
    <x v="0"/>
    <x v="0"/>
    <x v="1"/>
    <m/>
    <m/>
    <s v="08/03 Ajustador compra repuesto con Servidoctors"/>
    <m/>
    <m/>
    <m/>
    <m/>
    <m/>
  </r>
  <r>
    <n v="150"/>
    <n v="220073"/>
    <x v="3"/>
    <d v="2018-03-07T00:00:00"/>
    <x v="2"/>
    <d v="2018-03-19T00:00:00"/>
    <n v="12"/>
    <x v="1"/>
    <m/>
    <s v="Ppto. en Evaluación"/>
    <m/>
    <m/>
    <m/>
    <n v="0"/>
    <m/>
    <m/>
    <m/>
    <s v="Lavadora"/>
    <x v="0"/>
    <s v="Daewoo"/>
    <s v="DWF - 160R"/>
    <s v="Pulsator  "/>
    <m/>
    <m/>
    <m/>
    <s v="SOS Service"/>
    <m/>
    <m/>
    <x v="0"/>
    <x v="0"/>
    <x v="1"/>
    <m/>
    <m/>
    <s v="12/03 Ajustador aprobo compra de ST de la Red"/>
    <m/>
    <m/>
    <m/>
    <m/>
    <m/>
  </r>
  <r>
    <n v="151"/>
    <n v="220003"/>
    <x v="0"/>
    <d v="2018-03-07T00:00:00"/>
    <x v="2"/>
    <d v="2018-03-20T00:00:00"/>
    <n v="13"/>
    <x v="0"/>
    <m/>
    <s v="Ppto. en Evaluación"/>
    <n v="1399"/>
    <n v="135"/>
    <n v="80"/>
    <n v="1180.06"/>
    <m/>
    <m/>
    <m/>
    <s v="Refrigeradora"/>
    <x v="0"/>
    <s v="Indurama"/>
    <s v="RI480QZ "/>
    <s v="Transformador / LED de conservador"/>
    <m/>
    <m/>
    <s v="Tecnimax"/>
    <s v="Ok House"/>
    <d v="2018-03-12T00:00:00"/>
    <s v="6 dias"/>
    <x v="1"/>
    <x v="1"/>
    <x v="2"/>
    <m/>
    <m/>
    <s v="12/03 ajustador aprobo cotizacion de ST."/>
    <m/>
    <m/>
    <m/>
    <m/>
    <m/>
  </r>
  <r>
    <n v="152"/>
    <n v="218194"/>
    <x v="3"/>
    <d v="2018-03-07T00:00:00"/>
    <x v="2"/>
    <d v="2018-03-10T00:00:00"/>
    <n v="3"/>
    <x v="0"/>
    <m/>
    <s v="Ppto. en Evaluación"/>
    <n v="5999"/>
    <n v="171.67"/>
    <n v="80"/>
    <n v="5467.39"/>
    <m/>
    <m/>
    <m/>
    <s v="Refrigeradora"/>
    <x v="0"/>
    <s v="LG"/>
    <s v="GM86SDS"/>
    <s v="Tarjeta Display"/>
    <m/>
    <m/>
    <s v="Direct Service LG"/>
    <s v="Servinor"/>
    <d v="2018-03-08T00:00:00"/>
    <s v="4 dias"/>
    <x v="1"/>
    <x v="1"/>
    <x v="2"/>
    <m/>
    <m/>
    <m/>
    <m/>
    <m/>
    <m/>
    <m/>
    <m/>
  </r>
  <r>
    <n v="153"/>
    <n v="220254"/>
    <x v="1"/>
    <d v="2018-03-07T00:00:00"/>
    <x v="2"/>
    <d v="2018-03-22T00:00:00"/>
    <n v="15"/>
    <x v="0"/>
    <m/>
    <s v="Ppto. en Evaluación"/>
    <n v="1779"/>
    <n v="350"/>
    <n v="80"/>
    <n v="1322.26"/>
    <m/>
    <m/>
    <m/>
    <s v="Minicomponente"/>
    <x v="1"/>
    <s v="Phillips"/>
    <s v="NTX600/55"/>
    <s v="Tarjeta Fuente"/>
    <m/>
    <m/>
    <s v="Reyes Alegre Rosa Isabel"/>
    <s v="Serviteco"/>
    <d v="2018-03-13T00:00:00"/>
    <s v="3 dias"/>
    <x v="1"/>
    <x v="1"/>
    <x v="2"/>
    <m/>
    <m/>
    <m/>
    <m/>
    <m/>
    <m/>
    <m/>
    <m/>
  </r>
  <r>
    <n v="154"/>
    <n v="220334"/>
    <x v="1"/>
    <d v="2018-03-08T00:00:00"/>
    <x v="2"/>
    <d v="2018-03-23T00:00:00"/>
    <n v="15"/>
    <x v="1"/>
    <m/>
    <s v="Ppto. en Evaluación"/>
    <m/>
    <m/>
    <m/>
    <n v="0"/>
    <m/>
    <m/>
    <m/>
    <s v="Refrigeradora"/>
    <x v="0"/>
    <s v="Samsung"/>
    <s v="RT38FEAJDSL/PE"/>
    <s v="Tarjeta Principal"/>
    <m/>
    <m/>
    <m/>
    <s v="Seisa"/>
    <m/>
    <m/>
    <x v="0"/>
    <x v="0"/>
    <x v="1"/>
    <m/>
    <m/>
    <s v="12/03 Ajustador aprobo cotizacion de ST"/>
    <m/>
    <m/>
    <m/>
    <m/>
    <m/>
  </r>
  <r>
    <n v="155"/>
    <n v="220131"/>
    <x v="0"/>
    <d v="2018-03-08T00:00:00"/>
    <x v="2"/>
    <d v="2018-03-20T00:00:00"/>
    <n v="12"/>
    <x v="0"/>
    <m/>
    <s v="Ppto. en Evaluación"/>
    <n v="2799"/>
    <n v="35"/>
    <n v="120"/>
    <n v="2511.06"/>
    <m/>
    <m/>
    <m/>
    <s v="Refrigeradora"/>
    <x v="0"/>
    <s v="Daewoo"/>
    <s v="FRS - MANCORA"/>
    <s v="Valvula de Dispensador"/>
    <m/>
    <m/>
    <s v="Salvamento"/>
    <s v="SOS Service"/>
    <d v="2018-03-12T00:00:00"/>
    <s v="2 dias"/>
    <x v="1"/>
    <x v="1"/>
    <x v="2"/>
    <m/>
    <m/>
    <m/>
    <m/>
    <m/>
    <m/>
    <m/>
    <m/>
  </r>
  <r>
    <n v="156"/>
    <n v="220570"/>
    <x v="1"/>
    <d v="2018-03-12T00:00:00"/>
    <x v="2"/>
    <d v="2018-03-28T00:00:00"/>
    <n v="16"/>
    <x v="0"/>
    <m/>
    <s v="Ppto. en Evaluación"/>
    <n v="1699"/>
    <n v="270"/>
    <n v="240"/>
    <n v="1327.06"/>
    <m/>
    <m/>
    <m/>
    <s v="TV Led"/>
    <x v="1"/>
    <s v="AOC"/>
    <s v="LE55F1361"/>
    <s v="Tarjeta Principal"/>
    <m/>
    <m/>
    <s v="Reyes Alegre Rosa Isabel"/>
    <s v="Serviteco"/>
    <d v="2018-03-13T00:00:00"/>
    <s v="3 dias"/>
    <x v="1"/>
    <x v="1"/>
    <x v="2"/>
    <m/>
    <m/>
    <m/>
    <m/>
    <m/>
    <m/>
    <m/>
    <m/>
  </r>
  <r>
    <n v="157"/>
    <n v="220383"/>
    <x v="1"/>
    <d v="2018-03-12T00:00:00"/>
    <x v="2"/>
    <d v="2018-03-28T00:00:00"/>
    <n v="16"/>
    <x v="0"/>
    <m/>
    <s v="Ppto. en Evaluación"/>
    <m/>
    <m/>
    <m/>
    <n v="0"/>
    <m/>
    <m/>
    <m/>
    <s v="TV Led"/>
    <x v="1"/>
    <s v="Hyundai"/>
    <s v="HYLED472INT"/>
    <s v="Pantalla"/>
    <m/>
    <m/>
    <m/>
    <s v="CVC Service"/>
    <m/>
    <m/>
    <x v="0"/>
    <x v="0"/>
    <x v="0"/>
    <s v="Disponibilidad de repuesto"/>
    <m/>
    <m/>
    <m/>
    <m/>
    <m/>
    <m/>
    <m/>
  </r>
  <r>
    <n v="158"/>
    <n v="220200"/>
    <x v="0"/>
    <d v="2018-03-13T00:00:00"/>
    <x v="2"/>
    <d v="2018-03-28T00:00:00"/>
    <n v="15"/>
    <x v="0"/>
    <m/>
    <s v="Ppto. en Evaluación"/>
    <m/>
    <m/>
    <m/>
    <n v="0"/>
    <m/>
    <m/>
    <m/>
    <s v="TV Led"/>
    <x v="1"/>
    <s v="Hyundai"/>
    <s v="HYLED492INT"/>
    <s v="Tarjeta Principal"/>
    <m/>
    <m/>
    <m/>
    <s v="Elausi"/>
    <m/>
    <m/>
    <x v="0"/>
    <x v="0"/>
    <x v="0"/>
    <s v="Disponibilidad de repuesto"/>
    <m/>
    <m/>
    <m/>
    <m/>
    <m/>
    <m/>
    <m/>
  </r>
  <r>
    <n v="159"/>
    <n v="220046"/>
    <x v="1"/>
    <d v="2018-03-13T00:00:00"/>
    <x v="2"/>
    <d v="2018-03-19T00:00:00"/>
    <n v="6"/>
    <x v="0"/>
    <m/>
    <s v="Ppto. en Evaluación"/>
    <m/>
    <m/>
    <m/>
    <n v="0"/>
    <m/>
    <m/>
    <m/>
    <s v="Minicomponente"/>
    <x v="1"/>
    <s v="Phillips"/>
    <s v="NTRX700HU/55"/>
    <s v="Tarjeta Principal / Tarjeta fuente"/>
    <m/>
    <m/>
    <m/>
    <s v="Sertepi"/>
    <m/>
    <m/>
    <x v="0"/>
    <x v="0"/>
    <x v="0"/>
    <s v="Disponibilidad de repuesto"/>
    <m/>
    <m/>
    <m/>
    <m/>
    <m/>
    <m/>
    <m/>
  </r>
  <r>
    <n v="160"/>
    <n v="220282"/>
    <x v="1"/>
    <d v="2018-03-14T00:00:00"/>
    <x v="2"/>
    <d v="2018-03-25T00:00:00"/>
    <n v="11"/>
    <x v="0"/>
    <m/>
    <s v="Ppto. en Evaluación"/>
    <n v="1999"/>
    <n v="350"/>
    <n v="275"/>
    <n v="1529.06"/>
    <m/>
    <m/>
    <m/>
    <s v="Refrigeradora"/>
    <x v="0"/>
    <s v="Daewoo"/>
    <s v="RF450V"/>
    <s v="Motor Compresor"/>
    <m/>
    <m/>
    <s v="Toralva Flores Jose Manuel"/>
    <s v="Sertepi"/>
    <d v="2018-03-16T00:00:00"/>
    <s v="4 dias"/>
    <x v="1"/>
    <x v="1"/>
    <x v="2"/>
    <m/>
    <m/>
    <m/>
    <m/>
    <m/>
    <m/>
    <m/>
    <m/>
  </r>
  <r>
    <n v="161"/>
    <n v="220128"/>
    <x v="2"/>
    <d v="2018-03-14T00:00:00"/>
    <x v="2"/>
    <d v="2018-03-19T00:00:00"/>
    <n v="5"/>
    <x v="1"/>
    <m/>
    <s v="Ppto. en Evaluación"/>
    <m/>
    <m/>
    <m/>
    <n v="0"/>
    <m/>
    <m/>
    <m/>
    <s v="TV Led"/>
    <x v="1"/>
    <s v="LG"/>
    <s v="49UF6400-SA.BWFYMOR"/>
    <s v="Barra Led"/>
    <m/>
    <m/>
    <s v="Toralva Flores Jose Manuel"/>
    <s v="Censel"/>
    <m/>
    <s v="3 dias"/>
    <x v="0"/>
    <x v="0"/>
    <x v="1"/>
    <m/>
    <m/>
    <s v="19/03 Ajustador aprobo reemplazo"/>
    <m/>
    <m/>
    <m/>
    <m/>
    <m/>
  </r>
  <r>
    <n v="162"/>
    <n v="220897"/>
    <x v="2"/>
    <d v="2018-03-14T00:00:00"/>
    <x v="2"/>
    <d v="2018-03-20T00:00:00"/>
    <n v="6"/>
    <x v="0"/>
    <m/>
    <s v="Ppto. en Evaluación"/>
    <n v="999"/>
    <n v="250"/>
    <n v="150"/>
    <n v="689.06"/>
    <m/>
    <m/>
    <m/>
    <s v="TV Led"/>
    <x v="1"/>
    <s v="LG"/>
    <s v="32LF585B-SE.AWFMLJM"/>
    <s v="Tarjeta Principal"/>
    <m/>
    <m/>
    <s v="Reyes Alegre Rosa Isabel"/>
    <s v="Censel"/>
    <d v="2018-03-19T00:00:00"/>
    <s v="2 dias"/>
    <x v="1"/>
    <x v="1"/>
    <x v="2"/>
    <m/>
    <m/>
    <m/>
    <m/>
    <m/>
    <m/>
    <m/>
    <m/>
  </r>
  <r>
    <n v="163"/>
    <n v="219826"/>
    <x v="0"/>
    <d v="2018-03-15T00:00:00"/>
    <x v="2"/>
    <d v="2018-03-23T00:00:00"/>
    <n v="8"/>
    <x v="0"/>
    <m/>
    <s v="Ppto. en Evaluación"/>
    <n v="1899"/>
    <n v="110"/>
    <n v="95"/>
    <n v="1675.06"/>
    <m/>
    <m/>
    <m/>
    <s v="Refrigeradora"/>
    <x v="0"/>
    <s v="Mabe"/>
    <s v="RMP400YJPSS"/>
    <s v="Motor Ventilador"/>
    <m/>
    <m/>
    <s v="Teccnis"/>
    <s v="Tecnimax"/>
    <d v="2018-03-15T00:00:00"/>
    <s v="4 dias"/>
    <x v="1"/>
    <x v="1"/>
    <x v="2"/>
    <m/>
    <m/>
    <m/>
    <m/>
    <m/>
    <m/>
    <m/>
    <m/>
  </r>
  <r>
    <n v="164"/>
    <n v="220859"/>
    <x v="1"/>
    <d v="2018-03-19T00:00:00"/>
    <x v="2"/>
    <d v="2018-03-30T00:00:00"/>
    <n v="11"/>
    <x v="0"/>
    <m/>
    <s v="Ppto. en Evaluación"/>
    <m/>
    <m/>
    <m/>
    <n v="0"/>
    <m/>
    <m/>
    <m/>
    <s v="TV Led"/>
    <x v="1"/>
    <s v="Samsung"/>
    <s v="UN50J5500AGXPE"/>
    <s v="Pantalla"/>
    <m/>
    <m/>
    <m/>
    <s v="MV Autoservicios"/>
    <m/>
    <m/>
    <x v="0"/>
    <x v="0"/>
    <x v="0"/>
    <s v="Disponibilidad de repuesto"/>
    <m/>
    <m/>
    <m/>
    <m/>
    <m/>
    <m/>
    <m/>
  </r>
  <r>
    <n v="165"/>
    <n v="220415"/>
    <x v="1"/>
    <d v="2018-03-19T00:00:00"/>
    <x v="2"/>
    <d v="2018-03-31T00:00:00"/>
    <n v="12"/>
    <x v="0"/>
    <m/>
    <s v="Ppto. en Evaluación"/>
    <n v="899"/>
    <n v="95"/>
    <n v="160"/>
    <n v="685.06"/>
    <m/>
    <m/>
    <m/>
    <s v="Lavadora"/>
    <x v="0"/>
    <s v="Mabe"/>
    <s v="LMA95BXI"/>
    <s v="Bomba de Drenaje  "/>
    <m/>
    <m/>
    <s v="Reyes Alegre Rosa Isabel"/>
    <s v="Sertepi"/>
    <d v="2018-03-20T00:00:00"/>
    <s v="3 dias"/>
    <x v="1"/>
    <x v="1"/>
    <x v="2"/>
    <m/>
    <m/>
    <m/>
    <m/>
    <m/>
    <m/>
    <m/>
    <m/>
  </r>
  <r>
    <n v="166"/>
    <n v="220854"/>
    <x v="1"/>
    <d v="2018-03-19T00:00:00"/>
    <x v="2"/>
    <d v="2018-03-31T00:00:00"/>
    <n v="12"/>
    <x v="0"/>
    <m/>
    <s v="Ppto. en Evaluación"/>
    <n v="1799"/>
    <n v="190"/>
    <n v="476"/>
    <n v="1215.06"/>
    <m/>
    <m/>
    <m/>
    <s v="Refrigeradora"/>
    <x v="0"/>
    <s v="Samsung"/>
    <s v="RT35K5930SL/PE"/>
    <s v="Motor Fan"/>
    <m/>
    <m/>
    <s v="Toralva Flores Jose Manuel"/>
    <s v="Seisa"/>
    <d v="2018-03-20T00:00:00"/>
    <s v="3 dias"/>
    <x v="1"/>
    <x v="1"/>
    <x v="2"/>
    <m/>
    <m/>
    <m/>
    <m/>
    <m/>
    <m/>
    <m/>
    <m/>
  </r>
  <r>
    <n v="167"/>
    <n v="219962"/>
    <x v="1"/>
    <d v="2018-03-19T00:00:00"/>
    <x v="2"/>
    <d v="2018-03-19T00:00:00"/>
    <n v="0"/>
    <x v="0"/>
    <m/>
    <s v="Ppto. en Evaluación"/>
    <n v="4284"/>
    <n v="369"/>
    <n v="230"/>
    <n v="3657.96"/>
    <m/>
    <m/>
    <m/>
    <s v="TV Led"/>
    <x v="1"/>
    <s v="Samsung"/>
    <s v="UN65F8000AGXPE"/>
    <s v="Tarjeta Fuente"/>
    <m/>
    <m/>
    <s v="Toralva Flores Jose Manuel"/>
    <s v="Seisa"/>
    <d v="2018-03-20T00:00:00"/>
    <s v="4 dias"/>
    <x v="1"/>
    <x v="1"/>
    <x v="2"/>
    <m/>
    <m/>
    <m/>
    <m/>
    <m/>
    <m/>
    <m/>
    <m/>
  </r>
  <r>
    <n v="168"/>
    <n v="220443"/>
    <x v="0"/>
    <d v="2018-03-22T00:00:00"/>
    <x v="2"/>
    <d v="2018-03-24T00:00:00"/>
    <n v="2"/>
    <x v="0"/>
    <m/>
    <s v="Ppto. en Evaluación"/>
    <n v="1631"/>
    <m/>
    <m/>
    <n v="0"/>
    <m/>
    <m/>
    <m/>
    <s v="TV Led"/>
    <x v="1"/>
    <s v="Samsung"/>
    <s v="UN40FH5303GXPE"/>
    <s v="Barra Led"/>
    <m/>
    <m/>
    <s v="Toralva Flores Jose Manuel"/>
    <s v="Seisa"/>
    <m/>
    <s v="2 dias"/>
    <x v="0"/>
    <x v="0"/>
    <x v="0"/>
    <s v="Plazo de Reparacion"/>
    <m/>
    <s v="26/03 Ajustador aprobo reemplazo"/>
    <m/>
    <m/>
    <m/>
    <m/>
    <m/>
  </r>
  <r>
    <n v="169"/>
    <n v="220892"/>
    <x v="0"/>
    <d v="2018-03-22T00:00:00"/>
    <x v="2"/>
    <d v="2018-04-08T00:00:00"/>
    <n v="17"/>
    <x v="0"/>
    <m/>
    <s v="Ppto. en Evaluación"/>
    <m/>
    <m/>
    <m/>
    <n v="0"/>
    <m/>
    <m/>
    <m/>
    <s v="Cocina"/>
    <x v="0"/>
    <s v="Electrolux"/>
    <s v="EKGE24AU2NAMS"/>
    <s v="Valvula de Hornilla "/>
    <m/>
    <m/>
    <m/>
    <s v="Serviteco"/>
    <m/>
    <m/>
    <x v="0"/>
    <x v="0"/>
    <x v="0"/>
    <s v="Disponibilidad de repuesto"/>
    <m/>
    <m/>
    <m/>
    <m/>
    <m/>
    <m/>
    <m/>
  </r>
  <r>
    <n v="170"/>
    <n v="221299"/>
    <x v="2"/>
    <d v="2018-03-22T00:00:00"/>
    <x v="2"/>
    <d v="2018-04-01T00:00:00"/>
    <n v="10"/>
    <x v="0"/>
    <m/>
    <s v="Ppto. en Evaluación"/>
    <m/>
    <m/>
    <m/>
    <n v="0"/>
    <m/>
    <m/>
    <m/>
    <s v="Lavadora"/>
    <x v="0"/>
    <s v="Samsung"/>
    <s v="WA16F7L8DTA/PE"/>
    <s v="Amortiguadores"/>
    <m/>
    <m/>
    <m/>
    <s v="Ceser Piura"/>
    <m/>
    <m/>
    <x v="0"/>
    <x v="0"/>
    <x v="0"/>
    <s v="Disponibilidad de repuesto"/>
    <m/>
    <m/>
    <m/>
    <m/>
    <m/>
    <m/>
    <m/>
  </r>
  <r>
    <n v="171"/>
    <n v="221048"/>
    <x v="2"/>
    <d v="2018-03-22T00:00:00"/>
    <x v="2"/>
    <d v="2018-04-01T00:00:00"/>
    <n v="10"/>
    <x v="0"/>
    <m/>
    <s v="Ppto. en Evaluación"/>
    <m/>
    <m/>
    <m/>
    <n v="0"/>
    <m/>
    <m/>
    <m/>
    <s v="Lavadora"/>
    <x v="0"/>
    <s v="Samsung"/>
    <s v="WA16F7L8DTA/PE"/>
    <s v="Amortiguadores"/>
    <m/>
    <m/>
    <m/>
    <s v="Ceser Piura"/>
    <m/>
    <m/>
    <x v="0"/>
    <x v="0"/>
    <x v="0"/>
    <s v="Disponibilidad de repuesto"/>
    <m/>
    <m/>
    <m/>
    <m/>
    <m/>
    <m/>
    <m/>
  </r>
  <r>
    <n v="172"/>
    <n v="221729"/>
    <x v="1"/>
    <d v="2018-03-26T00:00:00"/>
    <x v="2"/>
    <d v="2018-04-08T00:00:00"/>
    <n v="13"/>
    <x v="1"/>
    <m/>
    <s v="Ppto. en Evaluación"/>
    <m/>
    <m/>
    <m/>
    <n v="0"/>
    <m/>
    <m/>
    <m/>
    <s v="Refrigeradora"/>
    <x v="0"/>
    <s v="Samsung"/>
    <s v="RT38FEAJDSL/PE"/>
    <s v="Tarjeta Principal"/>
    <m/>
    <m/>
    <s v="Toralva Flores Jose Manuel"/>
    <s v="MV Autoservicios"/>
    <m/>
    <m/>
    <x v="0"/>
    <x v="0"/>
    <x v="1"/>
    <m/>
    <m/>
    <s v="27/03 Ajustador aprueba repuesto de ST"/>
    <m/>
    <m/>
    <m/>
    <m/>
    <m/>
  </r>
  <r>
    <n v="173"/>
    <n v="221328"/>
    <x v="0"/>
    <d v="2018-03-26T00:00:00"/>
    <x v="2"/>
    <d v="2018-04-08T00:00:00"/>
    <n v="13"/>
    <x v="0"/>
    <m/>
    <s v="Ppto. en Evaluación"/>
    <n v="2564"/>
    <n v="190"/>
    <n v="160"/>
    <n v="2220.16"/>
    <m/>
    <m/>
    <m/>
    <s v="Minicomponente"/>
    <x v="1"/>
    <s v="Panasonic"/>
    <s v="SA-MAX770"/>
    <s v="Lector Optico  "/>
    <m/>
    <m/>
    <s v="Toralva Flores Jose Manuel"/>
    <s v="Electronica Lima Sur"/>
    <d v="2018-03-27T00:00:00"/>
    <s v="2 dias"/>
    <x v="1"/>
    <x v="1"/>
    <x v="2"/>
    <m/>
    <m/>
    <m/>
    <m/>
    <m/>
    <m/>
    <m/>
    <m/>
  </r>
  <r>
    <n v="174"/>
    <n v="221569"/>
    <x v="0"/>
    <d v="2018-03-27T00:00:00"/>
    <x v="2"/>
    <d v="2018-04-13T00:00:00"/>
    <n v="17"/>
    <x v="0"/>
    <m/>
    <s v="Ppto. en Evaluación"/>
    <n v="1230"/>
    <n v="370"/>
    <n v="160.6"/>
    <n v="786.2"/>
    <m/>
    <m/>
    <m/>
    <s v="All In One"/>
    <x v="2"/>
    <s v="Lenovo"/>
    <s v="C260"/>
    <s v="Mainboard"/>
    <m/>
    <m/>
    <s v="Eagle Data"/>
    <s v="High Service"/>
    <d v="2018-04-03T00:00:00"/>
    <s v="7 dias"/>
    <x v="1"/>
    <x v="1"/>
    <x v="2"/>
    <m/>
    <m/>
    <m/>
    <m/>
    <m/>
    <m/>
    <m/>
    <m/>
  </r>
  <r>
    <n v="175"/>
    <n v="221521"/>
    <x v="2"/>
    <d v="2018-04-02T00:00:00"/>
    <x v="3"/>
    <d v="2018-04-14T00:00:00"/>
    <n v="12"/>
    <x v="0"/>
    <m/>
    <s v="Ppto. en Evaluación"/>
    <n v="2879"/>
    <n v="190"/>
    <n v="145"/>
    <n v="0"/>
    <m/>
    <m/>
    <m/>
    <s v="Refrigeradora"/>
    <x v="0"/>
    <s v="Whirlpool"/>
    <s v="5WRS22FDBF02"/>
    <s v="Damper"/>
    <m/>
    <m/>
    <s v="Reyes Alegre Rosa Isabel"/>
    <s v="Serfac"/>
    <d v="2018-04-04T00:00:00"/>
    <s v="2 dias"/>
    <x v="0"/>
    <x v="0"/>
    <x v="0"/>
    <s v="Disponibilidad de repuesto"/>
    <m/>
    <s v="12/04 proveedor informa que el repuesto no se encuentra disponible"/>
    <m/>
    <m/>
    <m/>
    <m/>
    <m/>
  </r>
  <r>
    <n v="176"/>
    <n v="221317"/>
    <x v="2"/>
    <d v="2018-04-02T00:00:00"/>
    <x v="3"/>
    <d v="2018-04-06T00:00:00"/>
    <n v="4"/>
    <x v="1"/>
    <m/>
    <s v="Ppto. en Evaluación"/>
    <m/>
    <m/>
    <m/>
    <n v="0"/>
    <m/>
    <m/>
    <m/>
    <s v="Refrigeradora"/>
    <x v="0"/>
    <s v="Daewoo"/>
    <s v="FRS - Q24"/>
    <s v="Damper"/>
    <m/>
    <m/>
    <m/>
    <s v="SOS Service"/>
    <m/>
    <m/>
    <x v="0"/>
    <x v="0"/>
    <x v="1"/>
    <m/>
    <m/>
    <s v="06/04 Ajustador tomo repuesto de Salvamento"/>
    <m/>
    <m/>
    <m/>
    <m/>
    <m/>
  </r>
  <r>
    <n v="177"/>
    <n v="221369"/>
    <x v="3"/>
    <d v="2018-04-03T00:00:00"/>
    <x v="3"/>
    <d v="2018-04-07T00:00:00"/>
    <n v="4"/>
    <x v="0"/>
    <m/>
    <s v="Ppto. en Evaluación"/>
    <m/>
    <m/>
    <m/>
    <n v="0"/>
    <m/>
    <m/>
    <m/>
    <s v="Lavadora"/>
    <x v="0"/>
    <s v="Samsung"/>
    <s v="WAQ16F7L8DTA/PE"/>
    <s v="Motor Drain / Caja de Transmision"/>
    <m/>
    <m/>
    <s v="Toralva Flores Jose Manuel"/>
    <s v="Seisa"/>
    <m/>
    <s v="4 dias"/>
    <x v="0"/>
    <x v="0"/>
    <x v="0"/>
    <s v="Plazo de Reparacion"/>
    <m/>
    <m/>
    <m/>
    <m/>
    <m/>
    <m/>
    <m/>
  </r>
  <r>
    <n v="178"/>
    <n v="221376"/>
    <x v="3"/>
    <d v="2018-04-03T00:00:00"/>
    <x v="3"/>
    <d v="2018-04-09T00:00:00"/>
    <n v="6"/>
    <x v="0"/>
    <m/>
    <s v="Ppto. en Evaluación"/>
    <n v="1899"/>
    <n v="533"/>
    <n v="80"/>
    <n v="1252.06"/>
    <m/>
    <m/>
    <m/>
    <s v="Refrigeradora"/>
    <x v="0"/>
    <s v="Samsung"/>
    <s v="RT32K5730SL/PE"/>
    <s v="Tarjeta Principal / Switch Rotary"/>
    <m/>
    <m/>
    <s v="Toralva Flores Jose Manuel"/>
    <s v="Seisa"/>
    <d v="2018-04-06T00:00:00"/>
    <s v="4 dias"/>
    <x v="1"/>
    <x v="1"/>
    <x v="2"/>
    <m/>
    <m/>
    <m/>
    <m/>
    <m/>
    <m/>
    <m/>
    <m/>
  </r>
  <r>
    <n v="179"/>
    <n v="221324"/>
    <x v="3"/>
    <d v="2018-04-03T00:00:00"/>
    <x v="3"/>
    <d v="2018-04-07T00:00:00"/>
    <n v="4"/>
    <x v="0"/>
    <m/>
    <s v="Ppto. en Evaluación"/>
    <n v="1999"/>
    <n v="310"/>
    <n v="80"/>
    <n v="1569.06"/>
    <m/>
    <m/>
    <m/>
    <s v="Refrigeradora"/>
    <x v="0"/>
    <s v="Samsung"/>
    <s v="RT35K5930SL/PE"/>
    <s v="Tarjeta Principal / Sensor "/>
    <m/>
    <m/>
    <s v="Reyes Alegre Rosa Isabel"/>
    <s v="Seisa"/>
    <d v="2018-04-05T00:00:00"/>
    <s v="2 dias"/>
    <x v="1"/>
    <x v="1"/>
    <x v="2"/>
    <m/>
    <m/>
    <m/>
    <m/>
    <m/>
    <m/>
    <m/>
    <m/>
  </r>
  <r>
    <n v="180"/>
    <n v="221883"/>
    <x v="1"/>
    <d v="2018-04-04T00:00:00"/>
    <x v="3"/>
    <d v="2018-04-12T00:00:00"/>
    <n v="8"/>
    <x v="0"/>
    <m/>
    <s v="Ppto. en Evaluación"/>
    <n v="1899"/>
    <n v="540"/>
    <n v="366"/>
    <n v="1245.06"/>
    <m/>
    <m/>
    <m/>
    <s v="Refrigeradora"/>
    <x v="0"/>
    <s v="Samsung"/>
    <s v="RT35K5930SL/PE"/>
    <s v="Motor Ventilador"/>
    <m/>
    <m/>
    <s v="Reyes Alegre Rosa Isabel"/>
    <s v="Seisa"/>
    <d v="2018-04-05T00:00:00"/>
    <s v="3 dias"/>
    <x v="1"/>
    <x v="1"/>
    <x v="2"/>
    <m/>
    <m/>
    <m/>
    <m/>
    <m/>
    <m/>
    <m/>
    <m/>
  </r>
  <r>
    <n v="181"/>
    <n v="222250"/>
    <x v="1"/>
    <d v="2018-04-05T00:00:00"/>
    <x v="3"/>
    <d v="2018-04-14T00:00:00"/>
    <n v="9"/>
    <x v="0"/>
    <m/>
    <s v="Ppto. en Evaluación"/>
    <m/>
    <m/>
    <m/>
    <n v="0"/>
    <m/>
    <m/>
    <m/>
    <s v="Lavadora"/>
    <x v="0"/>
    <s v="Mabe"/>
    <s v="LMA14SXI"/>
    <s v="Caja de Transmision / Sensor / Tuerca"/>
    <m/>
    <m/>
    <m/>
    <s v="Ingenieria Tecnica"/>
    <m/>
    <m/>
    <x v="0"/>
    <x v="0"/>
    <x v="0"/>
    <s v="Disponibilidad de repuesto"/>
    <m/>
    <m/>
    <m/>
    <m/>
    <m/>
    <m/>
    <m/>
  </r>
  <r>
    <n v="182"/>
    <n v="222109"/>
    <x v="1"/>
    <d v="2018-04-05T00:00:00"/>
    <x v="3"/>
    <d v="2018-04-14T00:00:00"/>
    <n v="9"/>
    <x v="0"/>
    <m/>
    <s v="Ppto. en Evaluación"/>
    <n v="1099"/>
    <n v="270"/>
    <n v="155"/>
    <n v="763.06"/>
    <m/>
    <m/>
    <m/>
    <s v="Lavadora"/>
    <x v="0"/>
    <s v="Mabe"/>
    <s v="LMA14SXI"/>
    <s v="Caja de Transmision"/>
    <m/>
    <m/>
    <s v="Reyes Alegre Rosa Isabel"/>
    <s v="Ingenieria Tecnica"/>
    <d v="2018-04-06T00:00:00"/>
    <s v="4 dias"/>
    <x v="1"/>
    <x v="1"/>
    <x v="2"/>
    <m/>
    <m/>
    <m/>
    <m/>
    <m/>
    <m/>
    <m/>
    <m/>
  </r>
  <r>
    <n v="183"/>
    <n v="222370"/>
    <x v="1"/>
    <d v="2018-04-10T00:00:00"/>
    <x v="3"/>
    <d v="2018-04-22T00:00:00"/>
    <n v="12"/>
    <x v="0"/>
    <m/>
    <s v="Ppto. en Evaluación"/>
    <m/>
    <m/>
    <m/>
    <n v="0"/>
    <m/>
    <m/>
    <m/>
    <s v="Refrigeradora"/>
    <x v="0"/>
    <s v="Daewoo"/>
    <s v="RF450V"/>
    <s v="Motor Compresor"/>
    <m/>
    <m/>
    <s v="Toralva Flores Jose Manuel"/>
    <s v="Sertepi"/>
    <m/>
    <m/>
    <x v="0"/>
    <x v="0"/>
    <x v="0"/>
    <s v="Disponibilidad de repuesto"/>
    <m/>
    <m/>
    <m/>
    <m/>
    <m/>
    <m/>
    <m/>
  </r>
  <r>
    <n v="184"/>
    <n v="221616"/>
    <x v="1"/>
    <d v="2018-04-10T00:00:00"/>
    <x v="3"/>
    <d v="2018-04-22T00:00:00"/>
    <n v="12"/>
    <x v="0"/>
    <m/>
    <s v="Ppto. en Evaluación"/>
    <n v="2559"/>
    <n v="160"/>
    <n v="17.5"/>
    <n v="2245.46"/>
    <m/>
    <m/>
    <m/>
    <s v="Control Remoto"/>
    <x v="1"/>
    <s v="Samsung"/>
    <s v="BN59-01242A"/>
    <s v="Control Remoto"/>
    <m/>
    <m/>
    <s v="Reyes Alegre Rosa Isabel"/>
    <s v="Seisa"/>
    <d v="2018-04-10T00:00:00"/>
    <s v="3 dias"/>
    <x v="1"/>
    <x v="1"/>
    <x v="2"/>
    <m/>
    <m/>
    <m/>
    <m/>
    <m/>
    <m/>
    <m/>
    <m/>
  </r>
  <r>
    <n v="185"/>
    <n v="221731"/>
    <x v="1"/>
    <d v="2018-04-10T00:00:00"/>
    <x v="3"/>
    <d v="2018-04-22T00:00:00"/>
    <n v="12"/>
    <x v="0"/>
    <m/>
    <s v="Ppto. en Evaluación"/>
    <n v="2559"/>
    <n v="160"/>
    <n v="17.5"/>
    <n v="2245.46"/>
    <m/>
    <m/>
    <m/>
    <s v="Control Remoto"/>
    <x v="1"/>
    <s v="Samsung"/>
    <s v="BN59-01242A"/>
    <s v="Control Remoto"/>
    <m/>
    <m/>
    <s v="Reyes Alegre Rosa Isabel"/>
    <s v="Seisa"/>
    <d v="2018-04-10T00:00:00"/>
    <s v="3 dias"/>
    <x v="1"/>
    <x v="1"/>
    <x v="2"/>
    <m/>
    <m/>
    <m/>
    <m/>
    <m/>
    <m/>
    <m/>
    <m/>
  </r>
  <r>
    <n v="186"/>
    <n v="222259"/>
    <x v="1"/>
    <d v="2018-04-12T00:00:00"/>
    <x v="3"/>
    <d v="2018-04-20T00:00:00"/>
    <n v="8"/>
    <x v="0"/>
    <m/>
    <s v="Ppto. en Evaluación"/>
    <n v="10999"/>
    <n v="3446"/>
    <n v="220"/>
    <n v="0"/>
    <m/>
    <m/>
    <m/>
    <s v="TV Led"/>
    <x v="1"/>
    <s v="Samsung"/>
    <s v="UN55JS9000GXPE"/>
    <s v="Pantalla"/>
    <m/>
    <m/>
    <s v="Toralva Flores Jose Manuel"/>
    <s v="Asmat"/>
    <d v="2018-04-12T00:00:00"/>
    <s v="5 dias"/>
    <x v="0"/>
    <x v="0"/>
    <x v="0"/>
    <s v="Plazo de Reparacion"/>
    <m/>
    <m/>
    <m/>
    <m/>
    <m/>
    <m/>
    <m/>
  </r>
  <r>
    <n v="187"/>
    <n v="222446"/>
    <x v="2"/>
    <d v="2018-04-12T00:00:00"/>
    <x v="3"/>
    <d v="2018-04-23T00:00:00"/>
    <n v="11"/>
    <x v="0"/>
    <m/>
    <s v="Ppto. en Evaluación"/>
    <m/>
    <m/>
    <m/>
    <n v="0"/>
    <m/>
    <m/>
    <m/>
    <s v="Refrigeradora"/>
    <x v="0"/>
    <s v="Whirlpool"/>
    <s v="WRW50NRBPE"/>
    <s v="Tarjeta Principal"/>
    <m/>
    <m/>
    <m/>
    <s v="Ceser Cusco"/>
    <m/>
    <m/>
    <x v="0"/>
    <x v="0"/>
    <x v="0"/>
    <s v="Disponibilidad de repuesto"/>
    <m/>
    <m/>
    <m/>
    <m/>
    <m/>
    <m/>
    <m/>
  </r>
  <r>
    <n v="188"/>
    <n v="222945"/>
    <x v="2"/>
    <d v="2018-04-16T00:00:00"/>
    <x v="3"/>
    <d v="2018-04-22T00:00:00"/>
    <n v="6"/>
    <x v="1"/>
    <m/>
    <s v="Ppto. en Evaluación"/>
    <m/>
    <m/>
    <m/>
    <n v="0"/>
    <m/>
    <m/>
    <m/>
    <s v="TV Led"/>
    <x v="1"/>
    <s v="LG"/>
    <s v="43LF5410"/>
    <s v="Tarjeta Principal"/>
    <m/>
    <m/>
    <m/>
    <s v="Censel"/>
    <m/>
    <m/>
    <x v="0"/>
    <x v="0"/>
    <x v="1"/>
    <m/>
    <m/>
    <s v="16/04 Ajustador compra repuesto con ST"/>
    <m/>
    <m/>
    <m/>
    <m/>
    <m/>
  </r>
  <r>
    <n v="189"/>
    <n v="222542"/>
    <x v="2"/>
    <d v="2018-04-16T00:00:00"/>
    <x v="3"/>
    <d v="2018-04-22T00:00:00"/>
    <n v="6"/>
    <x v="0"/>
    <m/>
    <s v="Ppto. en Evaluación"/>
    <n v="1942"/>
    <n v="270"/>
    <n v="230"/>
    <n v="0"/>
    <m/>
    <m/>
    <m/>
    <s v="TV Led"/>
    <x v="1"/>
    <s v="LG"/>
    <s v="42LB7000-SF.BWFWLJR"/>
    <s v="Barra Led"/>
    <m/>
    <m/>
    <s v="Reyes Alegre Rosa Isabel"/>
    <s v="Censel"/>
    <d v="2018-04-16T00:00:00"/>
    <s v="2 dias"/>
    <x v="0"/>
    <x v="0"/>
    <x v="0"/>
    <s v="Plazo de Reparacion"/>
    <m/>
    <m/>
    <m/>
    <m/>
    <m/>
    <m/>
    <m/>
  </r>
  <r>
    <n v="190"/>
    <n v="222738"/>
    <x v="1"/>
    <d v="2018-04-16T00:00:00"/>
    <x v="3"/>
    <d v="2018-04-27T00:00:00"/>
    <n v="11"/>
    <x v="1"/>
    <m/>
    <s v="Ppto. en Evaluación"/>
    <m/>
    <m/>
    <m/>
    <n v="0"/>
    <m/>
    <m/>
    <m/>
    <s v="TV Led"/>
    <x v="1"/>
    <s v="Samsung"/>
    <s v="UN40FH6203GXPE"/>
    <s v="Barra Led"/>
    <m/>
    <m/>
    <m/>
    <s v="Asmat"/>
    <m/>
    <m/>
    <x v="0"/>
    <x v="0"/>
    <x v="1"/>
    <m/>
    <m/>
    <s v="17/04 Ajustador aprueba compra de repuesto con ST"/>
    <m/>
    <m/>
    <m/>
    <m/>
    <m/>
  </r>
  <r>
    <n v="191"/>
    <n v="223418"/>
    <x v="0"/>
    <d v="2018-04-16T00:00:00"/>
    <x v="3"/>
    <d v="2018-05-01T00:00:00"/>
    <n v="15"/>
    <x v="0"/>
    <m/>
    <s v="Ppto. en Evaluación"/>
    <m/>
    <m/>
    <m/>
    <n v="0"/>
    <m/>
    <m/>
    <m/>
    <s v="TV Led"/>
    <x v="1"/>
    <s v="Samsung"/>
    <s v="UN65JS9000GXPE"/>
    <s v="Pantalla"/>
    <m/>
    <m/>
    <m/>
    <s v="Electronica Lima Sur"/>
    <m/>
    <m/>
    <x v="0"/>
    <x v="0"/>
    <x v="0"/>
    <s v="Disponibilidad de repuesto"/>
    <m/>
    <m/>
    <m/>
    <m/>
    <m/>
    <m/>
    <m/>
  </r>
  <r>
    <n v="192"/>
    <n v="223033"/>
    <x v="1"/>
    <d v="2018-04-18T00:00:00"/>
    <x v="3"/>
    <d v="2018-05-03T00:00:00"/>
    <n v="15"/>
    <x v="0"/>
    <m/>
    <s v="Ppto. en Evaluación"/>
    <m/>
    <m/>
    <m/>
    <n v="0"/>
    <m/>
    <m/>
    <m/>
    <s v="Refrigeradora"/>
    <x v="0"/>
    <s v="Samsung"/>
    <s v="RF221NCTASL/PE"/>
    <s v="Evaporador"/>
    <m/>
    <m/>
    <m/>
    <s v="Asmat"/>
    <m/>
    <m/>
    <x v="0"/>
    <x v="0"/>
    <x v="0"/>
    <s v="Disponibilidad de repuesto"/>
    <m/>
    <m/>
    <m/>
    <m/>
    <m/>
    <m/>
    <m/>
  </r>
  <r>
    <n v="193"/>
    <n v="222595"/>
    <x v="1"/>
    <d v="2018-04-18T00:00:00"/>
    <x v="3"/>
    <d v="2018-04-26T00:00:00"/>
    <n v="8"/>
    <x v="0"/>
    <m/>
    <s v="Ppto. en Evaluación"/>
    <m/>
    <m/>
    <m/>
    <n v="0"/>
    <m/>
    <m/>
    <m/>
    <s v="TV Led"/>
    <x v="1"/>
    <s v="LG"/>
    <s v="43UF6400-SA.BWFYMJM"/>
    <s v="Barra Led / Tarjeta Principal"/>
    <m/>
    <m/>
    <m/>
    <s v="Censel"/>
    <m/>
    <m/>
    <x v="0"/>
    <x v="0"/>
    <x v="0"/>
    <s v="Disponibilidad de repuesto"/>
    <m/>
    <m/>
    <m/>
    <m/>
    <m/>
    <m/>
    <m/>
  </r>
  <r>
    <n v="194"/>
    <n v="223909"/>
    <x v="0"/>
    <d v="2018-04-23T00:00:00"/>
    <x v="3"/>
    <d v="2018-05-08T00:00:00"/>
    <n v="15"/>
    <x v="1"/>
    <m/>
    <s v="Ppto. en Evaluación"/>
    <m/>
    <m/>
    <m/>
    <n v="0"/>
    <m/>
    <m/>
    <m/>
    <s v="Lavadora"/>
    <x v="0"/>
    <s v="LG"/>
    <s v="T1204DPE"/>
    <s v="Aro Balance"/>
    <m/>
    <m/>
    <m/>
    <s v="Ceser Trujillo"/>
    <m/>
    <m/>
    <x v="0"/>
    <x v="0"/>
    <x v="1"/>
    <m/>
    <m/>
    <s v="24/04 Ajustador realizo compra de repuesto con el ST"/>
    <m/>
    <m/>
    <m/>
    <m/>
    <m/>
  </r>
  <r>
    <n v="195"/>
    <n v="223456"/>
    <x v="1"/>
    <d v="2018-04-26T00:00:00"/>
    <x v="3"/>
    <d v="2018-04-28T00:00:00"/>
    <n v="2"/>
    <x v="0"/>
    <m/>
    <s v="Ppto. en Evaluación"/>
    <n v="1499"/>
    <n v="107"/>
    <n v="208"/>
    <n v="1201.06"/>
    <m/>
    <m/>
    <m/>
    <s v="Refrigeradora"/>
    <x v="0"/>
    <s v="Samsung"/>
    <s v="RT35FEAJDSL"/>
    <s v="Electrovalvula"/>
    <m/>
    <m/>
    <s v="Toralva Flores Jose Manuel"/>
    <s v="Servidoctors"/>
    <d v="2018-04-26T00:00:00"/>
    <s v="4 dias"/>
    <x v="1"/>
    <x v="1"/>
    <x v="2"/>
    <m/>
    <m/>
    <m/>
    <m/>
    <m/>
    <m/>
    <m/>
    <m/>
  </r>
  <r>
    <n v="196"/>
    <n v="223756"/>
    <x v="2"/>
    <d v="2018-04-26T00:00:00"/>
    <x v="3"/>
    <d v="2018-05-05T00:00:00"/>
    <n v="9"/>
    <x v="0"/>
    <m/>
    <s v="Ppto. en Evaluación"/>
    <n v="699"/>
    <n v="170"/>
    <n v="180"/>
    <n v="0"/>
    <m/>
    <m/>
    <m/>
    <s v="Lavadora"/>
    <x v="0"/>
    <s v="Daewoo"/>
    <s v="DWF-210GW"/>
    <s v="Pulsator"/>
    <m/>
    <m/>
    <s v="Reyes Alegre Rosa Isabel"/>
    <s v="SOS Service"/>
    <d v="2018-04-30T00:00:00"/>
    <s v="2 dias"/>
    <x v="0"/>
    <x v="0"/>
    <x v="0"/>
    <s v="Disponibilidad de repuesto"/>
    <m/>
    <m/>
    <m/>
    <m/>
    <m/>
    <m/>
    <m/>
  </r>
  <r>
    <n v="197"/>
    <n v="224084"/>
    <x v="2"/>
    <d v="2018-04-26T00:00:00"/>
    <x v="3"/>
    <d v="2018-05-05T00:00:00"/>
    <n v="9"/>
    <x v="0"/>
    <m/>
    <s v="Ppto. en Evaluación"/>
    <m/>
    <m/>
    <m/>
    <n v="0"/>
    <m/>
    <m/>
    <m/>
    <s v="Refrigeradora"/>
    <x v="0"/>
    <s v="LG"/>
    <s v="GS74SDS"/>
    <s v="Evaporador"/>
    <m/>
    <m/>
    <m/>
    <s v="Censel"/>
    <m/>
    <m/>
    <x v="0"/>
    <x v="0"/>
    <x v="0"/>
    <s v="Disponibilidad de repuesto"/>
    <m/>
    <m/>
    <m/>
    <m/>
    <m/>
    <m/>
    <m/>
  </r>
  <r>
    <n v="198"/>
    <n v="224411"/>
    <x v="1"/>
    <d v="2018-04-27T00:00:00"/>
    <x v="3"/>
    <d v="2018-05-12T00:00:00"/>
    <n v="15"/>
    <x v="0"/>
    <m/>
    <s v="Ppto. en Evaluación"/>
    <m/>
    <m/>
    <m/>
    <n v="0"/>
    <m/>
    <m/>
    <m/>
    <s v="TV Led"/>
    <x v="1"/>
    <s v="LG"/>
    <s v="55UF9500.SA.AWFYLJR"/>
    <s v="Pantalla"/>
    <m/>
    <m/>
    <m/>
    <s v="Force Service"/>
    <m/>
    <m/>
    <x v="0"/>
    <x v="0"/>
    <x v="0"/>
    <s v="Disponibilidad de repuesto"/>
    <m/>
    <m/>
    <m/>
    <m/>
    <m/>
    <m/>
    <m/>
  </r>
  <r>
    <n v="199"/>
    <n v="224154"/>
    <x v="1"/>
    <d v="2018-04-30T00:00:00"/>
    <x v="3"/>
    <d v="2018-05-13T00:00:00"/>
    <n v="13"/>
    <x v="0"/>
    <m/>
    <s v="Ppto. en Evaluación"/>
    <m/>
    <m/>
    <m/>
    <n v="0"/>
    <m/>
    <m/>
    <m/>
    <s v="Lavadora"/>
    <x v="0"/>
    <s v="Samsung"/>
    <s v="WA15J5750LP/PE"/>
    <s v="Tarjeta Principal"/>
    <m/>
    <m/>
    <m/>
    <s v="Multiservicios Generales"/>
    <m/>
    <m/>
    <x v="0"/>
    <x v="0"/>
    <x v="0"/>
    <s v="Disponibilidad de repuesto"/>
    <m/>
    <m/>
    <m/>
    <m/>
    <m/>
    <m/>
    <m/>
  </r>
  <r>
    <n v="200"/>
    <n v="224526"/>
    <x v="1"/>
    <d v="2018-05-02T00:00:00"/>
    <x v="4"/>
    <d v="2018-05-14T00:00:00"/>
    <n v="12"/>
    <x v="0"/>
    <m/>
    <s v="Ppto. en Evaluación"/>
    <n v="1599"/>
    <n v="445"/>
    <n v="302"/>
    <n v="1058.06"/>
    <m/>
    <m/>
    <m/>
    <s v="Refrigeradora"/>
    <x v="0"/>
    <s v="Samsung"/>
    <s v="RT29K5030S8/PE"/>
    <s v="Tarjeta Principal"/>
    <m/>
    <m/>
    <s v="Toralva Flores Jose Manuel"/>
    <s v="MV Autoservicios"/>
    <d v="2018-05-03T00:00:00"/>
    <s v="3 dias"/>
    <x v="1"/>
    <x v="1"/>
    <x v="2"/>
    <m/>
    <m/>
    <m/>
    <m/>
    <m/>
    <m/>
    <m/>
    <m/>
  </r>
  <r>
    <n v="201"/>
    <n v="224222"/>
    <x v="2"/>
    <d v="2018-05-02T00:00:00"/>
    <x v="4"/>
    <d v="2018-05-09T00:00:00"/>
    <n v="7"/>
    <x v="0"/>
    <m/>
    <s v="Ppto. en Evaluación"/>
    <n v="1299"/>
    <n v="315"/>
    <n v="130"/>
    <n v="0"/>
    <m/>
    <m/>
    <m/>
    <s v="Lavadora"/>
    <x v="0"/>
    <s v="Samsung"/>
    <s v="WA16F7L2UWW/PE"/>
    <s v="Amortiguador"/>
    <m/>
    <m/>
    <s v="Toralva Flores Jose Manuel"/>
    <s v="Ceser Piura"/>
    <d v="2018-05-08T00:00:00"/>
    <s v="3 dias"/>
    <x v="0"/>
    <x v="0"/>
    <x v="0"/>
    <s v="Disponibilidad de repuesto"/>
    <m/>
    <s v="14/05 Proveedor informa que el repuesto no se encuentra disponible"/>
    <m/>
    <m/>
    <m/>
    <m/>
    <m/>
  </r>
  <r>
    <n v="202"/>
    <n v="224493"/>
    <x v="2"/>
    <d v="2018-05-02T00:00:00"/>
    <x v="4"/>
    <d v="2018-05-12T00:00:00"/>
    <n v="10"/>
    <x v="0"/>
    <m/>
    <s v="Ppto. en Evaluación"/>
    <m/>
    <m/>
    <m/>
    <n v="0"/>
    <m/>
    <m/>
    <m/>
    <s v="Lavadora"/>
    <x v="0"/>
    <s v="Daewoo"/>
    <s v="DWC-LD11R"/>
    <s v="Tarjeta Principal"/>
    <m/>
    <m/>
    <m/>
    <s v="Servidoctors"/>
    <m/>
    <m/>
    <x v="0"/>
    <x v="0"/>
    <x v="0"/>
    <s v="Disponibilidad de repuesto"/>
    <m/>
    <m/>
    <m/>
    <m/>
    <m/>
    <m/>
    <m/>
  </r>
  <r>
    <n v="203"/>
    <n v="224396"/>
    <x v="2"/>
    <d v="2018-05-03T00:00:00"/>
    <x v="4"/>
    <d v="2018-05-15T00:00:00"/>
    <n v="12"/>
    <x v="0"/>
    <m/>
    <s v="Ppto. en Evaluación"/>
    <m/>
    <m/>
    <m/>
    <n v="0"/>
    <m/>
    <m/>
    <m/>
    <s v="TV Led"/>
    <x v="1"/>
    <s v="LG"/>
    <s v="49UB8500-SA.AWFWLJR"/>
    <s v="Pantalla"/>
    <m/>
    <m/>
    <m/>
    <s v="Censel"/>
    <m/>
    <m/>
    <x v="0"/>
    <x v="0"/>
    <x v="0"/>
    <s v="Disponibilidad de repuesto"/>
    <m/>
    <m/>
    <m/>
    <m/>
    <m/>
    <m/>
    <m/>
  </r>
  <r>
    <n v="204"/>
    <n v="224469"/>
    <x v="2"/>
    <d v="2018-05-03T00:00:00"/>
    <x v="4"/>
    <d v="2018-05-13T00:00:00"/>
    <n v="10"/>
    <x v="0"/>
    <m/>
    <s v="Ppto. en Evaluación"/>
    <m/>
    <m/>
    <m/>
    <n v="0"/>
    <m/>
    <m/>
    <m/>
    <s v="TV Led"/>
    <x v="1"/>
    <s v="LG"/>
    <s v="49UB8500-SA.AWFWFJM"/>
    <s v="Pantalla"/>
    <m/>
    <m/>
    <m/>
    <s v="Censel"/>
    <m/>
    <m/>
    <x v="0"/>
    <x v="0"/>
    <x v="0"/>
    <s v="Disponibilidad de repuesto"/>
    <m/>
    <m/>
    <m/>
    <m/>
    <m/>
    <m/>
    <m/>
  </r>
  <r>
    <n v="205"/>
    <n v="224385"/>
    <x v="2"/>
    <d v="2018-05-03T00:00:00"/>
    <x v="4"/>
    <d v="2018-05-16T00:00:00"/>
    <n v="13"/>
    <x v="0"/>
    <m/>
    <s v="Ppto. en Evaluación"/>
    <m/>
    <m/>
    <m/>
    <n v="0"/>
    <m/>
    <m/>
    <m/>
    <s v="TV Led"/>
    <x v="1"/>
    <s v="LG"/>
    <s v="49UB8500-SA.AWFWFJM"/>
    <s v="Pantalla"/>
    <m/>
    <m/>
    <m/>
    <s v="Censel"/>
    <m/>
    <m/>
    <x v="0"/>
    <x v="0"/>
    <x v="0"/>
    <s v="Disponibilidad de repuesto"/>
    <m/>
    <m/>
    <m/>
    <m/>
    <m/>
    <m/>
    <m/>
  </r>
  <r>
    <n v="206"/>
    <n v="224966"/>
    <x v="2"/>
    <d v="2018-05-07T00:00:00"/>
    <x v="4"/>
    <d v="2018-05-14T00:00:00"/>
    <n v="7"/>
    <x v="1"/>
    <m/>
    <s v="Ppto. en Evaluación"/>
    <m/>
    <m/>
    <m/>
    <n v="0"/>
    <m/>
    <m/>
    <m/>
    <s v="Tablet"/>
    <x v="2"/>
    <s v="Lenovo"/>
    <s v="PB2-670Y"/>
    <s v="Auricular"/>
    <m/>
    <m/>
    <m/>
    <s v="Anovo"/>
    <m/>
    <m/>
    <x v="0"/>
    <x v="0"/>
    <x v="1"/>
    <m/>
    <m/>
    <s v="09/05 Ajustador reasigno el caso"/>
    <m/>
    <m/>
    <m/>
    <m/>
    <m/>
  </r>
  <r>
    <n v="207"/>
    <n v="224539"/>
    <x v="2"/>
    <d v="2018-05-07T00:00:00"/>
    <x v="4"/>
    <d v="2018-05-18T00:00:00"/>
    <n v="11"/>
    <x v="0"/>
    <m/>
    <s v="Ppto. en Evaluación"/>
    <m/>
    <m/>
    <m/>
    <n v="0"/>
    <m/>
    <m/>
    <m/>
    <s v="Smartphone"/>
    <x v="2"/>
    <s v="Huawei"/>
    <s v="ALE--L23"/>
    <s v="Tarjeta Logica"/>
    <m/>
    <m/>
    <m/>
    <s v="Anovo"/>
    <m/>
    <m/>
    <x v="0"/>
    <x v="0"/>
    <x v="0"/>
    <s v="Disponibilidad de repuesto"/>
    <m/>
    <m/>
    <m/>
    <m/>
    <m/>
    <m/>
    <m/>
  </r>
  <r>
    <n v="208"/>
    <n v="224685"/>
    <x v="2"/>
    <d v="2018-05-07T00:00:00"/>
    <x v="4"/>
    <d v="2018-05-23T00:00:00"/>
    <n v="16"/>
    <x v="0"/>
    <m/>
    <s v="Ppto. en Evaluación"/>
    <m/>
    <m/>
    <m/>
    <n v="0"/>
    <m/>
    <m/>
    <m/>
    <s v="Tablet"/>
    <x v="2"/>
    <s v="Samsung"/>
    <s v="SM-P350"/>
    <s v="Camara Frontal y Posterior"/>
    <m/>
    <m/>
    <m/>
    <s v="Anovo"/>
    <m/>
    <m/>
    <x v="0"/>
    <x v="0"/>
    <x v="0"/>
    <s v="Disponibilidad de repuesto"/>
    <m/>
    <m/>
    <m/>
    <m/>
    <m/>
    <m/>
    <m/>
  </r>
  <r>
    <n v="209"/>
    <n v="225290"/>
    <x v="0"/>
    <d v="2018-05-09T00:00:00"/>
    <x v="4"/>
    <d v="2018-05-27T00:00:00"/>
    <n v="18"/>
    <x v="0"/>
    <m/>
    <s v="Ppto. en Evaluación"/>
    <m/>
    <m/>
    <m/>
    <n v="0"/>
    <m/>
    <s v="Tiendas Peruanas"/>
    <s v="TP"/>
    <s v="Cocina"/>
    <x v="0"/>
    <s v="Indurama"/>
    <s v="NIZA"/>
    <s v="Termocupla / Valvula"/>
    <m/>
    <m/>
    <m/>
    <s v="Servited"/>
    <m/>
    <m/>
    <x v="0"/>
    <x v="0"/>
    <x v="0"/>
    <s v="Disponibilidad de repuesto"/>
    <m/>
    <m/>
    <m/>
    <m/>
    <m/>
    <m/>
    <m/>
  </r>
  <r>
    <n v="210"/>
    <n v="224643"/>
    <x v="2"/>
    <d v="2018-05-14T00:00:00"/>
    <x v="4"/>
    <d v="2018-05-25T00:00:00"/>
    <n v="11"/>
    <x v="0"/>
    <m/>
    <s v="Ppto. en Evaluación"/>
    <m/>
    <m/>
    <m/>
    <n v="0"/>
    <m/>
    <s v="Saga"/>
    <s v="Falabella"/>
    <s v="Minicomponente"/>
    <x v="1"/>
    <s v="LG"/>
    <s v="FH6A"/>
    <s v="Tarjeta Principal"/>
    <m/>
    <m/>
    <m/>
    <s v="Censel"/>
    <m/>
    <m/>
    <x v="0"/>
    <x v="0"/>
    <x v="0"/>
    <s v="Disponibilidad de repuesto"/>
    <m/>
    <m/>
    <m/>
    <m/>
    <m/>
    <m/>
    <m/>
  </r>
  <r>
    <n v="211"/>
    <n v="225029"/>
    <x v="2"/>
    <d v="2018-05-14T00:00:00"/>
    <x v="4"/>
    <d v="2018-05-29T00:00:00"/>
    <n v="15"/>
    <x v="1"/>
    <m/>
    <s v="Ppto. en Evaluación"/>
    <m/>
    <m/>
    <m/>
    <n v="0"/>
    <m/>
    <s v="Plaza Vea"/>
    <s v="TP"/>
    <s v="Lavadora"/>
    <x v="0"/>
    <s v="Electrolux"/>
    <s v="EWI12D2CPMG"/>
    <s v="Tarjeta Principal"/>
    <m/>
    <m/>
    <s v="Reyes Alegre Rosa Isabel"/>
    <s v="Serfac"/>
    <d v="2018-05-15T00:00:00"/>
    <s v="3 dias"/>
    <x v="0"/>
    <x v="0"/>
    <x v="1"/>
    <m/>
    <m/>
    <s v="21/05 Ajustador tomo repuesto de Salvamento"/>
    <m/>
    <m/>
    <m/>
    <m/>
    <m/>
  </r>
  <r>
    <n v="212"/>
    <n v="225060"/>
    <x v="0"/>
    <d v="2018-05-15T00:00:00"/>
    <x v="4"/>
    <d v="2018-05-25T00:00:00"/>
    <n v="10"/>
    <x v="0"/>
    <m/>
    <m/>
    <m/>
    <m/>
    <m/>
    <n v="0"/>
    <m/>
    <s v="Tottus"/>
    <s v="Falabella"/>
    <s v="Minicomponente"/>
    <x v="1"/>
    <s v="Sony"/>
    <s v="HCD-SHAKEX3"/>
    <s v="Tarjeta de Audio / Parlante"/>
    <m/>
    <m/>
    <m/>
    <s v="Ok House"/>
    <m/>
    <m/>
    <x v="0"/>
    <x v="0"/>
    <x v="0"/>
    <s v="Disponibilidad de repuesto"/>
    <m/>
    <m/>
    <m/>
    <m/>
    <m/>
    <m/>
    <m/>
  </r>
  <r>
    <n v="213"/>
    <n v="225742"/>
    <x v="2"/>
    <d v="2018-05-16T00:00:00"/>
    <x v="4"/>
    <d v="2018-06-01T00:00:00"/>
    <n v="16"/>
    <x v="0"/>
    <m/>
    <m/>
    <n v="1799"/>
    <n v="270"/>
    <n v="180"/>
    <n v="1421.06"/>
    <m/>
    <s v="Saga"/>
    <s v="Falabella"/>
    <s v="TV Led"/>
    <x v="1"/>
    <s v="LG"/>
    <s v="49UF6400-SA.BWFYMOR"/>
    <s v="Barra Led"/>
    <m/>
    <m/>
    <s v="Reyes Alegre Rosa Isabel"/>
    <s v="Censel"/>
    <d v="2018-05-17T00:00:00"/>
    <s v="3 dias"/>
    <x v="1"/>
    <x v="1"/>
    <x v="2"/>
    <m/>
    <m/>
    <m/>
    <m/>
    <m/>
    <m/>
    <m/>
    <m/>
  </r>
  <r>
    <n v="214"/>
    <n v="225436"/>
    <x v="0"/>
    <d v="2018-05-17T00:00:00"/>
    <x v="4"/>
    <d v="2018-05-26T00:00:00"/>
    <n v="9"/>
    <x v="0"/>
    <m/>
    <m/>
    <m/>
    <m/>
    <m/>
    <n v="0"/>
    <m/>
    <s v="Saga"/>
    <s v="Falabella"/>
    <s v="Minicomponente"/>
    <x v="1"/>
    <s v="Sony"/>
    <s v="HCD-GPX5G"/>
    <s v="Tarjeta Fuente / Lector Optico"/>
    <m/>
    <m/>
    <m/>
    <s v="Electronica Lima Sur"/>
    <m/>
    <m/>
    <x v="0"/>
    <x v="0"/>
    <x v="0"/>
    <s v="Disponibilidad de repuesto"/>
    <m/>
    <m/>
    <m/>
    <m/>
    <m/>
    <m/>
    <m/>
  </r>
  <r>
    <n v="215"/>
    <n v="224746"/>
    <x v="0"/>
    <d v="2018-05-17T00:00:00"/>
    <x v="4"/>
    <d v="2018-06-05T00:00:00"/>
    <n v="19"/>
    <x v="0"/>
    <m/>
    <m/>
    <n v="2299"/>
    <n v="265"/>
    <n v="95"/>
    <n v="1896.06"/>
    <m/>
    <s v="Plaza Vea"/>
    <s v="TP"/>
    <s v="Refrigeradora"/>
    <x v="0"/>
    <s v="Samsung"/>
    <s v="RT35K5930SL/PR"/>
    <s v="Tarjeta Principal"/>
    <m/>
    <m/>
    <s v="Reyes Alegre Rosa Isabel"/>
    <s v="T&amp;C"/>
    <d v="2018-05-24T00:00:00"/>
    <s v="4 dias"/>
    <x v="1"/>
    <x v="1"/>
    <x v="2"/>
    <m/>
    <m/>
    <m/>
    <m/>
    <m/>
    <m/>
    <m/>
    <m/>
  </r>
  <r>
    <n v="216"/>
    <n v="225648"/>
    <x v="1"/>
    <d v="2018-05-18T00:00:00"/>
    <x v="4"/>
    <d v="2018-05-28T00:00:00"/>
    <n v="10"/>
    <x v="0"/>
    <m/>
    <m/>
    <m/>
    <m/>
    <m/>
    <n v="0"/>
    <m/>
    <s v="Tottus"/>
    <s v="Falabella"/>
    <s v="TV Led"/>
    <x v="1"/>
    <s v="BGH"/>
    <s v="BLE5015RTUXIPE"/>
    <s v="Tarjeta Principal"/>
    <m/>
    <m/>
    <m/>
    <s v="Celesur"/>
    <m/>
    <m/>
    <x v="0"/>
    <x v="0"/>
    <x v="0"/>
    <s v="Disponibilidad de repuesto"/>
    <m/>
    <m/>
    <m/>
    <m/>
    <m/>
    <m/>
    <m/>
  </r>
  <r>
    <n v="217"/>
    <n v="225401"/>
    <x v="1"/>
    <d v="2018-05-18T00:00:00"/>
    <x v="4"/>
    <d v="2018-05-26T00:00:00"/>
    <n v="8"/>
    <x v="0"/>
    <m/>
    <m/>
    <m/>
    <m/>
    <m/>
    <n v="0"/>
    <m/>
    <s v="Tottus"/>
    <s v="Falabella"/>
    <s v="TV Led"/>
    <x v="1"/>
    <s v="Samsung"/>
    <s v="UN48J5300AGXPE"/>
    <s v="Pantalla"/>
    <m/>
    <m/>
    <m/>
    <s v="MV Autoservicios"/>
    <m/>
    <m/>
    <x v="0"/>
    <x v="0"/>
    <x v="0"/>
    <s v="Disponibilidad de repuesto"/>
    <m/>
    <m/>
    <m/>
    <m/>
    <m/>
    <m/>
    <m/>
  </r>
  <r>
    <n v="218"/>
    <n v="225371"/>
    <x v="2"/>
    <d v="2018-05-21T00:00:00"/>
    <x v="4"/>
    <d v="2018-05-28T00:00:00"/>
    <n v="7"/>
    <x v="0"/>
    <m/>
    <m/>
    <n v="1139"/>
    <n v="285"/>
    <n v="105"/>
    <n v="785.66000000000008"/>
    <m/>
    <s v="Tiendas Peruanas"/>
    <s v="TP"/>
    <s v="Lavadora"/>
    <x v="0"/>
    <s v="Samsung"/>
    <s v="WA16F7L6DTA/PE"/>
    <s v="Amortiguadores"/>
    <m/>
    <m/>
    <s v="Toralva Flores Jose Manuel"/>
    <s v="Servidoctors"/>
    <d v="2018-05-23T00:00:00"/>
    <s v="3 dias"/>
    <x v="1"/>
    <x v="1"/>
    <x v="2"/>
    <m/>
    <m/>
    <m/>
    <m/>
    <m/>
    <m/>
    <m/>
    <m/>
  </r>
  <r>
    <n v="219"/>
    <n v="225855"/>
    <x v="1"/>
    <d v="2018-05-21T00:00:00"/>
    <x v="4"/>
    <d v="2018-06-02T00:00:00"/>
    <n v="12"/>
    <x v="0"/>
    <m/>
    <m/>
    <n v="2089"/>
    <n v="390"/>
    <n v="80"/>
    <n v="1573.66"/>
    <m/>
    <s v="Saga"/>
    <s v="Falabella"/>
    <s v="Lavadora"/>
    <x v="0"/>
    <s v="Samsung"/>
    <s v="WA19J6750LP"/>
    <s v="Caja de Transmision"/>
    <m/>
    <m/>
    <s v="Reyes Alegre Rosa Isabel"/>
    <s v="Mezaran"/>
    <d v="2018-05-30T00:00:00"/>
    <s v="4 dias"/>
    <x v="1"/>
    <x v="1"/>
    <x v="2"/>
    <m/>
    <m/>
    <s v="22/05 ajustador aprobo cotizacion a servited // 24/05 Ajustador vuelve a solicitar cotizacion de repuesto."/>
    <m/>
    <m/>
    <m/>
    <m/>
    <m/>
  </r>
  <r>
    <n v="220"/>
    <n v="225918"/>
    <x v="2"/>
    <d v="2018-05-22T00:00:00"/>
    <x v="4"/>
    <d v="2018-06-04T00:00:00"/>
    <n v="13"/>
    <x v="0"/>
    <m/>
    <m/>
    <n v="1499"/>
    <n v="270"/>
    <n v="180"/>
    <n v="1139.06"/>
    <m/>
    <s v="Tottus"/>
    <s v="Falabella"/>
    <s v="TV Led"/>
    <x v="1"/>
    <s v="LG"/>
    <s v="43LF5100-SA.BWFYLJM"/>
    <s v="Barra Led"/>
    <m/>
    <m/>
    <s v="Reyes Alegre Rosa Isabel"/>
    <s v="Censel"/>
    <d v="2018-05-22T00:00:00"/>
    <s v="2 dias"/>
    <x v="1"/>
    <x v="1"/>
    <x v="2"/>
    <m/>
    <m/>
    <m/>
    <m/>
    <m/>
    <m/>
    <m/>
    <m/>
  </r>
  <r>
    <n v="221"/>
    <n v="226188"/>
    <x v="2"/>
    <d v="2018-05-22T00:00:00"/>
    <x v="4"/>
    <d v="2018-06-09T00:00:00"/>
    <n v="18"/>
    <x v="0"/>
    <m/>
    <m/>
    <n v="2199"/>
    <n v="270"/>
    <n v="180"/>
    <n v="1797.06"/>
    <m/>
    <s v="Tiendas Peruanas"/>
    <s v="TP"/>
    <s v="TV Led"/>
    <x v="1"/>
    <s v="LG"/>
    <s v="49UF6400-SA.BWFYMOR"/>
    <s v="Barra Led"/>
    <m/>
    <m/>
    <s v="Reyes Alegre Rosa Isabel"/>
    <s v="Censel"/>
    <d v="2018-05-23T00:00:00"/>
    <s v="2 dias"/>
    <x v="1"/>
    <x v="1"/>
    <x v="2"/>
    <m/>
    <m/>
    <m/>
    <m/>
    <m/>
    <m/>
    <m/>
    <m/>
  </r>
  <r>
    <n v="222"/>
    <n v="226112"/>
    <x v="2"/>
    <d v="2018-05-23T00:00:00"/>
    <x v="4"/>
    <d v="2018-06-04T00:00:00"/>
    <n v="12"/>
    <x v="0"/>
    <m/>
    <m/>
    <n v="999"/>
    <n v="40"/>
    <n v="450"/>
    <n v="489.05999999999995"/>
    <m/>
    <s v="Saga"/>
    <s v="Falabella"/>
    <s v="Lavadora"/>
    <x v="0"/>
    <s v="Samsung"/>
    <s v="WA12F5L4UWA/PE"/>
    <s v="Bomba de Drenaje"/>
    <m/>
    <m/>
    <s v="Cardif"/>
    <s v="Servidoctors"/>
    <d v="2018-05-24T00:00:00"/>
    <s v="2 dias"/>
    <x v="1"/>
    <x v="1"/>
    <x v="2"/>
    <m/>
    <m/>
    <m/>
    <m/>
    <m/>
    <m/>
    <m/>
    <m/>
  </r>
  <r>
    <n v="223"/>
    <n v="226154"/>
    <x v="1"/>
    <d v="2018-05-23T00:00:00"/>
    <x v="4"/>
    <d v="2018-05-30T00:00:00"/>
    <n v="7"/>
    <x v="0"/>
    <m/>
    <m/>
    <n v="1499"/>
    <n v="40"/>
    <n v="80"/>
    <n v="1329.06"/>
    <m/>
    <s v="Tiendas Peruanas"/>
    <s v="TP"/>
    <s v="Lavadora"/>
    <x v="0"/>
    <s v="Samsung"/>
    <s v="WA12F5L4UWA"/>
    <s v="Bomba de Drenaje"/>
    <m/>
    <m/>
    <s v="Cardif"/>
    <s v="Asmat"/>
    <d v="2018-05-23T00:00:00"/>
    <s v="2 dias"/>
    <x v="1"/>
    <x v="1"/>
    <x v="2"/>
    <m/>
    <m/>
    <m/>
    <m/>
    <m/>
    <m/>
    <m/>
    <m/>
  </r>
  <r>
    <n v="224"/>
    <n v="226193"/>
    <x v="2"/>
    <d v="2018-05-24T00:00:00"/>
    <x v="4"/>
    <d v="2018-06-04T00:00:00"/>
    <n v="11"/>
    <x v="1"/>
    <m/>
    <m/>
    <m/>
    <m/>
    <m/>
    <n v="0"/>
    <m/>
    <s v="Plaza Vea"/>
    <s v="TP"/>
    <s v="Refrigeradora"/>
    <x v="0"/>
    <s v="Daewoo"/>
    <s v="RGP-480DHP"/>
    <s v="Motor Compresor"/>
    <m/>
    <m/>
    <m/>
    <s v="Ceser Cusco"/>
    <m/>
    <m/>
    <x v="0"/>
    <x v="0"/>
    <x v="1"/>
    <m/>
    <m/>
    <s v="31/05 Ajustador anula pedido de repuesto"/>
    <m/>
    <m/>
    <m/>
    <m/>
    <m/>
  </r>
  <r>
    <n v="225"/>
    <n v="225695"/>
    <x v="1"/>
    <d v="2018-05-25T00:00:00"/>
    <x v="4"/>
    <d v="2018-05-28T00:00:00"/>
    <n v="3"/>
    <x v="0"/>
    <m/>
    <m/>
    <n v="1999"/>
    <m/>
    <m/>
    <n v="0"/>
    <m/>
    <s v="Saga"/>
    <s v="Falabella"/>
    <s v="Laptop"/>
    <x v="2"/>
    <s v="Acer"/>
    <s v="N16Q2"/>
    <s v="TECLADO / COVER TOUCH PAD"/>
    <m/>
    <m/>
    <m/>
    <s v="Force Service"/>
    <m/>
    <m/>
    <x v="0"/>
    <x v="0"/>
    <x v="0"/>
    <s v="Disponibilidad de repuesto"/>
    <m/>
    <m/>
    <m/>
    <m/>
    <m/>
    <m/>
    <m/>
  </r>
  <r>
    <n v="226"/>
    <n v="225715"/>
    <x v="1"/>
    <d v="2018-05-25T00:00:00"/>
    <x v="4"/>
    <d v="2018-05-29T00:00:00"/>
    <n v="4"/>
    <x v="1"/>
    <m/>
    <m/>
    <m/>
    <m/>
    <m/>
    <n v="0"/>
    <m/>
    <s v="Saga"/>
    <s v="Falabella"/>
    <s v="Lavaseca"/>
    <x v="0"/>
    <s v="Samsung"/>
    <s v="WD22H9600KG/PE"/>
    <s v="DISPENSADOR DE DETERGENTE"/>
    <m/>
    <m/>
    <m/>
    <s v="Mezaran"/>
    <m/>
    <m/>
    <x v="0"/>
    <x v="0"/>
    <x v="1"/>
    <m/>
    <m/>
    <s v="29/05 Ajustador informa que el repuesto fue reparado por el ST"/>
    <m/>
    <m/>
    <m/>
    <m/>
    <m/>
  </r>
  <r>
    <n v="227"/>
    <n v="226343"/>
    <x v="0"/>
    <d v="2018-05-28T00:00:00"/>
    <x v="4"/>
    <d v="2018-06-09T00:00:00"/>
    <n v="12"/>
    <x v="0"/>
    <m/>
    <m/>
    <n v="1999"/>
    <n v="370"/>
    <n v="240"/>
    <n v="1509.06"/>
    <m/>
    <s v="Saga"/>
    <s v="Falabella"/>
    <s v="TV Led"/>
    <x v="1"/>
    <s v="Recco"/>
    <s v="RLED-55D2700SMT"/>
    <s v="Tarjeta Principal"/>
    <m/>
    <m/>
    <s v="Reyes Alegre Rosa Isabel"/>
    <s v="Servinor"/>
    <d v="2018-05-31T00:00:00"/>
    <s v="4 dias"/>
    <x v="1"/>
    <x v="1"/>
    <x v="2"/>
    <m/>
    <m/>
    <m/>
    <m/>
    <m/>
    <m/>
    <m/>
    <m/>
  </r>
  <r>
    <n v="228"/>
    <n v="226117"/>
    <x v="1"/>
    <d v="2018-05-28T00:00:00"/>
    <x v="4"/>
    <d v="2018-06-07T00:00:00"/>
    <n v="10"/>
    <x v="0"/>
    <m/>
    <m/>
    <m/>
    <m/>
    <m/>
    <n v="0"/>
    <m/>
    <s v="Tottus"/>
    <s v="Falabella"/>
    <s v="TV Led"/>
    <x v="1"/>
    <s v="Samsung"/>
    <s v="UN48H4203AGXPE"/>
    <s v="Pantalla"/>
    <m/>
    <m/>
    <m/>
    <s v="Asmat"/>
    <m/>
    <m/>
    <x v="0"/>
    <x v="0"/>
    <x v="0"/>
    <s v="Disponibilidad de repuesto"/>
    <m/>
    <m/>
    <m/>
    <m/>
    <m/>
    <m/>
    <m/>
  </r>
  <r>
    <n v="229"/>
    <n v="226545"/>
    <x v="1"/>
    <d v="2018-05-28T00:00:00"/>
    <x v="4"/>
    <d v="2018-06-11T00:00:00"/>
    <n v="14"/>
    <x v="0"/>
    <m/>
    <m/>
    <m/>
    <m/>
    <m/>
    <n v="0"/>
    <m/>
    <s v="Tiendas Peruanas"/>
    <s v="TP"/>
    <s v="Refrigeradora"/>
    <x v="0"/>
    <s v="LG"/>
    <s v="GS57SGP"/>
    <s v="Evaporador"/>
    <m/>
    <m/>
    <m/>
    <s v="Tecnimax"/>
    <m/>
    <m/>
    <x v="0"/>
    <x v="0"/>
    <x v="0"/>
    <s v="Disponibilidad de repuesto"/>
    <m/>
    <m/>
    <m/>
    <m/>
    <m/>
    <m/>
    <m/>
  </r>
  <r>
    <n v="230"/>
    <n v="226130"/>
    <x v="2"/>
    <d v="2018-05-28T00:00:00"/>
    <x v="4"/>
    <d v="2018-06-04T00:00:00"/>
    <n v="7"/>
    <x v="1"/>
    <m/>
    <m/>
    <m/>
    <m/>
    <m/>
    <n v="0"/>
    <m/>
    <s v="Tottus"/>
    <s v="Falabella"/>
    <s v="TV Led"/>
    <x v="1"/>
    <s v="LG"/>
    <s v="47LB7000-SF.BWFWLJR"/>
    <s v="Barra Led"/>
    <m/>
    <m/>
    <s v="Reyes Alegre Rosa Isabel"/>
    <s v="Censel"/>
    <d v="2018-05-30T00:00:00"/>
    <s v="3 dias"/>
    <x v="0"/>
    <x v="0"/>
    <x v="1"/>
    <m/>
    <m/>
    <m/>
    <m/>
    <m/>
    <m/>
    <m/>
    <m/>
  </r>
  <r>
    <n v="231"/>
    <n v="226083"/>
    <x v="1"/>
    <d v="2018-05-28T00:00:00"/>
    <x v="4"/>
    <d v="2018-06-07T00:00:00"/>
    <n v="10"/>
    <x v="0"/>
    <m/>
    <m/>
    <m/>
    <m/>
    <m/>
    <n v="0"/>
    <m/>
    <s v="Tottus"/>
    <s v="Falabella"/>
    <s v="Minicomponente"/>
    <x v="1"/>
    <s v="Phillips"/>
    <s v="HTB5570D/78"/>
    <s v="Tarjeta Principal"/>
    <m/>
    <m/>
    <m/>
    <s v="Sertepi"/>
    <m/>
    <m/>
    <x v="0"/>
    <x v="0"/>
    <x v="0"/>
    <s v="Disponibilidad de repuesto"/>
    <m/>
    <m/>
    <m/>
    <m/>
    <m/>
    <m/>
    <m/>
  </r>
  <r>
    <n v="232"/>
    <n v="226357"/>
    <x v="0"/>
    <d v="2018-05-30T00:00:00"/>
    <x v="4"/>
    <d v="2018-06-18T00:00:00"/>
    <n v="19"/>
    <x v="0"/>
    <m/>
    <m/>
    <n v="1299"/>
    <n v="170"/>
    <n v="114.46"/>
    <n v="1051.06"/>
    <m/>
    <s v="Saga"/>
    <s v="Falabella"/>
    <s v="All In One"/>
    <x v="2"/>
    <s v="Dell"/>
    <s v="INSPIRON 20-3052 "/>
    <s v="Teclado"/>
    <m/>
    <m/>
    <s v="Eagle Data"/>
    <s v="High Service"/>
    <d v="2018-06-07T00:00:00"/>
    <m/>
    <x v="1"/>
    <x v="1"/>
    <x v="2"/>
    <m/>
    <m/>
    <m/>
    <m/>
    <m/>
    <m/>
    <m/>
    <m/>
  </r>
  <r>
    <n v="233"/>
    <n v="226412"/>
    <x v="1"/>
    <d v="2018-05-30T00:00:00"/>
    <x v="4"/>
    <d v="2018-06-04T00:00:00"/>
    <n v="5"/>
    <x v="0"/>
    <m/>
    <m/>
    <m/>
    <m/>
    <m/>
    <n v="0"/>
    <m/>
    <s v="Saga"/>
    <s v="Falabella"/>
    <s v="Refrigeradora"/>
    <x v="0"/>
    <s v="Samsung"/>
    <s v="RT38K5982SL/PE"/>
    <s v="Puerta de Conservador"/>
    <m/>
    <m/>
    <m/>
    <s v="Multiservicios Generales"/>
    <m/>
    <m/>
    <x v="0"/>
    <x v="0"/>
    <x v="0"/>
    <s v="Disponibilidad de repuesto"/>
    <m/>
    <m/>
    <m/>
    <m/>
    <m/>
    <m/>
    <m/>
  </r>
  <r>
    <n v="234"/>
    <n v="226171"/>
    <x v="0"/>
    <d v="2018-05-30T00:00:00"/>
    <x v="4"/>
    <d v="2018-06-12T00:00:00"/>
    <n v="13"/>
    <x v="0"/>
    <m/>
    <m/>
    <m/>
    <m/>
    <m/>
    <n v="0"/>
    <m/>
    <s v="Saga"/>
    <s v="Falabella"/>
    <s v="Lavadora"/>
    <x v="0"/>
    <s v="Whirlpool"/>
    <s v="4GTWTW550YWS"/>
    <s v="Caja de Transmision / Tarjeta de Potencia / Tarjeta Display / Motor Sincronico"/>
    <m/>
    <m/>
    <m/>
    <s v="Servinor"/>
    <m/>
    <m/>
    <x v="0"/>
    <x v="0"/>
    <x v="0"/>
    <s v="Disponibilidad de repuesto"/>
    <m/>
    <m/>
    <m/>
    <m/>
    <m/>
    <m/>
    <m/>
  </r>
  <r>
    <n v="235"/>
    <n v="226701"/>
    <x v="2"/>
    <d v="2018-05-31T00:00:00"/>
    <x v="4"/>
    <d v="2018-06-01T00:00:00"/>
    <n v="1"/>
    <x v="0"/>
    <m/>
    <m/>
    <n v="1999"/>
    <m/>
    <m/>
    <n v="0"/>
    <m/>
    <s v="Plaza Vea"/>
    <s v="TP"/>
    <s v="Refrigeradora"/>
    <x v="0"/>
    <s v="Daewoo"/>
    <s v="FR-600M"/>
    <s v="Tarjeta Principal"/>
    <m/>
    <m/>
    <m/>
    <s v="Servidoctors"/>
    <m/>
    <m/>
    <x v="0"/>
    <x v="0"/>
    <x v="0"/>
    <s v="Disponibilidad de repuesto"/>
    <m/>
    <m/>
    <m/>
    <m/>
    <m/>
    <m/>
    <m/>
  </r>
  <r>
    <n v="236"/>
    <n v="227050"/>
    <x v="2"/>
    <d v="2018-06-01T00:00:00"/>
    <x v="5"/>
    <d v="2018-06-17T00:00:00"/>
    <n v="16"/>
    <x v="0"/>
    <m/>
    <m/>
    <m/>
    <m/>
    <m/>
    <n v="0"/>
    <m/>
    <s v="Saga"/>
    <s v="Falabella"/>
    <s v="Refrigeradora"/>
    <x v="0"/>
    <s v="LG"/>
    <s v="GM84SDSB"/>
    <s v="Evaporador"/>
    <m/>
    <m/>
    <m/>
    <s v="Censel"/>
    <m/>
    <m/>
    <x v="0"/>
    <x v="0"/>
    <x v="0"/>
    <s v="Disponibilidad de repuesto"/>
    <m/>
    <s v="06/06 Se informa ajustador que contamos con respuesta de 1 proveedor, se brindara respuesta definitiva el  07/06"/>
    <m/>
    <m/>
    <m/>
    <m/>
    <m/>
  </r>
  <r>
    <n v="237"/>
    <n v="226552"/>
    <x v="0"/>
    <d v="2018-06-04T00:00:00"/>
    <x v="5"/>
    <d v="2018-06-09T00:00:00"/>
    <n v="5"/>
    <x v="0"/>
    <m/>
    <m/>
    <n v="1699"/>
    <n v="160"/>
    <n v="235"/>
    <n v="1362.06"/>
    <m/>
    <s v="Tiendas Peruanas"/>
    <s v="TP"/>
    <s v="TV Led"/>
    <x v="1"/>
    <s v="AOC"/>
    <s v="LE55F1761"/>
    <s v="Modulo Wifi"/>
    <m/>
    <m/>
    <s v="Reyes Alegre Rosa Isabel"/>
    <s v="Elausi"/>
    <d v="2018-06-05T00:00:00"/>
    <s v="2 dias"/>
    <x v="1"/>
    <x v="1"/>
    <x v="2"/>
    <m/>
    <m/>
    <m/>
    <m/>
    <m/>
    <m/>
    <m/>
    <m/>
  </r>
  <r>
    <n v="238"/>
    <n v="226348"/>
    <x v="0"/>
    <d v="2018-06-05T00:00:00"/>
    <x v="5"/>
    <d v="2018-06-08T00:00:00"/>
    <n v="3"/>
    <x v="0"/>
    <m/>
    <m/>
    <n v="1099"/>
    <n v="260"/>
    <n v="272"/>
    <n v="0"/>
    <m/>
    <s v="Tottus"/>
    <s v="Falabella"/>
    <s v="Lavadora"/>
    <x v="0"/>
    <s v="Mabe"/>
    <s v="LMA46100VGBK00"/>
    <s v="Amortiguadores"/>
    <m/>
    <m/>
    <s v="Toralva Flores Jose Manuel"/>
    <s v="Ok House"/>
    <d v="2018-06-05T00:00:00"/>
    <s v="4 dias"/>
    <x v="0"/>
    <x v="0"/>
    <x v="0"/>
    <s v="Disponibilidad de repuesto"/>
    <m/>
    <s v="11/06Me indica la marca que no ingreso las varillas.....y por ende no hay stock."/>
    <m/>
    <m/>
    <m/>
    <m/>
    <m/>
  </r>
  <r>
    <n v="239"/>
    <n v="226844"/>
    <x v="4"/>
    <d v="2018-06-05T00:00:00"/>
    <x v="5"/>
    <d v="2018-06-14T00:00:00"/>
    <n v="9"/>
    <x v="0"/>
    <m/>
    <m/>
    <m/>
    <m/>
    <m/>
    <n v="0"/>
    <m/>
    <s v="Saga"/>
    <s v="Falabella"/>
    <s v="TV Led"/>
    <x v="1"/>
    <s v="LG"/>
    <s v="55UF9500-SA.BWFYLJR"/>
    <s v="Pantalla"/>
    <m/>
    <m/>
    <m/>
    <s v="Censel"/>
    <m/>
    <m/>
    <x v="0"/>
    <x v="0"/>
    <x v="0"/>
    <s v="Disponibilidad de repuesto"/>
    <m/>
    <s v="07/06 Repuesto no disponible"/>
    <m/>
    <m/>
    <m/>
    <m/>
    <m/>
  </r>
  <r>
    <n v="240"/>
    <n v="227117"/>
    <x v="4"/>
    <d v="2018-06-06T00:00:00"/>
    <x v="5"/>
    <d v="2018-06-16T00:00:00"/>
    <n v="10"/>
    <x v="0"/>
    <m/>
    <m/>
    <m/>
    <m/>
    <m/>
    <n v="0"/>
    <m/>
    <s v="Saga"/>
    <s v="Falabella"/>
    <s v="Refrigeradora"/>
    <x v="0"/>
    <s v="Samsung"/>
    <s v="RF67DEPN1/XPE"/>
    <s v="Tarjeta Principal"/>
    <m/>
    <m/>
    <s v="Reyes Alegre Rosa Isabel"/>
    <s v="Multiservicios Generales"/>
    <d v="2018-06-07T00:00:00"/>
    <n v="1"/>
    <x v="0"/>
    <x v="0"/>
    <x v="0"/>
    <s v="Disponibilidad de repuesto"/>
    <m/>
    <s v="07/06 repuesto se adquiere bajo validación de operatividad para conf el costo  "/>
    <m/>
    <m/>
    <m/>
    <m/>
    <m/>
  </r>
  <r>
    <n v="241"/>
    <n v="226936"/>
    <x v="4"/>
    <d v="2018-06-06T00:00:00"/>
    <x v="5"/>
    <d v="2018-06-14T00:00:00"/>
    <n v="8"/>
    <x v="0"/>
    <m/>
    <m/>
    <m/>
    <m/>
    <m/>
    <n v="0"/>
    <m/>
    <s v="Saga"/>
    <s v="Falabella"/>
    <s v="Lavadora"/>
    <x v="0"/>
    <s v="Samsung"/>
    <s v="WA18F7G6DTS/PE"/>
    <s v="Tarjeta Principal"/>
    <m/>
    <m/>
    <m/>
    <s v="Multiservicios Generales"/>
    <m/>
    <m/>
    <x v="0"/>
    <x v="0"/>
    <x v="0"/>
    <s v="Disponibilidad de repuesto"/>
    <m/>
    <m/>
    <m/>
    <m/>
    <m/>
    <m/>
    <m/>
  </r>
  <r>
    <n v="242"/>
    <n v="226783"/>
    <x v="0"/>
    <d v="2018-06-06T00:00:00"/>
    <x v="5"/>
    <d v="2018-06-16T00:00:00"/>
    <n v="10"/>
    <x v="0"/>
    <m/>
    <m/>
    <n v="2699"/>
    <n v="295"/>
    <n v="80"/>
    <n v="2242.06"/>
    <m/>
    <s v="Saga"/>
    <s v="Falabella"/>
    <s v="Minicomponente"/>
    <x v="1"/>
    <s v="Sony"/>
    <s v="HCD-SHAKEX7"/>
    <s v="Tarjeta Fuente"/>
    <m/>
    <m/>
    <s v="Reyes Alegre Rosa Isabel"/>
    <s v="Servinorte"/>
    <d v="2018-06-06T00:00:00"/>
    <s v="2 dias"/>
    <x v="1"/>
    <x v="1"/>
    <x v="2"/>
    <m/>
    <m/>
    <m/>
    <m/>
    <m/>
    <m/>
    <m/>
    <m/>
  </r>
  <r>
    <n v="243"/>
    <n v="226995"/>
    <x v="0"/>
    <d v="2018-06-06T00:00:00"/>
    <x v="5"/>
    <d v="2018-06-18T00:00:00"/>
    <n v="12"/>
    <x v="1"/>
    <m/>
    <m/>
    <m/>
    <m/>
    <m/>
    <n v="0"/>
    <m/>
    <s v="Saga"/>
    <s v="Falabella"/>
    <s v="Refrigeradora"/>
    <x v="0"/>
    <s v="Samsung"/>
    <s v="RT35JHRBDSL/PE"/>
    <s v="Tarjeta Display"/>
    <m/>
    <m/>
    <s v="Reyes Alegre Rosa Isabel"/>
    <s v="Servidoctors"/>
    <d v="2018-06-07T00:00:00"/>
    <n v="1"/>
    <x v="0"/>
    <x v="0"/>
    <x v="1"/>
    <m/>
    <m/>
    <s v="07/06 repuesto se adquiere bajo validación de operatividad para conf el costo   // ajustador reparao con St y anulo gestion "/>
    <m/>
    <m/>
    <m/>
    <m/>
    <m/>
  </r>
  <r>
    <n v="244"/>
    <n v="227226"/>
    <x v="0"/>
    <d v="2018-06-06T00:00:00"/>
    <x v="5"/>
    <d v="2018-06-21T00:00:00"/>
    <n v="15"/>
    <x v="0"/>
    <m/>
    <m/>
    <n v="999"/>
    <n v="300"/>
    <n v="90"/>
    <n v="639.05999999999995"/>
    <m/>
    <s v="Tottus"/>
    <s v="Falabella"/>
    <s v="Lavadora"/>
    <x v="0"/>
    <s v="Daewoo"/>
    <s v="DWF-300GW"/>
    <s v="Tarjeta Principal / Bomba de Drenaje"/>
    <m/>
    <m/>
    <s v="Reyes Alegre Rosa Isabel"/>
    <s v="Servidoctors"/>
    <d v="2018-06-07T00:00:00"/>
    <s v="2 dias"/>
    <x v="1"/>
    <x v="1"/>
    <x v="2"/>
    <m/>
    <m/>
    <m/>
    <m/>
    <m/>
    <m/>
    <m/>
    <m/>
  </r>
  <r>
    <n v="245"/>
    <n v="226563"/>
    <x v="3"/>
    <d v="2018-06-06T00:00:00"/>
    <x v="5"/>
    <d v="2018-06-14T00:00:00"/>
    <n v="8"/>
    <x v="0"/>
    <m/>
    <m/>
    <n v="1551"/>
    <m/>
    <m/>
    <n v="0"/>
    <m/>
    <s v="Saga"/>
    <s v="Falabella"/>
    <s v="All In One"/>
    <x v="2"/>
    <s v="LG"/>
    <s v="22V240-L.AG12B4"/>
    <s v="DISCO DURO / PANTALLA"/>
    <m/>
    <m/>
    <m/>
    <m/>
    <m/>
    <m/>
    <x v="0"/>
    <x v="0"/>
    <x v="0"/>
    <s v="Disponibilidad de repuesto"/>
    <m/>
    <m/>
    <m/>
    <m/>
    <m/>
    <m/>
    <m/>
  </r>
  <r>
    <n v="246"/>
    <n v="226700"/>
    <x v="4"/>
    <d v="2018-06-06T00:00:00"/>
    <x v="5"/>
    <d v="2018-06-13T00:00:00"/>
    <n v="7"/>
    <x v="0"/>
    <m/>
    <m/>
    <n v="4999"/>
    <m/>
    <m/>
    <n v="0"/>
    <m/>
    <s v="Saga"/>
    <s v="Falabella"/>
    <s v="Laptop"/>
    <x v="2"/>
    <s v="LG"/>
    <s v="LG15Z96"/>
    <s v="Touchpad"/>
    <m/>
    <m/>
    <m/>
    <s v="Censel"/>
    <m/>
    <m/>
    <x v="0"/>
    <x v="0"/>
    <x v="0"/>
    <s v="Disponibilidad de repuesto"/>
    <m/>
    <m/>
    <m/>
    <m/>
    <m/>
    <m/>
    <m/>
  </r>
  <r>
    <n v="247"/>
    <n v="227028"/>
    <x v="4"/>
    <d v="2018-06-07T00:00:00"/>
    <x v="5"/>
    <d v="2018-06-15T00:00:00"/>
    <n v="8"/>
    <x v="1"/>
    <m/>
    <m/>
    <m/>
    <m/>
    <m/>
    <n v="0"/>
    <m/>
    <s v="Saga"/>
    <s v="Falabella"/>
    <s v="TV Led"/>
    <x v="1"/>
    <s v="Hyundai"/>
    <s v="HYLED505INT"/>
    <s v="Parlante  "/>
    <m/>
    <m/>
    <m/>
    <s v="MV Autoservicios"/>
    <m/>
    <m/>
    <x v="0"/>
    <x v="0"/>
    <x v="1"/>
    <m/>
    <m/>
    <s v="11/06 Ajustador aprueba compra del ST"/>
    <m/>
    <m/>
    <m/>
    <m/>
    <m/>
  </r>
  <r>
    <n v="248"/>
    <n v="227580"/>
    <x v="4"/>
    <d v="2018-06-11T00:00:00"/>
    <x v="5"/>
    <d v="2018-06-23T00:00:00"/>
    <n v="12"/>
    <x v="0"/>
    <m/>
    <m/>
    <n v="2499"/>
    <m/>
    <m/>
    <n v="0"/>
    <m/>
    <s v="Saga"/>
    <s v="Falabella"/>
    <s v="TV Led"/>
    <x v="1"/>
    <s v="LG"/>
    <s v="49LF6400-SA.BWFYLJR"/>
    <s v="Pantalla"/>
    <m/>
    <m/>
    <m/>
    <s v="Censel"/>
    <m/>
    <m/>
    <x v="0"/>
    <x v="0"/>
    <x v="0"/>
    <s v="Disponibilidad de repuesto"/>
    <m/>
    <m/>
    <m/>
    <m/>
    <m/>
    <m/>
    <m/>
  </r>
  <r>
    <n v="249"/>
    <n v="227816"/>
    <x v="4"/>
    <d v="2018-06-11T00:00:00"/>
    <x v="5"/>
    <d v="2018-06-25T00:00:00"/>
    <n v="14"/>
    <x v="0"/>
    <m/>
    <m/>
    <m/>
    <m/>
    <m/>
    <n v="0"/>
    <m/>
    <m/>
    <m/>
    <s v="TV Led"/>
    <x v="1"/>
    <s v="LG"/>
    <s v="49UH6500-SB.BWFWLJR"/>
    <s v="Pantalla"/>
    <m/>
    <m/>
    <m/>
    <s v="Censel"/>
    <m/>
    <m/>
    <x v="0"/>
    <x v="0"/>
    <x v="0"/>
    <s v="Disponibilidad de repuesto"/>
    <m/>
    <m/>
    <m/>
    <m/>
    <m/>
    <m/>
    <m/>
  </r>
  <r>
    <n v="250"/>
    <n v="227636"/>
    <x v="0"/>
    <d v="2018-06-11T00:00:00"/>
    <x v="5"/>
    <d v="2018-06-24T00:00:00"/>
    <n v="13"/>
    <x v="0"/>
    <m/>
    <m/>
    <m/>
    <m/>
    <m/>
    <n v="0"/>
    <m/>
    <m/>
    <m/>
    <s v="TV Led"/>
    <x v="1"/>
    <s v="Samsung"/>
    <s v="UN65JS9000GXPE"/>
    <s v="Pantalla "/>
    <m/>
    <m/>
    <s v="Toralva Flores Jose Manuel"/>
    <s v="Electronica Lima Sur"/>
    <m/>
    <s v="25 dias"/>
    <x v="0"/>
    <x v="0"/>
    <x v="3"/>
    <s v="Disponibilidad de repuesto"/>
    <m/>
    <m/>
    <m/>
    <m/>
    <m/>
    <m/>
    <m/>
  </r>
  <r>
    <n v="251"/>
    <n v="227850"/>
    <x v="4"/>
    <d v="2018-06-11T00:00:00"/>
    <x v="5"/>
    <d v="2018-06-25T00:00:00"/>
    <n v="14"/>
    <x v="0"/>
    <m/>
    <m/>
    <m/>
    <m/>
    <m/>
    <n v="0"/>
    <m/>
    <s v="Saga"/>
    <s v="Falabella"/>
    <s v="TV Led"/>
    <x v="1"/>
    <s v="LG"/>
    <s v="43LF5900-SB.BWFYLOR"/>
    <s v="Pantalla"/>
    <m/>
    <m/>
    <m/>
    <s v="Censel"/>
    <m/>
    <m/>
    <x v="0"/>
    <x v="0"/>
    <x v="0"/>
    <s v="Disponibilidad de repuesto"/>
    <m/>
    <m/>
    <m/>
    <m/>
    <m/>
    <m/>
    <m/>
  </r>
  <r>
    <n v="252"/>
    <n v="227196"/>
    <x v="4"/>
    <d v="2018-06-12T00:00:00"/>
    <x v="5"/>
    <d v="2018-06-18T00:00:00"/>
    <n v="6"/>
    <x v="0"/>
    <m/>
    <m/>
    <m/>
    <m/>
    <m/>
    <n v="0"/>
    <m/>
    <m/>
    <m/>
    <s v="Cocina"/>
    <x v="0"/>
    <s v="Sole"/>
    <s v="HME65010/COSOL017"/>
    <s v="válvula y termopar de horno"/>
    <m/>
    <m/>
    <m/>
    <s v="TBS"/>
    <m/>
    <m/>
    <x v="0"/>
    <x v="0"/>
    <x v="0"/>
    <s v="Disponibilidad de repuesto"/>
    <m/>
    <m/>
    <m/>
    <m/>
    <m/>
    <m/>
    <m/>
  </r>
  <r>
    <n v="253"/>
    <n v="227944"/>
    <x v="2"/>
    <d v="2018-06-14T00:00:00"/>
    <x v="5"/>
    <d v="2018-06-27T00:00:00"/>
    <n v="13"/>
    <x v="0"/>
    <m/>
    <m/>
    <n v="2299"/>
    <n v="290"/>
    <n v="250"/>
    <n v="1871.06"/>
    <m/>
    <s v="Tottus"/>
    <s v="Falabella"/>
    <s v="TV Led"/>
    <x v="1"/>
    <s v="LG"/>
    <s v="42LB7000-SF.AWFWLJR"/>
    <s v="Barra Led"/>
    <m/>
    <m/>
    <s v="Toralva Flores Jose Manuel"/>
    <s v="Censel"/>
    <d v="2018-06-19T00:00:00"/>
    <m/>
    <x v="1"/>
    <x v="1"/>
    <x v="2"/>
    <m/>
    <m/>
    <m/>
    <m/>
    <m/>
    <m/>
    <m/>
    <m/>
  </r>
  <r>
    <n v="254"/>
    <n v="228068"/>
    <x v="0"/>
    <d v="2018-06-18T00:00:00"/>
    <x v="5"/>
    <d v="2018-07-24T00:00:00"/>
    <n v="36"/>
    <x v="0"/>
    <m/>
    <m/>
    <n v="3299"/>
    <n v="360"/>
    <n v="25"/>
    <n v="2741.06"/>
    <m/>
    <s v="Tiendas Peruanas"/>
    <s v="TP"/>
    <s v="Laptop"/>
    <x v="2"/>
    <s v="Asus"/>
    <s v="GL552V"/>
    <s v="Mainboard"/>
    <m/>
    <m/>
    <m/>
    <s v="Busines Data"/>
    <d v="2018-07-02T00:00:00"/>
    <s v="4 dias"/>
    <x v="1"/>
    <x v="1"/>
    <x v="2"/>
    <m/>
    <m/>
    <s v="25/06 Se solicita envio de producto al ST"/>
    <m/>
    <m/>
    <m/>
    <m/>
    <m/>
  </r>
  <r>
    <n v="255"/>
    <n v="228111"/>
    <x v="2"/>
    <d v="2018-06-18T00:00:00"/>
    <x v="5"/>
    <d v="2018-07-01T00:00:00"/>
    <n v="13"/>
    <x v="1"/>
    <m/>
    <m/>
    <m/>
    <m/>
    <m/>
    <n v="0"/>
    <m/>
    <s v="Saga"/>
    <s v="Falabella"/>
    <s v="TV Led"/>
    <x v="1"/>
    <s v="LG"/>
    <s v="42LB7000-SF.BWFWLJR"/>
    <s v="Barra Led"/>
    <m/>
    <m/>
    <s v="Toralva Flores Jose Manuel"/>
    <s v="Censel"/>
    <m/>
    <m/>
    <x v="0"/>
    <x v="0"/>
    <x v="1"/>
    <m/>
    <m/>
    <s v="25/06 Ajustador anula pedido"/>
    <m/>
    <m/>
    <m/>
    <m/>
    <m/>
  </r>
  <r>
    <n v="256"/>
    <n v="228051"/>
    <x v="0"/>
    <d v="2018-06-18T00:00:00"/>
    <x v="5"/>
    <d v="2018-07-01T00:00:00"/>
    <n v="13"/>
    <x v="0"/>
    <m/>
    <m/>
    <m/>
    <m/>
    <m/>
    <n v="0"/>
    <m/>
    <s v="Saga"/>
    <s v="Falabella"/>
    <s v="TV Led"/>
    <x v="1"/>
    <s v="Samsung"/>
    <s v="UN55JU6700GXPE"/>
    <s v="Tarjeta Principal"/>
    <m/>
    <m/>
    <m/>
    <s v="Electronica Lima Sur"/>
    <m/>
    <m/>
    <x v="0"/>
    <x v="0"/>
    <x v="0"/>
    <s v="Disponibilidad de repuesto"/>
    <m/>
    <m/>
    <m/>
    <m/>
    <m/>
    <m/>
    <m/>
  </r>
  <r>
    <n v="257"/>
    <n v="227461"/>
    <x v="4"/>
    <d v="2018-06-18T00:00:00"/>
    <x v="5"/>
    <d v="2018-07-15T00:00:00"/>
    <n v="27"/>
    <x v="0"/>
    <m/>
    <m/>
    <n v="3989"/>
    <m/>
    <m/>
    <n v="0"/>
    <m/>
    <s v="Saga"/>
    <s v="Falabella"/>
    <s v="TV Led"/>
    <x v="1"/>
    <s v="Samsung"/>
    <s v="UN55J57200GXPE"/>
    <s v="Barra Led"/>
    <m/>
    <m/>
    <m/>
    <s v="Asmat"/>
    <m/>
    <m/>
    <x v="0"/>
    <x v="0"/>
    <x v="0"/>
    <s v="Disponibilidad de repuesto"/>
    <m/>
    <m/>
    <m/>
    <m/>
    <m/>
    <m/>
    <m/>
  </r>
  <r>
    <n v="258"/>
    <n v="227328"/>
    <x v="4"/>
    <d v="2018-06-18T00:00:00"/>
    <x v="5"/>
    <d v="2018-06-21T00:00:00"/>
    <n v="3"/>
    <x v="0"/>
    <m/>
    <m/>
    <n v="2999"/>
    <m/>
    <m/>
    <n v="0"/>
    <m/>
    <s v="Saga"/>
    <s v="Falabella"/>
    <s v="TV Led"/>
    <x v="1"/>
    <s v="Samsung"/>
    <s v="UN50JS7200GXPE"/>
    <s v="Barra Led"/>
    <m/>
    <m/>
    <m/>
    <s v="Multiservicios Generales"/>
    <m/>
    <m/>
    <x v="0"/>
    <x v="0"/>
    <x v="0"/>
    <s v="Disponibilidad de repuesto"/>
    <m/>
    <m/>
    <m/>
    <m/>
    <m/>
    <m/>
    <m/>
  </r>
  <r>
    <n v="259"/>
    <n v="227721"/>
    <x v="0"/>
    <d v="2018-06-19T00:00:00"/>
    <x v="5"/>
    <d v="2018-07-12T00:00:00"/>
    <n v="23"/>
    <x v="0"/>
    <m/>
    <m/>
    <n v="1399"/>
    <m/>
    <m/>
    <n v="0"/>
    <m/>
    <s v="Plaza Vea"/>
    <s v="TP"/>
    <s v="TV Led"/>
    <x v="1"/>
    <s v="AOC"/>
    <s v="LE49D5542"/>
    <s v="Pantalla"/>
    <m/>
    <m/>
    <m/>
    <s v="Elausi"/>
    <m/>
    <m/>
    <x v="0"/>
    <x v="0"/>
    <x v="0"/>
    <s v="Disponibilidad de repuesto"/>
    <m/>
    <m/>
    <m/>
    <m/>
    <m/>
    <m/>
    <m/>
  </r>
  <r>
    <n v="260"/>
    <n v="228192"/>
    <x v="4"/>
    <d v="2018-06-19T00:00:00"/>
    <x v="5"/>
    <d v="2018-06-30T00:00:00"/>
    <n v="11"/>
    <x v="0"/>
    <m/>
    <m/>
    <n v="1399"/>
    <n v="1610"/>
    <m/>
    <n v="0"/>
    <m/>
    <s v="Tottus"/>
    <s v="Falabella"/>
    <s v="TV Led"/>
    <x v="1"/>
    <s v="Samsung"/>
    <s v="UN48H4203AGXPE"/>
    <s v="Pantalla"/>
    <m/>
    <m/>
    <m/>
    <s v="Mv Autoservicios"/>
    <m/>
    <m/>
    <x v="0"/>
    <x v="0"/>
    <x v="0"/>
    <s v="Costo de la reparacion"/>
    <m/>
    <m/>
    <m/>
    <m/>
    <m/>
    <m/>
    <m/>
  </r>
  <r>
    <n v="261"/>
    <n v="228248"/>
    <x v="4"/>
    <d v="2018-06-19T00:00:00"/>
    <x v="5"/>
    <d v="2018-07-01T00:00:00"/>
    <n v="12"/>
    <x v="0"/>
    <m/>
    <m/>
    <n v="1699"/>
    <n v="2195"/>
    <m/>
    <n v="0"/>
    <m/>
    <s v="Saga"/>
    <s v="Falabella"/>
    <s v="TV Led"/>
    <x v="1"/>
    <s v="Samsung"/>
    <s v="UN50J5500AGXPE"/>
    <s v="Pantalla"/>
    <m/>
    <m/>
    <m/>
    <s v="Mv Autoservicios"/>
    <m/>
    <m/>
    <x v="0"/>
    <x v="0"/>
    <x v="0"/>
    <s v="Costo de la reparacion"/>
    <m/>
    <m/>
    <m/>
    <m/>
    <m/>
    <m/>
    <m/>
  </r>
  <r>
    <n v="262"/>
    <n v="228257"/>
    <x v="2"/>
    <d v="2018-06-20T00:00:00"/>
    <x v="5"/>
    <d v="2018-07-01T00:00:00"/>
    <n v="11"/>
    <x v="0"/>
    <m/>
    <m/>
    <m/>
    <m/>
    <m/>
    <n v="0"/>
    <m/>
    <s v="Tottus"/>
    <s v="Falabella"/>
    <s v="Refrigeradora"/>
    <x v="0"/>
    <s v="Daewoo"/>
    <s v="FR-700I"/>
    <s v="Tarjeta Principal "/>
    <m/>
    <m/>
    <m/>
    <s v="Top Service"/>
    <m/>
    <m/>
    <x v="0"/>
    <x v="0"/>
    <x v="0"/>
    <s v="Disponibilidad de repuesto"/>
    <m/>
    <m/>
    <m/>
    <m/>
    <m/>
    <m/>
    <m/>
  </r>
  <r>
    <n v="263"/>
    <n v="228206"/>
    <x v="2"/>
    <d v="2018-06-20T00:00:00"/>
    <x v="5"/>
    <d v="2018-07-01T00:00:00"/>
    <n v="11"/>
    <x v="1"/>
    <m/>
    <m/>
    <m/>
    <m/>
    <m/>
    <n v="0"/>
    <m/>
    <s v="Saga"/>
    <s v="Falabella"/>
    <s v="Lavadora"/>
    <x v="0"/>
    <s v="LG"/>
    <s v="T1201DPE"/>
    <s v="Amortiguadores"/>
    <m/>
    <m/>
    <s v="Reyes Alegre Rosa Isabel"/>
    <s v="Censel"/>
    <m/>
    <m/>
    <x v="0"/>
    <x v="0"/>
    <x v="1"/>
    <m/>
    <m/>
    <s v="26/06 Ajustador anula solicitud"/>
    <m/>
    <m/>
    <m/>
    <m/>
    <m/>
  </r>
  <r>
    <n v="264"/>
    <n v="228541"/>
    <x v="0"/>
    <d v="2018-06-20T00:00:00"/>
    <x v="5"/>
    <d v="2018-07-04T00:00:00"/>
    <n v="14"/>
    <x v="0"/>
    <m/>
    <m/>
    <m/>
    <m/>
    <m/>
    <n v="0"/>
    <m/>
    <s v="Saga"/>
    <s v="Falabella"/>
    <s v="Deshumeceder "/>
    <x v="0"/>
    <s v="Bionaire"/>
    <s v="BD20-LA053"/>
    <s v="Tarjeta Principal "/>
    <m/>
    <m/>
    <m/>
    <s v="Tecnis "/>
    <m/>
    <m/>
    <x v="0"/>
    <x v="0"/>
    <x v="0"/>
    <s v="Disponibilidad de repuesto"/>
    <m/>
    <m/>
    <m/>
    <m/>
    <m/>
    <m/>
    <m/>
  </r>
  <r>
    <n v="265"/>
    <n v="228713"/>
    <x v="4"/>
    <d v="2018-06-21T00:00:00"/>
    <x v="5"/>
    <d v="2018-07-07T00:00:00"/>
    <n v="16"/>
    <x v="0"/>
    <m/>
    <m/>
    <m/>
    <m/>
    <m/>
    <n v="0"/>
    <m/>
    <m/>
    <m/>
    <s v="TV Led"/>
    <x v="1"/>
    <s v="LG"/>
    <s v="49UH6100-SJ.BWFWLOR"/>
    <s v="Pantalla"/>
    <m/>
    <m/>
    <m/>
    <s v="Censel"/>
    <m/>
    <m/>
    <x v="0"/>
    <x v="0"/>
    <x v="0"/>
    <s v="Disponibilidad de repuesto"/>
    <m/>
    <m/>
    <m/>
    <m/>
    <m/>
    <m/>
    <m/>
  </r>
  <r>
    <n v="266"/>
    <n v="228404"/>
    <x v="4"/>
    <d v="2018-06-21T00:00:00"/>
    <x v="5"/>
    <d v="2018-07-02T00:00:00"/>
    <n v="11"/>
    <x v="0"/>
    <m/>
    <m/>
    <m/>
    <m/>
    <m/>
    <n v="0"/>
    <m/>
    <m/>
    <m/>
    <s v="TV Led"/>
    <x v="1"/>
    <s v="Samsung"/>
    <s v="UN43J5200AGXPE"/>
    <s v="Pantalla"/>
    <m/>
    <m/>
    <m/>
    <s v="Multiservicios Generales G &amp; D E.I.R.L."/>
    <m/>
    <m/>
    <x v="0"/>
    <x v="0"/>
    <x v="0"/>
    <s v="Disponibilidad de repuesto"/>
    <m/>
    <m/>
    <m/>
    <m/>
    <m/>
    <m/>
    <m/>
  </r>
  <r>
    <n v="267"/>
    <n v="227740"/>
    <x v="4"/>
    <d v="2018-06-21T00:00:00"/>
    <x v="5"/>
    <d v="2018-06-26T00:00:00"/>
    <n v="5"/>
    <x v="1"/>
    <m/>
    <m/>
    <m/>
    <m/>
    <m/>
    <n v="0"/>
    <m/>
    <s v="Tiendas Peruanas"/>
    <s v="TP"/>
    <s v="Cocina"/>
    <x v="0"/>
    <s v="Mabe"/>
    <s v="INGENIOUS767PCX0"/>
    <s v="Niple"/>
    <m/>
    <m/>
    <m/>
    <s v="Sertepi"/>
    <m/>
    <m/>
    <x v="0"/>
    <x v="0"/>
    <x v="1"/>
    <m/>
    <m/>
    <s v="26/06 Ajustador aprueba compra del ST"/>
    <m/>
    <m/>
    <m/>
    <m/>
    <m/>
  </r>
  <r>
    <n v="268"/>
    <n v="228735"/>
    <x v="4"/>
    <d v="2018-06-22T00:00:00"/>
    <x v="5"/>
    <d v="2018-07-07T00:00:00"/>
    <n v="15"/>
    <x v="0"/>
    <m/>
    <m/>
    <m/>
    <m/>
    <m/>
    <n v="0"/>
    <m/>
    <s v="Saga"/>
    <s v="Falabella"/>
    <s v="TV Led"/>
    <x v="1"/>
    <s v="LG"/>
    <s v="49UF6900-SC.BWFYLJM"/>
    <s v="Pantalla"/>
    <m/>
    <m/>
    <m/>
    <s v="Censel"/>
    <m/>
    <m/>
    <x v="0"/>
    <x v="0"/>
    <x v="0"/>
    <s v="Disponibilidad de repuesto"/>
    <m/>
    <m/>
    <m/>
    <m/>
    <m/>
    <m/>
    <m/>
  </r>
  <r>
    <n v="269"/>
    <n v="227013"/>
    <x v="4"/>
    <d v="2018-06-26T00:00:00"/>
    <x v="5"/>
    <d v="2018-07-12T00:00:00"/>
    <n v="16"/>
    <x v="0"/>
    <m/>
    <m/>
    <m/>
    <m/>
    <m/>
    <n v="0"/>
    <m/>
    <s v="Plaza Vea"/>
    <s v="TP"/>
    <s v="Refrigeradora"/>
    <x v="0"/>
    <s v="Bosch"/>
    <s v="EC0-TT463"/>
    <s v="Evaporador"/>
    <m/>
    <m/>
    <m/>
    <s v="Tecnimax"/>
    <m/>
    <m/>
    <x v="0"/>
    <x v="0"/>
    <x v="0"/>
    <s v="Disponibilidad de repuesto"/>
    <m/>
    <m/>
    <m/>
    <m/>
    <m/>
    <m/>
    <m/>
  </r>
  <r>
    <n v="270"/>
    <n v="228393"/>
    <x v="2"/>
    <d v="2018-06-26T00:00:00"/>
    <x v="5"/>
    <d v="2018-07-02T00:00:00"/>
    <n v="6"/>
    <x v="0"/>
    <m/>
    <m/>
    <m/>
    <m/>
    <m/>
    <n v="0"/>
    <m/>
    <s v="Saga"/>
    <s v="Falabella"/>
    <s v="Consola"/>
    <x v="1"/>
    <s v="Sony"/>
    <s v="CUH-1215A"/>
    <s v="Tarjeta Principal"/>
    <m/>
    <m/>
    <m/>
    <s v="Electronica Lima Sur"/>
    <m/>
    <m/>
    <x v="0"/>
    <x v="0"/>
    <x v="0"/>
    <s v="Disponibilidad de repuesto"/>
    <m/>
    <m/>
    <m/>
    <m/>
    <m/>
    <m/>
    <m/>
  </r>
  <r>
    <n v="271"/>
    <n v="228797"/>
    <x v="0"/>
    <d v="2018-06-28T00:00:00"/>
    <x v="5"/>
    <d v="2018-07-09T00:00:00"/>
    <n v="11"/>
    <x v="1"/>
    <m/>
    <m/>
    <m/>
    <m/>
    <m/>
    <n v="0"/>
    <m/>
    <s v="Saga"/>
    <s v="Falabella"/>
    <s v="Lavadora"/>
    <x v="0"/>
    <s v="Whirlpool"/>
    <s v="WWI14ABBPE"/>
    <s v="Amortiguadores"/>
    <m/>
    <m/>
    <m/>
    <s v="Serviteco"/>
    <m/>
    <m/>
    <x v="0"/>
    <x v="0"/>
    <x v="1"/>
    <m/>
    <m/>
    <s v="02/07 Ajustador anula pedido tomara repuesto del SLV"/>
    <m/>
    <m/>
    <m/>
    <m/>
    <m/>
  </r>
  <r>
    <n v="272"/>
    <n v="228610"/>
    <x v="4"/>
    <d v="2018-06-28T00:00:00"/>
    <x v="5"/>
    <d v="2018-07-06T00:00:00"/>
    <n v="8"/>
    <x v="1"/>
    <m/>
    <m/>
    <m/>
    <m/>
    <m/>
    <n v="0"/>
    <m/>
    <s v="Tottus"/>
    <s v="Falabella"/>
    <s v="Refrigeradora"/>
    <x v="0"/>
    <s v="Mabe"/>
    <s v="RML230YPX"/>
    <s v="Tarjeta Principal"/>
    <m/>
    <m/>
    <m/>
    <s v="Sertepi"/>
    <m/>
    <s v="3 dias"/>
    <x v="0"/>
    <x v="0"/>
    <x v="1"/>
    <m/>
    <m/>
    <s v="09/07 Se anula pedido, ajustador apruba compra con ST"/>
    <m/>
    <m/>
    <m/>
    <m/>
    <m/>
  </r>
  <r>
    <n v="273"/>
    <n v="229547"/>
    <x v="4"/>
    <d v="2018-07-02T00:00:00"/>
    <x v="6"/>
    <d v="2018-08-10T00:00:00"/>
    <n v="39"/>
    <x v="0"/>
    <m/>
    <m/>
    <m/>
    <m/>
    <m/>
    <n v="0"/>
    <s v="Repuesto"/>
    <s v="Plaza Vea"/>
    <s v="TP"/>
    <s v="TV Led"/>
    <x v="1"/>
    <s v="BGH"/>
    <s v="BLE6516RTUIPE"/>
    <s v="Tarjeta Principal"/>
    <m/>
    <m/>
    <m/>
    <s v="Force Service"/>
    <m/>
    <m/>
    <x v="0"/>
    <x v="0"/>
    <x v="0"/>
    <s v="Disponibilidad de repuesto"/>
    <m/>
    <m/>
    <m/>
    <m/>
    <m/>
    <m/>
    <m/>
  </r>
  <r>
    <n v="274"/>
    <n v="228947"/>
    <x v="4"/>
    <d v="2018-07-02T00:00:00"/>
    <x v="6"/>
    <d v="2018-07-14T00:00:00"/>
    <n v="12"/>
    <x v="0"/>
    <m/>
    <m/>
    <m/>
    <m/>
    <m/>
    <n v="0"/>
    <s v="Repuesto"/>
    <s v="Saga"/>
    <s v="Falabella"/>
    <s v="TV Led"/>
    <x v="1"/>
    <s v="LG"/>
    <s v="49UF7700-SA.BWFYLJR"/>
    <s v="Pantalla"/>
    <m/>
    <m/>
    <m/>
    <s v="Censel"/>
    <m/>
    <m/>
    <x v="0"/>
    <x v="0"/>
    <x v="0"/>
    <s v="Disponibilidad de repuesto"/>
    <m/>
    <m/>
    <m/>
    <m/>
    <m/>
    <m/>
    <m/>
  </r>
  <r>
    <n v="275"/>
    <n v="230048"/>
    <x v="2"/>
    <d v="2018-07-03T00:00:00"/>
    <x v="6"/>
    <d v="2018-07-16T00:00:00"/>
    <n v="13"/>
    <x v="0"/>
    <m/>
    <m/>
    <n v="1099"/>
    <n v="300"/>
    <n v="150"/>
    <n v="733.06"/>
    <s v="Repuesto"/>
    <s v="Saga"/>
    <s v="Falabella"/>
    <s v="Lavadora"/>
    <x v="0"/>
    <s v="Samsung"/>
    <s v="WA15J5730LW/PE"/>
    <s v="Amortiguadores"/>
    <m/>
    <m/>
    <s v="Toralva Flores Jose Manuel"/>
    <s v="Multiservicios Generales"/>
    <d v="2018-07-12T00:00:00"/>
    <s v="3 dias "/>
    <x v="1"/>
    <x v="1"/>
    <x v="2"/>
    <m/>
    <m/>
    <m/>
    <m/>
    <m/>
    <m/>
    <m/>
    <m/>
  </r>
  <r>
    <n v="276"/>
    <n v="229169"/>
    <x v="0"/>
    <d v="2018-07-04T00:00:00"/>
    <x v="6"/>
    <d v="2018-07-15T00:00:00"/>
    <n v="11"/>
    <x v="0"/>
    <m/>
    <m/>
    <m/>
    <m/>
    <m/>
    <n v="0"/>
    <s v="Repuesto"/>
    <s v="Saga"/>
    <s v="Falabella"/>
    <s v="Lavavajilla"/>
    <x v="0"/>
    <s v="Whirlpool"/>
    <s v="WLR12BEBWC"/>
    <s v="Membraba/ Tarjeta de Interface / Base de Motor / Empaquetadura"/>
    <m/>
    <m/>
    <m/>
    <s v="Serfac"/>
    <m/>
    <m/>
    <x v="0"/>
    <x v="0"/>
    <x v="0"/>
    <s v="Disponibilidad de repuesto"/>
    <m/>
    <m/>
    <m/>
    <m/>
    <m/>
    <m/>
    <m/>
  </r>
  <r>
    <n v="277"/>
    <n v="229666"/>
    <x v="2"/>
    <d v="2018-07-05T00:00:00"/>
    <x v="6"/>
    <d v="2018-07-18T00:00:00"/>
    <n v="13"/>
    <x v="0"/>
    <m/>
    <m/>
    <n v="899"/>
    <n v="160"/>
    <n v="80"/>
    <n v="685.06"/>
    <s v="Repuesto"/>
    <s v="Saga"/>
    <s v="Falabella"/>
    <s v="Lavadora"/>
    <x v="0"/>
    <s v="Daewoo"/>
    <s v="DWF-320W"/>
    <s v="Pulsator"/>
    <m/>
    <m/>
    <s v="Toralva Flores Jose Manuel"/>
    <s v="Servidoctors"/>
    <d v="2018-07-12T00:00:00"/>
    <s v="3 dias"/>
    <x v="1"/>
    <x v="1"/>
    <x v="2"/>
    <m/>
    <m/>
    <m/>
    <m/>
    <m/>
    <m/>
    <m/>
    <m/>
  </r>
  <r>
    <n v="278"/>
    <n v="229454"/>
    <x v="0"/>
    <d v="2018-07-05T00:00:00"/>
    <x v="6"/>
    <d v="2018-07-23T00:00:00"/>
    <n v="18"/>
    <x v="1"/>
    <m/>
    <m/>
    <m/>
    <m/>
    <m/>
    <n v="0"/>
    <s v="Repuesto"/>
    <s v="Plaza Vea"/>
    <s v="TP"/>
    <s v="Lavadora"/>
    <x v="0"/>
    <s v="Daewoo"/>
    <s v="GPL- CYBERDRUM 19"/>
    <s v="Caja de Transmision"/>
    <m/>
    <m/>
    <m/>
    <s v="SOS Service"/>
    <m/>
    <m/>
    <x v="0"/>
    <x v="0"/>
    <x v="1"/>
    <m/>
    <m/>
    <s v="05/07 Ajustador anula pedido compro repuesto a Servidoctors"/>
    <m/>
    <m/>
    <m/>
    <m/>
    <m/>
  </r>
  <r>
    <n v="279"/>
    <n v="229873"/>
    <x v="0"/>
    <d v="2018-07-06T00:00:00"/>
    <x v="6"/>
    <d v="2018-07-21T00:00:00"/>
    <n v="15"/>
    <x v="0"/>
    <m/>
    <m/>
    <m/>
    <m/>
    <m/>
    <n v="0"/>
    <s v="Repuesto"/>
    <s v="Saga"/>
    <s v="Falabella"/>
    <s v="Lavadora"/>
    <x v="0"/>
    <s v="Whirlpool"/>
    <s v="WWI10AWGLS"/>
    <s v="Tarjeta Principal"/>
    <m/>
    <m/>
    <m/>
    <s v="Serfac"/>
    <m/>
    <m/>
    <x v="0"/>
    <x v="0"/>
    <x v="0"/>
    <s v="Disponibilidad de repuesto"/>
    <m/>
    <m/>
    <m/>
    <m/>
    <m/>
    <m/>
    <m/>
  </r>
  <r>
    <n v="280"/>
    <n v="229546"/>
    <x v="0"/>
    <d v="2018-07-06T00:00:00"/>
    <x v="6"/>
    <d v="2018-07-26T00:00:00"/>
    <n v="20"/>
    <x v="0"/>
    <m/>
    <m/>
    <m/>
    <m/>
    <m/>
    <n v="0"/>
    <s v="Repuesto"/>
    <s v="Plaza Vea"/>
    <s v="TP"/>
    <s v="Lavadora"/>
    <x v="0"/>
    <s v="Daewoo"/>
    <s v="DWC-110W"/>
    <s v="Tarjeta Principal"/>
    <m/>
    <m/>
    <m/>
    <s v="SOS Service"/>
    <m/>
    <m/>
    <x v="0"/>
    <x v="0"/>
    <x v="0"/>
    <s v="Disponibilidad de repuesto"/>
    <m/>
    <m/>
    <m/>
    <m/>
    <m/>
    <m/>
    <m/>
  </r>
  <r>
    <n v="281"/>
    <n v="229197"/>
    <x v="4"/>
    <d v="2018-07-09T00:00:00"/>
    <x v="6"/>
    <d v="2018-07-14T00:00:00"/>
    <n v="5"/>
    <x v="0"/>
    <m/>
    <m/>
    <m/>
    <m/>
    <m/>
    <n v="0"/>
    <s v="Repuesto"/>
    <s v="Saga"/>
    <s v="Falabella"/>
    <s v="TV Led"/>
    <x v="1"/>
    <s v="LG"/>
    <s v="65UF9500-SA.AWFYLJR"/>
    <s v="Pantalla"/>
    <m/>
    <m/>
    <m/>
    <s v="Censel"/>
    <m/>
    <m/>
    <x v="0"/>
    <x v="0"/>
    <x v="0"/>
    <s v="Disponibilidad de repuesto"/>
    <m/>
    <m/>
    <m/>
    <m/>
    <m/>
    <m/>
    <m/>
  </r>
  <r>
    <n v="282"/>
    <n v="229845"/>
    <x v="4"/>
    <d v="2018-07-09T00:00:00"/>
    <x v="6"/>
    <d v="2018-07-21T00:00:00"/>
    <n v="12"/>
    <x v="0"/>
    <m/>
    <m/>
    <m/>
    <m/>
    <m/>
    <n v="0"/>
    <s v="Repuesto"/>
    <s v="Saga"/>
    <s v="Falabella"/>
    <s v="TV Led"/>
    <x v="1"/>
    <s v="LG"/>
    <s v="55UB8300-SG.AWFWLJR"/>
    <s v="Pantalla"/>
    <m/>
    <m/>
    <m/>
    <s v="Censel"/>
    <m/>
    <m/>
    <x v="0"/>
    <x v="0"/>
    <x v="0"/>
    <s v="Disponibilidad de repuesto"/>
    <m/>
    <m/>
    <m/>
    <m/>
    <m/>
    <m/>
    <m/>
  </r>
  <r>
    <n v="283"/>
    <n v="230077"/>
    <x v="4"/>
    <d v="2018-07-09T00:00:00"/>
    <x v="6"/>
    <d v="2018-07-21T00:00:00"/>
    <n v="12"/>
    <x v="0"/>
    <m/>
    <m/>
    <m/>
    <m/>
    <m/>
    <n v="0"/>
    <s v="Repuesto"/>
    <s v="Saga"/>
    <s v="Falabella"/>
    <s v="TV Led"/>
    <x v="1"/>
    <s v="LG"/>
    <s v="49UF8500-SB.BWFYMJM"/>
    <s v="Pantalla"/>
    <m/>
    <m/>
    <m/>
    <s v="Censel"/>
    <m/>
    <m/>
    <x v="0"/>
    <x v="0"/>
    <x v="0"/>
    <s v="Disponibilidad de repuesto"/>
    <m/>
    <m/>
    <m/>
    <m/>
    <m/>
    <m/>
    <m/>
  </r>
  <r>
    <n v="284"/>
    <n v="229485"/>
    <x v="0"/>
    <d v="2018-07-09T00:00:00"/>
    <x v="6"/>
    <d v="2018-07-25T00:00:00"/>
    <n v="16"/>
    <x v="1"/>
    <m/>
    <m/>
    <m/>
    <m/>
    <m/>
    <n v="0"/>
    <s v="Repuesto"/>
    <s v="Plaza Vea"/>
    <s v="TP"/>
    <s v="Refrigeradora"/>
    <x v="0"/>
    <s v="Daewoo"/>
    <s v="FR-7001"/>
    <s v="Motor Compresor"/>
    <m/>
    <m/>
    <m/>
    <s v="SOS Service"/>
    <m/>
    <m/>
    <x v="0"/>
    <x v="0"/>
    <x v="1"/>
    <m/>
    <m/>
    <s v="11/07 Ajustador anula pedido, aprueba compra al ST"/>
    <m/>
    <m/>
    <m/>
    <m/>
    <m/>
  </r>
  <r>
    <n v="285"/>
    <n v="229989"/>
    <x v="0"/>
    <d v="2018-07-09T00:00:00"/>
    <x v="6"/>
    <d v="2018-08-06T00:00:00"/>
    <n v="28"/>
    <x v="1"/>
    <m/>
    <m/>
    <m/>
    <m/>
    <m/>
    <n v="0"/>
    <s v="Repuesto"/>
    <s v="Plaza Vea"/>
    <s v="TP"/>
    <s v="Lavadora"/>
    <x v="0"/>
    <s v="Daewoo"/>
    <s v="DWC-110S"/>
    <s v="Tarjeta Principal"/>
    <m/>
    <m/>
    <m/>
    <s v="SOS Service"/>
    <m/>
    <m/>
    <x v="0"/>
    <x v="0"/>
    <x v="1"/>
    <m/>
    <m/>
    <s v="09/07 Ajustador anula compra de repuesto"/>
    <m/>
    <m/>
    <m/>
    <m/>
    <m/>
  </r>
  <r>
    <n v="286"/>
    <n v="230008"/>
    <x v="0"/>
    <d v="2018-07-10T00:00:00"/>
    <x v="6"/>
    <d v="2018-07-21T00:00:00"/>
    <n v="11"/>
    <x v="0"/>
    <m/>
    <m/>
    <n v="2099"/>
    <n v="118"/>
    <n v="120"/>
    <n v="1853.06"/>
    <s v="Repuesto"/>
    <s v="Tottus"/>
    <s v="Falabella"/>
    <s v="Refrigeradora"/>
    <x v="0"/>
    <s v="Samsung"/>
    <s v="RT32K5730S8/PE"/>
    <s v="Jog"/>
    <m/>
    <m/>
    <s v="Toralva Flores Jose Manuel"/>
    <s v="Asmat"/>
    <d v="2018-07-12T00:00:00"/>
    <s v="4 dias"/>
    <x v="1"/>
    <x v="1"/>
    <x v="2"/>
    <m/>
    <m/>
    <m/>
    <m/>
    <m/>
    <m/>
    <m/>
    <m/>
  </r>
  <r>
    <n v="287"/>
    <n v="229549"/>
    <x v="4"/>
    <d v="2018-07-10T00:00:00"/>
    <x v="6"/>
    <d v="2018-07-19T00:00:00"/>
    <n v="9"/>
    <x v="0"/>
    <m/>
    <m/>
    <m/>
    <m/>
    <m/>
    <n v="0"/>
    <s v="Repuesto"/>
    <s v="Tottus"/>
    <s v="Falabella"/>
    <s v="TV Led"/>
    <x v="1"/>
    <s v="Samsung"/>
    <s v="UN50H5303AGXPE"/>
    <s v="Pantalla"/>
    <m/>
    <m/>
    <m/>
    <s v="Force Service"/>
    <m/>
    <m/>
    <x v="0"/>
    <x v="0"/>
    <x v="0"/>
    <s v="Disponibilidad de repuesto"/>
    <m/>
    <m/>
    <m/>
    <m/>
    <m/>
    <m/>
    <m/>
  </r>
  <r>
    <n v="288"/>
    <n v="229037"/>
    <x v="4"/>
    <d v="2018-07-10T00:00:00"/>
    <x v="6"/>
    <d v="2018-07-12T00:00:00"/>
    <n v="2"/>
    <x v="0"/>
    <m/>
    <m/>
    <n v="1999"/>
    <m/>
    <m/>
    <n v="0"/>
    <s v="Repuesto"/>
    <s v="Saga"/>
    <s v="Falabella"/>
    <s v="Laptop"/>
    <x v="2"/>
    <s v="Asus"/>
    <s v="X540LJ "/>
    <s v="Mainboard / Disco Duro"/>
    <m/>
    <m/>
    <s v="Eagle Data"/>
    <s v="High Service"/>
    <m/>
    <s v="4 dias"/>
    <x v="0"/>
    <x v="0"/>
    <x v="0"/>
    <s v="Costo de la reparacion"/>
    <m/>
    <m/>
    <m/>
    <m/>
    <m/>
    <m/>
    <m/>
  </r>
  <r>
    <n v="289"/>
    <n v="229807"/>
    <x v="0"/>
    <d v="2018-07-10T00:00:00"/>
    <x v="6"/>
    <d v="2018-07-24T00:00:00"/>
    <n v="14"/>
    <x v="0"/>
    <m/>
    <m/>
    <m/>
    <m/>
    <m/>
    <n v="0"/>
    <s v="Repuesto"/>
    <s v="Tiendas Peruanas"/>
    <s v="TP"/>
    <s v="Cocina"/>
    <x v="0"/>
    <s v="Indurama"/>
    <s v="Montecarlo"/>
    <s v="Panel Tactil"/>
    <m/>
    <m/>
    <m/>
    <s v="Ceser Cusco"/>
    <m/>
    <m/>
    <x v="0"/>
    <x v="0"/>
    <x v="0"/>
    <s v="Disponibilidad de repuesto"/>
    <m/>
    <m/>
    <m/>
    <m/>
    <m/>
    <m/>
    <m/>
  </r>
  <r>
    <n v="290"/>
    <n v="229971"/>
    <x v="0"/>
    <d v="2018-07-11T00:00:00"/>
    <x v="6"/>
    <d v="2018-07-27T00:00:00"/>
    <n v="16"/>
    <x v="0"/>
    <m/>
    <m/>
    <m/>
    <m/>
    <m/>
    <n v="0"/>
    <s v="Repuesto"/>
    <s v="Saga"/>
    <s v="Falabella"/>
    <s v="Refrigeradora"/>
    <x v="0"/>
    <s v="Bosch"/>
    <s v="KAN58A40J"/>
    <s v="Tarjeta Principal / Sensor "/>
    <m/>
    <m/>
    <m/>
    <s v="Tecnimax"/>
    <m/>
    <m/>
    <x v="0"/>
    <x v="0"/>
    <x v="0"/>
    <s v="Disponibilidad de repuesto"/>
    <m/>
    <m/>
    <m/>
    <m/>
    <m/>
    <m/>
    <m/>
  </r>
  <r>
    <n v="291"/>
    <n v="230174"/>
    <x v="4"/>
    <d v="2018-07-12T00:00:00"/>
    <x v="6"/>
    <d v="2018-07-25T00:00:00"/>
    <n v="13"/>
    <x v="0"/>
    <m/>
    <m/>
    <m/>
    <m/>
    <m/>
    <n v="0"/>
    <s v="Repuesto"/>
    <s v="Saga"/>
    <s v="Falabella"/>
    <s v="TV Led"/>
    <x v="1"/>
    <s v="LG"/>
    <s v="49UF6900-SC.BWFYLJM"/>
    <s v="Pantalla"/>
    <m/>
    <m/>
    <m/>
    <s v="Censel"/>
    <m/>
    <m/>
    <x v="0"/>
    <x v="0"/>
    <x v="0"/>
    <s v="Disponibilidad de repuesto"/>
    <m/>
    <m/>
    <m/>
    <m/>
    <m/>
    <m/>
    <m/>
  </r>
  <r>
    <n v="292"/>
    <n v="229811"/>
    <x v="4"/>
    <d v="2018-07-12T00:00:00"/>
    <x v="6"/>
    <d v="2018-07-21T00:00:00"/>
    <n v="9"/>
    <x v="0"/>
    <m/>
    <m/>
    <m/>
    <m/>
    <m/>
    <n v="0"/>
    <s v="Repuesto"/>
    <s v="Saga"/>
    <s v="Falabella"/>
    <s v="TV Led"/>
    <x v="1"/>
    <s v="LG"/>
    <s v="55UB8500-SA.AWFWLJR"/>
    <s v="Pantalla"/>
    <m/>
    <m/>
    <m/>
    <s v="Servinorte"/>
    <m/>
    <m/>
    <x v="0"/>
    <x v="0"/>
    <x v="0"/>
    <s v="Disponibilidad de repuesto"/>
    <m/>
    <m/>
    <m/>
    <m/>
    <m/>
    <m/>
    <m/>
  </r>
  <r>
    <n v="293"/>
    <n v="229995"/>
    <x v="4"/>
    <d v="2018-07-12T00:00:00"/>
    <x v="6"/>
    <d v="2018-08-12T00:00:00"/>
    <n v="31"/>
    <x v="0"/>
    <m/>
    <m/>
    <m/>
    <m/>
    <m/>
    <n v="0"/>
    <s v="Repuesto"/>
    <s v="Plaza Vea"/>
    <s v="TP"/>
    <s v="TV Led"/>
    <x v="1"/>
    <s v="LG"/>
    <s v="49UF6400-SA.BWFYMOR"/>
    <s v="Pantalla"/>
    <m/>
    <m/>
    <m/>
    <s v="Servinorte"/>
    <m/>
    <m/>
    <x v="0"/>
    <x v="0"/>
    <x v="0"/>
    <s v="Disponibilidad de repuesto"/>
    <m/>
    <m/>
    <m/>
    <m/>
    <m/>
    <m/>
    <m/>
  </r>
  <r>
    <n v="294"/>
    <n v="229724"/>
    <x v="2"/>
    <d v="2018-07-16T00:00:00"/>
    <x v="6"/>
    <d v="2018-07-21T00:00:00"/>
    <n v="5"/>
    <x v="0"/>
    <m/>
    <m/>
    <m/>
    <m/>
    <m/>
    <n v="0"/>
    <s v="Repuesto"/>
    <s v="Saga"/>
    <s v="Falabella"/>
    <s v="Minicomponente"/>
    <x v="1"/>
    <s v="Sony"/>
    <s v="MHC-V7D"/>
    <s v="Tarjeta Amplificadora"/>
    <m/>
    <m/>
    <m/>
    <s v="Electronica Lima Sur"/>
    <m/>
    <m/>
    <x v="0"/>
    <x v="0"/>
    <x v="3"/>
    <s v="Disponibilidad de repuesto"/>
    <m/>
    <m/>
    <m/>
    <m/>
    <m/>
    <m/>
    <m/>
  </r>
  <r>
    <n v="295"/>
    <n v="229890"/>
    <x v="2"/>
    <d v="2018-07-16T00:00:00"/>
    <x v="6"/>
    <d v="2018-07-21T00:00:00"/>
    <n v="5"/>
    <x v="0"/>
    <m/>
    <m/>
    <m/>
    <m/>
    <m/>
    <n v="0"/>
    <s v="Monto"/>
    <s v="Saga"/>
    <s v="Falabella"/>
    <s v="TV Led"/>
    <x v="1"/>
    <s v="Sony"/>
    <s v="XBR-55X855C"/>
    <s v="Pantalla"/>
    <m/>
    <m/>
    <m/>
    <s v="Electronica Lima Sur"/>
    <m/>
    <m/>
    <x v="0"/>
    <x v="0"/>
    <x v="3"/>
    <s v="Disponibilidad de repuesto"/>
    <m/>
    <m/>
    <m/>
    <m/>
    <m/>
    <m/>
    <m/>
  </r>
  <r>
    <n v="296"/>
    <n v="230630"/>
    <x v="0"/>
    <d v="2018-07-16T00:00:00"/>
    <x v="6"/>
    <d v="2018-07-30T00:00:00"/>
    <n v="14"/>
    <x v="0"/>
    <m/>
    <m/>
    <m/>
    <m/>
    <m/>
    <n v="0"/>
    <s v="Repuesto"/>
    <s v="Saga"/>
    <s v="Falabella"/>
    <s v="Lavadora"/>
    <x v="0"/>
    <s v="Whirlpool"/>
    <s v="S-18-WIW250SYQP"/>
    <s v="Caja de Transmision"/>
    <m/>
    <m/>
    <s v="Reyes Alegre Rosa Isabel"/>
    <s v="Tecnimax"/>
    <d v="2018-04-18T00:00:00"/>
    <s v="4 dias"/>
    <x v="0"/>
    <x v="0"/>
    <x v="0"/>
    <s v="Plazo de Reparacion"/>
    <m/>
    <s v="01/08 Repuesto llego DOA, ajustador aprobo reemplazo"/>
    <m/>
    <m/>
    <m/>
    <m/>
    <m/>
  </r>
  <r>
    <n v="297"/>
    <n v="230240"/>
    <x v="0"/>
    <d v="2018-07-16T00:00:00"/>
    <x v="6"/>
    <d v="2018-07-29T00:00:00"/>
    <n v="13"/>
    <x v="0"/>
    <m/>
    <m/>
    <m/>
    <m/>
    <m/>
    <n v="0"/>
    <s v="Repuesto"/>
    <s v="Saga"/>
    <s v="Falabella"/>
    <s v="Refrigeradora"/>
    <x v="0"/>
    <s v="Bosch"/>
    <s v="KAN58A40J"/>
    <s v="Tarjeta Principal / Sensor "/>
    <m/>
    <m/>
    <s v="Reyes Alegre Rosa Isabel"/>
    <s v="Tecnimax"/>
    <m/>
    <s v="6 dias"/>
    <x v="0"/>
    <x v="0"/>
    <x v="3"/>
    <s v="Plazo de Reparacion"/>
    <m/>
    <m/>
    <m/>
    <m/>
    <m/>
    <m/>
    <m/>
  </r>
  <r>
    <n v="298"/>
    <n v="230482"/>
    <x v="0"/>
    <d v="2018-07-16T00:00:00"/>
    <x v="6"/>
    <d v="2018-07-29T00:00:00"/>
    <n v="13"/>
    <x v="1"/>
    <m/>
    <m/>
    <m/>
    <m/>
    <m/>
    <n v="0"/>
    <s v="Repuesto"/>
    <s v="Saga"/>
    <s v="Falabella"/>
    <s v="Refrigeradora"/>
    <x v="0"/>
    <s v="Daewoo"/>
    <s v="FRS-Q24"/>
    <s v="Damper"/>
    <m/>
    <m/>
    <m/>
    <s v="SOS Service"/>
    <m/>
    <m/>
    <x v="0"/>
    <x v="0"/>
    <x v="1"/>
    <m/>
    <m/>
    <s v="26/07 Ajustador aprueba compra a Servidoctors"/>
    <m/>
    <m/>
    <m/>
    <m/>
    <m/>
  </r>
  <r>
    <n v="299"/>
    <n v="230440"/>
    <x v="0"/>
    <d v="2018-07-16T00:00:00"/>
    <x v="6"/>
    <d v="2018-07-29T00:00:00"/>
    <n v="13"/>
    <x v="1"/>
    <m/>
    <m/>
    <m/>
    <m/>
    <m/>
    <n v="0"/>
    <s v="Repuesto"/>
    <s v="Tottus"/>
    <s v="Falabella"/>
    <s v="Lavadora"/>
    <x v="0"/>
    <s v="Daewoo"/>
    <s v="DWF-320GW"/>
    <s v="Pulsator"/>
    <m/>
    <m/>
    <s v="Toralva Flores Jose Manuel"/>
    <s v="SOS Service"/>
    <m/>
    <s v="3 dias"/>
    <x v="0"/>
    <x v="0"/>
    <x v="1"/>
    <m/>
    <m/>
    <s v="18/07 Ajustador aprobo compra del ST"/>
    <m/>
    <m/>
    <m/>
    <m/>
    <m/>
  </r>
  <r>
    <n v="300"/>
    <n v="229948"/>
    <x v="0"/>
    <d v="2018-07-16T00:00:00"/>
    <x v="6"/>
    <d v="2018-07-20T00:00:00"/>
    <n v="4"/>
    <x v="0"/>
    <m/>
    <m/>
    <m/>
    <m/>
    <m/>
    <n v="0"/>
    <s v="Repuesto"/>
    <s v="Tottus"/>
    <s v="Falabella"/>
    <s v="Minicomponente"/>
    <x v="1"/>
    <s v="Samsung"/>
    <s v="MX-HS58500/PE"/>
    <s v="Lector Optico / Tarjeta Principal / Tarjeta Frontal"/>
    <m/>
    <m/>
    <m/>
    <s v="Asmat"/>
    <m/>
    <m/>
    <x v="0"/>
    <x v="0"/>
    <x v="0"/>
    <s v="Disponibilidad de repuesto"/>
    <m/>
    <m/>
    <m/>
    <m/>
    <m/>
    <m/>
    <m/>
  </r>
  <r>
    <n v="301"/>
    <n v="230026"/>
    <x v="4"/>
    <d v="2018-07-16T00:00:00"/>
    <x v="6"/>
    <d v="2018-07-21T00:00:00"/>
    <n v="5"/>
    <x v="1"/>
    <m/>
    <m/>
    <m/>
    <m/>
    <m/>
    <n v="0"/>
    <s v="Repuesto"/>
    <s v="Saga"/>
    <s v="Falabella"/>
    <s v="Lavadora"/>
    <x v="0"/>
    <s v="LG"/>
    <s v="T1768TP"/>
    <s v="Pulsator / Cam de Pulsator"/>
    <m/>
    <m/>
    <m/>
    <s v="Censel"/>
    <m/>
    <m/>
    <x v="0"/>
    <x v="0"/>
    <x v="1"/>
    <m/>
    <m/>
    <s v="09/07 Ajustador aprobo compra a otro ST"/>
    <m/>
    <m/>
    <m/>
    <m/>
    <m/>
  </r>
  <r>
    <n v="302"/>
    <n v="229398"/>
    <x v="4"/>
    <d v="2018-07-16T00:00:00"/>
    <x v="6"/>
    <d v="2018-07-20T00:00:00"/>
    <n v="4"/>
    <x v="0"/>
    <m/>
    <m/>
    <m/>
    <m/>
    <m/>
    <n v="0"/>
    <s v="Repuesto"/>
    <s v="Tottus"/>
    <s v="Falabella"/>
    <s v="Lavadora"/>
    <x v="0"/>
    <s v="LG"/>
    <s v="T1769TPJ"/>
    <s v="Panel Digital"/>
    <m/>
    <m/>
    <m/>
    <s v="Censel"/>
    <m/>
    <m/>
    <x v="0"/>
    <x v="0"/>
    <x v="3"/>
    <s v="Disponibilidad de repuesto"/>
    <m/>
    <m/>
    <m/>
    <m/>
    <m/>
    <m/>
    <m/>
  </r>
  <r>
    <n v="303"/>
    <n v="230049"/>
    <x v="2"/>
    <d v="2018-07-17T00:00:00"/>
    <x v="6"/>
    <d v="2018-07-22T00:00:00"/>
    <n v="5"/>
    <x v="1"/>
    <m/>
    <m/>
    <m/>
    <m/>
    <m/>
    <n v="0"/>
    <s v="Repuesto"/>
    <s v="Saga"/>
    <s v="Falabella"/>
    <s v="Consola"/>
    <x v="1"/>
    <s v="Sony"/>
    <s v="CECH-4301C"/>
    <s v="Tarjeta Fuente"/>
    <m/>
    <m/>
    <m/>
    <s v="Electronica Lima Sur"/>
    <m/>
    <m/>
    <x v="0"/>
    <x v="0"/>
    <x v="1"/>
    <m/>
    <m/>
    <s v="19/07/2018 Ajustador realizo compra a otro ST"/>
    <m/>
    <m/>
    <m/>
    <m/>
    <m/>
  </r>
  <r>
    <n v="304"/>
    <n v="230500"/>
    <x v="0"/>
    <d v="2018-07-17T00:00:00"/>
    <x v="6"/>
    <d v="2018-07-30T00:00:00"/>
    <n v="13"/>
    <x v="0"/>
    <m/>
    <m/>
    <n v="959"/>
    <n v="430"/>
    <n v="80"/>
    <n v="471.46000000000004"/>
    <s v="Repuesto"/>
    <s v="Saga"/>
    <s v="Falabella"/>
    <s v="Lavadora"/>
    <x v="0"/>
    <s v="Samsung"/>
    <s v="WA10F5L4WA/PE"/>
    <s v="Caja de Transmision / Pulsator"/>
    <m/>
    <m/>
    <s v="Toralva Flores Jose Manuel"/>
    <s v="Asmat"/>
    <m/>
    <s v="4 dias"/>
    <x v="1"/>
    <x v="1"/>
    <x v="2"/>
    <m/>
    <m/>
    <m/>
    <m/>
    <m/>
    <m/>
    <m/>
    <m/>
  </r>
  <r>
    <n v="305"/>
    <n v="230641"/>
    <x v="4"/>
    <d v="2018-07-17T00:00:00"/>
    <x v="6"/>
    <d v="2018-07-30T00:00:00"/>
    <n v="13"/>
    <x v="0"/>
    <m/>
    <m/>
    <m/>
    <m/>
    <m/>
    <n v="0"/>
    <s v="Repuesto"/>
    <s v="Tiendas Peruanas"/>
    <s v="TP"/>
    <s v="Minicomponente"/>
    <x v="1"/>
    <s v="Phillips"/>
    <s v="NTX800MU/55"/>
    <s v="Sintonizador"/>
    <m/>
    <m/>
    <m/>
    <s v="Celesur"/>
    <m/>
    <m/>
    <x v="0"/>
    <x v="0"/>
    <x v="0"/>
    <s v="Disponibilidad de repuesto"/>
    <m/>
    <m/>
    <m/>
    <m/>
    <m/>
    <m/>
    <m/>
  </r>
  <r>
    <n v="306"/>
    <n v="230828"/>
    <x v="4"/>
    <d v="2018-07-17T00:00:00"/>
    <x v="6"/>
    <d v="2018-07-30T00:00:00"/>
    <n v="13"/>
    <x v="1"/>
    <m/>
    <m/>
    <m/>
    <m/>
    <m/>
    <n v="0"/>
    <s v="Repuesto"/>
    <s v="Tottus"/>
    <s v="Falabella"/>
    <s v="Lavadora"/>
    <x v="0"/>
    <s v="LG"/>
    <s v="T1768TP"/>
    <s v="Pulsator"/>
    <m/>
    <m/>
    <s v="Toralva Flores Jose Manuel"/>
    <s v="Censel"/>
    <m/>
    <s v="4 dias"/>
    <x v="0"/>
    <x v="0"/>
    <x v="1"/>
    <m/>
    <m/>
    <s v="18/07 Ajustador aprobo compra del ST"/>
    <m/>
    <m/>
    <m/>
    <m/>
    <m/>
  </r>
  <r>
    <n v="307"/>
    <n v="231163"/>
    <x v="0"/>
    <d v="2018-07-23T00:00:00"/>
    <x v="6"/>
    <d v="2018-07-28T00:00:00"/>
    <n v="5"/>
    <x v="0"/>
    <m/>
    <m/>
    <m/>
    <m/>
    <m/>
    <n v="0"/>
    <s v="Repuesto"/>
    <s v="Saga"/>
    <s v="Falabella"/>
    <s v="TV Led"/>
    <x v="1"/>
    <s v="Samsung"/>
    <s v="UN65JS9000GXPE"/>
    <s v="Pantalla"/>
    <m/>
    <m/>
    <m/>
    <s v="Ceser Piura"/>
    <m/>
    <m/>
    <x v="0"/>
    <x v="0"/>
    <x v="3"/>
    <s v="Disponibilidad de repuesto"/>
    <m/>
    <m/>
    <m/>
    <m/>
    <m/>
    <m/>
    <m/>
  </r>
  <r>
    <n v="308"/>
    <n v="229952"/>
    <x v="0"/>
    <d v="2018-07-23T00:00:00"/>
    <x v="6"/>
    <d v="2018-07-29T00:00:00"/>
    <n v="6"/>
    <x v="0"/>
    <m/>
    <m/>
    <m/>
    <m/>
    <m/>
    <n v="0"/>
    <s v="Repuesto"/>
    <s v="Saga"/>
    <s v="Falabella"/>
    <s v="TV Led"/>
    <x v="1"/>
    <s v="Samsung"/>
    <s v="UN65HU7200GXPE"/>
    <s v="Pantalla"/>
    <m/>
    <m/>
    <m/>
    <s v="Asmat"/>
    <m/>
    <m/>
    <x v="0"/>
    <x v="0"/>
    <x v="3"/>
    <s v="Disponibilidad de repuesto"/>
    <m/>
    <m/>
    <m/>
    <m/>
    <m/>
    <m/>
    <m/>
  </r>
  <r>
    <n v="309"/>
    <n v="230969"/>
    <x v="0"/>
    <d v="2018-07-23T00:00:00"/>
    <x v="6"/>
    <d v="2018-08-02T00:00:00"/>
    <n v="10"/>
    <x v="0"/>
    <m/>
    <m/>
    <n v="1999"/>
    <n v="135"/>
    <n v="17.5"/>
    <n v="1744.06"/>
    <s v="Repuesto"/>
    <s v="Saga"/>
    <s v="Falabella"/>
    <s v="Control Remoto"/>
    <x v="1"/>
    <s v="Samsung"/>
    <s v="UN49KU6400"/>
    <s v="Control Remoto"/>
    <m/>
    <m/>
    <s v="Reyes Alegre Rosa Isabel"/>
    <s v="Asmat"/>
    <d v="2018-07-26T00:00:00"/>
    <s v="3 dias"/>
    <x v="1"/>
    <x v="1"/>
    <x v="2"/>
    <m/>
    <m/>
    <m/>
    <m/>
    <m/>
    <m/>
    <m/>
    <m/>
  </r>
  <r>
    <n v="310"/>
    <n v="230512"/>
    <x v="0"/>
    <d v="2018-07-23T00:00:00"/>
    <x v="6"/>
    <d v="2018-07-27T00:00:00"/>
    <n v="4"/>
    <x v="0"/>
    <m/>
    <m/>
    <n v="1999"/>
    <n v="85"/>
    <n v="25"/>
    <n v="1794.06"/>
    <s v="Repuesto"/>
    <s v="Saga"/>
    <s v="Falabella"/>
    <s v="Control Remoto"/>
    <x v="1"/>
    <s v="Samsung"/>
    <s v="UN49MU6100"/>
    <s v="Control Remoto"/>
    <m/>
    <m/>
    <s v="Reyes Alegre Rosa Isabel"/>
    <s v="Asmat"/>
    <d v="2018-07-31T00:00:00"/>
    <s v="3 dias"/>
    <x v="1"/>
    <x v="1"/>
    <x v="2"/>
    <m/>
    <m/>
    <m/>
    <m/>
    <m/>
    <m/>
    <m/>
    <m/>
  </r>
  <r>
    <n v="311"/>
    <n v="230324"/>
    <x v="0"/>
    <d v="2018-07-23T00:00:00"/>
    <x v="6"/>
    <d v="2018-07-30T00:00:00"/>
    <n v="7"/>
    <x v="0"/>
    <m/>
    <m/>
    <n v="12609"/>
    <n v="447"/>
    <n v="17.5"/>
    <n v="11405.46"/>
    <s v="Repuesto"/>
    <s v="Saga"/>
    <s v="Falabella"/>
    <s v="Control Remoto"/>
    <x v="1"/>
    <s v="Samsung"/>
    <s v="QN75Q8CAMG"/>
    <s v="Control Remoto"/>
    <m/>
    <m/>
    <s v="Toralva Flores Jose Manuel"/>
    <s v="Asmat"/>
    <d v="2018-07-30T00:00:00"/>
    <s v="5 dias"/>
    <x v="1"/>
    <x v="1"/>
    <x v="2"/>
    <m/>
    <m/>
    <m/>
    <m/>
    <m/>
    <m/>
    <m/>
    <m/>
  </r>
  <r>
    <n v="312"/>
    <n v="231212"/>
    <x v="4"/>
    <d v="2018-07-24T00:00:00"/>
    <x v="6"/>
    <d v="2018-08-04T00:00:00"/>
    <n v="11"/>
    <x v="0"/>
    <m/>
    <m/>
    <m/>
    <m/>
    <m/>
    <n v="0"/>
    <s v="Repuesto"/>
    <s v="Saga"/>
    <s v="Falabella"/>
    <s v="Refrigeradora"/>
    <x v="0"/>
    <s v="LG"/>
    <s v="GT32BPP"/>
    <s v="Tarjeta Principal/Resistencia de Plato"/>
    <m/>
    <m/>
    <s v="Toralva Flores Jose Manuel"/>
    <s v="Ceser Trujillo"/>
    <m/>
    <s v="5 dias"/>
    <x v="0"/>
    <x v="0"/>
    <x v="0"/>
    <s v="Plazo de Reparacion"/>
    <m/>
    <m/>
    <m/>
    <m/>
    <m/>
    <m/>
    <m/>
  </r>
  <r>
    <n v="313"/>
    <n v="231094"/>
    <x v="0"/>
    <d v="2018-07-24T00:00:00"/>
    <x v="6"/>
    <d v="2018-08-05T00:00:00"/>
    <n v="12"/>
    <x v="0"/>
    <m/>
    <m/>
    <m/>
    <m/>
    <m/>
    <n v="0"/>
    <s v="Repuesto"/>
    <s v="Tottus"/>
    <s v="Falabella"/>
    <s v="Minicomponente"/>
    <x v="1"/>
    <s v="LG"/>
    <s v="CM9960-AB.DPERLLB"/>
    <s v="Tarjeta Principal"/>
    <m/>
    <m/>
    <m/>
    <s v="Tecnimax"/>
    <m/>
    <m/>
    <x v="0"/>
    <x v="0"/>
    <x v="0"/>
    <s v="Disponibilidad de repuesto"/>
    <m/>
    <m/>
    <m/>
    <m/>
    <m/>
    <m/>
    <m/>
  </r>
  <r>
    <n v="314"/>
    <n v="231098"/>
    <x v="0"/>
    <d v="2018-07-24T00:00:00"/>
    <x v="6"/>
    <d v="2018-08-08T00:00:00"/>
    <n v="15"/>
    <x v="0"/>
    <m/>
    <m/>
    <m/>
    <n v="578"/>
    <m/>
    <n v="0"/>
    <s v="Repuesto"/>
    <s v="Saga"/>
    <s v="Falabella"/>
    <s v="Refrigeradora"/>
    <x v="0"/>
    <s v="Samsung"/>
    <s v="RS21HKLMR"/>
    <s v="Fabricador de Hielo "/>
    <m/>
    <m/>
    <s v="Toralva Flores Jose Manuel"/>
    <s v="Tecnimax"/>
    <m/>
    <m/>
    <x v="0"/>
    <x v="0"/>
    <x v="0"/>
    <s v="Plazo de Reparacion"/>
    <m/>
    <m/>
    <m/>
    <m/>
    <m/>
    <m/>
    <m/>
  </r>
  <r>
    <n v="315"/>
    <n v="231134"/>
    <x v="0"/>
    <d v="2018-07-24T00:00:00"/>
    <x v="6"/>
    <d v="2018-08-05T00:00:00"/>
    <n v="12"/>
    <x v="0"/>
    <m/>
    <m/>
    <m/>
    <m/>
    <m/>
    <n v="0"/>
    <s v="Repuesto"/>
    <s v="Plaza Vea"/>
    <s v="TP"/>
    <s v="Refrigeradora"/>
    <x v="0"/>
    <s v="Daewoo"/>
    <s v="FRS-PUNTASAL"/>
    <s v="Damper"/>
    <m/>
    <m/>
    <m/>
    <s v="SOS Service"/>
    <m/>
    <m/>
    <x v="0"/>
    <x v="0"/>
    <x v="0"/>
    <s v="Disponibilidad de repuesto"/>
    <m/>
    <m/>
    <m/>
    <m/>
    <m/>
    <m/>
    <m/>
  </r>
  <r>
    <n v="316"/>
    <n v="230818"/>
    <x v="0"/>
    <d v="2018-07-24T00:00:00"/>
    <x v="6"/>
    <d v="2018-08-03T00:00:00"/>
    <n v="10"/>
    <x v="1"/>
    <m/>
    <m/>
    <m/>
    <m/>
    <m/>
    <n v="0"/>
    <s v="Repuesto"/>
    <s v="Saga"/>
    <s v="Falabella"/>
    <s v="Refrigeradora"/>
    <x v="0"/>
    <s v="Daewoo"/>
    <s v="FRS-MANCORA"/>
    <s v="Damper"/>
    <m/>
    <m/>
    <m/>
    <s v="SOS Service"/>
    <m/>
    <m/>
    <x v="0"/>
    <x v="0"/>
    <x v="1"/>
    <m/>
    <m/>
    <s v="25/07 Ajustador aprobo compra de ST"/>
    <m/>
    <m/>
    <m/>
    <m/>
    <m/>
  </r>
  <r>
    <n v="317"/>
    <n v="230266"/>
    <x v="0"/>
    <d v="2018-07-24T00:00:00"/>
    <x v="6"/>
    <d v="2018-08-04T00:00:00"/>
    <n v="11"/>
    <x v="0"/>
    <m/>
    <m/>
    <m/>
    <m/>
    <m/>
    <n v="0"/>
    <s v="Repuesto"/>
    <s v="Saga"/>
    <s v="Falabella"/>
    <s v="Lavavajilla"/>
    <x v="0"/>
    <s v="Bosch"/>
    <s v="LAVAVAJILLAS SMS"/>
    <s v="Tarjeta Principal "/>
    <m/>
    <m/>
    <m/>
    <s v="Seyre"/>
    <m/>
    <m/>
    <x v="0"/>
    <x v="0"/>
    <x v="0"/>
    <s v="Disponibilidad de repuesto"/>
    <m/>
    <m/>
    <m/>
    <m/>
    <m/>
    <m/>
    <m/>
  </r>
  <r>
    <n v="318"/>
    <n v="231090"/>
    <x v="2"/>
    <d v="2018-07-25T00:00:00"/>
    <x v="6"/>
    <d v="2018-07-31T00:00:00"/>
    <n v="6"/>
    <x v="1"/>
    <m/>
    <m/>
    <m/>
    <m/>
    <m/>
    <n v="0"/>
    <s v="Repuesto"/>
    <s v="Saga"/>
    <s v="Falabella"/>
    <s v="Refrigeradora"/>
    <x v="0"/>
    <s v="Samsung"/>
    <s v="RT38FEAKDSL"/>
    <s v="Tarjeta Principal"/>
    <m/>
    <m/>
    <s v="Toralva Flores Jose Manuel"/>
    <s v="Servidoctors"/>
    <m/>
    <m/>
    <x v="0"/>
    <x v="0"/>
    <x v="1"/>
    <m/>
    <m/>
    <s v="31/07 Ajustador anula pedido realiza reparacion con el ST."/>
    <m/>
    <m/>
    <m/>
    <m/>
    <m/>
  </r>
  <r>
    <n v="319"/>
    <n v="230881"/>
    <x v="4"/>
    <d v="2018-07-25T00:00:00"/>
    <x v="6"/>
    <d v="2018-08-02T00:00:00"/>
    <n v="8"/>
    <x v="0"/>
    <m/>
    <m/>
    <n v="1099"/>
    <m/>
    <m/>
    <n v="0"/>
    <s v="Repuesto"/>
    <s v="Saga"/>
    <s v="Falabella"/>
    <s v="All In One"/>
    <x v="2"/>
    <s v="Hp"/>
    <s v="20-E110LA"/>
    <s v="Mainboard / Fan Cooler"/>
    <m/>
    <m/>
    <m/>
    <s v="High Service"/>
    <m/>
    <m/>
    <x v="0"/>
    <x v="0"/>
    <x v="0"/>
    <s v="Disponibilidad de repuesto"/>
    <m/>
    <m/>
    <m/>
    <m/>
    <m/>
    <m/>
    <m/>
  </r>
  <r>
    <n v="320"/>
    <n v="228184"/>
    <x v="4"/>
    <d v="2018-07-25T00:00:00"/>
    <x v="6"/>
    <d v="2018-08-02T00:00:00"/>
    <n v="8"/>
    <x v="1"/>
    <m/>
    <m/>
    <m/>
    <m/>
    <m/>
    <n v="0"/>
    <s v="Repuesto"/>
    <s v="Saga"/>
    <s v="Falabella"/>
    <s v="TV Led"/>
    <x v="1"/>
    <s v="LG"/>
    <s v="55EC9300-SA.AWFVLJR"/>
    <s v="Tarjeta Principal"/>
    <m/>
    <m/>
    <s v="Toralva Flores Jose Manuel"/>
    <s v="Censel"/>
    <m/>
    <s v="4 dias"/>
    <x v="0"/>
    <x v="0"/>
    <x v="1"/>
    <m/>
    <m/>
    <s v="31/07 Ajustador anula pedido tramito la garantia del repuesto con la marca"/>
    <m/>
    <m/>
    <m/>
    <m/>
    <m/>
  </r>
  <r>
    <n v="321"/>
    <n v="230415"/>
    <x v="4"/>
    <d v="2018-07-25T00:00:00"/>
    <x v="6"/>
    <d v="2018-07-29T00:00:00"/>
    <n v="4"/>
    <x v="0"/>
    <m/>
    <m/>
    <m/>
    <m/>
    <m/>
    <n v="0"/>
    <s v="Repuesto"/>
    <s v="Saga"/>
    <s v="Falabella"/>
    <s v="Lavadora"/>
    <x v="0"/>
    <s v="LG"/>
    <s v="TW1203DPE"/>
    <s v="Tarjeta Principal / Tarjeta Sub"/>
    <m/>
    <m/>
    <m/>
    <s v="Sertepi"/>
    <m/>
    <m/>
    <x v="0"/>
    <x v="0"/>
    <x v="0"/>
    <s v="Plazo de Reparacion"/>
    <m/>
    <m/>
    <m/>
    <m/>
    <m/>
    <m/>
    <m/>
  </r>
  <r>
    <n v="322"/>
    <n v="230691"/>
    <x v="0"/>
    <d v="2018-07-26T00:00:00"/>
    <x v="6"/>
    <d v="2018-08-02T00:00:00"/>
    <n v="7"/>
    <x v="0"/>
    <m/>
    <m/>
    <m/>
    <m/>
    <m/>
    <n v="0"/>
    <s v="Repuesto"/>
    <s v="Saga"/>
    <s v="Falabella"/>
    <s v="TV Led"/>
    <x v="1"/>
    <s v="Samsung"/>
    <s v="UN50JU6500GXPE"/>
    <s v="Tarjeta Principal"/>
    <m/>
    <m/>
    <s v="Toralva Flores Jose Manuel"/>
    <s v="Mv Autoservicios"/>
    <m/>
    <s v="4 dias"/>
    <x v="0"/>
    <x v="0"/>
    <x v="0"/>
    <s v="Costo de la reparacion"/>
    <m/>
    <m/>
    <m/>
    <m/>
    <m/>
    <m/>
    <m/>
  </r>
  <r>
    <n v="323"/>
    <n v="230952"/>
    <x v="2"/>
    <d v="2018-07-26T00:00:00"/>
    <x v="6"/>
    <d v="2018-08-03T00:00:00"/>
    <n v="8"/>
    <x v="0"/>
    <m/>
    <m/>
    <m/>
    <m/>
    <m/>
    <n v="0"/>
    <s v="Repuesto"/>
    <s v="Saga"/>
    <s v="Falabella"/>
    <s v="TV Led"/>
    <x v="1"/>
    <s v="Sony"/>
    <s v="KDL-50W805B"/>
    <s v="Pantalla"/>
    <m/>
    <m/>
    <m/>
    <s v="Electronica Lima Sur"/>
    <m/>
    <m/>
    <x v="0"/>
    <x v="0"/>
    <x v="0"/>
    <s v="Disponibilidad de repuesto"/>
    <m/>
    <m/>
    <m/>
    <m/>
    <m/>
    <m/>
    <m/>
  </r>
  <r>
    <n v="324"/>
    <n v="230166"/>
    <x v="2"/>
    <d v="2018-07-26T00:00:00"/>
    <x v="6"/>
    <d v="2018-07-31T00:00:00"/>
    <n v="5"/>
    <x v="0"/>
    <m/>
    <m/>
    <m/>
    <m/>
    <m/>
    <n v="0"/>
    <s v="Repuesto"/>
    <s v="Saga"/>
    <s v="Falabella"/>
    <s v="Lavadora"/>
    <x v="0"/>
    <s v="Samsung"/>
    <s v="WD11K64100X/PE"/>
    <s v="Puerta / Gasket"/>
    <m/>
    <m/>
    <m/>
    <s v="Servidoctors"/>
    <m/>
    <m/>
    <x v="0"/>
    <x v="0"/>
    <x v="0"/>
    <s v="Plazo de Reparacion"/>
    <m/>
    <m/>
    <m/>
    <m/>
    <m/>
    <m/>
    <m/>
  </r>
  <r>
    <n v="325"/>
    <n v="231451"/>
    <x v="4"/>
    <d v="2018-07-30T00:00:00"/>
    <x v="6"/>
    <d v="2018-08-10T00:00:00"/>
    <n v="11"/>
    <x v="0"/>
    <m/>
    <m/>
    <m/>
    <m/>
    <m/>
    <n v="0"/>
    <s v="Repuesto"/>
    <s v="Saga"/>
    <s v="Falabella"/>
    <s v="Minicomponente"/>
    <x v="1"/>
    <s v="Phillips"/>
    <s v="FX70/55"/>
    <s v="Lector Optico"/>
    <m/>
    <m/>
    <m/>
    <s v="Sertepi"/>
    <m/>
    <m/>
    <x v="0"/>
    <x v="0"/>
    <x v="0"/>
    <s v="Disponibilidad de repuesto"/>
    <m/>
    <m/>
    <m/>
    <m/>
    <m/>
    <m/>
    <m/>
  </r>
  <r>
    <n v="326"/>
    <n v="230758"/>
    <x v="4"/>
    <d v="2018-07-30T00:00:00"/>
    <x v="6"/>
    <d v="2018-08-02T00:00:00"/>
    <n v="3"/>
    <x v="0"/>
    <m/>
    <m/>
    <n v="1219"/>
    <m/>
    <m/>
    <n v="0"/>
    <s v="Repuesto"/>
    <s v="Saga"/>
    <s v="Falabella"/>
    <s v="Minicomponente"/>
    <x v="1"/>
    <s v="Sony"/>
    <s v="HCD-SHAKE33"/>
    <s v="Tarjeta Principal"/>
    <m/>
    <m/>
    <m/>
    <s v="Censel"/>
    <m/>
    <m/>
    <x v="0"/>
    <x v="0"/>
    <x v="0"/>
    <s v="Costo de la reparacion"/>
    <m/>
    <m/>
    <m/>
    <m/>
    <m/>
    <m/>
    <m/>
  </r>
  <r>
    <n v="327"/>
    <n v="231376"/>
    <x v="0"/>
    <d v="2018-08-01T00:00:00"/>
    <x v="7"/>
    <d v="2018-08-10T00:00:00"/>
    <n v="9"/>
    <x v="0"/>
    <m/>
    <m/>
    <n v="4399"/>
    <n v="1980"/>
    <n v="80"/>
    <n v="2155.0600000000004"/>
    <s v="Repuesto"/>
    <s v="Saga"/>
    <s v="Falabella"/>
    <s v="Lavaseca"/>
    <x v="0"/>
    <s v="Samsung"/>
    <s v="WD22H9600KG/PE"/>
    <s v="Panel Tactil / Dispensador de Detergente"/>
    <m/>
    <m/>
    <s v="Toralva Flores Jose Manuel"/>
    <s v="Asmat"/>
    <d v="2018-08-02T00:00:00"/>
    <s v="5 dias"/>
    <x v="1"/>
    <x v="1"/>
    <x v="2"/>
    <m/>
    <m/>
    <m/>
    <m/>
    <m/>
    <m/>
    <m/>
    <m/>
  </r>
  <r>
    <n v="328"/>
    <n v="231639"/>
    <x v="0"/>
    <d v="2018-08-01T00:00:00"/>
    <x v="7"/>
    <d v="2018-08-12T00:00:00"/>
    <n v="11"/>
    <x v="0"/>
    <m/>
    <m/>
    <n v="999"/>
    <m/>
    <m/>
    <n v="0"/>
    <s v="Repuesto"/>
    <s v="Saga"/>
    <s v="Falabella"/>
    <s v="Minicomponente"/>
    <x v="1"/>
    <s v="Phillips"/>
    <s v="FX70/55"/>
    <s v="Tarjeta Amplificadora"/>
    <m/>
    <m/>
    <s v="Reyes Alegre Rosa Isabel"/>
    <s v="Serviteco"/>
    <d v="2018-08-03T00:00:00"/>
    <s v="4 dias"/>
    <x v="0"/>
    <x v="0"/>
    <x v="0"/>
    <s v="Disponibilidad de repuesto"/>
    <m/>
    <s v="13/08 Se informa ajustador que el repuesto llego DOA, no hay disponibilidad "/>
    <m/>
    <m/>
    <m/>
    <m/>
    <m/>
  </r>
  <r>
    <n v="329"/>
    <n v="231745"/>
    <x v="0"/>
    <d v="2018-08-02T00:00:00"/>
    <x v="7"/>
    <d v="2018-08-14T00:00:00"/>
    <n v="12"/>
    <x v="1"/>
    <m/>
    <m/>
    <m/>
    <m/>
    <m/>
    <n v="0"/>
    <s v="Repuesto"/>
    <s v="Tottus"/>
    <s v="Falabella"/>
    <s v="Lavadora"/>
    <x v="0"/>
    <s v="Daewoo"/>
    <s v="DWC-110W"/>
    <s v="Tarjeta Principal/Presostato"/>
    <m/>
    <m/>
    <m/>
    <s v="Sos Service"/>
    <m/>
    <m/>
    <x v="0"/>
    <x v="0"/>
    <x v="1"/>
    <m/>
    <m/>
    <s v="03/08 Ajustador anula pedido repuesto comprado a Servidoctors"/>
    <m/>
    <m/>
    <m/>
    <m/>
    <m/>
  </r>
  <r>
    <n v="330"/>
    <n v="232246"/>
    <x v="0"/>
    <d v="2018-08-06T00:00:00"/>
    <x v="7"/>
    <d v="2018-08-18T00:00:00"/>
    <n v="12"/>
    <x v="0"/>
    <m/>
    <m/>
    <n v="1999"/>
    <m/>
    <m/>
    <n v="0"/>
    <s v="Repuesto"/>
    <s v="Saga"/>
    <s v="Falabella"/>
    <s v="Lavadora"/>
    <x v="0"/>
    <s v="Whirlpool"/>
    <s v="4GWTW4800YQ1"/>
    <s v="Tarjeta Principal"/>
    <m/>
    <m/>
    <m/>
    <s v="Serfac"/>
    <m/>
    <m/>
    <x v="0"/>
    <x v="0"/>
    <x v="0"/>
    <s v="Disponibilidad de repuesto"/>
    <m/>
    <m/>
    <m/>
    <m/>
    <m/>
    <m/>
    <m/>
  </r>
  <r>
    <n v="331"/>
    <n v="232379"/>
    <x v="0"/>
    <d v="2018-08-06T00:00:00"/>
    <x v="7"/>
    <d v="2018-08-18T00:00:00"/>
    <n v="12"/>
    <x v="0"/>
    <m/>
    <m/>
    <n v="899"/>
    <n v="430"/>
    <n v="80"/>
    <n v="415.05999999999995"/>
    <s v="Repuesto"/>
    <s v="Saga"/>
    <s v="Falabella"/>
    <s v="Lavadora"/>
    <x v="0"/>
    <s v="Electrolux"/>
    <s v="EWLI142MSLW"/>
    <s v="Caja de Transmision"/>
    <m/>
    <m/>
    <s v="MV Autoservicios"/>
    <s v="Ceser Cusco"/>
    <d v="2018-08-13T00:00:00"/>
    <s v="6 dias"/>
    <x v="1"/>
    <x v="1"/>
    <x v="2"/>
    <m/>
    <m/>
    <m/>
    <m/>
    <m/>
    <m/>
    <m/>
    <m/>
  </r>
  <r>
    <n v="332"/>
    <n v="232663"/>
    <x v="4"/>
    <d v="2018-08-06T00:00:00"/>
    <x v="7"/>
    <d v="2018-09-14T00:00:00"/>
    <n v="39"/>
    <x v="0"/>
    <m/>
    <m/>
    <n v="14999"/>
    <m/>
    <m/>
    <n v="0"/>
    <s v="Repuesto"/>
    <s v="Plaza Vea"/>
    <s v="TP"/>
    <s v="TV Led"/>
    <x v="1"/>
    <s v="LG"/>
    <s v="55EC9300-SA.AWFWLJR"/>
    <s v="Pantalla/Tarjeta Principal"/>
    <m/>
    <m/>
    <m/>
    <s v="Servited"/>
    <m/>
    <m/>
    <x v="0"/>
    <x v="0"/>
    <x v="0"/>
    <s v="Disponibilidad de repuesto"/>
    <m/>
    <m/>
    <m/>
    <m/>
    <m/>
    <m/>
    <m/>
  </r>
  <r>
    <n v="333"/>
    <n v="231521"/>
    <x v="4"/>
    <d v="2018-08-06T00:00:00"/>
    <x v="7"/>
    <d v="2018-08-11T00:00:00"/>
    <n v="5"/>
    <x v="0"/>
    <m/>
    <m/>
    <n v="3799"/>
    <m/>
    <m/>
    <n v="0"/>
    <s v="Repuesto"/>
    <s v="Saga"/>
    <s v="Falabella"/>
    <s v="Laptop"/>
    <x v="2"/>
    <s v="Hp"/>
    <s v="15-AX001LA"/>
    <s v="Mainboard"/>
    <m/>
    <m/>
    <m/>
    <s v="High Service"/>
    <m/>
    <m/>
    <x v="0"/>
    <x v="0"/>
    <x v="0"/>
    <s v="Disponibilidad de repuesto"/>
    <m/>
    <m/>
    <m/>
    <m/>
    <m/>
    <m/>
    <m/>
  </r>
  <r>
    <n v="334"/>
    <n v="231979"/>
    <x v="4"/>
    <d v="2018-08-06T00:00:00"/>
    <x v="7"/>
    <d v="2018-08-21T00:00:00"/>
    <n v="15"/>
    <x v="0"/>
    <m/>
    <m/>
    <n v="999"/>
    <m/>
    <m/>
    <n v="0"/>
    <s v="Repuesto"/>
    <s v="Tiendas Peruanas"/>
    <s v="TP"/>
    <s v="TV Led"/>
    <x v="1"/>
    <s v="AOC"/>
    <s v="LE43F1761"/>
    <s v="Pantalla"/>
    <m/>
    <m/>
    <m/>
    <s v="CVC Servicios"/>
    <m/>
    <m/>
    <x v="0"/>
    <x v="0"/>
    <x v="0"/>
    <s v="Disponibilidad de repuesto"/>
    <m/>
    <m/>
    <m/>
    <m/>
    <m/>
    <m/>
    <m/>
  </r>
  <r>
    <n v="335"/>
    <n v="232109"/>
    <x v="4"/>
    <d v="2018-08-06T00:00:00"/>
    <x v="7"/>
    <d v="2018-08-17T00:00:00"/>
    <n v="11"/>
    <x v="0"/>
    <m/>
    <m/>
    <n v="2450"/>
    <m/>
    <m/>
    <n v="0"/>
    <s v="Repuesto"/>
    <s v="Saga"/>
    <s v="Falabella"/>
    <s v="TV Led"/>
    <x v="1"/>
    <s v="LG"/>
    <s v="47LB6500-SF.BWFWLJR"/>
    <s v="Pantalla"/>
    <m/>
    <m/>
    <m/>
    <s v="Censel"/>
    <m/>
    <m/>
    <x v="0"/>
    <x v="0"/>
    <x v="0"/>
    <s v="Disponibilidad de repuesto"/>
    <m/>
    <m/>
    <m/>
    <m/>
    <m/>
    <m/>
    <m/>
  </r>
  <r>
    <n v="336"/>
    <n v="231438"/>
    <x v="4"/>
    <d v="2018-08-06T00:00:00"/>
    <x v="7"/>
    <d v="2018-08-17T00:00:00"/>
    <n v="11"/>
    <x v="0"/>
    <m/>
    <m/>
    <n v="1999"/>
    <m/>
    <m/>
    <n v="0"/>
    <s v="Repuesto"/>
    <s v="Tottus"/>
    <s v="Falabella"/>
    <s v="Minicomponente"/>
    <x v="1"/>
    <s v="LG"/>
    <s v="CM9740-AB.DPERLLC"/>
    <s v="Tarjeta Principal"/>
    <m/>
    <m/>
    <m/>
    <s v="Censel"/>
    <m/>
    <m/>
    <x v="0"/>
    <x v="0"/>
    <x v="0"/>
    <s v="Disponibilidad de repuesto"/>
    <m/>
    <m/>
    <m/>
    <m/>
    <m/>
    <m/>
    <m/>
  </r>
  <r>
    <n v="337"/>
    <n v="232475"/>
    <x v="4"/>
    <d v="2018-08-06T00:00:00"/>
    <x v="7"/>
    <d v="2018-08-20T00:00:00"/>
    <n v="14"/>
    <x v="0"/>
    <m/>
    <m/>
    <n v="1649"/>
    <m/>
    <m/>
    <n v="0"/>
    <s v="Monto"/>
    <s v="Saga"/>
    <s v="Falabella"/>
    <s v="TV Led"/>
    <x v="1"/>
    <s v="LG"/>
    <s v="49LF5900-SB.BWFYLJM"/>
    <s v="Pantalla"/>
    <m/>
    <m/>
    <m/>
    <s v="Censel"/>
    <m/>
    <m/>
    <x v="0"/>
    <x v="0"/>
    <x v="0"/>
    <s v="Disponibilidad de repuesto"/>
    <m/>
    <m/>
    <m/>
    <m/>
    <m/>
    <m/>
    <m/>
  </r>
  <r>
    <n v="338"/>
    <n v="232458"/>
    <x v="4"/>
    <d v="2018-08-06T00:00:00"/>
    <x v="7"/>
    <d v="2018-08-20T00:00:00"/>
    <n v="14"/>
    <x v="0"/>
    <m/>
    <m/>
    <n v="1499"/>
    <m/>
    <m/>
    <n v="0"/>
    <s v="Monto"/>
    <s v="Tottus"/>
    <s v="Falabella"/>
    <s v="TV Led"/>
    <x v="1"/>
    <s v="LG"/>
    <s v="43UH6100-SJ.AWFWLJM"/>
    <s v="Pantalla"/>
    <m/>
    <m/>
    <m/>
    <s v="Censel"/>
    <m/>
    <m/>
    <x v="0"/>
    <x v="0"/>
    <x v="0"/>
    <s v="Disponibilidad de repuesto"/>
    <m/>
    <m/>
    <m/>
    <m/>
    <m/>
    <m/>
    <m/>
  </r>
  <r>
    <n v="339"/>
    <n v="231028"/>
    <x v="0"/>
    <d v="2018-08-07T00:00:00"/>
    <x v="7"/>
    <d v="2018-08-18T00:00:00"/>
    <n v="11"/>
    <x v="0"/>
    <m/>
    <m/>
    <n v="2100"/>
    <n v="134"/>
    <n v="25"/>
    <n v="1840"/>
    <s v="Repuesto"/>
    <s v="Saga"/>
    <s v="Falabella"/>
    <s v="Control Remoto"/>
    <x v="1"/>
    <s v="Samsung"/>
    <s v="UN48JU6700GXPE"/>
    <s v="Control Remoto"/>
    <m/>
    <m/>
    <s v="Toralva Flores Jose Manuel"/>
    <s v="Tecnimax"/>
    <d v="2018-08-09T00:00:00"/>
    <s v="4 dias"/>
    <x v="1"/>
    <x v="1"/>
    <x v="2"/>
    <m/>
    <m/>
    <m/>
    <m/>
    <m/>
    <m/>
    <m/>
    <m/>
  </r>
  <r>
    <n v="340"/>
    <n v="231359"/>
    <x v="0"/>
    <d v="2018-08-07T00:00:00"/>
    <x v="7"/>
    <d v="2018-08-09T00:00:00"/>
    <n v="2"/>
    <x v="0"/>
    <m/>
    <m/>
    <n v="3999"/>
    <n v="1079"/>
    <n v="160"/>
    <n v="2680.06"/>
    <s v="Repuesto"/>
    <s v="Saga"/>
    <s v="Falabella"/>
    <s v="Lavadora"/>
    <x v="0"/>
    <s v="Samsung"/>
    <s v="WD22H9600KG/PE"/>
    <s v="Tarjeta Principal/Inverter/Switch"/>
    <m/>
    <m/>
    <s v="Toralva Flores Jose Manuel"/>
    <s v="Mezaran"/>
    <d v="2018-08-09T00:00:00"/>
    <s v="4 dias"/>
    <x v="1"/>
    <x v="1"/>
    <x v="2"/>
    <m/>
    <m/>
    <m/>
    <m/>
    <m/>
    <m/>
    <m/>
    <m/>
  </r>
  <r>
    <n v="341"/>
    <n v="231969"/>
    <x v="0"/>
    <d v="2018-08-07T00:00:00"/>
    <x v="7"/>
    <d v="2018-08-14T00:00:00"/>
    <n v="7"/>
    <x v="1"/>
    <m/>
    <m/>
    <m/>
    <m/>
    <m/>
    <n v="0"/>
    <s v="Repuesto"/>
    <s v="Saga"/>
    <s v="Falabella"/>
    <s v="Lavadora"/>
    <x v="0"/>
    <s v="Daewoo"/>
    <s v="GPL.CYBERDRUM 19"/>
    <s v="Motor Sincronico"/>
    <m/>
    <m/>
    <m/>
    <s v="SOS Service"/>
    <m/>
    <m/>
    <x v="0"/>
    <x v="0"/>
    <x v="1"/>
    <m/>
    <m/>
    <s v="07/08 Ajustador aprueba compra de Servidoctors"/>
    <m/>
    <m/>
    <m/>
    <m/>
    <m/>
  </r>
  <r>
    <n v="342"/>
    <n v="231791"/>
    <x v="2"/>
    <d v="2018-08-07T00:00:00"/>
    <x v="7"/>
    <d v="2018-08-14T00:00:00"/>
    <n v="7"/>
    <x v="0"/>
    <m/>
    <m/>
    <n v="1721"/>
    <n v="290"/>
    <n v="232"/>
    <n v="1327.74"/>
    <s v="Repuesto"/>
    <s v="Saga"/>
    <s v="Falabella"/>
    <s v="Lavadora"/>
    <x v="0"/>
    <s v="Samsung"/>
    <s v="WA16FL8DTA/PE"/>
    <s v="Amortiguadores"/>
    <m/>
    <m/>
    <s v="Toralva Flores Jose Manuel"/>
    <s v="Multiservicios Generales"/>
    <d v="2018-08-08T00:00:00"/>
    <s v="3 dias"/>
    <x v="1"/>
    <x v="1"/>
    <x v="2"/>
    <m/>
    <m/>
    <m/>
    <m/>
    <m/>
    <m/>
    <m/>
    <m/>
  </r>
  <r>
    <n v="343"/>
    <n v="231965"/>
    <x v="4"/>
    <d v="2018-08-07T00:00:00"/>
    <x v="7"/>
    <d v="2018-08-22T00:00:00"/>
    <n v="15"/>
    <x v="1"/>
    <m/>
    <m/>
    <m/>
    <m/>
    <m/>
    <n v="0"/>
    <s v="Monto"/>
    <s v="Saga"/>
    <s v="Falabella"/>
    <s v="TV Led"/>
    <x v="1"/>
    <s v="LG"/>
    <s v="32LF550B.SD.BWFYLJM"/>
    <s v="Tarjeta Principal"/>
    <m/>
    <m/>
    <m/>
    <s v="Censel"/>
    <m/>
    <m/>
    <x v="0"/>
    <x v="0"/>
    <x v="1"/>
    <m/>
    <m/>
    <s v="10/08 Datos erroneos"/>
    <m/>
    <m/>
    <m/>
    <m/>
    <m/>
  </r>
  <r>
    <n v="344"/>
    <n v="232502"/>
    <x v="4"/>
    <d v="2018-08-07T00:00:00"/>
    <x v="7"/>
    <d v="2018-08-22T00:00:00"/>
    <n v="15"/>
    <x v="1"/>
    <m/>
    <m/>
    <m/>
    <m/>
    <m/>
    <n v="0"/>
    <s v="Repuesto"/>
    <s v="Saga"/>
    <s v="Falabella"/>
    <s v="Laptop"/>
    <x v="2"/>
    <s v="Hp"/>
    <s v=" 15-AW003LA"/>
    <s v="Mainboard"/>
    <m/>
    <m/>
    <m/>
    <s v="Binar Tec"/>
    <m/>
    <m/>
    <x v="0"/>
    <x v="0"/>
    <x v="1"/>
    <m/>
    <m/>
    <s v="10/08 Ajustador aprueba compra del ST"/>
    <m/>
    <m/>
    <m/>
    <m/>
    <m/>
  </r>
  <r>
    <n v="345"/>
    <n v="232375"/>
    <x v="0"/>
    <d v="2018-08-08T00:00:00"/>
    <x v="7"/>
    <d v="2018-08-22T00:00:00"/>
    <n v="14"/>
    <x v="0"/>
    <m/>
    <m/>
    <n v="799"/>
    <n v="230"/>
    <m/>
    <n v="0"/>
    <s v="Repuesto"/>
    <s v="Saga"/>
    <s v="Falabella"/>
    <s v="Lavadora"/>
    <x v="0"/>
    <s v="Electrolux"/>
    <s v="EWI12D2CPMG"/>
    <s v="Amortiguadores"/>
    <m/>
    <m/>
    <s v="Toralva Flores Jose Manuel"/>
    <s v="Serfac"/>
    <m/>
    <s v="3 dias"/>
    <x v="0"/>
    <x v="0"/>
    <x v="0"/>
    <s v="Costo de la reparacion"/>
    <m/>
    <m/>
    <m/>
    <m/>
    <m/>
    <m/>
    <m/>
  </r>
  <r>
    <n v="346"/>
    <n v="231703"/>
    <x v="0"/>
    <d v="2018-08-08T00:00:00"/>
    <x v="7"/>
    <d v="2018-08-17T00:00:00"/>
    <n v="9"/>
    <x v="0"/>
    <m/>
    <m/>
    <n v="649"/>
    <n v="230"/>
    <m/>
    <n v="0"/>
    <s v="Repuesto"/>
    <s v="Saga"/>
    <s v="Falabella"/>
    <s v="Lavadora"/>
    <x v="0"/>
    <s v="Electrolux"/>
    <s v="EWI12D2COMW"/>
    <s v="Amortiguadores"/>
    <m/>
    <m/>
    <s v="Toralva Flores Jose Manuel"/>
    <s v="Serfac"/>
    <m/>
    <s v="3 dias"/>
    <x v="0"/>
    <x v="0"/>
    <x v="0"/>
    <s v="Costo de la reparacion"/>
    <m/>
    <m/>
    <m/>
    <m/>
    <m/>
    <m/>
    <m/>
  </r>
  <r>
    <n v="347"/>
    <n v="232412"/>
    <x v="0"/>
    <d v="2018-08-08T00:00:00"/>
    <x v="7"/>
    <d v="2018-08-24T00:00:00"/>
    <n v="16"/>
    <x v="0"/>
    <m/>
    <m/>
    <n v="899"/>
    <n v="230"/>
    <n v="100"/>
    <n v="0"/>
    <s v="Repuesto"/>
    <s v="Saga"/>
    <s v="Falabella"/>
    <s v="Lavadora"/>
    <x v="0"/>
    <s v="Electrolux"/>
    <s v="EWI12D2CPMG"/>
    <s v="Amortiguadores / Barra Estibilizadora"/>
    <m/>
    <m/>
    <s v="Toralva Flores Jose Manuel"/>
    <s v="Serfac"/>
    <d v="2018-08-13T00:00:00"/>
    <s v="3 dias"/>
    <x v="0"/>
    <x v="0"/>
    <x v="0"/>
    <s v="Disponibilidad de repuesto"/>
    <m/>
    <s v="22/08 Amortiguadores llegaron errados por ello no es factible reparacion"/>
    <m/>
    <m/>
    <m/>
    <m/>
    <m/>
  </r>
  <r>
    <n v="348"/>
    <n v="232180"/>
    <x v="2"/>
    <d v="2018-08-09T00:00:00"/>
    <x v="7"/>
    <d v="2018-08-18T00:00:00"/>
    <n v="9"/>
    <x v="0"/>
    <m/>
    <m/>
    <n v="6204"/>
    <m/>
    <m/>
    <n v="0"/>
    <s v="Repuesto"/>
    <s v="Saga"/>
    <s v="Falabella"/>
    <s v="Refrigeradora"/>
    <x v="0"/>
    <s v="Samsung"/>
    <s v="RF263BEAE3L"/>
    <s v="Tarjeta Principal "/>
    <m/>
    <m/>
    <m/>
    <s v="Ok House"/>
    <m/>
    <m/>
    <x v="0"/>
    <x v="0"/>
    <x v="0"/>
    <s v="Disponibilidad de repuesto"/>
    <m/>
    <m/>
    <m/>
    <m/>
    <m/>
    <m/>
    <m/>
  </r>
  <r>
    <n v="349"/>
    <n v="232622"/>
    <x v="0"/>
    <d v="2018-08-09T00:00:00"/>
    <x v="7"/>
    <d v="2018-08-24T00:00:00"/>
    <n v="15"/>
    <x v="0"/>
    <m/>
    <m/>
    <n v="1488"/>
    <m/>
    <m/>
    <n v="0"/>
    <s v="Repuesto"/>
    <s v="Saga"/>
    <s v="Falabella"/>
    <s v="Lavadora"/>
    <x v="0"/>
    <s v="Daewoo"/>
    <s v="DWC-LD11W"/>
    <s v="Motor Ventilador / Tarjeta Principal"/>
    <m/>
    <m/>
    <m/>
    <s v="SOS Service"/>
    <m/>
    <m/>
    <x v="0"/>
    <x v="0"/>
    <x v="0"/>
    <s v="Disponibilidad de repuesto"/>
    <m/>
    <m/>
    <m/>
    <m/>
    <m/>
    <m/>
    <m/>
  </r>
  <r>
    <n v="350"/>
    <n v="232906"/>
    <x v="0"/>
    <d v="2018-08-09T00:00:00"/>
    <x v="7"/>
    <d v="2018-08-25T00:00:00"/>
    <n v="16"/>
    <x v="1"/>
    <m/>
    <m/>
    <m/>
    <m/>
    <m/>
    <n v="0"/>
    <s v="Repuesto"/>
    <s v="Saga"/>
    <s v="Falabella"/>
    <s v="Lavadora"/>
    <x v="0"/>
    <s v="Samsung"/>
    <s v="WA15J57301S/PE"/>
    <s v="Pulsator"/>
    <m/>
    <m/>
    <m/>
    <s v="Mezaran"/>
    <m/>
    <m/>
    <x v="0"/>
    <x v="0"/>
    <x v="1"/>
    <m/>
    <m/>
    <s v="09/08 Se anula pedido ajustador aprueba compra de St"/>
    <m/>
    <m/>
    <m/>
    <m/>
    <m/>
  </r>
  <r>
    <n v="351"/>
    <n v="232038"/>
    <x v="4"/>
    <d v="2018-08-09T00:00:00"/>
    <x v="7"/>
    <d v="2018-08-17T00:00:00"/>
    <n v="8"/>
    <x v="0"/>
    <m/>
    <m/>
    <n v="1599"/>
    <n v="265"/>
    <n v="160"/>
    <n v="1238.06"/>
    <s v="Repuesto"/>
    <s v="Tottus"/>
    <s v="Falabella"/>
    <s v="TV Led"/>
    <x v="1"/>
    <s v="LG"/>
    <s v="42LF5850-SE.BWFYLJM"/>
    <s v="Tarjeta Principal"/>
    <m/>
    <m/>
    <s v="Toralva Flores Jose Manuel"/>
    <s v="Censel"/>
    <m/>
    <s v="3 dias"/>
    <x v="1"/>
    <x v="1"/>
    <x v="2"/>
    <m/>
    <m/>
    <s v="*brigitte*20/08 es un reemplazo que si le da"/>
    <m/>
    <m/>
    <m/>
    <m/>
    <m/>
  </r>
  <r>
    <n v="352"/>
    <n v="232464"/>
    <x v="0"/>
    <d v="2018-08-13T00:00:00"/>
    <x v="7"/>
    <d v="2018-08-21T00:00:00"/>
    <n v="8"/>
    <x v="0"/>
    <m/>
    <m/>
    <n v="899"/>
    <n v="350"/>
    <n v="120"/>
    <n v="0"/>
    <s v="Repuesto"/>
    <s v="Saga"/>
    <s v="Falabella"/>
    <s v="Lavadora"/>
    <x v="0"/>
    <s v="Electrolux"/>
    <s v="EWI12D2CGMG"/>
    <s v="Caja de Transmision"/>
    <m/>
    <m/>
    <s v="Reyes Alegre Rosa Isabel"/>
    <s v="Serfac"/>
    <d v="2018-08-16T00:00:00"/>
    <s v="4 dias"/>
    <x v="0"/>
    <x v="0"/>
    <x v="0"/>
    <s v="Disponibilidad de repuesto"/>
    <m/>
    <s v="21/08 se logra conseguir la caja a traves de Reyes Alegre  *20/08 ajustador aprueba la caja de segunda, no hay disponibilidad * brigitte * 20/08 no hay disponibilidad nueva solo hay de segunda 250 "/>
    <m/>
    <m/>
    <m/>
    <m/>
    <m/>
  </r>
  <r>
    <n v="353"/>
    <n v="232079"/>
    <x v="4"/>
    <d v="2018-08-14T00:00:00"/>
    <x v="7"/>
    <d v="2018-08-17T00:00:00"/>
    <n v="3"/>
    <x v="1"/>
    <m/>
    <m/>
    <m/>
    <m/>
    <m/>
    <n v="0"/>
    <s v="Repuesto"/>
    <s v="Saga"/>
    <s v="Falabella"/>
    <s v="Lavadora"/>
    <x v="0"/>
    <s v="LG"/>
    <s v="TS1600DPS"/>
    <s v="Tarjeta Principal"/>
    <m/>
    <m/>
    <m/>
    <s v="Censel"/>
    <m/>
    <m/>
    <x v="0"/>
    <x v="0"/>
    <x v="1"/>
    <m/>
    <m/>
    <s v="15/08 Ajustador aprueba compra al ST"/>
    <m/>
    <m/>
    <m/>
    <m/>
    <m/>
  </r>
  <r>
    <n v="354"/>
    <n v="232321"/>
    <x v="4"/>
    <d v="2018-08-14T00:00:00"/>
    <x v="7"/>
    <d v="2018-08-19T00:00:00"/>
    <n v="5"/>
    <x v="1"/>
    <m/>
    <m/>
    <m/>
    <m/>
    <m/>
    <n v="0"/>
    <s v="Repuesto"/>
    <s v="Saga"/>
    <s v="Falabella"/>
    <s v="Lavadora"/>
    <x v="0"/>
    <s v="LG"/>
    <s v="TS1800DPS"/>
    <s v="Caja de Transmision"/>
    <m/>
    <m/>
    <m/>
    <s v="Censel"/>
    <m/>
    <m/>
    <x v="0"/>
    <x v="0"/>
    <x v="1"/>
    <m/>
    <m/>
    <s v="15/08 Ajustador aprueba compra al ST"/>
    <m/>
    <m/>
    <m/>
    <m/>
    <m/>
  </r>
  <r>
    <n v="355"/>
    <n v="232451"/>
    <x v="4"/>
    <d v="2018-08-14T00:00:00"/>
    <x v="7"/>
    <d v="2018-08-21T00:00:00"/>
    <n v="7"/>
    <x v="1"/>
    <m/>
    <m/>
    <m/>
    <m/>
    <m/>
    <n v="0"/>
    <s v="Repuesto"/>
    <s v="Tiendas Peruanas"/>
    <s v="TP"/>
    <s v="TV Led"/>
    <x v="1"/>
    <s v="LG"/>
    <s v="55UH8500-SA.BWFWLJR"/>
    <s v="Pantalla"/>
    <m/>
    <m/>
    <m/>
    <s v="Censel"/>
    <m/>
    <m/>
    <x v="0"/>
    <x v="0"/>
    <x v="1"/>
    <m/>
    <m/>
    <s v="16/08 Ajustador aprueba compra al ST"/>
    <m/>
    <m/>
    <m/>
    <m/>
    <m/>
  </r>
  <r>
    <n v="356"/>
    <n v="232654"/>
    <x v="2"/>
    <d v="2018-08-14T00:00:00"/>
    <x v="7"/>
    <d v="2018-08-26T00:00:00"/>
    <n v="12"/>
    <x v="1"/>
    <m/>
    <m/>
    <m/>
    <m/>
    <m/>
    <n v="0"/>
    <s v="Repuesto"/>
    <s v="Tiendas Peruanas"/>
    <s v="TP"/>
    <s v="Lavadora"/>
    <x v="0"/>
    <s v="Samsung"/>
    <s v="WA15J5750LP/PE"/>
    <s v="Amortiguadores"/>
    <m/>
    <m/>
    <m/>
    <s v="Multiservicios Generales"/>
    <m/>
    <m/>
    <x v="0"/>
    <x v="0"/>
    <x v="1"/>
    <m/>
    <m/>
    <s v="15/08 Ajustador aprueba compra del ST"/>
    <m/>
    <m/>
    <m/>
    <m/>
    <m/>
  </r>
  <r>
    <n v="357"/>
    <n v="233101"/>
    <x v="0"/>
    <d v="2018-08-15T00:00:00"/>
    <x v="7"/>
    <d v="2018-09-02T00:00:00"/>
    <n v="18"/>
    <x v="0"/>
    <m/>
    <m/>
    <n v="751"/>
    <m/>
    <m/>
    <n v="0"/>
    <s v="Repuesto"/>
    <s v="Tiendas Peruanas"/>
    <s v="TP"/>
    <s v="Lavadora"/>
    <x v="0"/>
    <s v="Electrolux"/>
    <s v="EWI16D2CSGPG"/>
    <s v="Caja de Transmision/Embrague"/>
    <m/>
    <m/>
    <m/>
    <s v="Serfac"/>
    <m/>
    <m/>
    <x v="0"/>
    <x v="0"/>
    <x v="0"/>
    <s v="Disponibilidad de repuesto"/>
    <m/>
    <m/>
    <m/>
    <m/>
    <m/>
    <m/>
    <m/>
  </r>
  <r>
    <n v="358"/>
    <n v="232498"/>
    <x v="4"/>
    <d v="2018-08-15T00:00:00"/>
    <x v="7"/>
    <d v="2018-08-24T00:00:00"/>
    <n v="9"/>
    <x v="0"/>
    <m/>
    <m/>
    <n v="1530"/>
    <m/>
    <m/>
    <n v="0"/>
    <s v="Repuesto"/>
    <s v="Saga"/>
    <s v="Falabella"/>
    <s v="Laptop"/>
    <x v="2"/>
    <s v="Lenovo"/>
    <s v="C40-30"/>
    <s v="Mainboard"/>
    <m/>
    <m/>
    <m/>
    <s v="Force Service"/>
    <m/>
    <m/>
    <x v="0"/>
    <x v="0"/>
    <x v="0"/>
    <s v="Disponibilidad de repuesto"/>
    <m/>
    <s v="21/08  se brindo alternativa de reparacion pero no fue factible"/>
    <m/>
    <m/>
    <m/>
    <m/>
    <m/>
  </r>
  <r>
    <n v="359"/>
    <n v="232216"/>
    <x v="4"/>
    <d v="2018-08-15T00:00:00"/>
    <x v="7"/>
    <d v="2018-08-24T00:00:00"/>
    <n v="9"/>
    <x v="1"/>
    <m/>
    <m/>
    <m/>
    <m/>
    <m/>
    <n v="0"/>
    <s v="Repuesto"/>
    <s v="Saga"/>
    <s v="Falabella"/>
    <s v="All In One"/>
    <x v="2"/>
    <s v="Hp"/>
    <s v="23-N010LA "/>
    <s v="Pantalla"/>
    <m/>
    <m/>
    <m/>
    <s v="High Service"/>
    <m/>
    <m/>
    <x v="0"/>
    <x v="0"/>
    <x v="1"/>
    <m/>
    <m/>
    <s v="16/08 Ajustador aprobo compra a Binar Tec"/>
    <m/>
    <m/>
    <m/>
    <m/>
    <m/>
  </r>
  <r>
    <n v="360"/>
    <n v="232217"/>
    <x v="4"/>
    <d v="2018-08-15T00:00:00"/>
    <x v="7"/>
    <d v="2018-08-19T00:00:00"/>
    <n v="4"/>
    <x v="1"/>
    <m/>
    <m/>
    <m/>
    <m/>
    <m/>
    <n v="0"/>
    <s v="Repuesto"/>
    <s v="Saga"/>
    <s v="Falabella"/>
    <s v="Laptop"/>
    <x v="2"/>
    <s v="Asus"/>
    <s v="X555Y "/>
    <s v="Mainboard"/>
    <m/>
    <m/>
    <m/>
    <s v="High Service"/>
    <m/>
    <m/>
    <x v="0"/>
    <x v="0"/>
    <x v="1"/>
    <m/>
    <m/>
    <s v="16/08 Ajustador aprobo reemplazo"/>
    <m/>
    <m/>
    <m/>
    <m/>
    <m/>
  </r>
  <r>
    <n v="361"/>
    <n v="233065"/>
    <x v="4"/>
    <d v="2018-08-15T00:00:00"/>
    <x v="7"/>
    <d v="2018-08-27T00:00:00"/>
    <n v="12"/>
    <x v="0"/>
    <m/>
    <m/>
    <n v="1699"/>
    <m/>
    <m/>
    <n v="0"/>
    <s v="Monto"/>
    <s v="Saga"/>
    <s v="Falabella"/>
    <s v="TV Led"/>
    <x v="1"/>
    <s v="LG"/>
    <s v="49LF5900-SB.BWFYLJM"/>
    <s v="Pantalla"/>
    <m/>
    <m/>
    <m/>
    <s v="Censel"/>
    <m/>
    <m/>
    <x v="0"/>
    <x v="0"/>
    <x v="0"/>
    <s v="Disponibilidad de repuesto"/>
    <m/>
    <m/>
    <m/>
    <m/>
    <m/>
    <m/>
    <m/>
  </r>
  <r>
    <n v="362"/>
    <n v="231895"/>
    <x v="2"/>
    <d v="2018-08-17T00:00:00"/>
    <x v="7"/>
    <d v="2018-08-28T00:00:00"/>
    <n v="11"/>
    <x v="0"/>
    <m/>
    <m/>
    <n v="4749"/>
    <m/>
    <m/>
    <n v="0"/>
    <s v="Monto"/>
    <s v="Saga"/>
    <s v="Falabella"/>
    <s v="TV Led"/>
    <x v="1"/>
    <s v="Sony"/>
    <s v="XSR-55X855B"/>
    <s v="Pantalla"/>
    <m/>
    <m/>
    <m/>
    <s v="Electronica Lima Sur"/>
    <m/>
    <m/>
    <x v="0"/>
    <x v="0"/>
    <x v="0"/>
    <s v="Disponibilidad de repuesto"/>
    <m/>
    <m/>
    <m/>
    <m/>
    <m/>
    <m/>
    <m/>
  </r>
  <r>
    <n v="363"/>
    <n v="232638"/>
    <x v="0"/>
    <d v="2018-08-17T00:00:00"/>
    <x v="7"/>
    <d v="2018-08-28T00:00:00"/>
    <n v="11"/>
    <x v="0"/>
    <m/>
    <m/>
    <n v="1999"/>
    <m/>
    <m/>
    <n v="0"/>
    <s v="Repuesto"/>
    <s v="Saga"/>
    <s v="Falabella"/>
    <s v="TV Led"/>
    <x v="1"/>
    <s v="Samsung"/>
    <s v="UN50J5500AGXPE"/>
    <s v=" PCB MAIN    BN94-09063U"/>
    <m/>
    <m/>
    <m/>
    <s v="Asmat"/>
    <m/>
    <m/>
    <x v="0"/>
    <x v="0"/>
    <x v="0"/>
    <m/>
    <m/>
    <s v="22/08 se aprobo cotizacion a ST , por nuestra parte se logro ubicar a 260 soles"/>
    <m/>
    <m/>
    <m/>
    <m/>
    <m/>
  </r>
  <r>
    <n v="364"/>
    <n v="232791"/>
    <x v="2"/>
    <d v="2018-08-20T00:00:00"/>
    <x v="7"/>
    <d v="2018-09-10T00:00:00"/>
    <n v="21"/>
    <x v="1"/>
    <m/>
    <m/>
    <m/>
    <m/>
    <m/>
    <n v="0"/>
    <s v="Repuesto"/>
    <s v="Tiendas Peruanas"/>
    <s v="TP"/>
    <s v="Laptop"/>
    <x v="2"/>
    <s v="Hp"/>
    <s v="HP PAVILION X360 CONVERTIBLE"/>
    <s v="TACTIL"/>
    <m/>
    <m/>
    <m/>
    <s v="CAHUANA"/>
    <m/>
    <m/>
    <x v="0"/>
    <x v="0"/>
    <x v="2"/>
    <m/>
    <m/>
    <s v="22/08 se ubico repuesto en base de recupero bajo la orden 219308"/>
    <m/>
    <m/>
    <m/>
    <m/>
    <m/>
  </r>
  <r>
    <n v="365"/>
    <n v="233545"/>
    <x v="0"/>
    <d v="2018-08-20T00:00:00"/>
    <x v="7"/>
    <d v="2018-08-30T00:00:00"/>
    <n v="10"/>
    <x v="2"/>
    <m/>
    <m/>
    <n v="4274"/>
    <m/>
    <m/>
    <n v="4017.56"/>
    <s v="Repuesto"/>
    <s v="Saga"/>
    <s v="Falabella"/>
    <s v="Laptop"/>
    <x v="2"/>
    <s v="Asus"/>
    <s v="UX501V"/>
    <s v=" Pantalla   PN :  6091L-2915A"/>
    <m/>
    <m/>
    <m/>
    <s v="Ceser Cusco"/>
    <m/>
    <m/>
    <x v="1"/>
    <x v="0"/>
    <x v="1"/>
    <m/>
    <m/>
    <m/>
    <m/>
    <m/>
    <m/>
    <m/>
    <m/>
  </r>
  <r>
    <n v="366"/>
    <n v="233475"/>
    <x v="2"/>
    <d v="2018-08-21T00:00:00"/>
    <x v="7"/>
    <d v="2018-08-24T00:00:00"/>
    <n v="3"/>
    <x v="0"/>
    <m/>
    <m/>
    <n v="4199"/>
    <n v="150"/>
    <n v="95"/>
    <n v="3797.06"/>
    <s v="Repuesto"/>
    <s v="Saga"/>
    <s v="Falabella"/>
    <s v="Lavadora"/>
    <x v="0"/>
    <s v="Samsung"/>
    <s v="WD18J7825KP/PE"/>
    <s v="BOMBA"/>
    <m/>
    <m/>
    <s v="Cardif"/>
    <s v="SERVIDOCTORS"/>
    <d v="2018-08-22T00:00:00"/>
    <n v="1"/>
    <x v="1"/>
    <x v="1"/>
    <x v="2"/>
    <m/>
    <m/>
    <s v="22/08/2018 se entrega con guia nº 002-002030"/>
    <m/>
    <m/>
    <m/>
    <m/>
    <m/>
  </r>
  <r>
    <n v="367"/>
    <n v="232827"/>
    <x v="5"/>
    <d v="2018-08-21T00:00:00"/>
    <x v="7"/>
    <d v="2018-08-25T00:00:00"/>
    <n v="4"/>
    <x v="0"/>
    <m/>
    <m/>
    <n v="1299"/>
    <m/>
    <m/>
    <n v="0"/>
    <s v="Repuesto"/>
    <s v="Saga"/>
    <s v="Falabella"/>
    <s v="Lavadora"/>
    <x v="0"/>
    <s v="Electrolux"/>
    <s v="EWIL20F2MNG"/>
    <s v=" Tarjeta electronica 301321600007"/>
    <m/>
    <m/>
    <m/>
    <s v="Serfac"/>
    <m/>
    <m/>
    <x v="0"/>
    <x v="0"/>
    <x v="0"/>
    <s v="Disponibilidad de repuesto"/>
    <m/>
    <m/>
    <m/>
    <m/>
    <m/>
    <m/>
    <m/>
  </r>
  <r>
    <n v="368"/>
    <n v="233127"/>
    <x v="5"/>
    <d v="2018-08-21T00:00:00"/>
    <x v="7"/>
    <d v="2018-08-25T00:00:00"/>
    <n v="4"/>
    <x v="1"/>
    <m/>
    <m/>
    <m/>
    <m/>
    <m/>
    <n v="0"/>
    <s v="Repuesto"/>
    <s v="Saga"/>
    <s v="Falabella"/>
    <s v="Refrigeradora"/>
    <x v="0"/>
    <s v="Samsung"/>
    <s v="RT29K503058/PE"/>
    <s v="Tarjeta  Inverter DA 92-00459"/>
    <m/>
    <m/>
    <m/>
    <m/>
    <m/>
    <m/>
    <x v="0"/>
    <x v="0"/>
    <x v="1"/>
    <m/>
    <m/>
    <s v="22/08 se aprobo cotizacion a ST"/>
    <m/>
    <m/>
    <m/>
    <m/>
    <m/>
  </r>
  <r>
    <n v="369"/>
    <n v="233590"/>
    <x v="5"/>
    <d v="2018-08-21T00:00:00"/>
    <x v="7"/>
    <d v="2018-08-25T00:00:00"/>
    <n v="4"/>
    <x v="1"/>
    <m/>
    <m/>
    <m/>
    <m/>
    <m/>
    <n v="0"/>
    <s v="Repuesto"/>
    <s v="Saga"/>
    <s v="Falabella"/>
    <s v="Refrigeradora"/>
    <x v="0"/>
    <s v="Samsung"/>
    <s v="RT38K5982SL"/>
    <s v="Valvula de paso DA-04678A   _x000a_FILTRO  DA81-0600A / CARGA DE GAS"/>
    <m/>
    <m/>
    <m/>
    <m/>
    <m/>
    <m/>
    <x v="0"/>
    <x v="0"/>
    <x v="1"/>
    <m/>
    <m/>
    <s v="22/08 se aprobo cotizacion a ST"/>
    <m/>
    <m/>
    <m/>
    <m/>
    <m/>
  </r>
  <r>
    <n v="370"/>
    <m/>
    <x v="6"/>
    <m/>
    <x v="7"/>
    <m/>
    <n v="0"/>
    <x v="3"/>
    <m/>
    <m/>
    <m/>
    <m/>
    <m/>
    <n v="0"/>
    <m/>
    <m/>
    <m/>
    <m/>
    <x v="3"/>
    <m/>
    <m/>
    <m/>
    <m/>
    <m/>
    <m/>
    <m/>
    <m/>
    <m/>
    <x v="0"/>
    <x v="0"/>
    <x v="1"/>
    <m/>
    <m/>
    <m/>
    <m/>
    <m/>
    <m/>
    <m/>
    <m/>
  </r>
  <r>
    <n v="371"/>
    <m/>
    <x v="6"/>
    <m/>
    <x v="7"/>
    <m/>
    <n v="0"/>
    <x v="3"/>
    <m/>
    <m/>
    <m/>
    <m/>
    <m/>
    <n v="0"/>
    <m/>
    <m/>
    <m/>
    <m/>
    <x v="3"/>
    <m/>
    <m/>
    <m/>
    <m/>
    <m/>
    <m/>
    <m/>
    <m/>
    <m/>
    <x v="0"/>
    <x v="0"/>
    <x v="1"/>
    <m/>
    <m/>
    <m/>
    <m/>
    <m/>
    <m/>
    <m/>
    <m/>
  </r>
  <r>
    <n v="372"/>
    <m/>
    <x v="6"/>
    <m/>
    <x v="7"/>
    <m/>
    <n v="0"/>
    <x v="3"/>
    <m/>
    <m/>
    <m/>
    <m/>
    <m/>
    <n v="0"/>
    <m/>
    <m/>
    <m/>
    <m/>
    <x v="3"/>
    <m/>
    <m/>
    <m/>
    <m/>
    <m/>
    <m/>
    <m/>
    <m/>
    <m/>
    <x v="0"/>
    <x v="0"/>
    <x v="1"/>
    <m/>
    <m/>
    <m/>
    <m/>
    <m/>
    <m/>
    <m/>
    <m/>
  </r>
  <r>
    <n v="373"/>
    <m/>
    <x v="6"/>
    <m/>
    <x v="7"/>
    <m/>
    <n v="0"/>
    <x v="3"/>
    <m/>
    <m/>
    <m/>
    <m/>
    <m/>
    <n v="0"/>
    <m/>
    <m/>
    <m/>
    <m/>
    <x v="3"/>
    <m/>
    <m/>
    <m/>
    <m/>
    <m/>
    <m/>
    <m/>
    <m/>
    <m/>
    <x v="0"/>
    <x v="0"/>
    <x v="1"/>
    <m/>
    <m/>
    <m/>
    <m/>
    <m/>
    <m/>
    <m/>
    <m/>
  </r>
  <r>
    <n v="374"/>
    <m/>
    <x v="6"/>
    <m/>
    <x v="7"/>
    <m/>
    <n v="0"/>
    <x v="3"/>
    <m/>
    <m/>
    <m/>
    <m/>
    <m/>
    <n v="0"/>
    <m/>
    <m/>
    <m/>
    <m/>
    <x v="3"/>
    <m/>
    <m/>
    <m/>
    <m/>
    <m/>
    <m/>
    <m/>
    <m/>
    <m/>
    <x v="0"/>
    <x v="0"/>
    <x v="1"/>
    <m/>
    <m/>
    <m/>
    <m/>
    <m/>
    <m/>
    <m/>
    <m/>
  </r>
  <r>
    <n v="375"/>
    <m/>
    <x v="6"/>
    <m/>
    <x v="7"/>
    <m/>
    <n v="0"/>
    <x v="3"/>
    <m/>
    <m/>
    <m/>
    <m/>
    <m/>
    <n v="0"/>
    <m/>
    <m/>
    <m/>
    <m/>
    <x v="3"/>
    <m/>
    <m/>
    <m/>
    <m/>
    <m/>
    <m/>
    <m/>
    <m/>
    <m/>
    <x v="0"/>
    <x v="0"/>
    <x v="1"/>
    <m/>
    <m/>
    <m/>
    <m/>
    <m/>
    <m/>
    <m/>
    <m/>
  </r>
  <r>
    <n v="376"/>
    <m/>
    <x v="6"/>
    <m/>
    <x v="7"/>
    <m/>
    <n v="0"/>
    <x v="3"/>
    <m/>
    <m/>
    <m/>
    <m/>
    <m/>
    <n v="0"/>
    <m/>
    <m/>
    <m/>
    <m/>
    <x v="3"/>
    <m/>
    <m/>
    <m/>
    <m/>
    <m/>
    <m/>
    <m/>
    <m/>
    <m/>
    <x v="0"/>
    <x v="0"/>
    <x v="1"/>
    <m/>
    <m/>
    <m/>
    <m/>
    <m/>
    <m/>
    <m/>
    <m/>
  </r>
  <r>
    <n v="377"/>
    <m/>
    <x v="6"/>
    <m/>
    <x v="7"/>
    <m/>
    <n v="0"/>
    <x v="3"/>
    <m/>
    <m/>
    <m/>
    <m/>
    <m/>
    <n v="0"/>
    <m/>
    <m/>
    <m/>
    <m/>
    <x v="3"/>
    <m/>
    <m/>
    <m/>
    <m/>
    <m/>
    <m/>
    <m/>
    <m/>
    <m/>
    <x v="0"/>
    <x v="0"/>
    <x v="1"/>
    <m/>
    <m/>
    <m/>
    <m/>
    <m/>
    <m/>
    <m/>
    <m/>
  </r>
  <r>
    <n v="378"/>
    <m/>
    <x v="6"/>
    <m/>
    <x v="8"/>
    <m/>
    <n v="0"/>
    <x v="3"/>
    <m/>
    <m/>
    <m/>
    <m/>
    <m/>
    <n v="0"/>
    <m/>
    <m/>
    <m/>
    <m/>
    <x v="3"/>
    <m/>
    <m/>
    <m/>
    <m/>
    <m/>
    <m/>
    <m/>
    <m/>
    <m/>
    <x v="0"/>
    <x v="0"/>
    <x v="1"/>
    <m/>
    <m/>
    <m/>
    <m/>
    <m/>
    <m/>
    <m/>
    <m/>
  </r>
  <r>
    <n v="379"/>
    <m/>
    <x v="6"/>
    <m/>
    <x v="8"/>
    <m/>
    <n v="0"/>
    <x v="3"/>
    <m/>
    <m/>
    <m/>
    <m/>
    <m/>
    <n v="0"/>
    <m/>
    <m/>
    <m/>
    <m/>
    <x v="3"/>
    <m/>
    <m/>
    <m/>
    <m/>
    <m/>
    <m/>
    <m/>
    <m/>
    <m/>
    <x v="0"/>
    <x v="0"/>
    <x v="1"/>
    <m/>
    <m/>
    <m/>
    <m/>
    <m/>
    <m/>
    <m/>
    <m/>
  </r>
  <r>
    <n v="380"/>
    <m/>
    <x v="6"/>
    <m/>
    <x v="8"/>
    <m/>
    <n v="0"/>
    <x v="3"/>
    <m/>
    <m/>
    <m/>
    <m/>
    <m/>
    <n v="0"/>
    <m/>
    <m/>
    <m/>
    <m/>
    <x v="3"/>
    <m/>
    <m/>
    <m/>
    <m/>
    <m/>
    <m/>
    <m/>
    <m/>
    <m/>
    <x v="0"/>
    <x v="0"/>
    <x v="1"/>
    <m/>
    <m/>
    <m/>
    <m/>
    <m/>
    <m/>
    <m/>
    <m/>
  </r>
  <r>
    <n v="381"/>
    <m/>
    <x v="6"/>
    <m/>
    <x v="8"/>
    <m/>
    <m/>
    <x v="3"/>
    <m/>
    <m/>
    <m/>
    <m/>
    <m/>
    <n v="0"/>
    <m/>
    <m/>
    <m/>
    <m/>
    <x v="3"/>
    <m/>
    <m/>
    <m/>
    <m/>
    <m/>
    <m/>
    <m/>
    <m/>
    <m/>
    <x v="0"/>
    <x v="0"/>
    <x v="1"/>
    <m/>
    <m/>
    <m/>
    <m/>
    <m/>
    <m/>
    <m/>
    <m/>
  </r>
  <r>
    <n v="382"/>
    <m/>
    <x v="6"/>
    <m/>
    <x v="8"/>
    <m/>
    <m/>
    <x v="3"/>
    <m/>
    <m/>
    <m/>
    <m/>
    <m/>
    <n v="0"/>
    <m/>
    <m/>
    <m/>
    <m/>
    <x v="3"/>
    <m/>
    <m/>
    <m/>
    <m/>
    <m/>
    <m/>
    <m/>
    <m/>
    <m/>
    <x v="0"/>
    <x v="0"/>
    <x v="1"/>
    <m/>
    <m/>
    <m/>
    <m/>
    <m/>
    <m/>
    <m/>
    <m/>
  </r>
  <r>
    <n v="383"/>
    <m/>
    <x v="6"/>
    <m/>
    <x v="8"/>
    <m/>
    <m/>
    <x v="3"/>
    <m/>
    <m/>
    <m/>
    <m/>
    <m/>
    <n v="0"/>
    <m/>
    <m/>
    <m/>
    <m/>
    <x v="3"/>
    <m/>
    <m/>
    <m/>
    <m/>
    <m/>
    <m/>
    <m/>
    <m/>
    <m/>
    <x v="0"/>
    <x v="0"/>
    <x v="1"/>
    <m/>
    <m/>
    <m/>
    <m/>
    <m/>
    <m/>
    <m/>
    <m/>
  </r>
  <r>
    <n v="384"/>
    <m/>
    <x v="6"/>
    <m/>
    <x v="8"/>
    <m/>
    <m/>
    <x v="3"/>
    <m/>
    <m/>
    <m/>
    <m/>
    <m/>
    <n v="0"/>
    <m/>
    <m/>
    <m/>
    <m/>
    <x v="3"/>
    <m/>
    <m/>
    <m/>
    <m/>
    <m/>
    <m/>
    <m/>
    <m/>
    <m/>
    <x v="0"/>
    <x v="0"/>
    <x v="1"/>
    <m/>
    <m/>
    <m/>
    <m/>
    <m/>
    <m/>
    <m/>
    <m/>
  </r>
  <r>
    <n v="385"/>
    <m/>
    <x v="6"/>
    <m/>
    <x v="8"/>
    <m/>
    <m/>
    <x v="3"/>
    <m/>
    <m/>
    <m/>
    <m/>
    <m/>
    <n v="0"/>
    <m/>
    <m/>
    <m/>
    <m/>
    <x v="3"/>
    <m/>
    <m/>
    <m/>
    <m/>
    <m/>
    <m/>
    <m/>
    <m/>
    <m/>
    <x v="0"/>
    <x v="0"/>
    <x v="1"/>
    <m/>
    <m/>
    <m/>
    <m/>
    <m/>
    <m/>
    <m/>
    <m/>
  </r>
  <r>
    <n v="386"/>
    <m/>
    <x v="6"/>
    <m/>
    <x v="8"/>
    <m/>
    <m/>
    <x v="3"/>
    <m/>
    <m/>
    <m/>
    <m/>
    <m/>
    <n v="0"/>
    <m/>
    <m/>
    <m/>
    <m/>
    <x v="3"/>
    <m/>
    <m/>
    <m/>
    <m/>
    <m/>
    <m/>
    <m/>
    <m/>
    <m/>
    <x v="0"/>
    <x v="0"/>
    <x v="1"/>
    <m/>
    <m/>
    <m/>
    <m/>
    <m/>
    <m/>
    <m/>
    <m/>
  </r>
  <r>
    <n v="387"/>
    <m/>
    <x v="6"/>
    <m/>
    <x v="8"/>
    <m/>
    <m/>
    <x v="3"/>
    <m/>
    <m/>
    <m/>
    <m/>
    <m/>
    <n v="0"/>
    <m/>
    <m/>
    <m/>
    <m/>
    <x v="3"/>
    <m/>
    <m/>
    <m/>
    <m/>
    <m/>
    <m/>
    <m/>
    <m/>
    <m/>
    <x v="0"/>
    <x v="0"/>
    <x v="1"/>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Tabla dinámica1" cacheId="159" applyNumberFormats="0" applyBorderFormats="0" applyFontFormats="0" applyPatternFormats="0" applyAlignmentFormats="0" applyWidthHeightFormats="1" dataCaption="Valores" updatedVersion="4" minRefreshableVersion="3" useAutoFormatting="1" itemPrintTitles="1" createdVersion="4" indent="0" outline="1" outlineData="1" multipleFieldFilters="0">
  <location ref="A7:J14" firstHeaderRow="1" firstDataRow="2" firstDataCol="1" rowPageCount="5" colPageCount="1"/>
  <pivotFields count="39">
    <pivotField showAll="0"/>
    <pivotField showAll="0"/>
    <pivotField axis="axisRow" dataField="1" showAll="0" sortType="descending">
      <items count="8">
        <item x="1"/>
        <item x="2"/>
        <item x="4"/>
        <item x="3"/>
        <item x="0"/>
        <item h="1" x="6"/>
        <item h="1" x="5"/>
        <item t="default"/>
      </items>
      <autoSortScope>
        <pivotArea dataOnly="0" outline="0" fieldPosition="0">
          <references count="1">
            <reference field="4294967294" count="1" selected="0">
              <x v="0"/>
            </reference>
          </references>
        </pivotArea>
      </autoSortScope>
    </pivotField>
    <pivotField showAll="0"/>
    <pivotField axis="axisCol" showAll="0">
      <items count="10">
        <item x="0"/>
        <item x="1"/>
        <item x="2"/>
        <item x="3"/>
        <item x="4"/>
        <item x="5"/>
        <item x="6"/>
        <item x="7"/>
        <item x="8"/>
        <item t="default"/>
      </items>
    </pivotField>
    <pivotField showAll="0"/>
    <pivotField showAll="0"/>
    <pivotField axis="axisPage" multipleItemSelectionAllowed="1" showAll="0">
      <items count="5">
        <item h="1" x="1"/>
        <item h="1" x="2"/>
        <item x="0"/>
        <item h="1" x="3"/>
        <item t="default"/>
      </items>
    </pivotField>
    <pivotField showAll="0"/>
    <pivotField showAll="0"/>
    <pivotField showAll="0"/>
    <pivotField showAll="0"/>
    <pivotField showAll="0"/>
    <pivotField numFmtId="3" showAll="0"/>
    <pivotField showAll="0"/>
    <pivotField showAll="0"/>
    <pivotField showAll="0"/>
    <pivotField showAll="0"/>
    <pivotField axis="axisPage" showAll="0">
      <items count="5">
        <item x="1"/>
        <item x="2"/>
        <item x="0"/>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3">
        <item x="0"/>
        <item x="1"/>
        <item t="default"/>
      </items>
    </pivotField>
    <pivotField axis="axisPage" multipleItemSelectionAllowed="1" showAll="0">
      <items count="3">
        <item x="1"/>
        <item x="0"/>
        <item t="default"/>
      </items>
    </pivotField>
    <pivotField axis="axisPage" multipleItemSelectionAllowed="1" showAll="0">
      <items count="5">
        <item x="0"/>
        <item x="2"/>
        <item x="1"/>
        <item x="3"/>
        <item t="default"/>
      </items>
    </pivotField>
    <pivotField showAll="0"/>
    <pivotField showAll="0"/>
    <pivotField showAll="0"/>
    <pivotField showAll="0"/>
    <pivotField showAll="0"/>
    <pivotField showAll="0"/>
    <pivotField showAll="0"/>
    <pivotField showAll="0"/>
  </pivotFields>
  <rowFields count="1">
    <field x="2"/>
  </rowFields>
  <rowItems count="6">
    <i>
      <x v="4"/>
    </i>
    <i>
      <x v="1"/>
    </i>
    <i>
      <x/>
    </i>
    <i>
      <x v="2"/>
    </i>
    <i>
      <x v="3"/>
    </i>
    <i t="grand">
      <x/>
    </i>
  </rowItems>
  <colFields count="1">
    <field x="4"/>
  </colFields>
  <colItems count="9">
    <i>
      <x/>
    </i>
    <i>
      <x v="1"/>
    </i>
    <i>
      <x v="2"/>
    </i>
    <i>
      <x v="3"/>
    </i>
    <i>
      <x v="4"/>
    </i>
    <i>
      <x v="5"/>
    </i>
    <i>
      <x v="6"/>
    </i>
    <i>
      <x v="7"/>
    </i>
    <i t="grand">
      <x/>
    </i>
  </colItems>
  <pageFields count="5">
    <pageField fld="29" hier="-1"/>
    <pageField fld="30" hier="-1"/>
    <pageField fld="18" hier="-1"/>
    <pageField fld="7" hier="-1"/>
    <pageField fld="28" hier="-1"/>
  </pageFields>
  <dataFields count="1">
    <dataField name="Cuenta de Ajustador" fld="2" subtotal="count" baseField="0" baseItem="0"/>
  </dataFields>
  <pivotTableStyleInfo name="PivotStyleMedium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edy.lopez@electrolux.com" TargetMode="External"/><Relationship Id="rId3" Type="http://schemas.openxmlformats.org/officeDocument/2006/relationships/hyperlink" Target="mailto:ventas2@mimaparts.com" TargetMode="External"/><Relationship Id="rId7" Type="http://schemas.openxmlformats.org/officeDocument/2006/relationships/hyperlink" Target="mailto:ventas@tecnidaza.com" TargetMode="External"/><Relationship Id="rId2" Type="http://schemas.openxmlformats.org/officeDocument/2006/relationships/hyperlink" Target="mailto:ventas@corparacionderepuesto.com" TargetMode="External"/><Relationship Id="rId1" Type="http://schemas.openxmlformats.org/officeDocument/2006/relationships/hyperlink" Target="mailto:cd.marly@hotmail.com" TargetMode="External"/><Relationship Id="rId6" Type="http://schemas.openxmlformats.org/officeDocument/2006/relationships/hyperlink" Target="mailto:ventasjhumabe7@gmail.com" TargetMode="External"/><Relationship Id="rId11" Type="http://schemas.openxmlformats.org/officeDocument/2006/relationships/printerSettings" Target="../printerSettings/printerSettings2.bin"/><Relationship Id="rId5" Type="http://schemas.openxmlformats.org/officeDocument/2006/relationships/hyperlink" Target="mailto:ventas@hantoflima.com" TargetMode="External"/><Relationship Id="rId10" Type="http://schemas.openxmlformats.org/officeDocument/2006/relationships/hyperlink" Target="mailto:repuesto_accesorios@hotmail.com" TargetMode="External"/><Relationship Id="rId4" Type="http://schemas.openxmlformats.org/officeDocument/2006/relationships/hyperlink" Target="mailto:reparaciones@centralserviceperu.com" TargetMode="External"/><Relationship Id="rId9" Type="http://schemas.openxmlformats.org/officeDocument/2006/relationships/hyperlink" Target="mailto:j.calderon@lge..com"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5.bin"/><Relationship Id="rId4" Type="http://schemas.openxmlformats.org/officeDocument/2006/relationships/comments" Target="../comments2.xml"/></Relationships>
</file>

<file path=xl/worksheets/_rels/sheet10.xml.rels><?xml version="1.0" encoding="UTF-8" standalone="yes"?>
<Relationships xmlns="http://schemas.openxmlformats.org/package/2006/relationships"><Relationship Id="rId13" Type="http://schemas.openxmlformats.org/officeDocument/2006/relationships/hyperlink" Target="http://segya2prod.cardifnet.com.pe/liquidador/VerOrdenTrabajoLiquidador.asp?accion=inbox&amp;cod_ot=217956" TargetMode="External"/><Relationship Id="rId18" Type="http://schemas.openxmlformats.org/officeDocument/2006/relationships/hyperlink" Target="http://segya2prod.cardifnet.com.pe/liquidador/VerOrdenTrabajoLiquidador.asp?accion=inbox&amp;cod_ot=218352" TargetMode="External"/><Relationship Id="rId26" Type="http://schemas.openxmlformats.org/officeDocument/2006/relationships/hyperlink" Target="http://segya2prod.cardifnet.com.pe/liquidador/VerOrdenTrabajoLiquidador.asp?accion=inbox&amp;cod_ot=218190" TargetMode="External"/><Relationship Id="rId39" Type="http://schemas.openxmlformats.org/officeDocument/2006/relationships/hyperlink" Target="http://segya2prod.cardifnet.com.pe/liquidador/VerOrdenTrabajoLiquidador.asp?accion=inbox&amp;cod_ot=218543" TargetMode="External"/><Relationship Id="rId21" Type="http://schemas.openxmlformats.org/officeDocument/2006/relationships/hyperlink" Target="http://segya2prod.cardifnet.com.pe/liquidador/VerOrdenTrabajoLiquidador.asp?accion=inbox&amp;cod_ot=218179" TargetMode="External"/><Relationship Id="rId34" Type="http://schemas.openxmlformats.org/officeDocument/2006/relationships/hyperlink" Target="http://segya2prod.cardifnet.com.pe/liquidador/VerOrdenTrabajoLiquidador.asp?accion=inbox&amp;cod_ot=218548" TargetMode="External"/><Relationship Id="rId42" Type="http://schemas.openxmlformats.org/officeDocument/2006/relationships/hyperlink" Target="http://segya2prod.cardifnet.com.pe/liquidador/VerOrdenTrabajoLiquidador.asp?accion=inbox&amp;cod_ot=218422" TargetMode="External"/><Relationship Id="rId47" Type="http://schemas.openxmlformats.org/officeDocument/2006/relationships/hyperlink" Target="http://segya2prod.cardifnet.com.pe/liquidador/VerOrdenTrabajoLiquidador.asp?accion=inbox&amp;cod_ot=218490" TargetMode="External"/><Relationship Id="rId50" Type="http://schemas.openxmlformats.org/officeDocument/2006/relationships/hyperlink" Target="http://segya2prod.cardifnet.com.pe/liquidador/VerOrdenTrabajoLiquidador.asp?accion=inbox&amp;cod_ot=218492" TargetMode="External"/><Relationship Id="rId55" Type="http://schemas.openxmlformats.org/officeDocument/2006/relationships/hyperlink" Target="http://segya2prod.cardifnet.com.pe/liquidador/VerOrdenTrabajoLiquidador.asp?accion=inbox&amp;cod_ot=218083" TargetMode="External"/><Relationship Id="rId63" Type="http://schemas.openxmlformats.org/officeDocument/2006/relationships/hyperlink" Target="http://segya2prod.cardifnet.com.pe/liquidador/VerOrdenTrabajoLiquidador.asp?accion=inbox&amp;cod_ot=218593" TargetMode="External"/><Relationship Id="rId68" Type="http://schemas.openxmlformats.org/officeDocument/2006/relationships/printerSettings" Target="../printerSettings/printerSettings6.bin"/><Relationship Id="rId7" Type="http://schemas.openxmlformats.org/officeDocument/2006/relationships/hyperlink" Target="http://segya2prod.cardifnet.com.pe/liquidador/VerOrdenTrabajoLiquidador.asp?accion=inbox&amp;cod_ot=217949" TargetMode="External"/><Relationship Id="rId2" Type="http://schemas.openxmlformats.org/officeDocument/2006/relationships/hyperlink" Target="http://segya2prod.cardifnet.com.pe/liquidador/VerOrdenTrabajoLiquidador.asp?accion=inbox&amp;cod_ot=217589" TargetMode="External"/><Relationship Id="rId16" Type="http://schemas.openxmlformats.org/officeDocument/2006/relationships/hyperlink" Target="http://segya2prod.cardifnet.com.pe/liquidador/VerOrdenTrabajoLiquidador.asp?accion=inbox&amp;cod_ot=218083" TargetMode="External"/><Relationship Id="rId29" Type="http://schemas.openxmlformats.org/officeDocument/2006/relationships/hyperlink" Target="http://segya2prod.cardifnet.com.pe/liquidador/VerOrdenTrabajoLiquidador.asp?accion=inbox&amp;cod_ot=218183" TargetMode="External"/><Relationship Id="rId1" Type="http://schemas.openxmlformats.org/officeDocument/2006/relationships/hyperlink" Target="http://segya2prod.cardifnet.com.pe/liquidador/VerOrdenTrabajoLiquidador.asp?accion=inbox&amp;cod_ot=217498" TargetMode="External"/><Relationship Id="rId6" Type="http://schemas.openxmlformats.org/officeDocument/2006/relationships/hyperlink" Target="http://segya2prod.cardifnet.com.pe/liquidador/VerOrdenTrabajoLiquidador.asp?accion=inbox&amp;cod_ot=217739" TargetMode="External"/><Relationship Id="rId11" Type="http://schemas.openxmlformats.org/officeDocument/2006/relationships/hyperlink" Target="http://segya2prod.cardifnet.com.pe/liquidador/VerOrdenTrabajoLiquidador.asp?accion=inbox&amp;cod_ot=218028" TargetMode="External"/><Relationship Id="rId24" Type="http://schemas.openxmlformats.org/officeDocument/2006/relationships/hyperlink" Target="http://segya2prod.cardifnet.com.pe/liquidador/VerOrdenTrabajoLiquidador.asp?accion=inbox&amp;cod_ot=218209" TargetMode="External"/><Relationship Id="rId32" Type="http://schemas.openxmlformats.org/officeDocument/2006/relationships/hyperlink" Target="http://segya2prod.cardifnet.com.pe/liquidador/VerOrdenTrabajoLiquidador.asp?accion=inbox&amp;cod_ot=218496" TargetMode="External"/><Relationship Id="rId37" Type="http://schemas.openxmlformats.org/officeDocument/2006/relationships/hyperlink" Target="http://segya2prod.cardifnet.com.pe/liquidador/VerOrdenTrabajoLiquidador.asp?accion=inbox&amp;cod_ot=218544" TargetMode="External"/><Relationship Id="rId40" Type="http://schemas.openxmlformats.org/officeDocument/2006/relationships/hyperlink" Target="http://segya2prod.cardifnet.com.pe/liquidador/VerOrdenTrabajoLiquidador.asp?accion=inbox&amp;cod_ot=218546" TargetMode="External"/><Relationship Id="rId45" Type="http://schemas.openxmlformats.org/officeDocument/2006/relationships/hyperlink" Target="http://segya2prod.cardifnet.com.pe/liquidador/VerOrdenTrabajoLiquidador.asp?accion=inbox&amp;cod_ot=218436" TargetMode="External"/><Relationship Id="rId53" Type="http://schemas.openxmlformats.org/officeDocument/2006/relationships/hyperlink" Target="http://segya2prod.cardifnet.com.pe/liquidador/VerOrdenTrabajoLiquidador.asp?accion=inbox&amp;cod_ot=218436" TargetMode="External"/><Relationship Id="rId58" Type="http://schemas.openxmlformats.org/officeDocument/2006/relationships/hyperlink" Target="http://segya2prod.cardifnet.com.pe/liquidador/VerOrdenTrabajoLiquidador.asp?accion=inbox&amp;cod_ot=218396" TargetMode="External"/><Relationship Id="rId66" Type="http://schemas.openxmlformats.org/officeDocument/2006/relationships/hyperlink" Target="http://segya2prod.cardifnet.com.pe/liquidador/VerOrdenTrabajoLiquidador.asp?accion=inbox&amp;cod_ot=218466" TargetMode="External"/><Relationship Id="rId5" Type="http://schemas.openxmlformats.org/officeDocument/2006/relationships/hyperlink" Target="http://segya2prod.cardifnet.com.pe/liquidador/VerOrdenTrabajoLiquidador.asp?accion=inbox&amp;cod_ot=217799" TargetMode="External"/><Relationship Id="rId15" Type="http://schemas.openxmlformats.org/officeDocument/2006/relationships/hyperlink" Target="http://segya2prod.cardifnet.com.pe/liquidador/VerOrdenTrabajoLiquidador.asp?accion=inbox&amp;cod_ot=218166" TargetMode="External"/><Relationship Id="rId23" Type="http://schemas.openxmlformats.org/officeDocument/2006/relationships/hyperlink" Target="http://segya2prod.cardifnet.com.pe/liquidador/VerOrdenTrabajoLiquidador.asp?accion=inbox&amp;cod_ot=218351" TargetMode="External"/><Relationship Id="rId28" Type="http://schemas.openxmlformats.org/officeDocument/2006/relationships/hyperlink" Target="http://segya2prod.cardifnet.com.pe/liquidador/VerOrdenTrabajoLiquidador.asp?accion=inbox&amp;cod_ot=218214" TargetMode="External"/><Relationship Id="rId36" Type="http://schemas.openxmlformats.org/officeDocument/2006/relationships/hyperlink" Target="http://segya2prod.cardifnet.com.pe/liquidador/VerOrdenTrabajoLiquidador.asp?accion=inbox&amp;cod_ot=218388" TargetMode="External"/><Relationship Id="rId49" Type="http://schemas.openxmlformats.org/officeDocument/2006/relationships/hyperlink" Target="http://segya2prod.cardifnet.com.pe/liquidador/VerOrdenTrabajoLiquidador.asp?accion=inbox&amp;cod_ot=218545" TargetMode="External"/><Relationship Id="rId57" Type="http://schemas.openxmlformats.org/officeDocument/2006/relationships/hyperlink" Target="http://segya2prod.cardifnet.com.pe/liquidador/VerOrdenTrabajoLiquidador.asp?accion=inbox&amp;cod_ot=218242" TargetMode="External"/><Relationship Id="rId61" Type="http://schemas.openxmlformats.org/officeDocument/2006/relationships/hyperlink" Target="http://segya2prod.cardifnet.com.pe/liquidador/VerOrdenTrabajoLiquidador.asp?accion=inbox&amp;cod_ot=218371" TargetMode="External"/><Relationship Id="rId10" Type="http://schemas.openxmlformats.org/officeDocument/2006/relationships/hyperlink" Target="http://segya2prod.cardifnet.com.pe/liquidador/VerOrdenTrabajoLiquidador.asp?accion=inbox&amp;cod_ot=218058" TargetMode="External"/><Relationship Id="rId19" Type="http://schemas.openxmlformats.org/officeDocument/2006/relationships/hyperlink" Target="http://segya2prod.cardifnet.com.pe/liquidador/VerOrdenTrabajoLiquidador.asp?accion=inbox&amp;cod_ot=218262" TargetMode="External"/><Relationship Id="rId31" Type="http://schemas.openxmlformats.org/officeDocument/2006/relationships/hyperlink" Target="http://segya2prod.cardifnet.com.pe/liquidador/VerOrdenTrabajoLiquidador.asp?accion=inbox&amp;cod_ot=218490" TargetMode="External"/><Relationship Id="rId44" Type="http://schemas.openxmlformats.org/officeDocument/2006/relationships/hyperlink" Target="http://segya2prod.cardifnet.com.pe/liquidador/VerOrdenTrabajoLiquidador.asp?accion=inbox&amp;cod_ot=218374" TargetMode="External"/><Relationship Id="rId52" Type="http://schemas.openxmlformats.org/officeDocument/2006/relationships/hyperlink" Target="http://segya2prod.cardifnet.com.pe/liquidador/VerOrdenTrabajoLiquidador.asp?accion=inbox&amp;cod_ot=218494" TargetMode="External"/><Relationship Id="rId60" Type="http://schemas.openxmlformats.org/officeDocument/2006/relationships/hyperlink" Target="http://segya2prod.cardifnet.com.pe/liquidador/VerOrdenTrabajoLiquidador.asp?accion=inbox&amp;cod_ot=218367" TargetMode="External"/><Relationship Id="rId65" Type="http://schemas.openxmlformats.org/officeDocument/2006/relationships/hyperlink" Target="http://segya2prod.cardifnet.com.pe/liquidador/VerOrdenTrabajoLiquidador.asp?accion=inbox&amp;cod_ot=218325" TargetMode="External"/><Relationship Id="rId4" Type="http://schemas.openxmlformats.org/officeDocument/2006/relationships/hyperlink" Target="http://segya2prod.cardifnet.com.pe/liquidador/VerOrdenTrabajoLiquidador.asp?accion=inbox&amp;cod_ot=217756" TargetMode="External"/><Relationship Id="rId9" Type="http://schemas.openxmlformats.org/officeDocument/2006/relationships/hyperlink" Target="http://segya2prod.cardifnet.com.pe/liquidador/VerOrdenTrabajoLiquidador.asp?accion=inbox&amp;cod_ot=217850" TargetMode="External"/><Relationship Id="rId14" Type="http://schemas.openxmlformats.org/officeDocument/2006/relationships/hyperlink" Target="http://segya2prod.cardifnet.com.pe/liquidador/VerOrdenTrabajoLiquidador.asp?accion=inbox&amp;cod_ot=218008" TargetMode="External"/><Relationship Id="rId22" Type="http://schemas.openxmlformats.org/officeDocument/2006/relationships/hyperlink" Target="http://segya2prod.cardifnet.com.pe/liquidador/VerOrdenTrabajoLiquidador.asp?accion=inbox&amp;cod_ot=218078" TargetMode="External"/><Relationship Id="rId27" Type="http://schemas.openxmlformats.org/officeDocument/2006/relationships/hyperlink" Target="http://segya2prod.cardifnet.com.pe/liquidador/VerOrdenTrabajoLiquidador.asp?accion=inbox&amp;cod_ot=218068" TargetMode="External"/><Relationship Id="rId30" Type="http://schemas.openxmlformats.org/officeDocument/2006/relationships/hyperlink" Target="http://segya2prod.cardifnet.com.pe/liquidador/VerOrdenTrabajoLiquidador.asp?accion=inbox&amp;cod_ot=218182" TargetMode="External"/><Relationship Id="rId35" Type="http://schemas.openxmlformats.org/officeDocument/2006/relationships/hyperlink" Target="http://segya2prod.cardifnet.com.pe/liquidador/VerOrdenTrabajoLiquidador.asp?accion=inbox&amp;cod_ot=218491" TargetMode="External"/><Relationship Id="rId43" Type="http://schemas.openxmlformats.org/officeDocument/2006/relationships/hyperlink" Target="http://segya2prod.cardifnet.com.pe/liquidador/VerOrdenTrabajoLiquidador.asp?accion=inbox&amp;cod_ot=218534" TargetMode="External"/><Relationship Id="rId48" Type="http://schemas.openxmlformats.org/officeDocument/2006/relationships/hyperlink" Target="http://segya2prod.cardifnet.com.pe/liquidador/VerOrdenTrabajoLiquidador.asp?accion=inbox&amp;cod_ot=218544" TargetMode="External"/><Relationship Id="rId56" Type="http://schemas.openxmlformats.org/officeDocument/2006/relationships/hyperlink" Target="http://segya2prod.cardifnet.com.pe/liquidador/VerOrdenTrabajoLiquidador.asp?accion=inbox&amp;cod_ot=218084" TargetMode="External"/><Relationship Id="rId64" Type="http://schemas.openxmlformats.org/officeDocument/2006/relationships/hyperlink" Target="http://segya2prod.cardifnet.com.pe/liquidador/VerOrdenTrabajoLiquidador.asp?accion=inbox&amp;cod_ot=218689" TargetMode="External"/><Relationship Id="rId8" Type="http://schemas.openxmlformats.org/officeDocument/2006/relationships/hyperlink" Target="http://segya2prod.cardifnet.com.pe/liquidador/VerOrdenTrabajoLiquidador.asp?accion=inbox&amp;cod_ot=218038" TargetMode="External"/><Relationship Id="rId51" Type="http://schemas.openxmlformats.org/officeDocument/2006/relationships/hyperlink" Target="http://segya2prod.cardifnet.com.pe/liquidador/VerOrdenTrabajoLiquidador.asp?accion=inbox&amp;cod_ot=218546" TargetMode="External"/><Relationship Id="rId3" Type="http://schemas.openxmlformats.org/officeDocument/2006/relationships/hyperlink" Target="http://segya2prod.cardifnet.com.pe/liquidador/VerOrdenTrabajoLiquidador.asp?accion=inbox&amp;cod_ot=217624" TargetMode="External"/><Relationship Id="rId12" Type="http://schemas.openxmlformats.org/officeDocument/2006/relationships/hyperlink" Target="http://segya2prod.cardifnet.com.pe/liquidador/VerOrdenTrabajoLiquidador.asp?accion=inbox&amp;cod_ot=217915" TargetMode="External"/><Relationship Id="rId17" Type="http://schemas.openxmlformats.org/officeDocument/2006/relationships/hyperlink" Target="http://segya2prod.cardifnet.com.pe/liquidador/VerOrdenTrabajoLiquidador.asp?accion=inbox&amp;cod_ot=218084" TargetMode="External"/><Relationship Id="rId25" Type="http://schemas.openxmlformats.org/officeDocument/2006/relationships/hyperlink" Target="http://segya2prod.cardifnet.com.pe/liquidador/VerOrdenTrabajoLiquidador.asp?accion=inbox&amp;cod_ot=218270" TargetMode="External"/><Relationship Id="rId33" Type="http://schemas.openxmlformats.org/officeDocument/2006/relationships/hyperlink" Target="http://segya2prod.cardifnet.com.pe/liquidador/VerOrdenTrabajoLiquidador.asp?accion=inbox&amp;cod_ot=218545" TargetMode="External"/><Relationship Id="rId38" Type="http://schemas.openxmlformats.org/officeDocument/2006/relationships/hyperlink" Target="http://segya2prod.cardifnet.com.pe/liquidador/VerOrdenTrabajoLiquidador.asp?accion=inbox&amp;cod_ot=218494" TargetMode="External"/><Relationship Id="rId46" Type="http://schemas.openxmlformats.org/officeDocument/2006/relationships/hyperlink" Target="http://segya2prod.cardifnet.com.pe/liquidador/VerOrdenTrabajoLiquidador.asp?accion=inbox&amp;cod_ot=218493" TargetMode="External"/><Relationship Id="rId59" Type="http://schemas.openxmlformats.org/officeDocument/2006/relationships/hyperlink" Target="http://segya2prod.cardifnet.com.pe/liquidador/VerOrdenTrabajoLiquidador.asp?accion=inbox&amp;cod_ot=218247" TargetMode="External"/><Relationship Id="rId67" Type="http://schemas.openxmlformats.org/officeDocument/2006/relationships/hyperlink" Target="http://segya2prod.cardifnet.com.pe/liquidador/VerOrdenTrabajoLiquidador.asp?accion=inbox&amp;cod_ot=218595" TargetMode="External"/><Relationship Id="rId20" Type="http://schemas.openxmlformats.org/officeDocument/2006/relationships/hyperlink" Target="http://segya2prod.cardifnet.com.pe/liquidador/VerOrdenTrabajoLiquidador.asp?accion=inbox&amp;cod_ot=218173" TargetMode="External"/><Relationship Id="rId41" Type="http://schemas.openxmlformats.org/officeDocument/2006/relationships/hyperlink" Target="http://segya2prod.cardifnet.com.pe/liquidador/VerOrdenTrabajoLiquidador.asp?accion=inbox&amp;cod_ot=218492" TargetMode="External"/><Relationship Id="rId54" Type="http://schemas.openxmlformats.org/officeDocument/2006/relationships/hyperlink" Target="http://segya2prod.cardifnet.com.pe/liquidador/VerOrdenTrabajoLiquidador.asp?accion=inbox&amp;cod_ot=218493" TargetMode="External"/><Relationship Id="rId62" Type="http://schemas.openxmlformats.org/officeDocument/2006/relationships/hyperlink" Target="http://segya2prod.cardifnet.com.pe/liquidador/VerOrdenTrabajoLiquidador.asp?accion=inbox&amp;cod_ot=218574"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8" Type="http://schemas.openxmlformats.org/officeDocument/2006/relationships/hyperlink" Target="mailto:edy.lopez@electrolux.com" TargetMode="External"/><Relationship Id="rId13" Type="http://schemas.openxmlformats.org/officeDocument/2006/relationships/hyperlink" Target="mailto:repainter22@hotmail.com&#160;&#160;&#160;" TargetMode="External"/><Relationship Id="rId18" Type="http://schemas.openxmlformats.org/officeDocument/2006/relationships/printerSettings" Target="../printerSettings/printerSettings11.bin"/><Relationship Id="rId3" Type="http://schemas.openxmlformats.org/officeDocument/2006/relationships/hyperlink" Target="mailto:ventas@corparacionderepuesto.com" TargetMode="External"/><Relationship Id="rId7" Type="http://schemas.openxmlformats.org/officeDocument/2006/relationships/hyperlink" Target="mailto:ventas@tecnidaza.com" TargetMode="External"/><Relationship Id="rId12" Type="http://schemas.openxmlformats.org/officeDocument/2006/relationships/hyperlink" Target="mailto:jorge.calderon@lge.com" TargetMode="External"/><Relationship Id="rId17" Type="http://schemas.openxmlformats.org/officeDocument/2006/relationships/hyperlink" Target="mailto:eliel.valverde@eagledataperu.com" TargetMode="External"/><Relationship Id="rId2" Type="http://schemas.openxmlformats.org/officeDocument/2006/relationships/hyperlink" Target="mailto:cd.marly@hotmail.com" TargetMode="External"/><Relationship Id="rId16" Type="http://schemas.openxmlformats.org/officeDocument/2006/relationships/hyperlink" Target="mailto:lineamarron@servidoctors.com" TargetMode="External"/><Relationship Id="rId1" Type="http://schemas.openxmlformats.org/officeDocument/2006/relationships/hyperlink" Target="mailto:sparco@indurama.com" TargetMode="External"/><Relationship Id="rId6" Type="http://schemas.openxmlformats.org/officeDocument/2006/relationships/hyperlink" Target="mailto:ventasjhumabe7@gmail.com" TargetMode="External"/><Relationship Id="rId11" Type="http://schemas.openxmlformats.org/officeDocument/2006/relationships/hyperlink" Target="mailto:iger.sac@outlook.es" TargetMode="External"/><Relationship Id="rId5" Type="http://schemas.openxmlformats.org/officeDocument/2006/relationships/hyperlink" Target="mailto:ventas@hantoflima.com" TargetMode="External"/><Relationship Id="rId15" Type="http://schemas.openxmlformats.org/officeDocument/2006/relationships/hyperlink" Target="mailto:repuestosjame12@hotmail.com" TargetMode="External"/><Relationship Id="rId10" Type="http://schemas.openxmlformats.org/officeDocument/2006/relationships/hyperlink" Target="mailto:norjhoce@hotmail.com" TargetMode="External"/><Relationship Id="rId4" Type="http://schemas.openxmlformats.org/officeDocument/2006/relationships/hyperlink" Target="mailto:reparaciones@centralserviceperu.com" TargetMode="External"/><Relationship Id="rId9" Type="http://schemas.openxmlformats.org/officeDocument/2006/relationships/hyperlink" Target="mailto:repuesto_accesorios@hotmail.com" TargetMode="External"/><Relationship Id="rId14" Type="http://schemas.openxmlformats.org/officeDocument/2006/relationships/hyperlink" Target="mailto:soporte@laptronic.pe" TargetMode="External"/></Relationships>
</file>

<file path=xl/worksheets/_rels/sheet16.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1"/>
  <dimension ref="A1:S64"/>
  <sheetViews>
    <sheetView tabSelected="1" topLeftCell="B1" zoomScale="90" zoomScaleNormal="90" workbookViewId="0">
      <selection activeCell="N17" sqref="N17"/>
    </sheetView>
  </sheetViews>
  <sheetFormatPr baseColWidth="10" defaultRowHeight="15"/>
  <cols>
    <col min="1" max="1" width="3" hidden="1" customWidth="1"/>
    <col min="2" max="2" width="30.85546875" customWidth="1"/>
    <col min="3" max="3" width="27.7109375" bestFit="1" customWidth="1"/>
    <col min="4" max="4" width="11.42578125" style="12" customWidth="1"/>
    <col min="5" max="7" width="11.42578125" style="161" customWidth="1"/>
    <col min="8" max="12" width="11.42578125" style="315" customWidth="1"/>
  </cols>
  <sheetData>
    <row r="1" spans="2:14" ht="15.75" thickBot="1">
      <c r="F1" s="315"/>
      <c r="G1" s="315"/>
    </row>
    <row r="2" spans="2:14" s="315" customFormat="1" ht="20.25" thickTop="1" thickBot="1">
      <c r="B2" s="438" t="s">
        <v>2369</v>
      </c>
      <c r="C2" s="438"/>
      <c r="D2" s="438"/>
      <c r="E2" s="438"/>
      <c r="F2" s="438"/>
      <c r="G2" s="438"/>
      <c r="H2" s="438"/>
      <c r="I2" s="438"/>
      <c r="J2" s="438"/>
      <c r="K2" s="438"/>
      <c r="L2" s="438"/>
      <c r="M2" s="438"/>
    </row>
    <row r="3" spans="2:14" s="315" customFormat="1" ht="15.75" thickTop="1">
      <c r="D3" s="12"/>
    </row>
    <row r="4" spans="2:14">
      <c r="B4" s="336" t="s">
        <v>468</v>
      </c>
      <c r="C4" s="336" t="s">
        <v>421</v>
      </c>
      <c r="D4" s="379">
        <v>2017</v>
      </c>
      <c r="E4" s="337">
        <v>43101</v>
      </c>
      <c r="F4" s="337">
        <v>43132</v>
      </c>
      <c r="G4" s="337">
        <v>43160</v>
      </c>
      <c r="H4" s="337">
        <v>43191</v>
      </c>
      <c r="I4" s="337">
        <v>43221</v>
      </c>
      <c r="J4" s="337">
        <v>43252</v>
      </c>
      <c r="K4" s="337">
        <v>43282</v>
      </c>
      <c r="L4" s="337">
        <v>43313</v>
      </c>
      <c r="M4" s="337" t="s">
        <v>590</v>
      </c>
    </row>
    <row r="5" spans="2:14" hidden="1">
      <c r="B5" s="441" t="s">
        <v>465</v>
      </c>
      <c r="C5" s="54" t="s">
        <v>463</v>
      </c>
      <c r="D5" s="338"/>
      <c r="E5" s="339"/>
      <c r="F5" s="339"/>
      <c r="G5" s="339"/>
      <c r="H5" s="339"/>
      <c r="I5" s="339"/>
      <c r="J5" s="339"/>
      <c r="K5" s="339"/>
      <c r="L5" s="339"/>
      <c r="M5" s="340" t="e">
        <f>+SUM(#REF!)</f>
        <v>#REF!</v>
      </c>
    </row>
    <row r="6" spans="2:14" hidden="1">
      <c r="B6" s="441"/>
      <c r="C6" s="54" t="s">
        <v>464</v>
      </c>
      <c r="D6" s="338"/>
      <c r="E6" s="339"/>
      <c r="F6" s="339"/>
      <c r="G6" s="339"/>
      <c r="H6" s="339"/>
      <c r="I6" s="339"/>
      <c r="J6" s="339"/>
      <c r="K6" s="339"/>
      <c r="L6" s="339"/>
      <c r="M6" s="340" t="e">
        <f>+SUM(#REF!)</f>
        <v>#REF!</v>
      </c>
    </row>
    <row r="7" spans="2:14">
      <c r="B7" s="441"/>
      <c r="C7" s="332" t="s">
        <v>474</v>
      </c>
      <c r="D7" s="338">
        <v>303</v>
      </c>
      <c r="E7" s="390">
        <f>COUNTIFS('BD REPUESTO'!$E:$E,"2018.1",'BD REPUESTO'!$S:$S,"Linea Blanca",'BD REPUESTO'!$H:$H,"Cerrado")</f>
        <v>40</v>
      </c>
      <c r="F7" s="390">
        <f>COUNTIFS('BD REPUESTO'!$E:$E,"2018.2",'BD REPUESTO'!$S:$S,"Linea Blanca",'BD REPUESTO'!$H:$H,"Cerrado")</f>
        <v>28</v>
      </c>
      <c r="G7" s="390">
        <f>COUNTIFS('BD REPUESTO'!$E:$E,"2018.3",'BD REPUESTO'!$S:$S,"Linea Blanca",'BD REPUESTO'!$H:$H,"Cerrado")</f>
        <v>14</v>
      </c>
      <c r="H7" s="390">
        <f>COUNTIFS('BD REPUESTO'!$E:$E,"2018.4",'BD REPUESTO'!$S:$S,"Linea Blanca",'BD REPUESTO'!$H:$H,"Cerrado")</f>
        <v>14</v>
      </c>
      <c r="I7" s="390">
        <f>COUNTIFS('BD REPUESTO'!$E:$E,"2018.5",'BD REPUESTO'!$S:$S,"Linea Blanca",'BD REPUESTO'!$H:$H,"Cerrado")</f>
        <v>13</v>
      </c>
      <c r="J7" s="390">
        <f>COUNTIFS('BD REPUESTO'!$E:$E,"2018.6",'BD REPUESTO'!$S:$S,"Linea Blanca",'BD REPUESTO'!$H:$H,"Cerrado")</f>
        <v>9</v>
      </c>
      <c r="K7" s="390">
        <f>COUNTIFS('BD REPUESTO'!$E:$E,"2018.7",'BD REPUESTO'!$S:$S,"Linea Blanca",'BD REPUESTO'!$H:$H,"Cerrado")</f>
        <v>18</v>
      </c>
      <c r="L7" s="390">
        <f>COUNTIFS('BD REPUESTO'!$E:$E,"2018.8",'BD REPUESTO'!$S:$S,"Linea Blanca",'BD REPUESTO'!$H:$H,"Cerrado")</f>
        <v>15</v>
      </c>
      <c r="M7" s="340">
        <f>+SUM(E7:I7)</f>
        <v>109</v>
      </c>
    </row>
    <row r="8" spans="2:14">
      <c r="B8" s="441"/>
      <c r="C8" s="332" t="s">
        <v>523</v>
      </c>
      <c r="D8" s="338">
        <v>218</v>
      </c>
      <c r="E8" s="341">
        <f>COUNTIFS('BD REPUESTO'!$E:$E,"2018.1",'BD REPUESTO'!$S:$S,"Linea Blanca",'BD REPUESTO'!$H:$H,"Cerrado",'BD REPUESTO'!$AC:$AC,"1")</f>
        <v>27</v>
      </c>
      <c r="F8" s="341">
        <f>COUNTIFS('BD REPUESTO'!$E:$E,"2018.2",'BD REPUESTO'!$S:$S,"Linea Blanca",'BD REPUESTO'!$H:$H,"Cerrado",'BD REPUESTO'!$AC:$AC,"1")</f>
        <v>18</v>
      </c>
      <c r="G8" s="341">
        <f>COUNTIFS('BD REPUESTO'!$E:$E,"2018.3",'BD REPUESTO'!$S:$S,"Linea Blanca",'BD REPUESTO'!$H:$H,"Cerrado",'BD REPUESTO'!$AC:$AC,"1")</f>
        <v>8</v>
      </c>
      <c r="H8" s="341">
        <f>COUNTIFS('BD REPUESTO'!$E:$E,"2018.4",'BD REPUESTO'!$S:$S,"Linea Blanca",'BD REPUESTO'!$H:$H,"Cerrado",'BD REPUESTO'!$AC:$AC,"1")</f>
        <v>5</v>
      </c>
      <c r="I8" s="341">
        <f>COUNTIFS('BD REPUESTO'!$E:$E,"2018.5",'BD REPUESTO'!$S:$S,"Linea Blanca",'BD REPUESTO'!$H:$H,"Cerrado",'BD REPUESTO'!$AC:$AC,"1")</f>
        <v>6</v>
      </c>
      <c r="J8" s="341">
        <f>COUNTIFS('BD REPUESTO'!$E:$E,"2018.6",'BD REPUESTO'!$S:$S,"Linea Blanca",'BD REPUESTO'!$H:$H,"Cerrado",'BD REPUESTO'!$AC:$AC,"1")</f>
        <v>1</v>
      </c>
      <c r="K8" s="341">
        <f>COUNTIFS('BD REPUESTO'!$E:$E,"2018.7",'BD REPUESTO'!$S:$S,"Linea Blanca",'BD REPUESTO'!$H:$H,"Cerrado",'BD REPUESTO'!$AC:$AC,"1")</f>
        <v>4</v>
      </c>
      <c r="L8" s="341">
        <f>COUNTIFS('BD REPUESTO'!$E:$E,"2018.8",'BD REPUESTO'!$S:$S,"Linea Blanca",'BD REPUESTO'!$H:$H,"Cerrado",'BD REPUESTO'!$AC:$AC,"1")</f>
        <v>5</v>
      </c>
      <c r="M8" s="340">
        <f>+SUM(E8:I8)</f>
        <v>64</v>
      </c>
    </row>
    <row r="9" spans="2:14">
      <c r="B9" s="441"/>
      <c r="C9" s="333" t="s">
        <v>282</v>
      </c>
      <c r="D9" s="342">
        <v>504639.6</v>
      </c>
      <c r="E9" s="342">
        <f>+SUMIFS('BD REPUESTO'!$K:$K,'BD REPUESTO'!$H:$H,"Cerrado",'BD REPUESTO'!$AD:$AD,"Reemplazo",'BD REPUESTO'!$E:$E,"2018.1",'BD REPUESTO'!$S:$S,"Linea Blanca")</f>
        <v>56698</v>
      </c>
      <c r="F9" s="342">
        <f>+SUMIFS('BD REPUESTO'!$K:$K,'BD REPUESTO'!$H:$H,"Cerrado",'BD REPUESTO'!$AD:$AD,"Reemplazo",'BD REPUESTO'!$E:$E,"2018.2",'BD REPUESTO'!$S:$S,"Linea Blanca")</f>
        <v>32759</v>
      </c>
      <c r="G9" s="342">
        <f>+SUMIFS('BD REPUESTO'!$K:$K,'BD REPUESTO'!$H:$H,"Cerrado",'BD REPUESTO'!$AD:$AD,"Reemplazo",'BD REPUESTO'!$E:$E,"2018.3",'BD REPUESTO'!$S:$S,"Linea Blanca")</f>
        <v>18892</v>
      </c>
      <c r="H9" s="342">
        <f>+SUMIFS('BD REPUESTO'!$K:$K,'BD REPUESTO'!$H:$H,"Cerrado",'BD REPUESTO'!$AD:$AD,"Reemplazo",'BD REPUESTO'!$E:$E,"2018.4",'BD REPUESTO'!$S:$S,"Linea Blanca")</f>
        <v>8395</v>
      </c>
      <c r="I9" s="342">
        <f>+SUMIFS('BD REPUESTO'!$K:$K,'BD REPUESTO'!$H:$H,"Cerrado",'BD REPUESTO'!$AD:$AD,"Reemplazo",'BD REPUESTO'!$E:$E,"2018.5",'BD REPUESTO'!$S:$S,"Linea Blanca")</f>
        <v>9624</v>
      </c>
      <c r="J9" s="342">
        <f>+SUMIFS('BD REPUESTO'!$K:$K,'BD REPUESTO'!$H:$H,"Cerrado",'BD REPUESTO'!$AD:$AD,"Reemplazo",'BD REPUESTO'!$E:$E,"2018.6",'BD REPUESTO'!$S:$S,"Linea Blanca")</f>
        <v>999</v>
      </c>
      <c r="K9" s="342">
        <f>+SUMIFS('BD REPUESTO'!$K:$K,'BD REPUESTO'!$H:$H,"Cerrado",'BD REPUESTO'!$AD:$AD,"Reemplazo",'BD REPUESTO'!$E:$E,"2018.7",'BD REPUESTO'!$S:$S,"Linea Blanca")</f>
        <v>5056</v>
      </c>
      <c r="L9" s="342">
        <f>+SUMIFS('BD REPUESTO'!$K:$K,'BD REPUESTO'!$H:$H,"Cerrado",'BD REPUESTO'!$AD:$AD,"Reemplazo",'BD REPUESTO'!$E:$E,"2018.8",'BD REPUESTO'!$S:$S,"Linea Blanca")</f>
        <v>15217</v>
      </c>
      <c r="M9" s="343">
        <f>+SUM(E9:I9)</f>
        <v>126368</v>
      </c>
    </row>
    <row r="10" spans="2:14">
      <c r="B10" s="441"/>
      <c r="C10" s="333" t="s">
        <v>283</v>
      </c>
      <c r="D10" s="342">
        <v>347421.41019999998</v>
      </c>
      <c r="E10" s="342">
        <f>+SUMIFS('BD REPUESTO'!$N:$N,'BD REPUESTO'!$H:$H,"Cerrado",'BD REPUESTO'!$AD:$AD,"Reemplazo",'BD REPUESTO'!$S:$S,"Linea Blanca",'BD REPUESTO'!$E:$E,"2018.1")</f>
        <v>45154.12</v>
      </c>
      <c r="F10" s="342">
        <f>+SUMIFS('BD REPUESTO'!$N:$N,'BD REPUESTO'!$H:$H,"Cerrado",'BD REPUESTO'!$AD:$AD,"Reemplazo",'BD REPUESTO'!$S:$S,"Linea Blanca",'BD REPUESTO'!$E:$E,"2018.2")</f>
        <v>25742.46</v>
      </c>
      <c r="G10" s="342">
        <f>+SUMIFS('BD REPUESTO'!$N:$N,'BD REPUESTO'!$H:$H,"Cerrado",'BD REPUESTO'!$AD:$AD,"Reemplazo",'BD REPUESTO'!$S:$S,"Linea Blanca",'BD REPUESTO'!$E:$E,"2018.3")</f>
        <v>16069.409999999998</v>
      </c>
      <c r="H10" s="342">
        <f>+SUMIFS('BD REPUESTO'!$N:$N,'BD REPUESTO'!$H:$H,"Cerrado",'BD REPUESTO'!$AD:$AD,"Reemplazo",'BD REPUESTO'!$S:$S,"Linea Blanca",'BD REPUESTO'!$E:$E,"2018.4")</f>
        <v>6030.2999999999993</v>
      </c>
      <c r="I10" s="342">
        <f>+SUMIFS('BD REPUESTO'!$N:$N,'BD REPUESTO'!$H:$H,"Cerrado",'BD REPUESTO'!$AD:$AD,"Reemplazo",'BD REPUESTO'!$S:$S,"Linea Blanca",'BD REPUESTO'!$E:$E,"2018.5")</f>
        <v>7131.5599999999995</v>
      </c>
      <c r="J10" s="342">
        <f>+SUMIFS('BD REPUESTO'!$N:$N,'BD REPUESTO'!$H:$H,"Cerrado",'BD REPUESTO'!$AD:$AD,"Reemplazo",'BD REPUESTO'!$S:$S,"Linea Blanca",'BD REPUESTO'!$E:$E,"2018.6")</f>
        <v>639.05999999999995</v>
      </c>
      <c r="K10" s="342">
        <f>+SUMIFS('BD REPUESTO'!$N:$N,'BD REPUESTO'!$H:$H,"Cerrado",'BD REPUESTO'!$AD:$AD,"Reemplazo",'BD REPUESTO'!$S:$S,"Linea Blanca",'BD REPUESTO'!$E:$E,"2018.7")</f>
        <v>3742.64</v>
      </c>
      <c r="L10" s="342">
        <f>+SUMIFS('BD REPUESTO'!$N:$N,'BD REPUESTO'!$H:$H,"Cerrado",'BD REPUESTO'!$AD:$AD,"Reemplazo",'BD REPUESTO'!$S:$S,"Linea Blanca",'BD REPUESTO'!$E:$E,"2018.8")</f>
        <v>10374.98</v>
      </c>
      <c r="M10" s="343">
        <f>+SUM(E10:I10)</f>
        <v>100127.85</v>
      </c>
    </row>
    <row r="11" spans="2:14" ht="2.25" customHeight="1">
      <c r="B11" s="347"/>
      <c r="C11" s="334"/>
      <c r="D11" s="338"/>
      <c r="E11" s="338"/>
      <c r="F11" s="338"/>
      <c r="G11" s="338"/>
      <c r="H11" s="338"/>
      <c r="I11" s="338"/>
      <c r="J11" s="338"/>
      <c r="K11" s="338"/>
      <c r="L11" s="338"/>
      <c r="M11" s="344" t="e">
        <f>+SUM(#REF!)</f>
        <v>#REF!</v>
      </c>
    </row>
    <row r="12" spans="2:14" hidden="1">
      <c r="B12" s="441" t="s">
        <v>466</v>
      </c>
      <c r="C12" s="335" t="s">
        <v>463</v>
      </c>
      <c r="D12" s="338"/>
      <c r="E12" s="339"/>
      <c r="F12" s="339"/>
      <c r="G12" s="339"/>
      <c r="H12" s="339"/>
      <c r="I12" s="339"/>
      <c r="J12" s="339"/>
      <c r="K12" s="339"/>
      <c r="L12" s="339"/>
      <c r="M12" s="340" t="e">
        <f>+SUM(#REF!)</f>
        <v>#REF!</v>
      </c>
    </row>
    <row r="13" spans="2:14" hidden="1">
      <c r="B13" s="441"/>
      <c r="C13" s="335" t="s">
        <v>464</v>
      </c>
      <c r="D13" s="338"/>
      <c r="E13" s="339"/>
      <c r="F13" s="339"/>
      <c r="G13" s="339"/>
      <c r="H13" s="339"/>
      <c r="I13" s="339"/>
      <c r="J13" s="339"/>
      <c r="K13" s="339"/>
      <c r="L13" s="339"/>
      <c r="M13" s="340" t="e">
        <f>+SUM(#REF!)</f>
        <v>#REF!</v>
      </c>
    </row>
    <row r="14" spans="2:14">
      <c r="B14" s="441"/>
      <c r="C14" s="332" t="s">
        <v>474</v>
      </c>
      <c r="D14" s="338">
        <v>101</v>
      </c>
      <c r="E14" s="357">
        <f>COUNTIFS('BD REPUESTO'!$E:$E,"2018.1",'BD REPUESTO'!$S:$S,"Computo",'BD REPUESTO'!$H:$H,"Cerrado")</f>
        <v>8</v>
      </c>
      <c r="F14" s="357">
        <f>COUNTIFS('BD REPUESTO'!$E:$E,"2018.2",'BD REPUESTO'!$S:$S,"Computo",'BD REPUESTO'!$H:$H,"Cerrado")</f>
        <v>4</v>
      </c>
      <c r="G14" s="357">
        <f>COUNTIFS('BD REPUESTO'!$E:$E,"2018.3",'BD REPUESTO'!$S:$S,"Computo",'BD REPUESTO'!$H:$H,"Cerrado")</f>
        <v>1</v>
      </c>
      <c r="H14" s="357">
        <f>COUNTIFS('BD REPUESTO'!$E:$E,"2018.4",'BD REPUESTO'!$S:$S,"Computo",'BD REPUESTO'!$H:$H,"Cerrado")</f>
        <v>0</v>
      </c>
      <c r="I14" s="357">
        <f>COUNTIFS('BD REPUESTO'!$E:$E,"2018.5",'BD REPUESTO'!$S:$S,"Computo",'BD REPUESTO'!$H:$H,"Cerrado")</f>
        <v>4</v>
      </c>
      <c r="J14" s="357">
        <f>COUNTIFS('BD REPUESTO'!$E:$E,"2018.6",'BD REPUESTO'!$S:$S,"Computo",'BD REPUESTO'!$H:$H,"Cerrado")</f>
        <v>3</v>
      </c>
      <c r="K14" s="357">
        <f>COUNTIFS('BD REPUESTO'!$E:$E,"2018.7",'BD REPUESTO'!$S:$S,"Computo",'BD REPUESTO'!$H:$H,"Cerrado")</f>
        <v>2</v>
      </c>
      <c r="L14" s="357">
        <f>COUNTIFS('BD REPUESTO'!$E:$E,"2018.8",'BD REPUESTO'!$S:$S,"Computo",'BD REPUESTO'!$H:$H,"Cerrado")</f>
        <v>2</v>
      </c>
      <c r="M14" s="340">
        <f>+SUM(E14:I14)</f>
        <v>17</v>
      </c>
      <c r="N14" s="315"/>
    </row>
    <row r="15" spans="2:14">
      <c r="B15" s="441"/>
      <c r="C15" s="332" t="s">
        <v>523</v>
      </c>
      <c r="D15" s="338">
        <v>31</v>
      </c>
      <c r="E15" s="341">
        <f>COUNTIFS('BD REPUESTO'!$E:$E,"2018.1",'BD REPUESTO'!$S:$S,"Computo",'BD REPUESTO'!$H:$H,"Cerrado",'BD REPUESTO'!$AC:$AC,"1")</f>
        <v>2</v>
      </c>
      <c r="F15" s="341">
        <f>COUNTIFS('BD REPUESTO'!$E:$E,"2018.2",'BD REPUESTO'!$S:$S,"Computo",'BD REPUESTO'!$H:$H,"Cerrado",'BD REPUESTO'!$AC:$AC,"1")</f>
        <v>0</v>
      </c>
      <c r="G15" s="341">
        <f>COUNTIFS('BD REPUESTO'!$E:$E,"2018.3",'BD REPUESTO'!$S:$S,"Computo",'BD REPUESTO'!$H:$H,"Cerrado",'BD REPUESTO'!$AC:$AC,"1")</f>
        <v>1</v>
      </c>
      <c r="H15" s="341">
        <f>COUNTIFS('BD REPUESTO'!$E:$E,"2018.4",'BD REPUESTO'!$S:$S,"Computo",'BD REPUESTO'!$H:$H,"Cerrado",'BD REPUESTO'!$AC:$AC,"1")</f>
        <v>0</v>
      </c>
      <c r="I15" s="341">
        <f>COUNTIFS('BD REPUESTO'!$E:$E,"2018.5",'BD REPUESTO'!$S:$S,"Computo",'BD REPUESTO'!$H:$H,"Cerrado",'BD REPUESTO'!$AC:$AC,"1")</f>
        <v>1</v>
      </c>
      <c r="J15" s="341">
        <f>COUNTIFS('BD REPUESTO'!$E:$E,"2018.6",'BD REPUESTO'!$S:$S,"Computo",'BD REPUESTO'!$H:$H,"Cerrado",'BD REPUESTO'!$AC:$AC,"1")</f>
        <v>1</v>
      </c>
      <c r="K15" s="341">
        <f>COUNTIFS('BD REPUESTO'!$E:$E,"2018.7",'BD REPUESTO'!$S:$S,"Computo",'BD REPUESTO'!$H:$H,"Cerrado",'BD REPUESTO'!$AC:$AC,"1")</f>
        <v>0</v>
      </c>
      <c r="L15" s="341">
        <f>COUNTIFS('BD REPUESTO'!$E:$E,"2018.8",'BD REPUESTO'!$S:$S,"Computo",'BD REPUESTO'!$H:$H,"Cerrado",'BD REPUESTO'!$AC:$AC,"1")</f>
        <v>0</v>
      </c>
      <c r="M15" s="340">
        <f>+SUM(I15)</f>
        <v>1</v>
      </c>
    </row>
    <row r="16" spans="2:14">
      <c r="B16" s="441"/>
      <c r="C16" s="333" t="s">
        <v>282</v>
      </c>
      <c r="D16" s="345">
        <v>92416.55</v>
      </c>
      <c r="E16" s="346">
        <f>+SUMIFS('BD REPUESTO'!$K:$K,'BD REPUESTO'!$H:$H,"Cerrado",'BD REPUESTO'!$AD:$AD,"Reemplazo",'BD REPUESTO'!$E:$E,"2018.1",'BD REPUESTO'!$S:$S,"Computo")</f>
        <v>3218</v>
      </c>
      <c r="F16" s="346">
        <f>+SUMIFS('BD REPUESTO'!$K:$K,'BD REPUESTO'!$H:$H,"Cerrado",'BD REPUESTO'!$AD:$AD,"Reemplazo",'BD REPUESTO'!$E:$E,"2018.2",'BD REPUESTO'!$S:$S,"Computo")</f>
        <v>0</v>
      </c>
      <c r="G16" s="346">
        <f>+SUMIFS('BD REPUESTO'!$K:$K,'BD REPUESTO'!$H:$H,"Cerrado",'BD REPUESTO'!$AD:$AD,"Reemplazo",'BD REPUESTO'!$E:$E,"2018.3",'BD REPUESTO'!$S:$S,"Computo")</f>
        <v>1230</v>
      </c>
      <c r="H16" s="346">
        <f>+SUMIFS('BD REPUESTO'!$K:$K,'BD REPUESTO'!$H:$H,"Cerrado",'BD REPUESTO'!$AD:$AD,"Reemplazo",'BD REPUESTO'!$E:$E,"2018.4",'BD REPUESTO'!$S:$S,"Computo")</f>
        <v>0</v>
      </c>
      <c r="I16" s="346">
        <f>+SUMIFS('BD REPUESTO'!$K:$K,'BD REPUESTO'!$H:$H,"Cerrado",'BD REPUESTO'!$AD:$AD,"Reemplazo",'BD REPUESTO'!$E:$E,"2018.5",'BD REPUESTO'!$S:$S,"Computo")</f>
        <v>1299</v>
      </c>
      <c r="J16" s="346">
        <f>+SUMIFS('BD REPUESTO'!$K:$K,'BD REPUESTO'!$H:$H,"Cerrado",'BD REPUESTO'!$AD:$AD,"Reemplazo",'BD REPUESTO'!$E:$E,"2018.6",'BD REPUESTO'!$S:$S,"Computo")</f>
        <v>3299</v>
      </c>
      <c r="K16" s="346">
        <f>+SUMIFS('BD REPUESTO'!$K:$K,'BD REPUESTO'!$H:$H,"Cerrado",'BD REPUESTO'!$AD:$AD,"Reemplazo",'BD REPUESTO'!$E:$E,"2018.7",'BD REPUESTO'!$S:$S,"Computo")</f>
        <v>0</v>
      </c>
      <c r="L16" s="346">
        <f>+SUMIFS('BD REPUESTO'!$K:$K,'BD REPUESTO'!$H:$H,"Cerrado",'BD REPUESTO'!$AD:$AD,"Reemplazo",'BD REPUESTO'!$E:$E,"2018.8",'BD REPUESTO'!$S:$S,"Computo")</f>
        <v>0</v>
      </c>
      <c r="M16" s="343">
        <f>+SUM(E16:I16)</f>
        <v>5747</v>
      </c>
    </row>
    <row r="17" spans="2:15">
      <c r="B17" s="441"/>
      <c r="C17" s="333" t="s">
        <v>283</v>
      </c>
      <c r="D17" s="345">
        <v>39215.384000000005</v>
      </c>
      <c r="E17" s="346">
        <f>+SUMIFS('BD REPUESTO'!$N:$N,'BD REPUESTO'!$H:$H,"Cerrado",'BD REPUESTO'!$AD:$AD,"Reemplazo",'BD REPUESTO'!$S:$S,"Computo",'BD REPUESTO'!$E:$E,"2018.1")</f>
        <v>1934.9199999999998</v>
      </c>
      <c r="F17" s="346">
        <f>+SUMIFS('BD REPUESTO'!$N:$N,'BD REPUESTO'!$H:$H,"Cerrado",'BD REPUESTO'!$AD:$AD,"Reemplazo",'BD REPUESTO'!$S:$S,"Computo",'BD REPUESTO'!$E:$E,"2018.2")</f>
        <v>0</v>
      </c>
      <c r="G17" s="346">
        <f>+SUMIFS('BD REPUESTO'!$N:$N,'BD REPUESTO'!$H:$H,"Cerrado",'BD REPUESTO'!$AD:$AD,"Reemplazo",'BD REPUESTO'!$S:$S,"Computo",'BD REPUESTO'!$E:$E,"2018.3")</f>
        <v>786.2</v>
      </c>
      <c r="H17" s="346">
        <f>+SUMIFS('BD REPUESTO'!$N:$N,'BD REPUESTO'!$H:$H,"Cerrado",'BD REPUESTO'!$AD:$AD,"Reemplazo",'BD REPUESTO'!$S:$S,"Computo",'BD REPUESTO'!$E:$E,"2018.4")</f>
        <v>0</v>
      </c>
      <c r="I17" s="346">
        <f>+SUMIFS('BD REPUESTO'!$N:$N,'BD REPUESTO'!$H:$H,"Cerrado",'BD REPUESTO'!$AD:$AD,"Reemplazo",'BD REPUESTO'!$S:$S,"Computo",'BD REPUESTO'!$E:$E,"2018.5")</f>
        <v>1051.06</v>
      </c>
      <c r="J17" s="346">
        <f>+SUMIFS('BD REPUESTO'!$N:$N,'BD REPUESTO'!$H:$H,"Cerrado",'BD REPUESTO'!$AD:$AD,"Reemplazo",'BD REPUESTO'!$S:$S,"Computo",'BD REPUESTO'!$E:$E,"2018.6")</f>
        <v>2741.06</v>
      </c>
      <c r="K17" s="346">
        <f>+SUMIFS('BD REPUESTO'!$N:$N,'BD REPUESTO'!$H:$H,"Cerrado",'BD REPUESTO'!$AD:$AD,"Reemplazo",'BD REPUESTO'!$S:$S,"Computo",'BD REPUESTO'!$E:$E,"2018.7")</f>
        <v>0</v>
      </c>
      <c r="L17" s="346">
        <f>+SUMIFS('BD REPUESTO'!$N:$N,'BD REPUESTO'!$H:$H,"Cerrado",'BD REPUESTO'!$AD:$AD,"Reemplazo",'BD REPUESTO'!$S:$S,"Computo",'BD REPUESTO'!$E:$E,"2018.8")</f>
        <v>0</v>
      </c>
      <c r="M17" s="343">
        <f>+SUM(E17:I17)</f>
        <v>3772.18</v>
      </c>
    </row>
    <row r="18" spans="2:15" ht="2.25" customHeight="1">
      <c r="B18" s="347"/>
      <c r="C18" s="334"/>
      <c r="D18" s="347"/>
      <c r="E18" s="347"/>
      <c r="F18" s="347"/>
      <c r="G18" s="347"/>
      <c r="H18" s="347"/>
      <c r="I18" s="347"/>
      <c r="J18" s="347"/>
      <c r="K18" s="347"/>
      <c r="L18" s="347"/>
      <c r="M18" s="344" t="e">
        <f>+SUM(#REF!)</f>
        <v>#REF!</v>
      </c>
    </row>
    <row r="19" spans="2:15" hidden="1">
      <c r="B19" s="442" t="s">
        <v>467</v>
      </c>
      <c r="C19" s="335" t="s">
        <v>463</v>
      </c>
      <c r="D19" s="347"/>
      <c r="E19" s="339"/>
      <c r="F19" s="339"/>
      <c r="G19" s="339"/>
      <c r="H19" s="339"/>
      <c r="I19" s="339"/>
      <c r="J19" s="339"/>
      <c r="K19" s="339"/>
      <c r="L19" s="339"/>
      <c r="M19" s="340" t="e">
        <f>+SUM(#REF!)</f>
        <v>#REF!</v>
      </c>
    </row>
    <row r="20" spans="2:15" hidden="1">
      <c r="B20" s="441"/>
      <c r="C20" s="335" t="s">
        <v>464</v>
      </c>
      <c r="D20" s="347"/>
      <c r="E20" s="339"/>
      <c r="F20" s="339"/>
      <c r="G20" s="339"/>
      <c r="H20" s="339"/>
      <c r="I20" s="339"/>
      <c r="J20" s="339"/>
      <c r="K20" s="339"/>
      <c r="L20" s="339"/>
      <c r="M20" s="340" t="e">
        <f>+SUM(#REF!)</f>
        <v>#REF!</v>
      </c>
    </row>
    <row r="21" spans="2:15">
      <c r="B21" s="441"/>
      <c r="C21" s="332" t="s">
        <v>474</v>
      </c>
      <c r="D21" s="347">
        <v>201</v>
      </c>
      <c r="E21" s="357">
        <f>COUNTIFS('BD REPUESTO'!$E:$E,"2018.1",'BD REPUESTO'!$S:$S,"Audio Video",'BD REPUESTO'!$H:$H,"Cerrado")</f>
        <v>14</v>
      </c>
      <c r="F21" s="357">
        <f>COUNTIFS('BD REPUESTO'!$E:$E,"2018.2",'BD REPUESTO'!$S:$S,"Audio Video",'BD REPUESTO'!$H:$H,"Cerrado")</f>
        <v>12</v>
      </c>
      <c r="G21" s="357">
        <f>COUNTIFS('BD REPUESTO'!$E:$E,"2018.3",'BD REPUESTO'!$S:$S,"Audio Video",'BD REPUESTO'!$H:$H,"Cerrado")</f>
        <v>17</v>
      </c>
      <c r="H21" s="357">
        <f>COUNTIFS('BD REPUESTO'!$E:$E,"2018.4",'BD REPUESTO'!$S:$S,"Audio Video",'BD REPUESTO'!$H:$H,"Cerrado")</f>
        <v>7</v>
      </c>
      <c r="I21" s="357">
        <f>COUNTIFS('BD REPUESTO'!$E:$E,"2018.5",'BD REPUESTO'!$S:$S,"Audio Video",'BD REPUESTO'!$H:$H,"Cerrado")</f>
        <v>14</v>
      </c>
      <c r="J21" s="357">
        <f>COUNTIFS('BD REPUESTO'!$E:$E,"2018.6",'BD REPUESTO'!$S:$S,"Audio Video",'BD REPUESTO'!$H:$H,"Cerrado")</f>
        <v>18</v>
      </c>
      <c r="K21" s="357">
        <f>COUNTIFS('BD REPUESTO'!$E:$E,"2018.7",'BD REPUESTO'!$S:$S,"Audio Video",'BD REPUESTO'!$H:$H,"Cerrado")</f>
        <v>23</v>
      </c>
      <c r="L21" s="357">
        <f>COUNTIFS('BD REPUESTO'!$E:$E,"2018.8",'BD REPUESTO'!$S:$S,"Audio Video",'BD REPUESTO'!$H:$H,"Cerrado")</f>
        <v>15</v>
      </c>
      <c r="M21" s="340">
        <f>+SUM( E21:I21)</f>
        <v>64</v>
      </c>
    </row>
    <row r="22" spans="2:15">
      <c r="B22" s="441"/>
      <c r="C22" s="332" t="s">
        <v>523</v>
      </c>
      <c r="D22" s="347">
        <v>65</v>
      </c>
      <c r="E22" s="341">
        <f>COUNTIFS('BD REPUESTO'!$E:$E,"2018.1",'BD REPUESTO'!$S:$S,"Audio Video",'BD REPUESTO'!$H:$H,"Cerrado",'BD REPUESTO'!$AC:$AC,"1")</f>
        <v>5</v>
      </c>
      <c r="F22" s="341">
        <f>COUNTIFS('BD REPUESTO'!$E:$E,"2018.2",'BD REPUESTO'!$S:$S,"Audio Video",'BD REPUESTO'!$H:$H,"Cerrado",'BD REPUESTO'!$AC:$AC,"1")</f>
        <v>4</v>
      </c>
      <c r="G22" s="341">
        <f>COUNTIFS('BD REPUESTO'!$E:$E,"2018.3",'BD REPUESTO'!$S:$S,"Audio Video",'BD REPUESTO'!$H:$H,"Cerrado",'BD REPUESTO'!$AC:$AC,"1")</f>
        <v>8</v>
      </c>
      <c r="H22" s="341">
        <f>COUNTIFS('BD REPUESTO'!$E:$E,"2018.4",'BD REPUESTO'!$S:$S,"Audio Video",'BD REPUESTO'!$H:$H,"Cerrado",'BD REPUESTO'!$AC:$AC,"1")</f>
        <v>2</v>
      </c>
      <c r="I22" s="341">
        <f>COUNTIFS('BD REPUESTO'!$E:$E,"2018.5",'BD REPUESTO'!$S:$S,"Audio Video",'BD REPUESTO'!$H:$H,"Cerrado",'BD REPUESTO'!$AC:$AC,"1")</f>
        <v>4</v>
      </c>
      <c r="J22" s="341">
        <f>COUNTIFS('BD REPUESTO'!$E:$E,"2018.6",'BD REPUESTO'!$S:$S,"Audio Video",'BD REPUESTO'!$H:$H,"Cerrado",'BD REPUESTO'!$AC:$AC,"1")</f>
        <v>3</v>
      </c>
      <c r="K22" s="341">
        <f>COUNTIFS('BD REPUESTO'!$E:$E,"2018.7",'BD REPUESTO'!$S:$S,"Audio Video",'BD REPUESTO'!$H:$H,"Cerrado",'BD REPUESTO'!$AC:$AC,"1")</f>
        <v>3</v>
      </c>
      <c r="L22" s="341">
        <f>COUNTIFS('BD REPUESTO'!$E:$E,"2018.8",'BD REPUESTO'!$S:$S,"Audio Video",'BD REPUESTO'!$H:$H,"Cerrado",'BD REPUESTO'!$AC:$AC,"1")</f>
        <v>2</v>
      </c>
      <c r="M22" s="340">
        <f>+SUM( E22:I22)</f>
        <v>23</v>
      </c>
    </row>
    <row r="23" spans="2:15">
      <c r="B23" s="441"/>
      <c r="C23" s="333" t="s">
        <v>282</v>
      </c>
      <c r="D23" s="346">
        <v>207231.34</v>
      </c>
      <c r="E23" s="346">
        <f>+SUMIFS('BD REPUESTO'!$K:$K,'BD REPUESTO'!$H:$H,"Cerrado",'BD REPUESTO'!$AD:$AD,"Reemplazo",'BD REPUESTO'!$E:$E,"2018.1",'BD REPUESTO'!$S:$S,"Audio Video")</f>
        <v>13656</v>
      </c>
      <c r="F23" s="346">
        <f>+SUMIFS('BD REPUESTO'!$K:$K,'BD REPUESTO'!$H:$H,"Cerrado",'BD REPUESTO'!$AD:$AD,"Reemplazo",'BD REPUESTO'!$E:$E,"2018.2",'BD REPUESTO'!$S:$S,"Audio Video")</f>
        <v>7035</v>
      </c>
      <c r="G23" s="346">
        <f>+SUMIFS('BD REPUESTO'!$K:$K,'BD REPUESTO'!$H:$H,"Cerrado",'BD REPUESTO'!$AD:$AD,"Reemplazo",'BD REPUESTO'!$E:$E,"2018.3",'BD REPUESTO'!$S:$S,"Audio Video")</f>
        <v>16264</v>
      </c>
      <c r="H23" s="346">
        <f>+SUMIFS('BD REPUESTO'!$K:$K,'BD REPUESTO'!$H:$H,"Cerrado",'BD REPUESTO'!$AD:$AD,"Reemplazo",'BD REPUESTO'!$E:$E,"2018.4",'BD REPUESTO'!$S:$S,"Audio Video")</f>
        <v>5118</v>
      </c>
      <c r="I23" s="346">
        <f>+SUMIFS('BD REPUESTO'!$K:$K,'BD REPUESTO'!$H:$H,"Cerrado",'BD REPUESTO'!$AD:$AD,"Reemplazo",'BD REPUESTO'!$E:$E,"2018.5",'BD REPUESTO'!$S:$S,"Audio Video")</f>
        <v>7496</v>
      </c>
      <c r="J23" s="346">
        <f>+SUMIFS('BD REPUESTO'!$K:$K,'BD REPUESTO'!$H:$H,"Cerrado",'BD REPUESTO'!$AD:$AD,"Reemplazo",'BD REPUESTO'!$E:$E,"2018.6",'BD REPUESTO'!$S:$S,"Audio Video")</f>
        <v>6697</v>
      </c>
      <c r="K23" s="346">
        <f>+SUMIFS('BD REPUESTO'!$K:$K,'BD REPUESTO'!$H:$H,"Cerrado",'BD REPUESTO'!$AD:$AD,"Reemplazo",'BD REPUESTO'!$E:$E,"2018.7",'BD REPUESTO'!$S:$S,"Audio Video")</f>
        <v>16607</v>
      </c>
      <c r="L23" s="346">
        <f>+SUMIFS('BD REPUESTO'!$K:$K,'BD REPUESTO'!$H:$H,"Cerrado",'BD REPUESTO'!$AD:$AD,"Reemplazo",'BD REPUESTO'!$E:$E,"2018.8",'BD REPUESTO'!$S:$S,"Audio Video")</f>
        <v>3699</v>
      </c>
      <c r="M23" s="343">
        <f>+SUM( E23:I23)</f>
        <v>49569</v>
      </c>
    </row>
    <row r="24" spans="2:15">
      <c r="B24" s="441"/>
      <c r="C24" s="333" t="s">
        <v>283</v>
      </c>
      <c r="D24" s="346">
        <v>85459.15</v>
      </c>
      <c r="E24" s="346">
        <f>+SUMIFS('BD REPUESTO'!$N:$N,'BD REPUESTO'!$H:$H,"Cerrado",'BD REPUESTO'!$AD:$AD,"Reemplazo",'BD REPUESTO'!$S:$S,"Audio Video",'BD REPUESTO'!$E:$E,"2018.1")</f>
        <v>10491.64</v>
      </c>
      <c r="F24" s="346">
        <f>+SUMIFS('BD REPUESTO'!$N:$N,'BD REPUESTO'!$H:$H,"Cerrado",'BD REPUESTO'!$AD:$AD,"Reemplazo",'BD REPUESTO'!$S:$S,"Audio Video",'BD REPUESTO'!$E:$E,"2018.2")</f>
        <v>5234.8999999999996</v>
      </c>
      <c r="G24" s="346">
        <f>+SUMIFS('BD REPUESTO'!$N:$N,'BD REPUESTO'!$H:$H,"Cerrado",'BD REPUESTO'!$AD:$AD,"Reemplazo",'BD REPUESTO'!$S:$S,"Audio Video",'BD REPUESTO'!$E:$E,"2018.3")</f>
        <v>12911.16</v>
      </c>
      <c r="H24" s="346">
        <f>+SUMIFS('BD REPUESTO'!$N:$N,'BD REPUESTO'!$H:$H,"Cerrado",'BD REPUESTO'!$AD:$AD,"Reemplazo",'BD REPUESTO'!$S:$S,"Audio Video",'BD REPUESTO'!$E:$E,"2018.4")</f>
        <v>4490.92</v>
      </c>
      <c r="I24" s="346">
        <f>+SUMIFS('BD REPUESTO'!$N:$N,'BD REPUESTO'!$H:$H,"Cerrado",'BD REPUESTO'!$AD:$AD,"Reemplazo",'BD REPUESTO'!$S:$S,"Audio Video",'BD REPUESTO'!$E:$E,"2018.5")</f>
        <v>5866.24</v>
      </c>
      <c r="J24" s="346">
        <f>+SUMIFS('BD REPUESTO'!$N:$N,'BD REPUESTO'!$H:$H,"Cerrado",'BD REPUESTO'!$AD:$AD,"Reemplazo",'BD REPUESTO'!$S:$S,"Audio Video",'BD REPUESTO'!$E:$E,"2018.6")</f>
        <v>5475.18</v>
      </c>
      <c r="K24" s="346">
        <f>+SUMIFS('BD REPUESTO'!$N:$N,'BD REPUESTO'!$H:$H,"Cerrado",'BD REPUESTO'!$AD:$AD,"Reemplazo",'BD REPUESTO'!$S:$S,"Audio Video",'BD REPUESTO'!$E:$E,"2018.7")</f>
        <v>14943.579999999998</v>
      </c>
      <c r="L24" s="346">
        <f>+SUMIFS('BD REPUESTO'!$N:$N,'BD REPUESTO'!$H:$H,"Cerrado",'BD REPUESTO'!$AD:$AD,"Reemplazo",'BD REPUESTO'!$S:$S,"Audio Video",'BD REPUESTO'!$E:$E,"2018.8")</f>
        <v>3078.06</v>
      </c>
      <c r="M24" s="343">
        <f>+SUM( E24:I24)</f>
        <v>38994.859999999993</v>
      </c>
    </row>
    <row r="25" spans="2:15" ht="1.5" customHeight="1">
      <c r="B25" s="50"/>
      <c r="C25" s="334"/>
      <c r="D25" s="347"/>
      <c r="E25" s="347"/>
      <c r="F25" s="347"/>
      <c r="G25" s="347"/>
      <c r="H25" s="347"/>
      <c r="I25" s="347"/>
      <c r="J25" s="347"/>
      <c r="K25" s="347"/>
      <c r="L25" s="347"/>
      <c r="M25" s="344" t="e">
        <f>+SUM(#REF!)</f>
        <v>#REF!</v>
      </c>
    </row>
    <row r="26" spans="2:15" hidden="1">
      <c r="B26" s="348"/>
      <c r="C26" s="335" t="s">
        <v>463</v>
      </c>
      <c r="D26" s="349"/>
      <c r="E26" s="350"/>
      <c r="F26" s="350"/>
      <c r="G26" s="350"/>
      <c r="H26" s="350"/>
      <c r="I26" s="350"/>
      <c r="J26" s="350"/>
      <c r="K26" s="350"/>
      <c r="L26" s="350"/>
      <c r="M26" s="351" t="e">
        <f>+SUM(#REF!)</f>
        <v>#REF!</v>
      </c>
    </row>
    <row r="27" spans="2:15" hidden="1">
      <c r="B27" s="348"/>
      <c r="C27" s="335" t="s">
        <v>464</v>
      </c>
      <c r="D27" s="349"/>
      <c r="E27" s="350"/>
      <c r="F27" s="350"/>
      <c r="G27" s="350"/>
      <c r="H27" s="350"/>
      <c r="I27" s="350"/>
      <c r="J27" s="350"/>
      <c r="K27" s="350"/>
      <c r="L27" s="350"/>
      <c r="M27" s="351" t="e">
        <f>+SUM(#REF!)</f>
        <v>#REF!</v>
      </c>
    </row>
    <row r="28" spans="2:15">
      <c r="B28" s="348"/>
      <c r="C28" s="383" t="s">
        <v>474</v>
      </c>
      <c r="D28" s="350">
        <v>605</v>
      </c>
      <c r="E28" s="391">
        <f t="shared" ref="E28:L28" si="0">+E7+E14+E21</f>
        <v>62</v>
      </c>
      <c r="F28" s="391">
        <f t="shared" si="0"/>
        <v>44</v>
      </c>
      <c r="G28" s="391">
        <f t="shared" si="0"/>
        <v>32</v>
      </c>
      <c r="H28" s="391">
        <f t="shared" si="0"/>
        <v>21</v>
      </c>
      <c r="I28" s="391">
        <f t="shared" si="0"/>
        <v>31</v>
      </c>
      <c r="J28" s="391">
        <f t="shared" si="0"/>
        <v>30</v>
      </c>
      <c r="K28" s="391">
        <f t="shared" si="0"/>
        <v>43</v>
      </c>
      <c r="L28" s="391">
        <f t="shared" si="0"/>
        <v>32</v>
      </c>
      <c r="M28" s="351">
        <f>+SUM( E28:I28)</f>
        <v>190</v>
      </c>
    </row>
    <row r="29" spans="2:15">
      <c r="B29" s="348"/>
      <c r="C29" s="335" t="s">
        <v>523</v>
      </c>
      <c r="D29" s="350">
        <v>314</v>
      </c>
      <c r="E29" s="392">
        <f t="shared" ref="E29" si="1">+E8+E15+E22</f>
        <v>34</v>
      </c>
      <c r="F29" s="392">
        <f>+F8+F15+F22</f>
        <v>22</v>
      </c>
      <c r="G29" s="392">
        <f t="shared" ref="G29:I29" si="2">G22+G15+G8</f>
        <v>17</v>
      </c>
      <c r="H29" s="392">
        <f t="shared" si="2"/>
        <v>7</v>
      </c>
      <c r="I29" s="392">
        <f t="shared" si="2"/>
        <v>11</v>
      </c>
      <c r="J29" s="392">
        <f t="shared" ref="J29:K29" si="3">J22+J15+J8</f>
        <v>5</v>
      </c>
      <c r="K29" s="392">
        <f t="shared" si="3"/>
        <v>7</v>
      </c>
      <c r="L29" s="392">
        <f t="shared" ref="L29" si="4">L22+L15+L8</f>
        <v>7</v>
      </c>
      <c r="M29" s="351">
        <f>+SUM( E29:I29)</f>
        <v>91</v>
      </c>
    </row>
    <row r="30" spans="2:15" s="315" customFormat="1" ht="18.75" customHeight="1">
      <c r="B30" s="348"/>
      <c r="C30" s="395" t="s">
        <v>2421</v>
      </c>
      <c r="D30" s="394"/>
      <c r="E30" s="392">
        <f>E28-E29</f>
        <v>28</v>
      </c>
      <c r="F30" s="392">
        <f t="shared" ref="F30:I30" si="5">F28-F29</f>
        <v>22</v>
      </c>
      <c r="G30" s="392">
        <f t="shared" si="5"/>
        <v>15</v>
      </c>
      <c r="H30" s="392">
        <f t="shared" si="5"/>
        <v>14</v>
      </c>
      <c r="I30" s="392">
        <f t="shared" si="5"/>
        <v>20</v>
      </c>
      <c r="J30" s="392">
        <f t="shared" ref="J30:K30" si="6">J28-J29</f>
        <v>25</v>
      </c>
      <c r="K30" s="392">
        <f t="shared" si="6"/>
        <v>36</v>
      </c>
      <c r="L30" s="392">
        <f t="shared" ref="L30" si="7">L28-L29</f>
        <v>25</v>
      </c>
      <c r="M30" s="351">
        <f>AVERAGE(E30:I30)</f>
        <v>19.8</v>
      </c>
    </row>
    <row r="31" spans="2:15">
      <c r="B31" s="348"/>
      <c r="C31" s="352" t="s">
        <v>282</v>
      </c>
      <c r="D31" s="353">
        <v>804287.49</v>
      </c>
      <c r="E31" s="353">
        <f>+E9+E16+E23</f>
        <v>73572</v>
      </c>
      <c r="F31" s="353">
        <f>+F9+F16+F23</f>
        <v>39794</v>
      </c>
      <c r="G31" s="353">
        <f t="shared" ref="G31:I32" si="8">G23+G16+G9</f>
        <v>36386</v>
      </c>
      <c r="H31" s="353">
        <f t="shared" si="8"/>
        <v>13513</v>
      </c>
      <c r="I31" s="353">
        <f t="shared" si="8"/>
        <v>18419</v>
      </c>
      <c r="J31" s="353">
        <f t="shared" ref="J31:K31" si="9">J23+J16+J9</f>
        <v>10995</v>
      </c>
      <c r="K31" s="353">
        <f t="shared" si="9"/>
        <v>21663</v>
      </c>
      <c r="L31" s="353">
        <f t="shared" ref="L31" si="10">L23+L16+L9</f>
        <v>18916</v>
      </c>
      <c r="M31" s="354">
        <f>+SUM(E31:I31)</f>
        <v>181684</v>
      </c>
    </row>
    <row r="32" spans="2:15">
      <c r="B32" s="348"/>
      <c r="C32" s="352" t="s">
        <v>283</v>
      </c>
      <c r="D32" s="353">
        <v>472095.94420000003</v>
      </c>
      <c r="E32" s="353">
        <f>+E10+E17+E24</f>
        <v>57580.68</v>
      </c>
      <c r="F32" s="353">
        <f>+F10+F17+F24</f>
        <v>30977.360000000001</v>
      </c>
      <c r="G32" s="353">
        <f t="shared" si="8"/>
        <v>29766.769999999997</v>
      </c>
      <c r="H32" s="353">
        <f t="shared" si="8"/>
        <v>10521.22</v>
      </c>
      <c r="I32" s="353">
        <f t="shared" si="8"/>
        <v>14048.859999999999</v>
      </c>
      <c r="J32" s="353">
        <f t="shared" ref="J32" si="11">J24+J17+J10</f>
        <v>8855.2999999999993</v>
      </c>
      <c r="K32" s="353">
        <f>K24+K17+K10</f>
        <v>18686.219999999998</v>
      </c>
      <c r="L32" s="353">
        <f t="shared" ref="L32" si="12">L24+L17+L10</f>
        <v>13453.039999999999</v>
      </c>
      <c r="M32" s="354">
        <f>+SUM(E32:I32)</f>
        <v>142894.88999999998</v>
      </c>
      <c r="O32" s="384"/>
    </row>
    <row r="33" spans="2:19" ht="3.75" customHeight="1">
      <c r="B33" s="348"/>
      <c r="C33" s="334"/>
      <c r="D33" s="347"/>
      <c r="E33" s="347"/>
      <c r="F33" s="347"/>
      <c r="G33" s="347"/>
      <c r="H33" s="347"/>
      <c r="I33" s="347"/>
      <c r="J33" s="347"/>
      <c r="K33" s="347"/>
      <c r="L33" s="347"/>
      <c r="M33" s="344"/>
    </row>
    <row r="34" spans="2:19">
      <c r="B34" s="348"/>
      <c r="C34" s="355" t="s">
        <v>284</v>
      </c>
      <c r="D34" s="356">
        <v>0.58697412314594133</v>
      </c>
      <c r="E34" s="356">
        <f t="shared" ref="E34:G34" si="13">+E32/E31</f>
        <v>0.78264394062958731</v>
      </c>
      <c r="F34" s="356">
        <f t="shared" si="13"/>
        <v>0.77844298135397294</v>
      </c>
      <c r="G34" s="356">
        <f t="shared" si="13"/>
        <v>0.818083053921838</v>
      </c>
      <c r="H34" s="356">
        <f t="shared" ref="H34" si="14">+H32/H31</f>
        <v>0.7785998667949382</v>
      </c>
      <c r="I34" s="356">
        <f t="shared" ref="I34:J34" si="15">+I32/I31</f>
        <v>0.76273739073782498</v>
      </c>
      <c r="J34" s="356">
        <f t="shared" si="15"/>
        <v>0.80539336061846289</v>
      </c>
      <c r="K34" s="356">
        <f>+K32/K31</f>
        <v>0.86258689932142352</v>
      </c>
      <c r="L34" s="356">
        <f t="shared" ref="L34" si="16">+L32/L31</f>
        <v>0.711198984986255</v>
      </c>
      <c r="M34" s="356">
        <f t="shared" ref="M34" si="17">+M32/M31</f>
        <v>0.78650233372228695</v>
      </c>
    </row>
    <row r="35" spans="2:19">
      <c r="B35" s="366"/>
      <c r="C35" s="367" t="s">
        <v>589</v>
      </c>
      <c r="D35" s="368">
        <v>0.5190082644628099</v>
      </c>
      <c r="E35" s="368">
        <f t="shared" ref="E35:G35" si="18">+E29/E28</f>
        <v>0.54838709677419351</v>
      </c>
      <c r="F35" s="368">
        <f t="shared" si="18"/>
        <v>0.5</v>
      </c>
      <c r="G35" s="368">
        <f t="shared" si="18"/>
        <v>0.53125</v>
      </c>
      <c r="H35" s="368">
        <f t="shared" ref="H35" si="19">+H29/H28</f>
        <v>0.33333333333333331</v>
      </c>
      <c r="I35" s="368">
        <f t="shared" ref="I35:J35" si="20">+I29/I28</f>
        <v>0.35483870967741937</v>
      </c>
      <c r="J35" s="368">
        <f t="shared" si="20"/>
        <v>0.16666666666666666</v>
      </c>
      <c r="K35" s="368">
        <f t="shared" ref="K35:L35" si="21">+K29/K28</f>
        <v>0.16279069767441862</v>
      </c>
      <c r="L35" s="368">
        <f t="shared" si="21"/>
        <v>0.21875</v>
      </c>
      <c r="M35" s="368">
        <f t="shared" ref="M35" si="22">+M29/M28</f>
        <v>0.47894736842105262</v>
      </c>
    </row>
    <row r="36" spans="2:19" s="5" customFormat="1" ht="3" customHeight="1">
      <c r="B36" s="369"/>
      <c r="C36" s="369"/>
      <c r="D36" s="370"/>
      <c r="E36" s="369"/>
      <c r="F36" s="369"/>
      <c r="G36" s="369"/>
      <c r="H36" s="369"/>
      <c r="I36" s="369"/>
      <c r="J36" s="369"/>
      <c r="K36" s="369"/>
      <c r="L36" s="369"/>
      <c r="M36" s="369"/>
    </row>
    <row r="37" spans="2:19" s="315" customFormat="1">
      <c r="B37" s="359" t="s">
        <v>2417</v>
      </c>
      <c r="C37" s="348"/>
      <c r="D37" s="364"/>
      <c r="E37" s="357">
        <v>73</v>
      </c>
      <c r="F37" s="357">
        <v>151</v>
      </c>
      <c r="G37" s="357">
        <v>162</v>
      </c>
      <c r="H37" s="357">
        <v>198</v>
      </c>
      <c r="I37" s="357">
        <v>126</v>
      </c>
      <c r="J37" s="357">
        <v>155</v>
      </c>
      <c r="K37" s="357">
        <v>144</v>
      </c>
      <c r="L37" s="357">
        <v>106</v>
      </c>
      <c r="M37" s="358">
        <f>AVERAGE(E37:L37)</f>
        <v>139.375</v>
      </c>
      <c r="O37" s="384"/>
    </row>
    <row r="38" spans="2:19" s="315" customFormat="1">
      <c r="B38" s="359" t="s">
        <v>2376</v>
      </c>
      <c r="C38" s="348"/>
      <c r="D38" s="364"/>
      <c r="E38" s="357">
        <v>60</v>
      </c>
      <c r="F38" s="357">
        <v>124</v>
      </c>
      <c r="G38" s="357">
        <v>127</v>
      </c>
      <c r="H38" s="357">
        <v>146</v>
      </c>
      <c r="I38" s="357">
        <v>94</v>
      </c>
      <c r="J38" s="357"/>
      <c r="K38" s="357"/>
      <c r="L38" s="357"/>
      <c r="M38" s="358">
        <f t="shared" ref="M38:M57" si="23">AVERAGE(E38:I38)</f>
        <v>110.2</v>
      </c>
    </row>
    <row r="39" spans="2:19" s="315" customFormat="1">
      <c r="B39" s="359" t="s">
        <v>2375</v>
      </c>
      <c r="C39" s="366"/>
      <c r="D39" s="386"/>
      <c r="E39" s="380">
        <v>42</v>
      </c>
      <c r="F39" s="380">
        <v>85</v>
      </c>
      <c r="G39" s="380">
        <v>93</v>
      </c>
      <c r="H39" s="380">
        <v>103</v>
      </c>
      <c r="I39" s="380">
        <v>65</v>
      </c>
      <c r="J39" s="380">
        <v>89</v>
      </c>
      <c r="K39" s="380">
        <v>68</v>
      </c>
      <c r="L39" s="380">
        <v>59</v>
      </c>
      <c r="M39" s="382">
        <f>AVERAGE(E39:L39)</f>
        <v>75.5</v>
      </c>
      <c r="O39" s="384"/>
      <c r="P39" s="384"/>
      <c r="Q39" s="384"/>
      <c r="R39" s="384"/>
      <c r="S39" s="384"/>
    </row>
    <row r="40" spans="2:19" s="315" customFormat="1" ht="15.75" customHeight="1">
      <c r="B40" s="396" t="s">
        <v>2422</v>
      </c>
      <c r="C40" s="366"/>
      <c r="D40" s="386"/>
      <c r="E40" s="397">
        <f>E39-E30</f>
        <v>14</v>
      </c>
      <c r="F40" s="397">
        <f t="shared" ref="F40:H40" si="24">F39-F30</f>
        <v>63</v>
      </c>
      <c r="G40" s="397">
        <f t="shared" si="24"/>
        <v>78</v>
      </c>
      <c r="H40" s="397">
        <f t="shared" si="24"/>
        <v>89</v>
      </c>
      <c r="I40" s="397">
        <f>I39-I30</f>
        <v>45</v>
      </c>
      <c r="J40" s="397">
        <f t="shared" ref="J40:L40" si="25">J39-J30</f>
        <v>64</v>
      </c>
      <c r="K40" s="397">
        <f t="shared" si="25"/>
        <v>32</v>
      </c>
      <c r="L40" s="397">
        <f t="shared" si="25"/>
        <v>34</v>
      </c>
      <c r="M40" s="382">
        <f t="shared" si="23"/>
        <v>57.8</v>
      </c>
      <c r="O40" s="384"/>
      <c r="P40" s="384"/>
      <c r="Q40" s="384"/>
      <c r="R40" s="384"/>
      <c r="S40" s="384"/>
    </row>
    <row r="41" spans="2:19" s="315" customFormat="1" ht="15" customHeight="1">
      <c r="B41" s="443" t="s">
        <v>2385</v>
      </c>
      <c r="C41" s="393" t="s">
        <v>2418</v>
      </c>
      <c r="D41" s="389"/>
      <c r="E41" s="361">
        <v>14</v>
      </c>
      <c r="F41" s="361">
        <v>24</v>
      </c>
      <c r="G41" s="361">
        <v>28</v>
      </c>
      <c r="H41" s="361">
        <v>26</v>
      </c>
      <c r="I41" s="361">
        <v>16</v>
      </c>
      <c r="J41" s="361"/>
      <c r="K41" s="361"/>
      <c r="L41" s="361"/>
      <c r="M41" s="381">
        <f>AVERAGE(E41:I41)</f>
        <v>21.6</v>
      </c>
      <c r="O41" s="385"/>
      <c r="P41" s="385"/>
      <c r="Q41" s="385"/>
      <c r="R41" s="385"/>
      <c r="S41" s="385"/>
    </row>
    <row r="42" spans="2:19" s="315" customFormat="1">
      <c r="B42" s="444"/>
      <c r="C42" s="393" t="s">
        <v>2419</v>
      </c>
      <c r="D42" s="389"/>
      <c r="E42" s="361">
        <v>12</v>
      </c>
      <c r="F42" s="361">
        <v>24</v>
      </c>
      <c r="G42" s="361">
        <v>10</v>
      </c>
      <c r="H42" s="361">
        <v>29</v>
      </c>
      <c r="I42" s="361">
        <v>10</v>
      </c>
      <c r="J42" s="361">
        <v>9</v>
      </c>
      <c r="K42" s="361">
        <v>22</v>
      </c>
      <c r="L42" s="361">
        <v>21</v>
      </c>
      <c r="M42" s="381">
        <f>AVERAGE(E42:L42)</f>
        <v>17.125</v>
      </c>
    </row>
    <row r="43" spans="2:19" s="315" customFormat="1">
      <c r="B43" s="444"/>
      <c r="C43" s="393" t="s">
        <v>1874</v>
      </c>
      <c r="D43" s="389"/>
      <c r="E43" s="361">
        <v>1</v>
      </c>
      <c r="F43" s="361">
        <v>22</v>
      </c>
      <c r="G43" s="361"/>
      <c r="H43" s="361"/>
      <c r="I43" s="361"/>
      <c r="J43" s="361"/>
      <c r="K43" s="361"/>
      <c r="L43" s="361"/>
      <c r="M43" s="381">
        <f t="shared" ref="M43" si="26">AVERAGE(E43:I43)</f>
        <v>11.5</v>
      </c>
    </row>
    <row r="44" spans="2:19" s="315" customFormat="1">
      <c r="B44" s="444"/>
      <c r="C44" s="393" t="s">
        <v>2420</v>
      </c>
      <c r="D44" s="389"/>
      <c r="E44" s="361">
        <v>0</v>
      </c>
      <c r="F44" s="361">
        <v>0</v>
      </c>
      <c r="G44" s="361">
        <v>0</v>
      </c>
      <c r="H44" s="361">
        <v>0</v>
      </c>
      <c r="I44" s="361">
        <v>0</v>
      </c>
      <c r="J44" s="361">
        <v>21</v>
      </c>
      <c r="K44" s="361">
        <v>24</v>
      </c>
      <c r="L44" s="361">
        <v>11</v>
      </c>
      <c r="M44" s="381">
        <f>AVERAGE(E44:L44)</f>
        <v>7</v>
      </c>
    </row>
    <row r="45" spans="2:19" s="315" customFormat="1">
      <c r="B45" s="444"/>
      <c r="C45" s="393" t="s">
        <v>128</v>
      </c>
      <c r="D45" s="389"/>
      <c r="E45" s="361">
        <v>19</v>
      </c>
      <c r="F45" s="361">
        <v>17</v>
      </c>
      <c r="G45" s="361">
        <v>55</v>
      </c>
      <c r="H45" s="361">
        <v>48</v>
      </c>
      <c r="I45" s="361">
        <v>39</v>
      </c>
      <c r="J45" s="361">
        <v>59</v>
      </c>
      <c r="K45" s="361">
        <v>22</v>
      </c>
      <c r="L45" s="361">
        <v>27</v>
      </c>
      <c r="M45" s="381">
        <f>AVERAGE(E45:L45)</f>
        <v>35.75</v>
      </c>
    </row>
    <row r="46" spans="2:19" s="315" customFormat="1" ht="17.25" customHeight="1">
      <c r="B46" s="359" t="s">
        <v>2377</v>
      </c>
      <c r="C46" s="387"/>
      <c r="D46" s="388"/>
      <c r="E46" s="377">
        <f>E28/(E28+E40)</f>
        <v>0.81578947368421051</v>
      </c>
      <c r="F46" s="377">
        <f t="shared" ref="F46:H46" si="27">F28/(F28+F40)</f>
        <v>0.41121495327102803</v>
      </c>
      <c r="G46" s="377">
        <f t="shared" si="27"/>
        <v>0.29090909090909089</v>
      </c>
      <c r="H46" s="377">
        <f t="shared" si="27"/>
        <v>0.19090909090909092</v>
      </c>
      <c r="I46" s="377">
        <f>I28/(I28+I40)</f>
        <v>0.40789473684210525</v>
      </c>
      <c r="J46" s="377">
        <f t="shared" ref="J46:L46" si="28">J28/(J28+J40)</f>
        <v>0.31914893617021278</v>
      </c>
      <c r="K46" s="377">
        <f t="shared" si="28"/>
        <v>0.57333333333333336</v>
      </c>
      <c r="L46" s="377">
        <f t="shared" si="28"/>
        <v>0.48484848484848486</v>
      </c>
      <c r="M46" s="378">
        <f>AVERAGE(E46:I46)</f>
        <v>0.42334346912310511</v>
      </c>
    </row>
    <row r="47" spans="2:19" s="246" customFormat="1" ht="5.25" customHeight="1">
      <c r="B47" s="371"/>
      <c r="C47" s="369"/>
      <c r="D47" s="372"/>
      <c r="E47" s="373"/>
      <c r="F47" s="373"/>
      <c r="G47" s="373"/>
      <c r="H47" s="373"/>
      <c r="I47" s="373"/>
      <c r="J47" s="373"/>
      <c r="K47" s="373"/>
      <c r="L47" s="373"/>
      <c r="M47" s="371"/>
    </row>
    <row r="48" spans="2:19">
      <c r="B48" s="440" t="s">
        <v>2384</v>
      </c>
      <c r="C48" s="360" t="s">
        <v>1628</v>
      </c>
      <c r="D48" s="365"/>
      <c r="E48" s="361">
        <v>22</v>
      </c>
      <c r="F48" s="361">
        <v>11</v>
      </c>
      <c r="G48" s="361">
        <v>14</v>
      </c>
      <c r="H48" s="361">
        <v>12</v>
      </c>
      <c r="I48" s="361">
        <v>10</v>
      </c>
      <c r="J48" s="361"/>
      <c r="K48" s="361"/>
      <c r="L48" s="361"/>
      <c r="M48" s="358">
        <f t="shared" si="23"/>
        <v>13.8</v>
      </c>
    </row>
    <row r="49" spans="2:16">
      <c r="B49" s="439"/>
      <c r="C49" s="360" t="s">
        <v>1130</v>
      </c>
      <c r="D49" s="365"/>
      <c r="E49" s="361">
        <v>20</v>
      </c>
      <c r="F49" s="361">
        <v>20</v>
      </c>
      <c r="G49" s="361">
        <v>3</v>
      </c>
      <c r="H49" s="361">
        <v>5</v>
      </c>
      <c r="I49" s="361">
        <v>14</v>
      </c>
      <c r="J49" s="361">
        <v>4</v>
      </c>
      <c r="K49" s="361">
        <v>6</v>
      </c>
      <c r="L49" s="361">
        <v>4</v>
      </c>
      <c r="M49" s="358">
        <f>AVERAGE(E49:J49)</f>
        <v>11</v>
      </c>
    </row>
    <row r="50" spans="2:16">
      <c r="B50" s="439"/>
      <c r="C50" s="360" t="s">
        <v>128</v>
      </c>
      <c r="D50" s="365"/>
      <c r="E50" s="361">
        <v>19</v>
      </c>
      <c r="F50" s="361">
        <v>9</v>
      </c>
      <c r="G50" s="361">
        <v>12</v>
      </c>
      <c r="H50" s="361">
        <v>1</v>
      </c>
      <c r="I50" s="361">
        <v>7</v>
      </c>
      <c r="J50" s="361">
        <v>9</v>
      </c>
      <c r="K50" s="361">
        <v>20</v>
      </c>
      <c r="L50" s="361">
        <v>13</v>
      </c>
      <c r="M50" s="358">
        <f>AVERAGE(E50:J50)</f>
        <v>9.5</v>
      </c>
    </row>
    <row r="51" spans="2:16">
      <c r="B51" s="439"/>
      <c r="C51" s="360" t="s">
        <v>129</v>
      </c>
      <c r="D51" s="365"/>
      <c r="E51" s="361">
        <v>1</v>
      </c>
      <c r="F51" s="361">
        <v>4</v>
      </c>
      <c r="G51" s="361">
        <v>3</v>
      </c>
      <c r="H51" s="361">
        <v>3</v>
      </c>
      <c r="I51" s="361"/>
      <c r="J51" s="361">
        <v>1</v>
      </c>
      <c r="K51" s="361"/>
      <c r="L51" s="361"/>
      <c r="M51" s="358">
        <f>AVERAGE(E51:J51)</f>
        <v>2.4</v>
      </c>
      <c r="P51" s="384"/>
    </row>
    <row r="52" spans="2:16">
      <c r="B52" s="439"/>
      <c r="C52" s="360" t="s">
        <v>121</v>
      </c>
      <c r="D52" s="365"/>
      <c r="E52" s="361"/>
      <c r="F52" s="361"/>
      <c r="G52" s="361"/>
      <c r="H52" s="361"/>
      <c r="I52" s="361"/>
      <c r="J52" s="361">
        <v>16</v>
      </c>
      <c r="K52" s="361">
        <v>17</v>
      </c>
      <c r="L52" s="361">
        <v>10</v>
      </c>
      <c r="M52" s="358">
        <f>AVERAGE(E52:J52)</f>
        <v>16</v>
      </c>
      <c r="P52" s="385"/>
    </row>
    <row r="53" spans="2:16" s="246" customFormat="1" ht="5.25" customHeight="1">
      <c r="B53" s="374"/>
      <c r="C53" s="375"/>
      <c r="D53" s="372"/>
      <c r="E53" s="376"/>
      <c r="F53" s="376"/>
      <c r="G53" s="376"/>
      <c r="H53" s="376"/>
      <c r="I53" s="376"/>
      <c r="J53" s="376"/>
      <c r="K53" s="376"/>
      <c r="L53" s="376"/>
      <c r="M53" s="371"/>
    </row>
    <row r="54" spans="2:16" hidden="1">
      <c r="B54" s="439" t="s">
        <v>2370</v>
      </c>
      <c r="C54" s="360" t="s">
        <v>1628</v>
      </c>
      <c r="D54" s="365"/>
      <c r="E54" s="362">
        <f>12/E48</f>
        <v>0.54545454545454541</v>
      </c>
      <c r="F54" s="362">
        <f>5/11</f>
        <v>0.45454545454545453</v>
      </c>
      <c r="G54" s="362">
        <f>8/14</f>
        <v>0.5714285714285714</v>
      </c>
      <c r="H54" s="362">
        <f>5/12</f>
        <v>0.41666666666666669</v>
      </c>
      <c r="I54" s="362">
        <f>3/10</f>
        <v>0.3</v>
      </c>
      <c r="J54" s="362"/>
      <c r="K54" s="362"/>
      <c r="L54" s="362"/>
      <c r="M54" s="363">
        <f t="shared" si="23"/>
        <v>0.45761904761904759</v>
      </c>
    </row>
    <row r="55" spans="2:16" hidden="1">
      <c r="B55" s="439"/>
      <c r="C55" s="360" t="s">
        <v>1130</v>
      </c>
      <c r="D55" s="365"/>
      <c r="E55" s="362">
        <f>13/20</f>
        <v>0.65</v>
      </c>
      <c r="F55" s="362">
        <f>11/20</f>
        <v>0.55000000000000004</v>
      </c>
      <c r="G55" s="362">
        <f>1/3</f>
        <v>0.33333333333333331</v>
      </c>
      <c r="H55" s="362">
        <f>0/5</f>
        <v>0</v>
      </c>
      <c r="I55" s="362">
        <f>5/14</f>
        <v>0.35714285714285715</v>
      </c>
      <c r="J55" s="362"/>
      <c r="K55" s="362"/>
      <c r="L55" s="362"/>
      <c r="M55" s="363">
        <f t="shared" si="23"/>
        <v>0.37809523809523815</v>
      </c>
    </row>
    <row r="56" spans="2:16" hidden="1">
      <c r="B56" s="439"/>
      <c r="C56" s="360" t="s">
        <v>128</v>
      </c>
      <c r="D56" s="365"/>
      <c r="E56" s="362">
        <f>9/19</f>
        <v>0.47368421052631576</v>
      </c>
      <c r="F56" s="362">
        <f>5/9</f>
        <v>0.55555555555555558</v>
      </c>
      <c r="G56" s="362">
        <f>7/12</f>
        <v>0.58333333333333337</v>
      </c>
      <c r="H56" s="362">
        <f>0/1</f>
        <v>0</v>
      </c>
      <c r="I56" s="362">
        <f>2/6</f>
        <v>0.33333333333333331</v>
      </c>
      <c r="J56" s="362"/>
      <c r="K56" s="362"/>
      <c r="L56" s="362"/>
      <c r="M56" s="363">
        <f t="shared" si="23"/>
        <v>0.38918128654970763</v>
      </c>
    </row>
    <row r="57" spans="2:16" hidden="1">
      <c r="B57" s="439"/>
      <c r="C57" s="360" t="s">
        <v>129</v>
      </c>
      <c r="D57" s="365"/>
      <c r="E57" s="362">
        <f>0/1</f>
        <v>0</v>
      </c>
      <c r="F57" s="362">
        <f>1/4</f>
        <v>0.25</v>
      </c>
      <c r="G57" s="362">
        <f>1/3</f>
        <v>0.33333333333333331</v>
      </c>
      <c r="H57" s="362">
        <f>2/3</f>
        <v>0.66666666666666663</v>
      </c>
      <c r="I57" s="362"/>
      <c r="J57" s="362"/>
      <c r="K57" s="362"/>
      <c r="L57" s="362"/>
      <c r="M57" s="363">
        <f t="shared" si="23"/>
        <v>0.3125</v>
      </c>
    </row>
    <row r="58" spans="2:16" hidden="1">
      <c r="B58" s="439"/>
      <c r="C58" s="360" t="s">
        <v>121</v>
      </c>
      <c r="D58" s="365"/>
      <c r="E58" s="347"/>
      <c r="F58" s="347"/>
      <c r="G58" s="347"/>
      <c r="H58" s="347"/>
      <c r="I58" s="347"/>
      <c r="J58" s="347"/>
      <c r="K58" s="347"/>
      <c r="L58" s="347"/>
      <c r="M58" s="359"/>
    </row>
    <row r="59" spans="2:16">
      <c r="M59" s="12"/>
    </row>
    <row r="60" spans="2:16">
      <c r="E60" s="327"/>
      <c r="F60" s="331"/>
      <c r="G60" s="331"/>
      <c r="H60" s="331"/>
      <c r="I60" s="331"/>
      <c r="J60" s="331"/>
      <c r="K60" s="331"/>
      <c r="L60" s="331"/>
      <c r="M60" s="331"/>
    </row>
    <row r="61" spans="2:16">
      <c r="E61" s="327"/>
      <c r="F61" s="331"/>
      <c r="G61" s="331"/>
      <c r="H61" s="331"/>
      <c r="I61" s="331"/>
      <c r="J61" s="331"/>
      <c r="K61" s="331"/>
      <c r="L61" s="331"/>
      <c r="M61" s="331"/>
    </row>
    <row r="62" spans="2:16">
      <c r="E62" s="327"/>
      <c r="F62" s="331"/>
      <c r="G62" s="331"/>
      <c r="H62" s="331"/>
      <c r="I62" s="331"/>
      <c r="J62" s="331"/>
      <c r="K62" s="331"/>
      <c r="L62" s="331"/>
      <c r="M62" s="331"/>
    </row>
    <row r="63" spans="2:16">
      <c r="E63" s="327"/>
      <c r="F63" s="331"/>
      <c r="G63" s="331"/>
      <c r="H63" s="331"/>
      <c r="I63" s="331"/>
      <c r="J63" s="331"/>
      <c r="K63" s="331"/>
      <c r="L63" s="331"/>
      <c r="M63" s="331"/>
    </row>
    <row r="64" spans="2:16">
      <c r="G64" s="315"/>
      <c r="M64" s="315"/>
    </row>
  </sheetData>
  <mergeCells count="7">
    <mergeCell ref="B2:M2"/>
    <mergeCell ref="B54:B58"/>
    <mergeCell ref="B48:B52"/>
    <mergeCell ref="B5:B10"/>
    <mergeCell ref="B12:B17"/>
    <mergeCell ref="B19:B24"/>
    <mergeCell ref="B41:B45"/>
  </mergeCells>
  <pageMargins left="0.3" right="0.23" top="0.5" bottom="0.75" header="0.57999999999999996" footer="0.3"/>
  <pageSetup paperSize="9" orientation="landscape"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B2:S14"/>
  <sheetViews>
    <sheetView zoomScale="60" zoomScaleNormal="60" workbookViewId="0">
      <selection activeCell="G6" sqref="G6"/>
    </sheetView>
  </sheetViews>
  <sheetFormatPr baseColWidth="10" defaultRowHeight="15"/>
  <cols>
    <col min="1" max="1" width="4.5703125" customWidth="1"/>
    <col min="2" max="2" width="24" bestFit="1" customWidth="1"/>
    <col min="3" max="3" width="4.85546875" hidden="1" customWidth="1"/>
    <col min="4" max="4" width="19.85546875" customWidth="1"/>
    <col min="5" max="5" width="36.28515625" customWidth="1"/>
    <col min="6" max="6" width="16.85546875" bestFit="1" customWidth="1"/>
    <col min="7" max="8" width="13.5703125" bestFit="1" customWidth="1"/>
    <col min="9" max="9" width="14.85546875" customWidth="1"/>
    <col min="10" max="10" width="41.140625" customWidth="1"/>
    <col min="11" max="11" width="22.5703125" customWidth="1"/>
    <col min="12" max="12" width="12" customWidth="1"/>
    <col min="19" max="19" width="20.5703125" customWidth="1"/>
  </cols>
  <sheetData>
    <row r="2" spans="2:19" ht="30">
      <c r="B2" s="6" t="s">
        <v>39</v>
      </c>
      <c r="C2" s="6" t="s">
        <v>95</v>
      </c>
      <c r="D2" s="6" t="s">
        <v>37</v>
      </c>
      <c r="E2" s="6" t="s">
        <v>38</v>
      </c>
      <c r="F2" s="6" t="s">
        <v>58</v>
      </c>
      <c r="G2" s="9" t="s">
        <v>99</v>
      </c>
      <c r="H2" s="6" t="s">
        <v>40</v>
      </c>
      <c r="I2" s="6" t="s">
        <v>100</v>
      </c>
      <c r="J2" s="6" t="s">
        <v>41</v>
      </c>
      <c r="K2" s="9" t="s">
        <v>96</v>
      </c>
      <c r="L2" s="9" t="s">
        <v>81</v>
      </c>
      <c r="M2" s="447" t="s">
        <v>108</v>
      </c>
      <c r="N2" s="447"/>
      <c r="O2" s="447"/>
      <c r="P2" s="447"/>
      <c r="Q2" s="447"/>
      <c r="R2" s="447"/>
      <c r="S2" s="447"/>
    </row>
    <row r="3" spans="2:19">
      <c r="B3" s="15" t="s">
        <v>9</v>
      </c>
      <c r="C3" s="15"/>
      <c r="D3" s="15" t="s">
        <v>8</v>
      </c>
      <c r="E3" s="15" t="s">
        <v>42</v>
      </c>
      <c r="F3" s="15" t="s">
        <v>42</v>
      </c>
      <c r="G3" s="16"/>
      <c r="H3" s="16">
        <v>998231731</v>
      </c>
      <c r="I3" s="16"/>
      <c r="J3" s="17" t="s">
        <v>7</v>
      </c>
      <c r="K3" s="15"/>
      <c r="L3" s="16" t="s">
        <v>82</v>
      </c>
    </row>
    <row r="4" spans="2:19" ht="70.5" customHeight="1">
      <c r="B4" s="25" t="s">
        <v>3</v>
      </c>
      <c r="C4" s="15"/>
      <c r="D4" s="23" t="s">
        <v>4</v>
      </c>
      <c r="E4" s="25" t="s">
        <v>5</v>
      </c>
      <c r="F4" s="23" t="s">
        <v>60</v>
      </c>
      <c r="G4" s="32">
        <v>4286483</v>
      </c>
      <c r="H4" s="32">
        <v>998224414</v>
      </c>
      <c r="I4" s="32">
        <v>998498446</v>
      </c>
      <c r="J4" s="29" t="s">
        <v>6</v>
      </c>
      <c r="K4" s="23" t="s">
        <v>97</v>
      </c>
      <c r="L4" s="32" t="s">
        <v>98</v>
      </c>
      <c r="M4" s="445" t="s">
        <v>109</v>
      </c>
      <c r="N4" s="446"/>
      <c r="O4" s="446"/>
      <c r="P4" s="446"/>
      <c r="Q4" s="446"/>
      <c r="R4" s="446"/>
      <c r="S4" s="446"/>
    </row>
    <row r="5" spans="2:19" ht="72.75" customHeight="1">
      <c r="B5" s="31" t="s">
        <v>53</v>
      </c>
      <c r="C5" s="19"/>
      <c r="D5" s="33" t="s">
        <v>101</v>
      </c>
      <c r="E5" s="33" t="s">
        <v>55</v>
      </c>
      <c r="F5" s="33" t="s">
        <v>60</v>
      </c>
      <c r="G5" s="32">
        <v>4281229</v>
      </c>
      <c r="H5" s="32">
        <v>981277236</v>
      </c>
      <c r="I5" s="32">
        <v>981537522</v>
      </c>
      <c r="J5" s="29" t="s">
        <v>54</v>
      </c>
      <c r="K5" s="23" t="s">
        <v>112</v>
      </c>
      <c r="L5" s="32" t="s">
        <v>82</v>
      </c>
      <c r="M5" s="445" t="s">
        <v>110</v>
      </c>
      <c r="N5" s="446"/>
      <c r="O5" s="446"/>
      <c r="P5" s="446"/>
      <c r="Q5" s="446"/>
      <c r="R5" s="446"/>
      <c r="S5" s="446"/>
    </row>
    <row r="6" spans="2:19" ht="74.25" customHeight="1">
      <c r="B6" s="31" t="s">
        <v>57</v>
      </c>
      <c r="C6" s="19"/>
      <c r="D6" s="23" t="s">
        <v>102</v>
      </c>
      <c r="E6" s="31" t="s">
        <v>103</v>
      </c>
      <c r="F6" s="33" t="s">
        <v>60</v>
      </c>
      <c r="G6" s="32">
        <v>4333023</v>
      </c>
      <c r="H6" s="32">
        <v>998596589</v>
      </c>
      <c r="I6" s="34" t="s">
        <v>104</v>
      </c>
      <c r="J6" s="29" t="s">
        <v>56</v>
      </c>
      <c r="K6" s="23" t="s">
        <v>105</v>
      </c>
      <c r="L6" s="32" t="s">
        <v>82</v>
      </c>
      <c r="M6" s="448" t="s">
        <v>111</v>
      </c>
      <c r="N6" s="449"/>
      <c r="O6" s="449"/>
      <c r="P6" s="449"/>
      <c r="Q6" s="449"/>
      <c r="R6" s="449"/>
      <c r="S6" s="450"/>
    </row>
    <row r="7" spans="2:19" ht="88.5" customHeight="1">
      <c r="B7" s="31" t="s">
        <v>73</v>
      </c>
      <c r="C7" s="19"/>
      <c r="D7" s="23" t="s">
        <v>94</v>
      </c>
      <c r="E7" s="31" t="s">
        <v>74</v>
      </c>
      <c r="F7" s="33" t="s">
        <v>60</v>
      </c>
      <c r="G7" s="32">
        <v>4280833</v>
      </c>
      <c r="H7" s="32">
        <v>4281565</v>
      </c>
      <c r="I7" s="32">
        <v>995974980</v>
      </c>
      <c r="J7" s="30" t="s">
        <v>106</v>
      </c>
      <c r="K7" s="23" t="s">
        <v>97</v>
      </c>
      <c r="L7" s="32" t="s">
        <v>107</v>
      </c>
      <c r="M7" s="455" t="s">
        <v>115</v>
      </c>
      <c r="N7" s="456"/>
      <c r="O7" s="456"/>
      <c r="P7" s="456"/>
      <c r="Q7" s="456"/>
      <c r="R7" s="456"/>
      <c r="S7" s="457"/>
    </row>
    <row r="8" spans="2:19" ht="45">
      <c r="B8" s="23" t="s">
        <v>93</v>
      </c>
      <c r="C8" s="23"/>
      <c r="D8" s="18" t="s">
        <v>12</v>
      </c>
      <c r="E8" s="18" t="s">
        <v>10</v>
      </c>
      <c r="F8" s="18" t="s">
        <v>60</v>
      </c>
      <c r="G8" s="16"/>
      <c r="H8" s="16">
        <v>2424595</v>
      </c>
      <c r="I8" s="16">
        <v>968990826</v>
      </c>
      <c r="J8" s="17" t="s">
        <v>11</v>
      </c>
      <c r="K8" s="15"/>
      <c r="L8" s="16"/>
    </row>
    <row r="9" spans="2:19" ht="56.25" customHeight="1">
      <c r="B9" s="15" t="s">
        <v>20</v>
      </c>
      <c r="C9" s="15"/>
      <c r="D9" s="15" t="s">
        <v>17</v>
      </c>
      <c r="E9" s="15" t="s">
        <v>19</v>
      </c>
      <c r="F9" s="15" t="s">
        <v>63</v>
      </c>
      <c r="G9" s="16"/>
      <c r="H9" s="16">
        <v>989823596</v>
      </c>
      <c r="I9" s="16"/>
      <c r="J9" s="17" t="s">
        <v>18</v>
      </c>
      <c r="K9" s="34" t="s">
        <v>42</v>
      </c>
      <c r="L9" s="16" t="s">
        <v>82</v>
      </c>
      <c r="M9" s="445" t="s">
        <v>117</v>
      </c>
      <c r="N9" s="446"/>
      <c r="O9" s="446"/>
      <c r="P9" s="446"/>
      <c r="Q9" s="446"/>
      <c r="R9" s="446"/>
      <c r="S9" s="446"/>
    </row>
    <row r="10" spans="2:19" ht="27.75" customHeight="1">
      <c r="B10" s="31" t="s">
        <v>77</v>
      </c>
      <c r="C10" s="19"/>
      <c r="D10" s="33" t="s">
        <v>76</v>
      </c>
      <c r="E10" s="31" t="s">
        <v>83</v>
      </c>
      <c r="F10" s="31" t="s">
        <v>78</v>
      </c>
      <c r="G10" s="35" t="s">
        <v>79</v>
      </c>
      <c r="H10" s="32"/>
      <c r="I10" s="32"/>
      <c r="J10" s="29" t="s">
        <v>80</v>
      </c>
      <c r="K10" s="25" t="s">
        <v>113</v>
      </c>
      <c r="L10" s="32" t="s">
        <v>82</v>
      </c>
      <c r="M10" s="451"/>
      <c r="N10" s="452"/>
      <c r="O10" s="452"/>
      <c r="P10" s="452"/>
      <c r="Q10" s="452"/>
      <c r="R10" s="452"/>
      <c r="S10" s="453"/>
    </row>
    <row r="11" spans="2:19">
      <c r="B11" s="15" t="s">
        <v>2</v>
      </c>
      <c r="C11" s="15"/>
      <c r="D11" s="15" t="s">
        <v>0</v>
      </c>
      <c r="E11" s="15" t="s">
        <v>1</v>
      </c>
      <c r="F11" s="15" t="s">
        <v>59</v>
      </c>
      <c r="G11" s="16"/>
      <c r="H11" s="16">
        <v>981397177</v>
      </c>
      <c r="I11" s="16"/>
      <c r="J11" s="15"/>
      <c r="K11" s="15"/>
      <c r="L11" s="16"/>
    </row>
    <row r="12" spans="2:19" ht="25.5" customHeight="1">
      <c r="B12" s="31" t="s">
        <v>91</v>
      </c>
      <c r="C12" s="19"/>
      <c r="D12" s="33" t="s">
        <v>51</v>
      </c>
      <c r="E12" s="31" t="s">
        <v>52</v>
      </c>
      <c r="F12" s="31" t="s">
        <v>61</v>
      </c>
      <c r="G12" s="32">
        <v>2029330</v>
      </c>
      <c r="H12" s="13"/>
      <c r="I12" s="32"/>
      <c r="J12" s="29" t="s">
        <v>85</v>
      </c>
      <c r="K12" s="32" t="s">
        <v>114</v>
      </c>
      <c r="L12" s="32" t="s">
        <v>82</v>
      </c>
      <c r="M12" s="454" t="s">
        <v>116</v>
      </c>
      <c r="N12" s="454"/>
      <c r="O12" s="454"/>
      <c r="P12" s="454"/>
      <c r="Q12" s="454"/>
      <c r="R12" s="454"/>
      <c r="S12" s="454"/>
    </row>
    <row r="13" spans="2:19" ht="45">
      <c r="B13" s="19" t="s">
        <v>65</v>
      </c>
      <c r="C13" s="19"/>
      <c r="D13" s="15" t="s">
        <v>66</v>
      </c>
      <c r="E13" s="20" t="s">
        <v>92</v>
      </c>
      <c r="F13" s="19" t="s">
        <v>61</v>
      </c>
      <c r="G13" s="16">
        <v>7804979</v>
      </c>
      <c r="H13" s="16"/>
      <c r="I13" s="16"/>
      <c r="J13" s="17" t="s">
        <v>64</v>
      </c>
      <c r="K13" s="32" t="s">
        <v>42</v>
      </c>
      <c r="L13" s="16" t="s">
        <v>82</v>
      </c>
      <c r="M13" s="445" t="s">
        <v>117</v>
      </c>
      <c r="N13" s="446"/>
      <c r="O13" s="446"/>
      <c r="P13" s="446"/>
      <c r="Q13" s="446"/>
      <c r="R13" s="446"/>
      <c r="S13" s="446"/>
    </row>
    <row r="14" spans="2:19" ht="30">
      <c r="B14" s="18" t="s">
        <v>13</v>
      </c>
      <c r="C14" s="18"/>
      <c r="D14" s="15" t="s">
        <v>16</v>
      </c>
      <c r="E14" s="15" t="s">
        <v>14</v>
      </c>
      <c r="F14" s="15" t="s">
        <v>62</v>
      </c>
      <c r="G14" s="16"/>
      <c r="H14" s="16">
        <v>2426570</v>
      </c>
      <c r="I14" s="16"/>
      <c r="J14" s="17" t="s">
        <v>15</v>
      </c>
      <c r="K14" s="19"/>
      <c r="L14" s="24"/>
    </row>
  </sheetData>
  <autoFilter ref="B2:L14"/>
  <mergeCells count="9">
    <mergeCell ref="M13:S13"/>
    <mergeCell ref="M4:S4"/>
    <mergeCell ref="M2:S2"/>
    <mergeCell ref="M5:S5"/>
    <mergeCell ref="M6:S6"/>
    <mergeCell ref="M10:S10"/>
    <mergeCell ref="M12:S12"/>
    <mergeCell ref="M7:S7"/>
    <mergeCell ref="M9:S9"/>
  </mergeCells>
  <hyperlinks>
    <hyperlink ref="J3" r:id="rId1"/>
    <hyperlink ref="J8" r:id="rId2"/>
    <hyperlink ref="J14" r:id="rId3"/>
    <hyperlink ref="J9" r:id="rId4"/>
    <hyperlink ref="J5" r:id="rId5"/>
    <hyperlink ref="J6" r:id="rId6"/>
    <hyperlink ref="J13" r:id="rId7"/>
    <hyperlink ref="J10" r:id="rId8"/>
    <hyperlink ref="J12" r:id="rId9"/>
    <hyperlink ref="J7" r:id="rId10"/>
  </hyperlinks>
  <pageMargins left="0.7" right="0.7" top="0.75" bottom="0.75" header="0.3" footer="0.3"/>
  <pageSetup paperSize="9" orientation="portrait"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tabColor rgb="FFFF0000"/>
  </sheetPr>
  <dimension ref="B2:B14"/>
  <sheetViews>
    <sheetView showGridLines="0" workbookViewId="0">
      <selection activeCell="B16" sqref="B16"/>
    </sheetView>
  </sheetViews>
  <sheetFormatPr baseColWidth="10" defaultRowHeight="15"/>
  <cols>
    <col min="1" max="1" width="11.42578125" style="4"/>
    <col min="2" max="2" width="90.7109375" style="4" bestFit="1" customWidth="1"/>
    <col min="3" max="16384" width="11.42578125" style="4"/>
  </cols>
  <sheetData>
    <row r="2" spans="2:2">
      <c r="B2" s="3" t="s">
        <v>36</v>
      </c>
    </row>
    <row r="4" spans="2:2" ht="19.5" customHeight="1">
      <c r="B4" s="4" t="s">
        <v>25</v>
      </c>
    </row>
    <row r="5" spans="2:2" ht="19.5" customHeight="1">
      <c r="B5" s="4" t="s">
        <v>26</v>
      </c>
    </row>
    <row r="6" spans="2:2" ht="19.5" customHeight="1">
      <c r="B6" s="4" t="s">
        <v>24</v>
      </c>
    </row>
    <row r="7" spans="2:2" ht="19.5" customHeight="1">
      <c r="B7" s="4" t="s">
        <v>21</v>
      </c>
    </row>
    <row r="8" spans="2:2" ht="19.5" customHeight="1">
      <c r="B8" s="4" t="s">
        <v>22</v>
      </c>
    </row>
    <row r="9" spans="2:2" ht="19.5" customHeight="1">
      <c r="B9" s="4" t="s">
        <v>23</v>
      </c>
    </row>
    <row r="14" spans="2:2">
      <c r="B14"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
    <tabColor rgb="FF002060"/>
  </sheetPr>
  <dimension ref="B2:J8"/>
  <sheetViews>
    <sheetView workbookViewId="0">
      <selection activeCell="F19" sqref="F19"/>
    </sheetView>
  </sheetViews>
  <sheetFormatPr baseColWidth="10" defaultRowHeight="15"/>
  <cols>
    <col min="2" max="2" width="16.85546875" bestFit="1" customWidth="1"/>
    <col min="3" max="3" width="18.42578125" bestFit="1" customWidth="1"/>
    <col min="9" max="9" width="13.7109375" bestFit="1" customWidth="1"/>
  </cols>
  <sheetData>
    <row r="2" spans="2:10">
      <c r="B2" t="s">
        <v>171</v>
      </c>
      <c r="C2" t="s">
        <v>172</v>
      </c>
      <c r="D2" t="s">
        <v>173</v>
      </c>
      <c r="E2" t="s">
        <v>174</v>
      </c>
      <c r="F2" t="s">
        <v>175</v>
      </c>
      <c r="G2" t="s">
        <v>176</v>
      </c>
      <c r="H2" t="s">
        <v>177</v>
      </c>
      <c r="I2" t="s">
        <v>179</v>
      </c>
      <c r="J2" t="s">
        <v>178</v>
      </c>
    </row>
    <row r="3" spans="2:10">
      <c r="B3" s="11">
        <v>42786</v>
      </c>
      <c r="C3" t="s">
        <v>180</v>
      </c>
      <c r="D3" t="s">
        <v>181</v>
      </c>
      <c r="E3" t="s">
        <v>61</v>
      </c>
      <c r="F3" t="s">
        <v>181</v>
      </c>
      <c r="G3">
        <v>60</v>
      </c>
      <c r="I3" t="s">
        <v>182</v>
      </c>
      <c r="J3">
        <v>96</v>
      </c>
    </row>
    <row r="4" spans="2:10">
      <c r="B4" s="11">
        <v>42787</v>
      </c>
      <c r="C4" t="s">
        <v>180</v>
      </c>
      <c r="D4" t="s">
        <v>181</v>
      </c>
      <c r="E4" t="s">
        <v>78</v>
      </c>
      <c r="F4" t="s">
        <v>183</v>
      </c>
      <c r="G4">
        <v>67</v>
      </c>
      <c r="I4">
        <v>12</v>
      </c>
      <c r="J4">
        <v>47</v>
      </c>
    </row>
    <row r="5" spans="2:10">
      <c r="B5" s="11">
        <v>42787</v>
      </c>
      <c r="C5" t="s">
        <v>180</v>
      </c>
      <c r="D5" t="s">
        <v>183</v>
      </c>
      <c r="E5" t="s">
        <v>181</v>
      </c>
      <c r="J5">
        <v>21</v>
      </c>
    </row>
    <row r="6" spans="2:10">
      <c r="B6" s="11">
        <v>42788</v>
      </c>
      <c r="C6" t="s">
        <v>180</v>
      </c>
      <c r="D6" t="s">
        <v>181</v>
      </c>
      <c r="E6" t="s">
        <v>62</v>
      </c>
      <c r="J6">
        <v>56</v>
      </c>
    </row>
    <row r="7" spans="2:10">
      <c r="B7" s="11">
        <v>42789</v>
      </c>
      <c r="C7" t="s">
        <v>185</v>
      </c>
      <c r="D7" t="s">
        <v>181</v>
      </c>
      <c r="E7" t="s">
        <v>59</v>
      </c>
      <c r="F7" t="s">
        <v>181</v>
      </c>
      <c r="J7">
        <v>38</v>
      </c>
    </row>
    <row r="8" spans="2:10">
      <c r="B8"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dimension ref="B3:D10"/>
  <sheetViews>
    <sheetView workbookViewId="0">
      <selection activeCell="B8" sqref="B8"/>
    </sheetView>
  </sheetViews>
  <sheetFormatPr baseColWidth="10" defaultRowHeight="15"/>
  <sheetData>
    <row r="3" spans="2:4">
      <c r="B3" t="s">
        <v>1628</v>
      </c>
      <c r="D3" t="s">
        <v>130</v>
      </c>
    </row>
    <row r="4" spans="2:4">
      <c r="B4" t="s">
        <v>129</v>
      </c>
      <c r="D4" t="s">
        <v>125</v>
      </c>
    </row>
    <row r="5" spans="2:4">
      <c r="B5" t="s">
        <v>128</v>
      </c>
      <c r="D5" t="s">
        <v>131</v>
      </c>
    </row>
    <row r="6" spans="2:4">
      <c r="B6" t="s">
        <v>1130</v>
      </c>
      <c r="D6" t="s">
        <v>132</v>
      </c>
    </row>
    <row r="7" spans="2:4">
      <c r="B7" t="s">
        <v>121</v>
      </c>
      <c r="D7" t="s">
        <v>133</v>
      </c>
    </row>
    <row r="8" spans="2:4">
      <c r="D8" t="s">
        <v>415</v>
      </c>
    </row>
    <row r="9" spans="2:4">
      <c r="D9" t="s">
        <v>363</v>
      </c>
    </row>
    <row r="10" spans="2:4">
      <c r="D10" t="s">
        <v>853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57"/>
  <sheetViews>
    <sheetView showGridLines="0" zoomScale="80" zoomScaleNormal="80" workbookViewId="0">
      <selection activeCell="H60" sqref="H59:H60"/>
    </sheetView>
  </sheetViews>
  <sheetFormatPr baseColWidth="10" defaultRowHeight="15"/>
  <cols>
    <col min="1" max="1" width="11.42578125" style="161"/>
    <col min="2" max="2" width="16.5703125" customWidth="1"/>
    <col min="18" max="18" width="9.5703125" customWidth="1"/>
    <col min="20" max="20" width="14.28515625" customWidth="1"/>
  </cols>
  <sheetData>
    <row r="2" spans="2:24">
      <c r="F2" s="473" t="s">
        <v>1475</v>
      </c>
      <c r="G2" s="473"/>
      <c r="H2" s="473"/>
      <c r="I2" s="473"/>
      <c r="J2" s="473"/>
    </row>
    <row r="3" spans="2:24" hidden="1"/>
    <row r="4" spans="2:24" hidden="1">
      <c r="B4" s="203" t="s">
        <v>1476</v>
      </c>
      <c r="C4" s="472" t="s">
        <v>1478</v>
      </c>
      <c r="D4" s="470"/>
      <c r="E4" s="470" t="s">
        <v>1479</v>
      </c>
      <c r="F4" s="470"/>
      <c r="G4" s="470" t="s">
        <v>1480</v>
      </c>
      <c r="H4" s="470"/>
      <c r="I4" s="470" t="s">
        <v>1481</v>
      </c>
      <c r="J4" s="470"/>
      <c r="K4" s="470" t="s">
        <v>1482</v>
      </c>
      <c r="L4" s="470"/>
      <c r="N4" s="203" t="s">
        <v>1476</v>
      </c>
      <c r="O4" s="466" t="s">
        <v>1583</v>
      </c>
      <c r="P4" s="467"/>
      <c r="Q4" s="470" t="s">
        <v>1584</v>
      </c>
      <c r="R4" s="470"/>
      <c r="S4" s="470" t="s">
        <v>1585</v>
      </c>
      <c r="T4" s="470"/>
      <c r="U4" s="470" t="s">
        <v>1586</v>
      </c>
      <c r="V4" s="470"/>
      <c r="W4" s="470" t="s">
        <v>1587</v>
      </c>
      <c r="X4" s="470"/>
    </row>
    <row r="5" spans="2:24" hidden="1">
      <c r="B5" s="204" t="s">
        <v>1477</v>
      </c>
      <c r="C5" s="472"/>
      <c r="D5" s="470"/>
      <c r="E5" s="470"/>
      <c r="F5" s="470"/>
      <c r="G5" s="470"/>
      <c r="H5" s="470"/>
      <c r="I5" s="470"/>
      <c r="J5" s="470"/>
      <c r="K5" s="470"/>
      <c r="L5" s="470"/>
      <c r="N5" s="204" t="s">
        <v>1477</v>
      </c>
      <c r="O5" s="468"/>
      <c r="P5" s="469"/>
      <c r="Q5" s="470"/>
      <c r="R5" s="470"/>
      <c r="S5" s="470"/>
      <c r="T5" s="470"/>
      <c r="U5" s="470"/>
      <c r="V5" s="470"/>
      <c r="W5" s="470"/>
      <c r="X5" s="470"/>
    </row>
    <row r="6" spans="2:24" ht="15" hidden="1" customHeight="1">
      <c r="B6" s="207">
        <v>0.33333333333333331</v>
      </c>
      <c r="C6" s="451"/>
      <c r="D6" s="453"/>
      <c r="E6" s="451"/>
      <c r="F6" s="453"/>
      <c r="G6" s="451"/>
      <c r="H6" s="453"/>
      <c r="I6" s="451"/>
      <c r="J6" s="453"/>
      <c r="K6" s="451"/>
      <c r="L6" s="453"/>
      <c r="N6" s="207">
        <v>0.33333333333333331</v>
      </c>
      <c r="O6" s="451"/>
      <c r="P6" s="453"/>
      <c r="Q6" s="451"/>
      <c r="R6" s="453"/>
      <c r="S6" s="451"/>
      <c r="T6" s="453"/>
      <c r="U6" s="451"/>
      <c r="V6" s="453"/>
      <c r="W6" s="235"/>
      <c r="X6" s="235"/>
    </row>
    <row r="7" spans="2:24" hidden="1">
      <c r="B7" s="207">
        <v>0.35416666666666669</v>
      </c>
      <c r="C7" s="451"/>
      <c r="D7" s="453"/>
      <c r="E7" s="451"/>
      <c r="F7" s="453"/>
      <c r="G7" s="451"/>
      <c r="H7" s="453"/>
      <c r="I7" s="451"/>
      <c r="J7" s="453"/>
      <c r="K7" s="451"/>
      <c r="L7" s="453"/>
      <c r="N7" s="207">
        <v>0.35416666666666669</v>
      </c>
      <c r="O7" s="232"/>
      <c r="P7" s="233"/>
      <c r="Q7" s="232"/>
      <c r="R7" s="233"/>
      <c r="S7" s="232"/>
      <c r="T7" s="233"/>
      <c r="U7" s="451"/>
      <c r="V7" s="453"/>
      <c r="W7" s="235"/>
      <c r="X7" s="235"/>
    </row>
    <row r="8" spans="2:24" ht="15" hidden="1" customHeight="1">
      <c r="B8" s="207">
        <v>0.375</v>
      </c>
      <c r="C8" s="471" t="s">
        <v>1483</v>
      </c>
      <c r="D8" s="471"/>
      <c r="E8" s="471"/>
      <c r="F8" s="471"/>
      <c r="G8" s="471"/>
      <c r="H8" s="471"/>
      <c r="I8" s="458" t="s">
        <v>1529</v>
      </c>
      <c r="J8" s="459"/>
      <c r="K8" s="451"/>
      <c r="L8" s="453"/>
      <c r="N8" s="207">
        <v>0.375</v>
      </c>
      <c r="O8" s="232"/>
      <c r="P8" s="233"/>
      <c r="Q8" s="232"/>
      <c r="R8" s="233"/>
      <c r="S8" s="232"/>
      <c r="T8" s="233"/>
      <c r="U8" s="451"/>
      <c r="V8" s="453"/>
      <c r="W8" s="235"/>
      <c r="X8" s="235"/>
    </row>
    <row r="9" spans="2:24" hidden="1">
      <c r="B9" s="207">
        <v>0.39583333333333331</v>
      </c>
      <c r="C9" s="471"/>
      <c r="D9" s="471"/>
      <c r="E9" s="471"/>
      <c r="F9" s="471"/>
      <c r="G9" s="471"/>
      <c r="H9" s="471"/>
      <c r="I9" s="460"/>
      <c r="J9" s="461"/>
      <c r="K9" s="451"/>
      <c r="L9" s="453"/>
      <c r="N9" s="207">
        <v>0.39583333333333331</v>
      </c>
      <c r="O9" s="232"/>
      <c r="P9" s="233"/>
      <c r="Q9" s="232"/>
      <c r="R9" s="233"/>
      <c r="S9" s="232"/>
      <c r="T9" s="233"/>
      <c r="U9" s="451"/>
      <c r="V9" s="453"/>
      <c r="W9" s="235"/>
      <c r="X9" s="235"/>
    </row>
    <row r="10" spans="2:24" hidden="1">
      <c r="B10" s="207">
        <v>0.41666666666666669</v>
      </c>
      <c r="C10" s="471"/>
      <c r="D10" s="471"/>
      <c r="E10" s="471"/>
      <c r="F10" s="471"/>
      <c r="G10" s="471"/>
      <c r="H10" s="471"/>
      <c r="I10" s="460"/>
      <c r="J10" s="461"/>
      <c r="K10" s="451"/>
      <c r="L10" s="453"/>
      <c r="N10" s="207">
        <v>0.41666666666666669</v>
      </c>
      <c r="O10" s="232"/>
      <c r="P10" s="233"/>
      <c r="Q10" s="458" t="s">
        <v>1581</v>
      </c>
      <c r="R10" s="459"/>
      <c r="S10" s="232"/>
      <c r="T10" s="233"/>
      <c r="U10" s="451"/>
      <c r="V10" s="453"/>
      <c r="W10" s="235"/>
      <c r="X10" s="235"/>
    </row>
    <row r="11" spans="2:24" hidden="1">
      <c r="B11" s="207">
        <v>0.4375</v>
      </c>
      <c r="C11" s="471"/>
      <c r="D11" s="471"/>
      <c r="E11" s="471"/>
      <c r="F11" s="471"/>
      <c r="G11" s="471"/>
      <c r="H11" s="471"/>
      <c r="I11" s="460"/>
      <c r="J11" s="461"/>
      <c r="K11" s="451"/>
      <c r="L11" s="453"/>
      <c r="N11" s="207">
        <v>0.4375</v>
      </c>
      <c r="O11" s="232"/>
      <c r="P11" s="233"/>
      <c r="Q11" s="462"/>
      <c r="R11" s="463"/>
      <c r="S11" s="232"/>
      <c r="T11" s="233"/>
      <c r="U11" s="451"/>
      <c r="V11" s="453"/>
      <c r="W11" s="235"/>
      <c r="X11" s="235"/>
    </row>
    <row r="12" spans="2:24" hidden="1">
      <c r="B12" s="207">
        <v>0.45833333333333331</v>
      </c>
      <c r="C12" s="451"/>
      <c r="D12" s="453"/>
      <c r="E12" s="451"/>
      <c r="F12" s="453"/>
      <c r="G12" s="451"/>
      <c r="H12" s="453"/>
      <c r="I12" s="462"/>
      <c r="J12" s="463"/>
      <c r="K12" s="451"/>
      <c r="L12" s="453"/>
      <c r="N12" s="207">
        <v>0.45833333333333331</v>
      </c>
      <c r="O12" s="232"/>
      <c r="P12" s="233"/>
      <c r="Q12" s="232"/>
      <c r="R12" s="233"/>
      <c r="S12" s="232"/>
      <c r="T12" s="233"/>
      <c r="U12" s="451"/>
      <c r="V12" s="453"/>
      <c r="W12" s="235"/>
      <c r="X12" s="235"/>
    </row>
    <row r="13" spans="2:24" hidden="1">
      <c r="B13" s="207">
        <v>0.47916666666666669</v>
      </c>
      <c r="C13" s="451"/>
      <c r="D13" s="453"/>
      <c r="E13" s="451"/>
      <c r="F13" s="453"/>
      <c r="G13" s="451"/>
      <c r="H13" s="453"/>
      <c r="I13" s="451"/>
      <c r="J13" s="453"/>
      <c r="K13" s="451"/>
      <c r="L13" s="453"/>
      <c r="N13" s="207">
        <v>0.47916666666666669</v>
      </c>
      <c r="O13" s="451"/>
      <c r="P13" s="453"/>
      <c r="Q13" s="451"/>
      <c r="R13" s="453"/>
      <c r="S13" s="451"/>
      <c r="T13" s="453"/>
      <c r="U13" s="451"/>
      <c r="V13" s="453"/>
      <c r="W13" s="235"/>
      <c r="X13" s="235"/>
    </row>
    <row r="14" spans="2:24" hidden="1">
      <c r="B14" s="207">
        <v>0.5</v>
      </c>
      <c r="C14" s="451"/>
      <c r="D14" s="453"/>
      <c r="E14" s="451"/>
      <c r="F14" s="453"/>
      <c r="G14" s="451"/>
      <c r="H14" s="453"/>
      <c r="I14" s="451"/>
      <c r="J14" s="453"/>
      <c r="K14" s="451"/>
      <c r="L14" s="453"/>
      <c r="N14" s="207">
        <v>0.5</v>
      </c>
      <c r="O14" s="451"/>
      <c r="P14" s="453"/>
      <c r="Q14" s="451"/>
      <c r="R14" s="453"/>
      <c r="S14" s="451"/>
      <c r="T14" s="453"/>
      <c r="U14" s="451"/>
      <c r="V14" s="453"/>
      <c r="W14" s="235"/>
      <c r="X14" s="235"/>
    </row>
    <row r="15" spans="2:24" hidden="1">
      <c r="B15" s="208">
        <v>0.52083333333333337</v>
      </c>
      <c r="C15" s="464"/>
      <c r="D15" s="465"/>
      <c r="E15" s="464"/>
      <c r="F15" s="465"/>
      <c r="G15" s="464"/>
      <c r="H15" s="465"/>
      <c r="I15" s="464"/>
      <c r="J15" s="465"/>
      <c r="K15" s="464"/>
      <c r="L15" s="465"/>
      <c r="N15" s="208">
        <v>0.52083333333333337</v>
      </c>
      <c r="O15" s="464"/>
      <c r="P15" s="465"/>
      <c r="Q15" s="464"/>
      <c r="R15" s="465"/>
      <c r="S15" s="464"/>
      <c r="T15" s="465"/>
      <c r="U15" s="464"/>
      <c r="V15" s="465"/>
      <c r="W15" s="235"/>
      <c r="X15" s="235"/>
    </row>
    <row r="16" spans="2:24" hidden="1">
      <c r="B16" s="208">
        <v>4.1666666666666664E-2</v>
      </c>
      <c r="C16" s="205"/>
      <c r="D16" s="206"/>
      <c r="E16" s="205"/>
      <c r="F16" s="206"/>
      <c r="G16" s="205"/>
      <c r="H16" s="206"/>
      <c r="I16" s="205"/>
      <c r="J16" s="206"/>
      <c r="K16" s="205"/>
      <c r="L16" s="206"/>
      <c r="N16" s="208">
        <v>4.1666666666666664E-2</v>
      </c>
      <c r="O16" s="234"/>
      <c r="P16" s="235"/>
      <c r="Q16" s="234"/>
      <c r="R16" s="235"/>
      <c r="S16" s="234"/>
      <c r="T16" s="235"/>
      <c r="U16" s="234"/>
      <c r="V16" s="235"/>
      <c r="W16" s="235"/>
      <c r="X16" s="235"/>
    </row>
    <row r="17" spans="2:24" hidden="1">
      <c r="B17" s="208">
        <v>6.25E-2</v>
      </c>
      <c r="C17" s="205"/>
      <c r="D17" s="206"/>
      <c r="E17" s="205"/>
      <c r="F17" s="206"/>
      <c r="G17" s="205"/>
      <c r="H17" s="206"/>
      <c r="I17" s="205"/>
      <c r="J17" s="206"/>
      <c r="K17" s="205"/>
      <c r="L17" s="206"/>
      <c r="N17" s="208">
        <v>6.25E-2</v>
      </c>
      <c r="O17" s="234"/>
      <c r="P17" s="235"/>
      <c r="Q17" s="234"/>
      <c r="R17" s="235"/>
      <c r="S17" s="234"/>
      <c r="T17" s="235"/>
      <c r="U17" s="234"/>
      <c r="V17" s="235"/>
      <c r="W17" s="235"/>
      <c r="X17" s="235"/>
    </row>
    <row r="18" spans="2:24" hidden="1">
      <c r="B18" s="207">
        <v>8.3333333333333329E-2</v>
      </c>
      <c r="C18" s="451"/>
      <c r="D18" s="453"/>
      <c r="E18" s="451"/>
      <c r="F18" s="453"/>
      <c r="G18" s="451"/>
      <c r="H18" s="453"/>
      <c r="I18" s="451"/>
      <c r="J18" s="453"/>
      <c r="K18" s="451"/>
      <c r="L18" s="453"/>
      <c r="N18" s="207">
        <v>8.3333333333333329E-2</v>
      </c>
      <c r="O18" s="451"/>
      <c r="P18" s="453"/>
      <c r="Q18" s="458" t="s">
        <v>1582</v>
      </c>
      <c r="R18" s="459"/>
      <c r="S18" s="451"/>
      <c r="T18" s="453"/>
      <c r="U18" s="451"/>
      <c r="V18" s="453"/>
      <c r="W18" s="235"/>
      <c r="X18" s="235"/>
    </row>
    <row r="19" spans="2:24" hidden="1">
      <c r="B19" s="207">
        <v>0.10416666666666667</v>
      </c>
      <c r="C19" s="451"/>
      <c r="D19" s="453"/>
      <c r="E19" s="451"/>
      <c r="F19" s="453"/>
      <c r="G19" s="451"/>
      <c r="H19" s="453"/>
      <c r="I19" s="451"/>
      <c r="J19" s="453"/>
      <c r="K19" s="451"/>
      <c r="L19" s="453"/>
      <c r="N19" s="207">
        <v>0.10416666666666667</v>
      </c>
      <c r="O19" s="451"/>
      <c r="P19" s="453"/>
      <c r="Q19" s="460"/>
      <c r="R19" s="461"/>
      <c r="S19" s="451"/>
      <c r="T19" s="453"/>
      <c r="U19" s="451"/>
      <c r="V19" s="453"/>
      <c r="W19" s="235"/>
      <c r="X19" s="235"/>
    </row>
    <row r="20" spans="2:24" hidden="1">
      <c r="B20" s="207">
        <v>0.125</v>
      </c>
      <c r="C20" s="458" t="s">
        <v>1484</v>
      </c>
      <c r="D20" s="459"/>
      <c r="E20" s="451"/>
      <c r="F20" s="453"/>
      <c r="G20" s="451"/>
      <c r="H20" s="453"/>
      <c r="I20" s="451"/>
      <c r="J20" s="453"/>
      <c r="K20" s="451"/>
      <c r="L20" s="453"/>
      <c r="N20" s="207">
        <v>0.125</v>
      </c>
      <c r="O20" s="458" t="s">
        <v>1580</v>
      </c>
      <c r="P20" s="459"/>
      <c r="Q20" s="462"/>
      <c r="R20" s="463"/>
      <c r="S20" s="451"/>
      <c r="T20" s="453"/>
      <c r="U20" s="451"/>
      <c r="V20" s="453"/>
      <c r="W20" s="235"/>
      <c r="X20" s="235"/>
    </row>
    <row r="21" spans="2:24" hidden="1">
      <c r="B21" s="207">
        <v>0.14583333333333334</v>
      </c>
      <c r="C21" s="460"/>
      <c r="D21" s="461"/>
      <c r="E21" s="451"/>
      <c r="F21" s="453"/>
      <c r="G21" s="451"/>
      <c r="H21" s="453"/>
      <c r="I21" s="451"/>
      <c r="J21" s="453"/>
      <c r="K21" s="451"/>
      <c r="L21" s="453"/>
      <c r="N21" s="207">
        <v>0.14583333333333334</v>
      </c>
      <c r="O21" s="460"/>
      <c r="P21" s="461"/>
      <c r="Q21" s="451"/>
      <c r="R21" s="453"/>
      <c r="S21" s="451"/>
      <c r="T21" s="453"/>
      <c r="U21" s="451"/>
      <c r="V21" s="453"/>
      <c r="W21" s="235"/>
      <c r="X21" s="235"/>
    </row>
    <row r="22" spans="2:24" ht="15" hidden="1" customHeight="1">
      <c r="B22" s="207">
        <v>0.16666666666666666</v>
      </c>
      <c r="C22" s="462"/>
      <c r="D22" s="463"/>
      <c r="E22" s="451"/>
      <c r="F22" s="453"/>
      <c r="G22" s="451"/>
      <c r="H22" s="453"/>
      <c r="I22" s="451"/>
      <c r="J22" s="453"/>
      <c r="K22" s="451"/>
      <c r="L22" s="453"/>
      <c r="N22" s="207">
        <v>0.16666666666666666</v>
      </c>
      <c r="O22" s="460"/>
      <c r="P22" s="461"/>
      <c r="Q22" s="451"/>
      <c r="R22" s="453"/>
      <c r="S22" s="451"/>
      <c r="T22" s="453"/>
      <c r="U22" s="451"/>
      <c r="V22" s="453"/>
      <c r="W22" s="235"/>
      <c r="X22" s="235"/>
    </row>
    <row r="23" spans="2:24" hidden="1">
      <c r="B23" s="207">
        <v>0.1875</v>
      </c>
      <c r="C23" s="451"/>
      <c r="D23" s="453"/>
      <c r="E23" s="451"/>
      <c r="F23" s="453"/>
      <c r="G23" s="451"/>
      <c r="H23" s="453"/>
      <c r="I23" s="451"/>
      <c r="J23" s="453"/>
      <c r="K23" s="451"/>
      <c r="L23" s="453"/>
      <c r="N23" s="207">
        <v>0.1875</v>
      </c>
      <c r="O23" s="462"/>
      <c r="P23" s="463"/>
      <c r="Q23" s="451"/>
      <c r="R23" s="453"/>
      <c r="S23" s="451"/>
      <c r="T23" s="453"/>
      <c r="U23" s="451"/>
      <c r="V23" s="453"/>
      <c r="W23" s="235"/>
      <c r="X23" s="235"/>
    </row>
    <row r="24" spans="2:24" hidden="1">
      <c r="B24" s="207">
        <v>0.20833333333333334</v>
      </c>
      <c r="C24" s="451"/>
      <c r="D24" s="453"/>
      <c r="E24" s="451"/>
      <c r="F24" s="453"/>
      <c r="G24" s="451"/>
      <c r="H24" s="453"/>
      <c r="I24" s="451"/>
      <c r="J24" s="453"/>
      <c r="K24" s="451"/>
      <c r="L24" s="453"/>
      <c r="N24" s="207">
        <v>0.20833333333333334</v>
      </c>
      <c r="O24" s="451"/>
      <c r="P24" s="453"/>
      <c r="Q24" s="451"/>
      <c r="R24" s="453"/>
      <c r="S24" s="451"/>
      <c r="T24" s="453"/>
      <c r="U24" s="451"/>
      <c r="V24" s="453"/>
      <c r="W24" s="235"/>
      <c r="X24" s="235"/>
    </row>
    <row r="25" spans="2:24" hidden="1">
      <c r="B25" s="207">
        <v>0.22916666666666666</v>
      </c>
      <c r="C25" s="451"/>
      <c r="D25" s="453"/>
      <c r="E25" s="451"/>
      <c r="F25" s="453"/>
      <c r="G25" s="451"/>
      <c r="H25" s="453"/>
      <c r="I25" s="451"/>
      <c r="J25" s="453"/>
      <c r="K25" s="451"/>
      <c r="L25" s="453"/>
      <c r="N25" s="207">
        <v>0.22916666666666666</v>
      </c>
      <c r="O25" s="451"/>
      <c r="P25" s="453"/>
      <c r="Q25" s="451"/>
      <c r="R25" s="453"/>
      <c r="S25" s="451"/>
      <c r="T25" s="453"/>
      <c r="U25" s="451"/>
      <c r="V25" s="453"/>
      <c r="W25" s="235"/>
      <c r="X25" s="235"/>
    </row>
    <row r="26" spans="2:24" hidden="1">
      <c r="B26" s="207">
        <v>0.25</v>
      </c>
      <c r="C26" s="451"/>
      <c r="D26" s="453"/>
      <c r="E26" s="451"/>
      <c r="F26" s="453"/>
      <c r="G26" s="451"/>
      <c r="H26" s="453"/>
      <c r="I26" s="451"/>
      <c r="J26" s="453"/>
      <c r="K26" s="451"/>
      <c r="L26" s="453"/>
      <c r="N26" s="207">
        <v>0.25</v>
      </c>
      <c r="O26" s="451"/>
      <c r="P26" s="453"/>
      <c r="Q26" s="451"/>
      <c r="R26" s="453"/>
      <c r="S26" s="451"/>
      <c r="T26" s="453"/>
      <c r="U26" s="451"/>
      <c r="V26" s="453"/>
      <c r="W26" s="235"/>
      <c r="X26" s="235"/>
    </row>
    <row r="27" spans="2:24" hidden="1"/>
    <row r="28" spans="2:24" hidden="1"/>
    <row r="30" spans="2:24" hidden="1"/>
    <row r="31" spans="2:24" hidden="1"/>
    <row r="32" spans="2:24" hidden="1"/>
    <row r="33" spans="2:12" hidden="1"/>
    <row r="35" spans="2:12">
      <c r="B35" s="203" t="s">
        <v>1476</v>
      </c>
      <c r="C35" s="472" t="s">
        <v>1678</v>
      </c>
      <c r="D35" s="470"/>
      <c r="E35" s="470" t="s">
        <v>1679</v>
      </c>
      <c r="F35" s="470"/>
      <c r="G35" s="470" t="s">
        <v>1680</v>
      </c>
      <c r="H35" s="470"/>
      <c r="I35" s="470" t="s">
        <v>1681</v>
      </c>
      <c r="J35" s="470"/>
      <c r="K35" s="470" t="s">
        <v>1682</v>
      </c>
      <c r="L35" s="470"/>
    </row>
    <row r="36" spans="2:12">
      <c r="B36" s="204" t="s">
        <v>1477</v>
      </c>
      <c r="C36" s="472"/>
      <c r="D36" s="470"/>
      <c r="E36" s="470"/>
      <c r="F36" s="470"/>
      <c r="G36" s="470"/>
      <c r="H36" s="470"/>
      <c r="I36" s="470"/>
      <c r="J36" s="470"/>
      <c r="K36" s="470"/>
      <c r="L36" s="470"/>
    </row>
    <row r="37" spans="2:12">
      <c r="B37" s="207">
        <v>0.33333333333333331</v>
      </c>
      <c r="C37" s="451"/>
      <c r="D37" s="453"/>
      <c r="E37" s="451"/>
      <c r="F37" s="453"/>
      <c r="G37" s="451"/>
      <c r="H37" s="453"/>
      <c r="I37" s="451"/>
      <c r="J37" s="453"/>
      <c r="K37" s="451"/>
      <c r="L37" s="453"/>
    </row>
    <row r="38" spans="2:12">
      <c r="B38" s="207">
        <v>0.35416666666666669</v>
      </c>
      <c r="C38" s="451"/>
      <c r="D38" s="453"/>
      <c r="E38" s="451"/>
      <c r="F38" s="453"/>
      <c r="G38" s="451"/>
      <c r="H38" s="453"/>
      <c r="I38" s="451"/>
      <c r="J38" s="453"/>
      <c r="K38" s="451"/>
      <c r="L38" s="453"/>
    </row>
    <row r="39" spans="2:12" ht="15" customHeight="1">
      <c r="B39" s="207">
        <v>0.375</v>
      </c>
      <c r="C39" s="451"/>
      <c r="D39" s="453"/>
      <c r="E39" s="451"/>
      <c r="F39" s="453"/>
      <c r="G39" s="451"/>
      <c r="H39" s="453"/>
      <c r="I39" s="451"/>
      <c r="J39" s="453"/>
      <c r="K39" s="451"/>
      <c r="L39" s="453"/>
    </row>
    <row r="40" spans="2:12">
      <c r="B40" s="207">
        <v>0.39583333333333331</v>
      </c>
      <c r="C40" s="451"/>
      <c r="D40" s="453"/>
      <c r="E40" s="451"/>
      <c r="F40" s="453"/>
      <c r="G40" s="451"/>
      <c r="H40" s="453"/>
      <c r="I40" s="451"/>
      <c r="J40" s="453"/>
      <c r="K40" s="451"/>
      <c r="L40" s="453"/>
    </row>
    <row r="41" spans="2:12">
      <c r="B41" s="207">
        <v>0.41666666666666669</v>
      </c>
      <c r="C41" s="451"/>
      <c r="D41" s="453"/>
      <c r="E41" s="451"/>
      <c r="F41" s="453"/>
      <c r="G41" s="451"/>
      <c r="H41" s="453"/>
      <c r="I41" s="451"/>
      <c r="J41" s="453"/>
      <c r="K41" s="451"/>
      <c r="L41" s="453"/>
    </row>
    <row r="42" spans="2:12">
      <c r="B42" s="207">
        <v>0.4375</v>
      </c>
      <c r="C42" s="451"/>
      <c r="D42" s="453"/>
      <c r="E42" s="451"/>
      <c r="F42" s="453"/>
      <c r="G42" s="451"/>
      <c r="H42" s="453"/>
      <c r="I42" s="451"/>
      <c r="J42" s="453"/>
      <c r="K42" s="451"/>
      <c r="L42" s="453"/>
    </row>
    <row r="43" spans="2:12">
      <c r="B43" s="207">
        <v>0.45833333333333331</v>
      </c>
      <c r="C43" s="451"/>
      <c r="D43" s="453"/>
      <c r="E43" s="451"/>
      <c r="F43" s="453"/>
      <c r="G43" s="451"/>
      <c r="H43" s="453"/>
      <c r="I43" s="451"/>
      <c r="J43" s="453"/>
      <c r="K43" s="451"/>
      <c r="L43" s="453"/>
    </row>
    <row r="44" spans="2:12">
      <c r="B44" s="207">
        <v>0.47916666666666669</v>
      </c>
      <c r="C44" s="451"/>
      <c r="D44" s="453"/>
      <c r="E44" s="451"/>
      <c r="F44" s="453"/>
      <c r="G44" s="451"/>
      <c r="H44" s="453"/>
      <c r="I44" s="451"/>
      <c r="J44" s="453"/>
      <c r="K44" s="451"/>
      <c r="L44" s="453"/>
    </row>
    <row r="45" spans="2:12">
      <c r="B45" s="207">
        <v>0.5</v>
      </c>
      <c r="C45" s="451"/>
      <c r="D45" s="453"/>
      <c r="E45" s="451"/>
      <c r="F45" s="453"/>
      <c r="G45" s="451"/>
      <c r="H45" s="453"/>
      <c r="I45" s="451"/>
      <c r="J45" s="453"/>
      <c r="K45" s="451"/>
      <c r="L45" s="453"/>
    </row>
    <row r="46" spans="2:12">
      <c r="B46" s="208">
        <v>0.52083333333333337</v>
      </c>
      <c r="C46" s="464"/>
      <c r="D46" s="465"/>
      <c r="E46" s="451"/>
      <c r="F46" s="453"/>
      <c r="G46" s="464"/>
      <c r="H46" s="465"/>
      <c r="I46" s="464"/>
      <c r="J46" s="465"/>
      <c r="K46" s="464"/>
      <c r="L46" s="465"/>
    </row>
    <row r="47" spans="2:12">
      <c r="B47" s="208">
        <v>4.1666666666666664E-2</v>
      </c>
      <c r="C47" s="251"/>
      <c r="D47" s="252"/>
      <c r="E47" s="458" t="s">
        <v>1683</v>
      </c>
      <c r="F47" s="459"/>
      <c r="G47" s="251"/>
      <c r="H47" s="252"/>
      <c r="I47" s="251"/>
      <c r="J47" s="252"/>
      <c r="K47" s="251"/>
      <c r="L47" s="252"/>
    </row>
    <row r="48" spans="2:12">
      <c r="B48" s="208">
        <v>6.25E-2</v>
      </c>
      <c r="C48" s="251"/>
      <c r="D48" s="252"/>
      <c r="E48" s="460"/>
      <c r="F48" s="461"/>
      <c r="G48" s="251"/>
      <c r="H48" s="252"/>
      <c r="I48" s="251"/>
      <c r="J48" s="252"/>
      <c r="K48" s="251"/>
      <c r="L48" s="252"/>
    </row>
    <row r="49" spans="2:12">
      <c r="B49" s="207">
        <v>8.3333333333333329E-2</v>
      </c>
      <c r="C49" s="451"/>
      <c r="D49" s="453"/>
      <c r="E49" s="460"/>
      <c r="F49" s="461"/>
      <c r="G49" s="451"/>
      <c r="H49" s="453"/>
      <c r="I49" s="451"/>
      <c r="J49" s="453"/>
      <c r="K49" s="451"/>
      <c r="L49" s="453"/>
    </row>
    <row r="50" spans="2:12">
      <c r="B50" s="207">
        <v>0.10416666666666667</v>
      </c>
      <c r="C50" s="451"/>
      <c r="D50" s="453"/>
      <c r="E50" s="462"/>
      <c r="F50" s="463"/>
      <c r="G50" s="451"/>
      <c r="H50" s="453"/>
      <c r="I50" s="451"/>
      <c r="J50" s="453"/>
      <c r="K50" s="451"/>
      <c r="L50" s="453"/>
    </row>
    <row r="51" spans="2:12">
      <c r="B51" s="207">
        <v>0.125</v>
      </c>
      <c r="C51" s="451"/>
      <c r="D51" s="453"/>
      <c r="E51" s="451"/>
      <c r="F51" s="453"/>
      <c r="G51" s="451"/>
      <c r="H51" s="453"/>
      <c r="I51" s="451"/>
      <c r="J51" s="453"/>
      <c r="K51" s="451"/>
      <c r="L51" s="453"/>
    </row>
    <row r="52" spans="2:12">
      <c r="B52" s="207">
        <v>0.14583333333333334</v>
      </c>
      <c r="C52" s="451"/>
      <c r="D52" s="453"/>
      <c r="E52" s="451"/>
      <c r="F52" s="453"/>
      <c r="G52" s="451"/>
      <c r="H52" s="453"/>
      <c r="I52" s="451"/>
      <c r="J52" s="453"/>
      <c r="K52" s="451"/>
      <c r="L52" s="453"/>
    </row>
    <row r="53" spans="2:12">
      <c r="B53" s="207">
        <v>0.16666666666666666</v>
      </c>
      <c r="C53" s="451"/>
      <c r="D53" s="453"/>
      <c r="E53" s="451"/>
      <c r="F53" s="453"/>
      <c r="G53" s="451"/>
      <c r="H53" s="453"/>
      <c r="I53" s="451"/>
      <c r="J53" s="453"/>
      <c r="K53" s="451"/>
      <c r="L53" s="453"/>
    </row>
    <row r="54" spans="2:12">
      <c r="B54" s="207">
        <v>0.1875</v>
      </c>
      <c r="C54" s="451"/>
      <c r="D54" s="453"/>
      <c r="E54" s="451"/>
      <c r="F54" s="453"/>
      <c r="G54" s="451"/>
      <c r="H54" s="453"/>
      <c r="I54" s="451"/>
      <c r="J54" s="453"/>
      <c r="K54" s="451"/>
      <c r="L54" s="453"/>
    </row>
    <row r="55" spans="2:12">
      <c r="B55" s="207">
        <v>0.20833333333333334</v>
      </c>
      <c r="C55" s="451"/>
      <c r="D55" s="453"/>
      <c r="E55" s="451"/>
      <c r="F55" s="453"/>
      <c r="G55" s="451"/>
      <c r="H55" s="453"/>
      <c r="I55" s="451"/>
      <c r="J55" s="453"/>
      <c r="K55" s="451"/>
      <c r="L55" s="453"/>
    </row>
    <row r="56" spans="2:12">
      <c r="B56" s="207">
        <v>0.22916666666666666</v>
      </c>
      <c r="C56" s="451"/>
      <c r="D56" s="453"/>
      <c r="E56" s="451"/>
      <c r="F56" s="453"/>
      <c r="G56" s="451"/>
      <c r="H56" s="453"/>
      <c r="I56" s="451"/>
      <c r="J56" s="453"/>
      <c r="K56" s="451"/>
      <c r="L56" s="453"/>
    </row>
    <row r="57" spans="2:12">
      <c r="B57" s="207">
        <v>0.25</v>
      </c>
      <c r="C57" s="451"/>
      <c r="D57" s="453"/>
      <c r="E57" s="451"/>
      <c r="F57" s="453"/>
      <c r="G57" s="451"/>
      <c r="H57" s="453"/>
      <c r="I57" s="451"/>
      <c r="J57" s="453"/>
      <c r="K57" s="451"/>
      <c r="L57" s="453"/>
    </row>
  </sheetData>
  <mergeCells count="242">
    <mergeCell ref="C57:D57"/>
    <mergeCell ref="E57:F57"/>
    <mergeCell ref="G57:H57"/>
    <mergeCell ref="I57:J57"/>
    <mergeCell ref="K57:L57"/>
    <mergeCell ref="C41:D41"/>
    <mergeCell ref="E41:F41"/>
    <mergeCell ref="G41:H41"/>
    <mergeCell ref="I41:J41"/>
    <mergeCell ref="C42:D42"/>
    <mergeCell ref="E42:F42"/>
    <mergeCell ref="G42:H42"/>
    <mergeCell ref="I42:J42"/>
    <mergeCell ref="I43:J43"/>
    <mergeCell ref="C43:D43"/>
    <mergeCell ref="E43:F43"/>
    <mergeCell ref="G43:H43"/>
    <mergeCell ref="C55:D55"/>
    <mergeCell ref="E55:F55"/>
    <mergeCell ref="G55:H55"/>
    <mergeCell ref="I55:J55"/>
    <mergeCell ref="K55:L55"/>
    <mergeCell ref="C56:D56"/>
    <mergeCell ref="E56:F56"/>
    <mergeCell ref="G56:H56"/>
    <mergeCell ref="I56:J56"/>
    <mergeCell ref="K56:L56"/>
    <mergeCell ref="K51:L51"/>
    <mergeCell ref="E52:F52"/>
    <mergeCell ref="G52:H52"/>
    <mergeCell ref="I52:J52"/>
    <mergeCell ref="K52:L52"/>
    <mergeCell ref="C54:D54"/>
    <mergeCell ref="E54:F54"/>
    <mergeCell ref="G54:H54"/>
    <mergeCell ref="I54:J54"/>
    <mergeCell ref="K54:L54"/>
    <mergeCell ref="E53:F53"/>
    <mergeCell ref="G53:H53"/>
    <mergeCell ref="I53:J53"/>
    <mergeCell ref="K53:L53"/>
    <mergeCell ref="C51:D51"/>
    <mergeCell ref="C52:D52"/>
    <mergeCell ref="C53:D53"/>
    <mergeCell ref="E51:F51"/>
    <mergeCell ref="G51:H51"/>
    <mergeCell ref="I51:J51"/>
    <mergeCell ref="E47:F50"/>
    <mergeCell ref="C46:D46"/>
    <mergeCell ref="E46:F46"/>
    <mergeCell ref="G46:H46"/>
    <mergeCell ref="I46:J46"/>
    <mergeCell ref="K46:L46"/>
    <mergeCell ref="C49:D49"/>
    <mergeCell ref="G49:H49"/>
    <mergeCell ref="I49:J49"/>
    <mergeCell ref="K49:L49"/>
    <mergeCell ref="C50:D50"/>
    <mergeCell ref="G50:H50"/>
    <mergeCell ref="I50:J50"/>
    <mergeCell ref="K50:L50"/>
    <mergeCell ref="C44:D44"/>
    <mergeCell ref="E44:F44"/>
    <mergeCell ref="G44:H44"/>
    <mergeCell ref="I44:J44"/>
    <mergeCell ref="K44:L44"/>
    <mergeCell ref="C45:D45"/>
    <mergeCell ref="E45:F45"/>
    <mergeCell ref="G45:H45"/>
    <mergeCell ref="I45:J45"/>
    <mergeCell ref="K45:L45"/>
    <mergeCell ref="C38:D38"/>
    <mergeCell ref="E38:F38"/>
    <mergeCell ref="G38:H38"/>
    <mergeCell ref="I38:J38"/>
    <mergeCell ref="K38:L38"/>
    <mergeCell ref="K39:L39"/>
    <mergeCell ref="K40:L40"/>
    <mergeCell ref="K41:L41"/>
    <mergeCell ref="K42:L42"/>
    <mergeCell ref="K43:L43"/>
    <mergeCell ref="C39:D39"/>
    <mergeCell ref="E39:F39"/>
    <mergeCell ref="G39:H39"/>
    <mergeCell ref="I39:J39"/>
    <mergeCell ref="C40:D40"/>
    <mergeCell ref="E40:F40"/>
    <mergeCell ref="G40:H40"/>
    <mergeCell ref="I40:J40"/>
    <mergeCell ref="C35:D36"/>
    <mergeCell ref="E35:F36"/>
    <mergeCell ref="G35:H36"/>
    <mergeCell ref="I35:J36"/>
    <mergeCell ref="K35:L36"/>
    <mergeCell ref="C37:D37"/>
    <mergeCell ref="E37:F37"/>
    <mergeCell ref="G37:H37"/>
    <mergeCell ref="I37:J37"/>
    <mergeCell ref="K37:L37"/>
    <mergeCell ref="C13:D13"/>
    <mergeCell ref="E13:F13"/>
    <mergeCell ref="G13:H13"/>
    <mergeCell ref="I13:J13"/>
    <mergeCell ref="K13:L13"/>
    <mergeCell ref="F2:J2"/>
    <mergeCell ref="E4:F5"/>
    <mergeCell ref="G4:H5"/>
    <mergeCell ref="I4:J5"/>
    <mergeCell ref="C6:D6"/>
    <mergeCell ref="E6:F6"/>
    <mergeCell ref="G6:H6"/>
    <mergeCell ref="I6:J6"/>
    <mergeCell ref="C7:D7"/>
    <mergeCell ref="E7:F7"/>
    <mergeCell ref="G7:H7"/>
    <mergeCell ref="I7:J7"/>
    <mergeCell ref="K4:L5"/>
    <mergeCell ref="K10:L10"/>
    <mergeCell ref="K11:L11"/>
    <mergeCell ref="K8:L8"/>
    <mergeCell ref="K9:L9"/>
    <mergeCell ref="K6:L6"/>
    <mergeCell ref="K7:L7"/>
    <mergeCell ref="C8:H11"/>
    <mergeCell ref="I8:J12"/>
    <mergeCell ref="C4:D5"/>
    <mergeCell ref="C12:D12"/>
    <mergeCell ref="E12:F12"/>
    <mergeCell ref="G12:H12"/>
    <mergeCell ref="K12:L12"/>
    <mergeCell ref="K18:L18"/>
    <mergeCell ref="C19:D19"/>
    <mergeCell ref="E19:F19"/>
    <mergeCell ref="G19:H19"/>
    <mergeCell ref="I19:J19"/>
    <mergeCell ref="K19:L19"/>
    <mergeCell ref="C18:D18"/>
    <mergeCell ref="E18:F18"/>
    <mergeCell ref="G18:H18"/>
    <mergeCell ref="I18:J18"/>
    <mergeCell ref="C15:D15"/>
    <mergeCell ref="E15:F15"/>
    <mergeCell ref="G15:H15"/>
    <mergeCell ref="I15:J15"/>
    <mergeCell ref="K15:L15"/>
    <mergeCell ref="C14:D14"/>
    <mergeCell ref="E14:F14"/>
    <mergeCell ref="G14:H14"/>
    <mergeCell ref="I14:J14"/>
    <mergeCell ref="K14:L14"/>
    <mergeCell ref="I23:J23"/>
    <mergeCell ref="K23:L23"/>
    <mergeCell ref="C20:D22"/>
    <mergeCell ref="E22:F22"/>
    <mergeCell ref="G22:H22"/>
    <mergeCell ref="I22:J22"/>
    <mergeCell ref="E20:F20"/>
    <mergeCell ref="G20:H20"/>
    <mergeCell ref="I20:J20"/>
    <mergeCell ref="K20:L20"/>
    <mergeCell ref="E21:F21"/>
    <mergeCell ref="G21:H21"/>
    <mergeCell ref="I21:J21"/>
    <mergeCell ref="K21:L21"/>
    <mergeCell ref="O4:P5"/>
    <mergeCell ref="Q4:R5"/>
    <mergeCell ref="S4:T5"/>
    <mergeCell ref="U4:V5"/>
    <mergeCell ref="W4:X5"/>
    <mergeCell ref="C26:D26"/>
    <mergeCell ref="E26:F26"/>
    <mergeCell ref="G26:H26"/>
    <mergeCell ref="I26:J26"/>
    <mergeCell ref="K26:L26"/>
    <mergeCell ref="K24:L24"/>
    <mergeCell ref="C25:D25"/>
    <mergeCell ref="E25:F25"/>
    <mergeCell ref="G25:H25"/>
    <mergeCell ref="I25:J25"/>
    <mergeCell ref="K25:L25"/>
    <mergeCell ref="C24:D24"/>
    <mergeCell ref="E24:F24"/>
    <mergeCell ref="G24:H24"/>
    <mergeCell ref="I24:J24"/>
    <mergeCell ref="K22:L22"/>
    <mergeCell ref="C23:D23"/>
    <mergeCell ref="E23:F23"/>
    <mergeCell ref="G23:H23"/>
    <mergeCell ref="U9:V9"/>
    <mergeCell ref="U10:V10"/>
    <mergeCell ref="U11:V11"/>
    <mergeCell ref="U12:V12"/>
    <mergeCell ref="Q10:R11"/>
    <mergeCell ref="O6:P6"/>
    <mergeCell ref="Q6:R6"/>
    <mergeCell ref="S6:T6"/>
    <mergeCell ref="U6:V6"/>
    <mergeCell ref="U7:V7"/>
    <mergeCell ref="U8:V8"/>
    <mergeCell ref="O15:P15"/>
    <mergeCell ref="Q15:R15"/>
    <mergeCell ref="S15:T15"/>
    <mergeCell ref="U15:V15"/>
    <mergeCell ref="O14:P14"/>
    <mergeCell ref="Q14:R14"/>
    <mergeCell ref="S14:T14"/>
    <mergeCell ref="U14:V14"/>
    <mergeCell ref="O13:P13"/>
    <mergeCell ref="Q13:R13"/>
    <mergeCell ref="S13:T13"/>
    <mergeCell ref="U13:V13"/>
    <mergeCell ref="Q23:R23"/>
    <mergeCell ref="U23:V23"/>
    <mergeCell ref="O20:P23"/>
    <mergeCell ref="Q18:R20"/>
    <mergeCell ref="S20:T20"/>
    <mergeCell ref="U20:V20"/>
    <mergeCell ref="Q21:R21"/>
    <mergeCell ref="S21:T21"/>
    <mergeCell ref="U21:V21"/>
    <mergeCell ref="Q22:R22"/>
    <mergeCell ref="U22:V22"/>
    <mergeCell ref="O19:P19"/>
    <mergeCell ref="S19:T19"/>
    <mergeCell ref="U19:V19"/>
    <mergeCell ref="O18:P18"/>
    <mergeCell ref="S18:T18"/>
    <mergeCell ref="U18:V18"/>
    <mergeCell ref="S22:T22"/>
    <mergeCell ref="S23:T23"/>
    <mergeCell ref="O26:P26"/>
    <mergeCell ref="Q26:R26"/>
    <mergeCell ref="S26:T26"/>
    <mergeCell ref="U26:V26"/>
    <mergeCell ref="O25:P25"/>
    <mergeCell ref="Q25:R25"/>
    <mergeCell ref="S25:T25"/>
    <mergeCell ref="U25:V25"/>
    <mergeCell ref="O24:P24"/>
    <mergeCell ref="Q24:R24"/>
    <mergeCell ref="S24:T24"/>
    <mergeCell ref="U24:V24"/>
  </mergeCell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16"/>
  <sheetViews>
    <sheetView topLeftCell="A4" workbookViewId="0">
      <selection activeCell="C28" sqref="C28"/>
    </sheetView>
  </sheetViews>
  <sheetFormatPr baseColWidth="10" defaultRowHeight="15"/>
  <cols>
    <col min="2" max="2" width="24.85546875" customWidth="1"/>
    <col min="3" max="4" width="17.85546875" bestFit="1" customWidth="1"/>
    <col min="5" max="5" width="13.140625" style="161" bestFit="1" customWidth="1"/>
    <col min="9" max="9" width="13" customWidth="1"/>
    <col min="10" max="10" width="22.5703125" bestFit="1" customWidth="1"/>
    <col min="11" max="11" width="26.5703125" bestFit="1" customWidth="1"/>
  </cols>
  <sheetData>
    <row r="2" spans="2:12">
      <c r="B2" t="s">
        <v>1657</v>
      </c>
      <c r="C2" t="s">
        <v>90</v>
      </c>
      <c r="D2" t="s">
        <v>269</v>
      </c>
      <c r="E2" t="s">
        <v>1803</v>
      </c>
      <c r="I2" s="161"/>
    </row>
    <row r="3" spans="2:12">
      <c r="B3" s="161"/>
      <c r="G3" s="277"/>
      <c r="I3" s="161"/>
    </row>
    <row r="4" spans="2:12" s="161" customFormat="1"/>
    <row r="6" spans="2:12" ht="27.75" customHeight="1">
      <c r="B6" s="307" t="s">
        <v>1730</v>
      </c>
      <c r="C6" s="307" t="s">
        <v>2176</v>
      </c>
      <c r="D6" s="307" t="s">
        <v>32</v>
      </c>
      <c r="E6" s="307" t="s">
        <v>1668</v>
      </c>
      <c r="F6" s="307" t="s">
        <v>2172</v>
      </c>
      <c r="G6" s="307" t="s">
        <v>30</v>
      </c>
      <c r="H6" s="307" t="s">
        <v>2175</v>
      </c>
      <c r="I6" s="307" t="s">
        <v>2173</v>
      </c>
      <c r="J6" s="307" t="s">
        <v>2174</v>
      </c>
      <c r="K6" s="307" t="s">
        <v>47</v>
      </c>
    </row>
    <row r="7" spans="2:12">
      <c r="B7" s="154" t="s">
        <v>316</v>
      </c>
      <c r="C7" s="10">
        <v>211395</v>
      </c>
      <c r="D7" s="154" t="s">
        <v>90</v>
      </c>
      <c r="E7" s="154" t="s">
        <v>134</v>
      </c>
      <c r="F7" s="154">
        <v>370</v>
      </c>
      <c r="G7" s="154">
        <v>3149</v>
      </c>
      <c r="H7" s="154" t="s">
        <v>189</v>
      </c>
      <c r="I7" s="154" t="s">
        <v>217</v>
      </c>
      <c r="J7" s="154" t="s">
        <v>2177</v>
      </c>
      <c r="K7" s="154" t="s">
        <v>2178</v>
      </c>
    </row>
    <row r="8" spans="2:12">
      <c r="B8" s="154" t="s">
        <v>316</v>
      </c>
      <c r="C8" s="10">
        <v>209857</v>
      </c>
      <c r="D8" s="154" t="s">
        <v>90</v>
      </c>
      <c r="E8" s="154" t="s">
        <v>2216</v>
      </c>
      <c r="F8" s="154">
        <v>280</v>
      </c>
      <c r="G8" s="154">
        <v>1199</v>
      </c>
      <c r="H8" s="154" t="s">
        <v>296</v>
      </c>
      <c r="I8" s="154" t="s">
        <v>217</v>
      </c>
      <c r="J8" s="154" t="s">
        <v>2177</v>
      </c>
      <c r="K8" s="154" t="s">
        <v>2179</v>
      </c>
    </row>
    <row r="9" spans="2:12">
      <c r="B9" s="154" t="s">
        <v>316</v>
      </c>
      <c r="C9" s="10">
        <v>210143</v>
      </c>
      <c r="D9" s="154" t="s">
        <v>169</v>
      </c>
      <c r="E9" s="154" t="s">
        <v>2216</v>
      </c>
      <c r="F9" s="154">
        <v>240</v>
      </c>
      <c r="G9" s="154">
        <v>1999</v>
      </c>
      <c r="H9" s="154" t="s">
        <v>202</v>
      </c>
      <c r="I9" s="154" t="s">
        <v>217</v>
      </c>
      <c r="J9" s="154" t="s">
        <v>2177</v>
      </c>
      <c r="K9" s="154" t="s">
        <v>2179</v>
      </c>
    </row>
    <row r="10" spans="2:12">
      <c r="B10" s="154" t="s">
        <v>1459</v>
      </c>
      <c r="C10" s="10">
        <v>211851</v>
      </c>
      <c r="D10" s="154" t="s">
        <v>257</v>
      </c>
      <c r="E10" s="154" t="s">
        <v>691</v>
      </c>
      <c r="F10" s="154">
        <v>745</v>
      </c>
      <c r="G10" s="154">
        <v>1499</v>
      </c>
      <c r="H10" s="154" t="s">
        <v>1517</v>
      </c>
      <c r="I10" s="154" t="s">
        <v>218</v>
      </c>
      <c r="J10" s="154" t="s">
        <v>2214</v>
      </c>
      <c r="K10" s="154"/>
    </row>
    <row r="11" spans="2:12">
      <c r="B11" s="154" t="s">
        <v>316</v>
      </c>
      <c r="C11" s="10">
        <v>205381</v>
      </c>
      <c r="D11" s="154" t="s">
        <v>169</v>
      </c>
      <c r="E11" s="154" t="s">
        <v>2216</v>
      </c>
      <c r="F11" s="154">
        <v>285</v>
      </c>
      <c r="G11" s="154">
        <v>1999</v>
      </c>
      <c r="H11" s="154" t="s">
        <v>124</v>
      </c>
      <c r="I11" s="154" t="s">
        <v>217</v>
      </c>
      <c r="J11" s="154" t="s">
        <v>737</v>
      </c>
      <c r="K11" s="154" t="s">
        <v>2178</v>
      </c>
    </row>
    <row r="12" spans="2:12">
      <c r="B12" s="154" t="s">
        <v>1942</v>
      </c>
      <c r="C12" s="10">
        <v>214715</v>
      </c>
      <c r="D12" s="154" t="s">
        <v>1809</v>
      </c>
      <c r="E12" s="154" t="s">
        <v>134</v>
      </c>
      <c r="F12" s="154">
        <v>450</v>
      </c>
      <c r="G12" s="154">
        <v>5975</v>
      </c>
      <c r="H12" s="154" t="s">
        <v>202</v>
      </c>
      <c r="I12" s="154" t="s">
        <v>217</v>
      </c>
      <c r="J12" s="154" t="s">
        <v>2215</v>
      </c>
      <c r="K12" s="154" t="s">
        <v>2178</v>
      </c>
    </row>
    <row r="13" spans="2:12">
      <c r="B13" s="154" t="s">
        <v>1459</v>
      </c>
      <c r="C13" s="10">
        <v>212634</v>
      </c>
      <c r="D13" s="154" t="s">
        <v>222</v>
      </c>
      <c r="E13" s="154" t="s">
        <v>501</v>
      </c>
      <c r="F13" s="154">
        <v>745</v>
      </c>
      <c r="G13" s="154">
        <v>1799</v>
      </c>
      <c r="H13" s="154" t="s">
        <v>1517</v>
      </c>
      <c r="I13" s="154" t="s">
        <v>217</v>
      </c>
      <c r="J13" s="154" t="s">
        <v>2215</v>
      </c>
      <c r="K13" s="154" t="s">
        <v>2178</v>
      </c>
    </row>
    <row r="14" spans="2:12">
      <c r="B14" s="154" t="s">
        <v>316</v>
      </c>
      <c r="C14" s="10">
        <v>214381</v>
      </c>
      <c r="D14" s="154" t="s">
        <v>249</v>
      </c>
      <c r="E14" s="154" t="s">
        <v>2216</v>
      </c>
      <c r="F14" s="154">
        <v>380</v>
      </c>
      <c r="G14" s="154">
        <v>2699</v>
      </c>
      <c r="H14" s="154" t="s">
        <v>202</v>
      </c>
      <c r="I14" s="154" t="s">
        <v>217</v>
      </c>
      <c r="J14" s="154" t="s">
        <v>2177</v>
      </c>
      <c r="K14" s="154" t="s">
        <v>2217</v>
      </c>
      <c r="L14" s="308"/>
    </row>
    <row r="15" spans="2:12">
      <c r="B15" s="154" t="s">
        <v>1942</v>
      </c>
      <c r="C15" s="10">
        <v>219484</v>
      </c>
      <c r="D15" s="154" t="s">
        <v>2189</v>
      </c>
      <c r="E15" s="154" t="s">
        <v>134</v>
      </c>
      <c r="F15" s="154">
        <v>238</v>
      </c>
      <c r="G15" s="154">
        <v>1599</v>
      </c>
      <c r="H15" s="154" t="s">
        <v>780</v>
      </c>
      <c r="I15" s="154" t="s">
        <v>217</v>
      </c>
      <c r="J15" s="154" t="s">
        <v>2218</v>
      </c>
      <c r="K15" s="154"/>
    </row>
    <row r="16" spans="2:12">
      <c r="F16">
        <f>SUM(F7:F15)</f>
        <v>3733</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X90"/>
  <sheetViews>
    <sheetView topLeftCell="A16" zoomScale="60" zoomScaleNormal="60" workbookViewId="0">
      <selection activeCell="M18" sqref="M18:X18"/>
    </sheetView>
  </sheetViews>
  <sheetFormatPr baseColWidth="10" defaultRowHeight="15"/>
  <cols>
    <col min="1" max="1" width="4" customWidth="1"/>
    <col min="2" max="2" width="25" customWidth="1"/>
    <col min="3" max="3" width="13.140625" customWidth="1"/>
    <col min="4" max="4" width="15.42578125" customWidth="1"/>
    <col min="5" max="5" width="10.7109375" customWidth="1"/>
    <col min="6" max="6" width="17" customWidth="1"/>
    <col min="9" max="9" width="18.5703125" customWidth="1"/>
    <col min="10" max="10" width="19.5703125" customWidth="1"/>
    <col min="11" max="11" width="19.5703125" style="161" customWidth="1"/>
    <col min="12" max="12" width="7.140625" customWidth="1"/>
    <col min="13" max="13" width="21.85546875" customWidth="1"/>
    <col min="17" max="17" width="13.140625" customWidth="1"/>
    <col min="18" max="18" width="8.5703125" customWidth="1"/>
    <col min="19" max="19" width="17.42578125" customWidth="1"/>
    <col min="22" max="22" width="17.140625" customWidth="1"/>
  </cols>
  <sheetData>
    <row r="2" spans="2:16">
      <c r="B2" s="187" t="s">
        <v>1424</v>
      </c>
      <c r="C2" s="185"/>
    </row>
    <row r="3" spans="2:16" ht="6.75" customHeight="1"/>
    <row r="4" spans="2:16">
      <c r="B4" t="s">
        <v>1755</v>
      </c>
    </row>
    <row r="5" spans="2:16">
      <c r="B5" t="s">
        <v>1443</v>
      </c>
    </row>
    <row r="6" spans="2:16" s="161" customFormat="1">
      <c r="B6" s="161" t="s">
        <v>1444</v>
      </c>
    </row>
    <row r="7" spans="2:16" s="161" customFormat="1">
      <c r="B7" s="161" t="s">
        <v>1756</v>
      </c>
    </row>
    <row r="8" spans="2:16" s="161" customFormat="1" hidden="1"/>
    <row r="9" spans="2:16" s="161" customFormat="1"/>
    <row r="10" spans="2:16" s="161" customFormat="1">
      <c r="B10" s="187" t="s">
        <v>1442</v>
      </c>
    </row>
    <row r="11" spans="2:16" s="161" customFormat="1"/>
    <row r="12" spans="2:16" s="161" customFormat="1" ht="15" hidden="1" customHeight="1">
      <c r="B12" s="477" t="s">
        <v>1757</v>
      </c>
      <c r="C12" s="478"/>
      <c r="D12" s="478"/>
      <c r="E12" s="478"/>
      <c r="F12" s="478"/>
      <c r="G12" s="478"/>
      <c r="H12" s="478"/>
      <c r="I12" s="478"/>
      <c r="J12" s="478"/>
      <c r="K12" s="300"/>
      <c r="L12" s="200"/>
    </row>
    <row r="13" spans="2:16" s="161" customFormat="1" ht="50.25" customHeight="1">
      <c r="B13" s="479" t="s">
        <v>2150</v>
      </c>
      <c r="C13" s="479"/>
      <c r="D13" s="479"/>
      <c r="E13" s="479"/>
      <c r="F13" s="479"/>
      <c r="G13" s="479"/>
      <c r="H13" s="479"/>
      <c r="I13" s="479"/>
      <c r="J13" s="479"/>
      <c r="K13" s="479"/>
      <c r="L13" s="479"/>
      <c r="M13" s="479"/>
      <c r="N13" s="479"/>
      <c r="O13" s="479"/>
      <c r="P13" s="186"/>
    </row>
    <row r="14" spans="2:16" s="161" customFormat="1" ht="41.25" customHeight="1">
      <c r="B14" s="485" t="s">
        <v>2151</v>
      </c>
      <c r="C14" s="485"/>
      <c r="D14" s="485"/>
      <c r="E14" s="485"/>
      <c r="F14" s="485"/>
      <c r="G14" s="485"/>
      <c r="H14" s="485"/>
      <c r="I14" s="485"/>
    </row>
    <row r="15" spans="2:16" s="161" customFormat="1"/>
    <row r="16" spans="2:16" s="161" customFormat="1"/>
    <row r="17" spans="2:24" ht="15.75" thickBot="1"/>
    <row r="18" spans="2:24" ht="45">
      <c r="B18" s="243" t="s">
        <v>1429</v>
      </c>
      <c r="C18" s="480" t="s">
        <v>1428</v>
      </c>
      <c r="D18" s="480"/>
      <c r="E18" s="480"/>
      <c r="F18" s="480"/>
      <c r="G18" s="480"/>
      <c r="H18" s="480"/>
      <c r="I18" s="481"/>
      <c r="M18" s="243" t="s">
        <v>1758</v>
      </c>
      <c r="N18" s="480" t="s">
        <v>1425</v>
      </c>
      <c r="O18" s="480"/>
      <c r="P18" s="480"/>
      <c r="Q18" s="480"/>
      <c r="R18" s="480"/>
      <c r="S18" s="480"/>
      <c r="T18" s="480"/>
      <c r="U18" s="480"/>
      <c r="V18" s="480"/>
      <c r="W18" s="480"/>
      <c r="X18" s="481"/>
    </row>
    <row r="19" spans="2:24">
      <c r="B19" s="245"/>
      <c r="C19" s="246"/>
      <c r="D19" s="246"/>
      <c r="E19" s="246"/>
      <c r="F19" s="246"/>
      <c r="G19" s="246"/>
      <c r="H19" s="246"/>
      <c r="I19" s="247"/>
      <c r="M19" s="245"/>
      <c r="N19" s="246"/>
      <c r="O19" s="246"/>
      <c r="P19" s="246"/>
      <c r="Q19" s="246"/>
      <c r="R19" s="246"/>
      <c r="S19" s="246"/>
      <c r="T19" s="246"/>
      <c r="U19" s="246"/>
      <c r="V19" s="246"/>
      <c r="W19" s="246"/>
      <c r="X19" s="247"/>
    </row>
    <row r="20" spans="2:24">
      <c r="B20" s="245"/>
      <c r="C20" s="246"/>
      <c r="D20" s="246"/>
      <c r="E20" s="246"/>
      <c r="F20" s="246"/>
      <c r="G20" s="246"/>
      <c r="H20" s="246"/>
      <c r="I20" s="247"/>
      <c r="M20" s="245"/>
      <c r="N20" s="246"/>
      <c r="O20" s="246"/>
      <c r="P20" s="246"/>
      <c r="Q20" s="246"/>
      <c r="R20" s="246"/>
      <c r="S20" s="246"/>
      <c r="T20" s="246"/>
      <c r="U20" s="246"/>
      <c r="V20" s="246"/>
      <c r="W20" s="246"/>
      <c r="X20" s="247"/>
    </row>
    <row r="21" spans="2:24">
      <c r="B21" s="245"/>
      <c r="C21" s="246"/>
      <c r="D21" s="246"/>
      <c r="E21" s="246"/>
      <c r="F21" s="246"/>
      <c r="G21" s="246"/>
      <c r="H21" s="246"/>
      <c r="I21" s="247"/>
      <c r="M21" s="245"/>
      <c r="N21" s="246"/>
      <c r="O21" s="246"/>
      <c r="P21" s="246"/>
      <c r="Q21" s="246"/>
      <c r="R21" s="246"/>
      <c r="S21" s="246"/>
      <c r="T21" s="246"/>
      <c r="U21" s="246"/>
      <c r="V21" s="246"/>
      <c r="W21" s="246"/>
      <c r="X21" s="247"/>
    </row>
    <row r="22" spans="2:24">
      <c r="B22" s="245"/>
      <c r="C22" s="246"/>
      <c r="D22" s="246"/>
      <c r="E22" s="246"/>
      <c r="F22" s="246"/>
      <c r="G22" s="246"/>
      <c r="H22" s="246"/>
      <c r="I22" s="247"/>
      <c r="M22" s="245"/>
      <c r="N22" s="246"/>
      <c r="O22" s="246"/>
      <c r="P22" s="246"/>
      <c r="Q22" s="246"/>
      <c r="R22" s="246"/>
      <c r="S22" s="246"/>
      <c r="T22" s="246"/>
      <c r="U22" s="246"/>
      <c r="V22" s="246"/>
      <c r="W22" s="246"/>
      <c r="X22" s="247"/>
    </row>
    <row r="23" spans="2:24">
      <c r="B23" s="245"/>
      <c r="C23" s="246"/>
      <c r="D23" s="246"/>
      <c r="E23" s="246"/>
      <c r="F23" s="246"/>
      <c r="G23" s="246"/>
      <c r="H23" s="246"/>
      <c r="I23" s="247"/>
      <c r="M23" s="245"/>
      <c r="N23" s="246"/>
      <c r="O23" s="246"/>
      <c r="P23" s="246"/>
      <c r="Q23" s="246"/>
      <c r="R23" s="246"/>
      <c r="S23" s="246"/>
      <c r="T23" s="246"/>
      <c r="U23" s="246"/>
      <c r="V23" s="246"/>
      <c r="W23" s="246"/>
      <c r="X23" s="247"/>
    </row>
    <row r="24" spans="2:24">
      <c r="B24" s="245"/>
      <c r="C24" s="246"/>
      <c r="D24" s="246"/>
      <c r="E24" s="246"/>
      <c r="F24" s="246"/>
      <c r="G24" s="246"/>
      <c r="H24" s="246"/>
      <c r="I24" s="247"/>
      <c r="M24" s="245"/>
      <c r="N24" s="246"/>
      <c r="O24" s="246"/>
      <c r="P24" s="246"/>
      <c r="Q24" s="246"/>
      <c r="R24" s="246"/>
      <c r="S24" s="246"/>
      <c r="T24" s="246"/>
      <c r="U24" s="246"/>
      <c r="V24" s="246"/>
      <c r="W24" s="246"/>
      <c r="X24" s="247"/>
    </row>
    <row r="25" spans="2:24">
      <c r="B25" s="245"/>
      <c r="C25" s="246"/>
      <c r="D25" s="246"/>
      <c r="E25" s="246"/>
      <c r="F25" s="246"/>
      <c r="G25" s="246"/>
      <c r="H25" s="246"/>
      <c r="I25" s="247"/>
      <c r="M25" s="245"/>
      <c r="N25" s="246"/>
      <c r="O25" s="246"/>
      <c r="P25" s="246"/>
      <c r="Q25" s="246"/>
      <c r="R25" s="246"/>
      <c r="S25" s="246"/>
      <c r="T25" s="246"/>
      <c r="U25" s="246"/>
      <c r="V25" s="246"/>
      <c r="W25" s="246"/>
      <c r="X25" s="247"/>
    </row>
    <row r="26" spans="2:24">
      <c r="B26" s="245"/>
      <c r="C26" s="246"/>
      <c r="D26" s="246"/>
      <c r="E26" s="246"/>
      <c r="F26" s="246"/>
      <c r="G26" s="246"/>
      <c r="H26" s="246"/>
      <c r="I26" s="247"/>
      <c r="M26" s="245"/>
      <c r="N26" s="246"/>
      <c r="O26" s="246"/>
      <c r="P26" s="246"/>
      <c r="Q26" s="246"/>
      <c r="R26" s="246"/>
      <c r="S26" s="246"/>
      <c r="T26" s="246"/>
      <c r="U26" s="246"/>
      <c r="V26" s="246"/>
      <c r="W26" s="246"/>
      <c r="X26" s="247"/>
    </row>
    <row r="27" spans="2:24">
      <c r="B27" s="245"/>
      <c r="C27" s="246"/>
      <c r="D27" s="246"/>
      <c r="E27" s="246"/>
      <c r="F27" s="246"/>
      <c r="G27" s="246"/>
      <c r="H27" s="246"/>
      <c r="I27" s="247"/>
      <c r="M27" s="245"/>
      <c r="N27" s="246"/>
      <c r="O27" s="246"/>
      <c r="P27" s="246"/>
      <c r="Q27" s="246"/>
      <c r="R27" s="246"/>
      <c r="S27" s="246"/>
      <c r="T27" s="246"/>
      <c r="U27" s="246"/>
      <c r="V27" s="246"/>
      <c r="W27" s="246"/>
      <c r="X27" s="247"/>
    </row>
    <row r="28" spans="2:24">
      <c r="B28" s="245"/>
      <c r="C28" s="246"/>
      <c r="D28" s="246"/>
      <c r="E28" s="246"/>
      <c r="F28" s="246"/>
      <c r="G28" s="246"/>
      <c r="H28" s="246"/>
      <c r="I28" s="247"/>
      <c r="M28" s="245"/>
      <c r="N28" s="246"/>
      <c r="O28" s="246"/>
      <c r="P28" s="246"/>
      <c r="Q28" s="246"/>
      <c r="R28" s="246"/>
      <c r="S28" s="246"/>
      <c r="T28" s="246"/>
      <c r="U28" s="246"/>
      <c r="V28" s="246"/>
      <c r="W28" s="246"/>
      <c r="X28" s="247"/>
    </row>
    <row r="29" spans="2:24">
      <c r="B29" s="245"/>
      <c r="C29" s="246"/>
      <c r="D29" s="246"/>
      <c r="E29" s="246"/>
      <c r="F29" s="246"/>
      <c r="G29" s="246"/>
      <c r="H29" s="246"/>
      <c r="I29" s="247"/>
      <c r="M29" s="245"/>
      <c r="N29" s="246"/>
      <c r="O29" s="246"/>
      <c r="P29" s="246"/>
      <c r="Q29" s="246"/>
      <c r="R29" s="246"/>
      <c r="S29" s="246"/>
      <c r="T29" s="246"/>
      <c r="U29" s="246"/>
      <c r="V29" s="246"/>
      <c r="W29" s="246"/>
      <c r="X29" s="247"/>
    </row>
    <row r="30" spans="2:24">
      <c r="B30" s="245"/>
      <c r="C30" s="246"/>
      <c r="D30" s="246"/>
      <c r="E30" s="246"/>
      <c r="F30" s="246"/>
      <c r="G30" s="246"/>
      <c r="H30" s="246"/>
      <c r="I30" s="247"/>
      <c r="M30" s="245"/>
      <c r="N30" s="246"/>
      <c r="O30" s="246"/>
      <c r="P30" s="246"/>
      <c r="Q30" s="246"/>
      <c r="R30" s="246"/>
      <c r="S30" s="246"/>
      <c r="T30" s="246"/>
      <c r="U30" s="246"/>
      <c r="V30" s="246"/>
      <c r="W30" s="246"/>
      <c r="X30" s="247"/>
    </row>
    <row r="31" spans="2:24">
      <c r="B31" s="245"/>
      <c r="C31" s="246"/>
      <c r="D31" s="246"/>
      <c r="E31" s="246"/>
      <c r="F31" s="246"/>
      <c r="G31" s="246"/>
      <c r="H31" s="246"/>
      <c r="I31" s="247"/>
      <c r="M31" s="245"/>
      <c r="N31" s="246"/>
      <c r="O31" s="246"/>
      <c r="P31" s="246"/>
      <c r="Q31" s="246"/>
      <c r="R31" s="246"/>
      <c r="S31" s="246"/>
      <c r="T31" s="246"/>
      <c r="U31" s="246"/>
      <c r="V31" s="246"/>
      <c r="W31" s="246"/>
      <c r="X31" s="247"/>
    </row>
    <row r="32" spans="2:24">
      <c r="B32" s="245"/>
      <c r="C32" s="246"/>
      <c r="D32" s="246"/>
      <c r="E32" s="246"/>
      <c r="F32" s="246"/>
      <c r="G32" s="246"/>
      <c r="H32" s="246"/>
      <c r="I32" s="247"/>
      <c r="M32" s="245"/>
      <c r="N32" s="246"/>
      <c r="O32" s="246"/>
      <c r="P32" s="246"/>
      <c r="Q32" s="246"/>
      <c r="R32" s="246"/>
      <c r="S32" s="246"/>
      <c r="T32" s="246"/>
      <c r="U32" s="246"/>
      <c r="V32" s="246"/>
      <c r="W32" s="246"/>
      <c r="X32" s="247"/>
    </row>
    <row r="33" spans="2:24">
      <c r="B33" s="245"/>
      <c r="C33" s="246"/>
      <c r="D33" s="246"/>
      <c r="E33" s="246"/>
      <c r="F33" s="246"/>
      <c r="G33" s="246"/>
      <c r="H33" s="246"/>
      <c r="I33" s="247"/>
      <c r="M33" s="245"/>
      <c r="N33" s="246"/>
      <c r="O33" s="246"/>
      <c r="P33" s="246"/>
      <c r="Q33" s="246"/>
      <c r="R33" s="246"/>
      <c r="S33" s="246"/>
      <c r="T33" s="246"/>
      <c r="U33" s="246"/>
      <c r="V33" s="246"/>
      <c r="W33" s="246"/>
      <c r="X33" s="247"/>
    </row>
    <row r="34" spans="2:24">
      <c r="B34" s="245"/>
      <c r="C34" s="246"/>
      <c r="D34" s="246"/>
      <c r="E34" s="246"/>
      <c r="F34" s="246"/>
      <c r="G34" s="246"/>
      <c r="H34" s="246"/>
      <c r="I34" s="247"/>
      <c r="M34" s="245"/>
      <c r="N34" s="246"/>
      <c r="O34" s="246"/>
      <c r="P34" s="246"/>
      <c r="Q34" s="246"/>
      <c r="R34" s="246"/>
      <c r="S34" s="246"/>
      <c r="T34" s="246"/>
      <c r="U34" s="246"/>
      <c r="V34" s="246"/>
      <c r="W34" s="246"/>
      <c r="X34" s="247"/>
    </row>
    <row r="35" spans="2:24">
      <c r="B35" s="245"/>
      <c r="C35" s="246"/>
      <c r="D35" s="246"/>
      <c r="E35" s="246"/>
      <c r="F35" s="246"/>
      <c r="G35" s="246"/>
      <c r="H35" s="246"/>
      <c r="I35" s="247"/>
      <c r="M35" s="245"/>
      <c r="N35" s="246"/>
      <c r="O35" s="246"/>
      <c r="P35" s="246"/>
      <c r="Q35" s="246"/>
      <c r="R35" s="246"/>
      <c r="S35" s="246"/>
      <c r="T35" s="246"/>
      <c r="U35" s="246"/>
      <c r="V35" s="246"/>
      <c r="W35" s="246"/>
      <c r="X35" s="247"/>
    </row>
    <row r="36" spans="2:24" ht="15.75" thickBot="1">
      <c r="B36" s="250"/>
      <c r="C36" s="248"/>
      <c r="D36" s="248"/>
      <c r="E36" s="248"/>
      <c r="F36" s="248"/>
      <c r="G36" s="248"/>
      <c r="H36" s="248"/>
      <c r="I36" s="249"/>
      <c r="M36" s="245"/>
      <c r="N36" s="246"/>
      <c r="O36" s="246"/>
      <c r="P36" s="246"/>
      <c r="Q36" s="246"/>
      <c r="R36" s="246"/>
      <c r="S36" s="246"/>
      <c r="T36" s="246"/>
      <c r="U36" s="246"/>
      <c r="V36" s="246"/>
      <c r="W36" s="246"/>
      <c r="X36" s="247"/>
    </row>
    <row r="37" spans="2:24" ht="15.75" thickBot="1">
      <c r="M37" s="245"/>
      <c r="N37" s="246"/>
      <c r="O37" s="246"/>
      <c r="P37" s="246"/>
      <c r="Q37" s="246"/>
      <c r="R37" s="246"/>
      <c r="S37" s="246"/>
      <c r="T37" s="246"/>
      <c r="U37" s="246"/>
      <c r="V37" s="246"/>
      <c r="W37" s="246"/>
      <c r="X37" s="247"/>
    </row>
    <row r="38" spans="2:24">
      <c r="B38" s="482" t="s">
        <v>1441</v>
      </c>
      <c r="C38" s="480" t="s">
        <v>1759</v>
      </c>
      <c r="D38" s="480"/>
      <c r="E38" s="480"/>
      <c r="F38" s="480"/>
      <c r="G38" s="480"/>
      <c r="H38" s="480"/>
      <c r="I38" s="244"/>
      <c r="M38" s="245"/>
      <c r="N38" s="246"/>
      <c r="O38" s="246"/>
      <c r="P38" s="246"/>
      <c r="Q38" s="246"/>
      <c r="R38" s="246"/>
      <c r="S38" s="246"/>
      <c r="T38" s="246"/>
      <c r="U38" s="246"/>
      <c r="V38" s="246"/>
      <c r="W38" s="246"/>
      <c r="X38" s="247"/>
    </row>
    <row r="39" spans="2:24">
      <c r="B39" s="483"/>
      <c r="C39" s="484"/>
      <c r="D39" s="484"/>
      <c r="E39" s="484"/>
      <c r="F39" s="484"/>
      <c r="G39" s="484"/>
      <c r="H39" s="484"/>
      <c r="I39" s="247"/>
      <c r="M39" s="245"/>
      <c r="N39" s="246"/>
      <c r="O39" s="246"/>
      <c r="P39" s="246"/>
      <c r="Q39" s="246"/>
      <c r="R39" s="246"/>
      <c r="S39" s="246"/>
      <c r="T39" s="246"/>
      <c r="U39" s="246"/>
      <c r="V39" s="246"/>
      <c r="W39" s="246"/>
      <c r="X39" s="247"/>
    </row>
    <row r="40" spans="2:24">
      <c r="B40" s="245"/>
      <c r="C40" s="246"/>
      <c r="D40" s="246"/>
      <c r="E40" s="246"/>
      <c r="F40" s="246"/>
      <c r="G40" s="246"/>
      <c r="H40" s="246"/>
      <c r="I40" s="247"/>
      <c r="M40" s="245"/>
      <c r="N40" s="246"/>
      <c r="O40" s="246"/>
      <c r="P40" s="246"/>
      <c r="Q40" s="246"/>
      <c r="R40" s="246"/>
      <c r="S40" s="246"/>
      <c r="T40" s="246"/>
      <c r="U40" s="246"/>
      <c r="V40" s="246"/>
      <c r="W40" s="246"/>
      <c r="X40" s="247"/>
    </row>
    <row r="41" spans="2:24" ht="33.75" customHeight="1">
      <c r="B41" s="240" t="s">
        <v>1760</v>
      </c>
      <c r="C41" s="241" t="s">
        <v>1430</v>
      </c>
      <c r="D41" s="241"/>
      <c r="E41" s="241"/>
      <c r="F41" s="241"/>
      <c r="H41" s="246"/>
      <c r="I41" s="247"/>
      <c r="M41" s="245"/>
      <c r="N41" s="246"/>
      <c r="O41" s="246"/>
      <c r="P41" s="246"/>
      <c r="Q41" s="246"/>
      <c r="R41" s="246"/>
      <c r="S41" s="246"/>
      <c r="T41" s="246"/>
      <c r="U41" s="246"/>
      <c r="V41" s="246"/>
      <c r="W41" s="246"/>
      <c r="X41" s="247"/>
    </row>
    <row r="42" spans="2:24" ht="29.25" customHeight="1">
      <c r="B42" s="240"/>
      <c r="C42" s="188" t="s">
        <v>311</v>
      </c>
      <c r="D42" s="188" t="s">
        <v>1761</v>
      </c>
      <c r="E42" s="188" t="s">
        <v>407</v>
      </c>
      <c r="F42" s="191" t="s">
        <v>1762</v>
      </c>
      <c r="H42" s="246"/>
      <c r="I42" s="247"/>
      <c r="M42" s="245"/>
      <c r="N42" s="246"/>
      <c r="O42" s="246"/>
      <c r="P42" s="246"/>
      <c r="Q42" s="246"/>
      <c r="R42" s="246"/>
      <c r="S42" s="246"/>
      <c r="T42" s="246"/>
      <c r="U42" s="246"/>
      <c r="V42" s="246"/>
      <c r="W42" s="246"/>
      <c r="X42" s="247"/>
    </row>
    <row r="43" spans="2:24">
      <c r="B43" s="189" t="s">
        <v>1434</v>
      </c>
      <c r="C43" s="189">
        <v>231</v>
      </c>
      <c r="D43" s="154"/>
      <c r="E43" s="154"/>
      <c r="F43" s="242">
        <v>3</v>
      </c>
      <c r="H43" s="246"/>
      <c r="I43" s="247"/>
      <c r="M43" s="245"/>
      <c r="N43" s="246"/>
      <c r="O43" s="246"/>
      <c r="P43" s="246"/>
      <c r="Q43" s="246"/>
      <c r="R43" s="246"/>
      <c r="S43" s="246"/>
      <c r="T43" s="246"/>
      <c r="U43" s="246"/>
      <c r="V43" s="246"/>
      <c r="W43" s="246"/>
      <c r="X43" s="247"/>
    </row>
    <row r="44" spans="2:24">
      <c r="B44" s="189" t="s">
        <v>1431</v>
      </c>
      <c r="C44" s="189">
        <v>217</v>
      </c>
      <c r="D44" s="154"/>
      <c r="E44" s="154"/>
      <c r="F44" s="238"/>
      <c r="H44" s="246"/>
      <c r="I44" s="247"/>
      <c r="M44" s="245"/>
      <c r="N44" s="246"/>
      <c r="O44" s="246"/>
      <c r="P44" s="246"/>
      <c r="Q44" s="246"/>
      <c r="R44" s="246"/>
      <c r="S44" s="246"/>
      <c r="T44" s="246"/>
      <c r="U44" s="246"/>
      <c r="V44" s="246"/>
      <c r="W44" s="246"/>
      <c r="X44" s="247"/>
    </row>
    <row r="45" spans="2:24" ht="15.75" thickBot="1">
      <c r="B45" s="192" t="s">
        <v>1435</v>
      </c>
      <c r="C45" s="192">
        <v>4</v>
      </c>
      <c r="D45" s="193"/>
      <c r="E45" s="193"/>
      <c r="F45" s="239"/>
      <c r="H45" s="246"/>
      <c r="I45" s="247"/>
      <c r="M45" s="245"/>
      <c r="N45" s="246"/>
      <c r="O45" s="246"/>
      <c r="P45" s="246"/>
      <c r="Q45" s="246"/>
      <c r="R45" s="246"/>
      <c r="S45" s="246"/>
      <c r="T45" s="246"/>
      <c r="U45" s="246"/>
      <c r="V45" s="246"/>
      <c r="W45" s="246"/>
      <c r="X45" s="247"/>
    </row>
    <row r="46" spans="2:24">
      <c r="B46" s="194" t="s">
        <v>1432</v>
      </c>
      <c r="C46" s="194"/>
      <c r="D46" s="194">
        <v>224</v>
      </c>
      <c r="E46" s="159"/>
      <c r="F46" s="237">
        <v>2</v>
      </c>
      <c r="H46" s="246"/>
      <c r="I46" s="247"/>
      <c r="M46" s="245"/>
      <c r="N46" s="246"/>
      <c r="O46" s="246"/>
      <c r="P46" s="246"/>
      <c r="Q46" s="246"/>
      <c r="R46" s="246"/>
      <c r="S46" s="246"/>
      <c r="T46" s="246"/>
      <c r="U46" s="246"/>
      <c r="V46" s="246"/>
      <c r="W46" s="246"/>
      <c r="X46" s="247"/>
    </row>
    <row r="47" spans="2:24" ht="15.75" thickBot="1">
      <c r="B47" s="195" t="s">
        <v>1436</v>
      </c>
      <c r="C47" s="195"/>
      <c r="D47" s="195">
        <v>29</v>
      </c>
      <c r="E47" s="193"/>
      <c r="F47" s="239"/>
      <c r="H47" s="246"/>
      <c r="I47" s="247"/>
      <c r="M47" s="245"/>
      <c r="N47" s="246"/>
      <c r="O47" s="246"/>
      <c r="P47" s="246"/>
      <c r="Q47" s="246"/>
      <c r="R47" s="246"/>
      <c r="S47" s="246"/>
      <c r="T47" s="246"/>
      <c r="U47" s="246"/>
      <c r="V47" s="246"/>
      <c r="W47" s="246"/>
      <c r="X47" s="247"/>
    </row>
    <row r="48" spans="2:24">
      <c r="B48" s="196" t="s">
        <v>1433</v>
      </c>
      <c r="C48" s="196"/>
      <c r="D48" s="196"/>
      <c r="E48" s="196">
        <v>362</v>
      </c>
      <c r="F48" s="237">
        <v>4</v>
      </c>
      <c r="H48" s="246"/>
      <c r="I48" s="247"/>
      <c r="M48" s="245"/>
      <c r="N48" s="246"/>
      <c r="O48" s="246"/>
      <c r="P48" s="246"/>
      <c r="Q48" s="246"/>
      <c r="R48" s="246"/>
      <c r="S48" s="246"/>
      <c r="T48" s="246"/>
      <c r="U48" s="246"/>
      <c r="V48" s="246"/>
      <c r="W48" s="246"/>
      <c r="X48" s="247"/>
    </row>
    <row r="49" spans="2:24">
      <c r="B49" s="190" t="s">
        <v>1437</v>
      </c>
      <c r="C49" s="190"/>
      <c r="D49" s="190"/>
      <c r="E49" s="190">
        <v>3</v>
      </c>
      <c r="F49" s="238"/>
      <c r="H49" s="246"/>
      <c r="I49" s="247"/>
      <c r="M49" s="245"/>
      <c r="N49" s="246"/>
      <c r="O49" s="246"/>
      <c r="P49" s="246"/>
      <c r="Q49" s="246"/>
      <c r="R49" s="246"/>
      <c r="S49" s="246"/>
      <c r="T49" s="246"/>
      <c r="U49" s="246"/>
      <c r="V49" s="246"/>
      <c r="W49" s="246"/>
      <c r="X49" s="247"/>
    </row>
    <row r="50" spans="2:24">
      <c r="B50" s="190" t="s">
        <v>1438</v>
      </c>
      <c r="C50" s="190"/>
      <c r="D50" s="190"/>
      <c r="E50" s="190">
        <v>1</v>
      </c>
      <c r="F50" s="238"/>
      <c r="H50" s="246"/>
      <c r="I50" s="247"/>
      <c r="M50" s="245"/>
      <c r="N50" s="246"/>
      <c r="O50" s="246"/>
      <c r="P50" s="246"/>
      <c r="Q50" s="246"/>
      <c r="R50" s="246"/>
      <c r="S50" s="246"/>
      <c r="T50" s="246"/>
      <c r="U50" s="246"/>
      <c r="V50" s="246"/>
      <c r="W50" s="246"/>
      <c r="X50" s="247"/>
    </row>
    <row r="51" spans="2:24" ht="15.75" thickBot="1">
      <c r="B51" s="197" t="s">
        <v>1439</v>
      </c>
      <c r="C51" s="197"/>
      <c r="D51" s="197"/>
      <c r="E51" s="197">
        <v>5</v>
      </c>
      <c r="F51" s="239"/>
      <c r="H51" s="246"/>
      <c r="I51" s="247"/>
      <c r="M51" s="250"/>
      <c r="N51" s="248"/>
      <c r="O51" s="248"/>
      <c r="P51" s="248"/>
      <c r="Q51" s="248"/>
      <c r="R51" s="248"/>
      <c r="S51" s="248"/>
      <c r="T51" s="248"/>
      <c r="U51" s="248"/>
      <c r="V51" s="248"/>
      <c r="W51" s="248"/>
      <c r="X51" s="249"/>
    </row>
    <row r="52" spans="2:24">
      <c r="B52" s="158" t="s">
        <v>1440</v>
      </c>
      <c r="C52" s="199">
        <v>452</v>
      </c>
      <c r="D52" s="199">
        <v>253</v>
      </c>
      <c r="E52" s="199">
        <v>371</v>
      </c>
      <c r="F52" s="198">
        <v>9</v>
      </c>
      <c r="H52" s="246"/>
      <c r="I52" s="247"/>
    </row>
    <row r="53" spans="2:24" ht="15.75" thickBot="1">
      <c r="B53" s="250"/>
      <c r="C53" s="248"/>
      <c r="D53" s="248"/>
      <c r="E53" s="248"/>
      <c r="F53" s="248"/>
      <c r="G53" s="248"/>
      <c r="H53" s="248"/>
      <c r="I53" s="249"/>
    </row>
    <row r="56" spans="2:24">
      <c r="B56" s="187" t="s">
        <v>1766</v>
      </c>
      <c r="E56" s="476" t="s">
        <v>1769</v>
      </c>
      <c r="F56" s="476"/>
      <c r="G56" s="476"/>
      <c r="I56" s="187" t="s">
        <v>1767</v>
      </c>
      <c r="N56" s="475" t="s">
        <v>1765</v>
      </c>
      <c r="O56" s="475"/>
      <c r="P56" s="475"/>
      <c r="Q56" s="475"/>
    </row>
    <row r="57" spans="2:24" s="161" customFormat="1">
      <c r="B57" s="254"/>
    </row>
    <row r="58" spans="2:24" s="161" customFormat="1">
      <c r="B58" s="254"/>
    </row>
    <row r="59" spans="2:24">
      <c r="B59" s="255" t="s">
        <v>1715</v>
      </c>
      <c r="E59" t="s">
        <v>1770</v>
      </c>
      <c r="I59" t="s">
        <v>1666</v>
      </c>
      <c r="N59" s="187" t="s">
        <v>1763</v>
      </c>
      <c r="O59" s="161"/>
      <c r="Q59" s="187" t="s">
        <v>1764</v>
      </c>
    </row>
    <row r="60" spans="2:24">
      <c r="B60" s="268" t="s">
        <v>1716</v>
      </c>
      <c r="E60" s="269" t="s">
        <v>43</v>
      </c>
      <c r="I60" t="s">
        <v>1710</v>
      </c>
      <c r="N60" s="161"/>
      <c r="O60" s="161"/>
    </row>
    <row r="61" spans="2:24">
      <c r="B61" s="268" t="s">
        <v>1717</v>
      </c>
      <c r="E61" s="161" t="s">
        <v>1771</v>
      </c>
      <c r="I61" t="s">
        <v>1714</v>
      </c>
      <c r="N61" s="161" t="s">
        <v>1770</v>
      </c>
      <c r="O61" s="161"/>
      <c r="Q61" s="161" t="s">
        <v>1748</v>
      </c>
    </row>
    <row r="62" spans="2:24">
      <c r="B62" s="256" t="s">
        <v>1710</v>
      </c>
      <c r="E62" s="161" t="s">
        <v>1772</v>
      </c>
      <c r="I62" t="s">
        <v>1668</v>
      </c>
      <c r="N62" s="161" t="s">
        <v>32</v>
      </c>
      <c r="O62" s="161"/>
      <c r="Q62" s="161" t="s">
        <v>1668</v>
      </c>
    </row>
    <row r="63" spans="2:24">
      <c r="B63" s="268" t="s">
        <v>1718</v>
      </c>
      <c r="E63" t="s">
        <v>1773</v>
      </c>
      <c r="I63" s="161" t="s">
        <v>1748</v>
      </c>
      <c r="N63" s="161" t="s">
        <v>1728</v>
      </c>
      <c r="O63" s="161"/>
      <c r="Q63" s="161" t="s">
        <v>46</v>
      </c>
    </row>
    <row r="64" spans="2:24">
      <c r="B64" s="268" t="s">
        <v>607</v>
      </c>
      <c r="E64" t="s">
        <v>208</v>
      </c>
      <c r="I64" s="161" t="s">
        <v>1668</v>
      </c>
      <c r="N64" s="161" t="s">
        <v>1664</v>
      </c>
      <c r="O64" s="161"/>
      <c r="Q64" s="161" t="s">
        <v>28</v>
      </c>
    </row>
    <row r="65" spans="2:19" s="161" customFormat="1">
      <c r="B65" s="256" t="s">
        <v>1711</v>
      </c>
      <c r="E65" s="161" t="s">
        <v>30</v>
      </c>
      <c r="I65" t="s">
        <v>46</v>
      </c>
      <c r="N65" s="161" t="s">
        <v>1746</v>
      </c>
      <c r="Q65" s="161" t="s">
        <v>32</v>
      </c>
    </row>
    <row r="66" spans="2:19">
      <c r="B66" s="256" t="s">
        <v>1668</v>
      </c>
      <c r="E66" t="s">
        <v>1774</v>
      </c>
      <c r="I66" t="s">
        <v>28</v>
      </c>
      <c r="N66" s="161"/>
      <c r="O66" s="161"/>
      <c r="Q66" s="161"/>
    </row>
    <row r="67" spans="2:19" s="161" customFormat="1">
      <c r="B67" s="256" t="s">
        <v>1747</v>
      </c>
      <c r="E67" s="161" t="s">
        <v>1775</v>
      </c>
      <c r="I67" t="s">
        <v>32</v>
      </c>
    </row>
    <row r="68" spans="2:19">
      <c r="B68" s="256" t="s">
        <v>46</v>
      </c>
      <c r="E68" t="s">
        <v>48</v>
      </c>
      <c r="I68" t="s">
        <v>1664</v>
      </c>
      <c r="N68" s="161"/>
    </row>
    <row r="69" spans="2:19">
      <c r="B69" s="256" t="s">
        <v>28</v>
      </c>
      <c r="E69" s="269" t="s">
        <v>260</v>
      </c>
      <c r="I69" t="s">
        <v>126</v>
      </c>
      <c r="P69" s="161"/>
      <c r="Q69" s="474"/>
    </row>
    <row r="70" spans="2:19" s="161" customFormat="1">
      <c r="B70" s="256" t="s">
        <v>32</v>
      </c>
      <c r="E70" s="269" t="s">
        <v>1340</v>
      </c>
      <c r="I70" t="s">
        <v>260</v>
      </c>
      <c r="Q70" s="474"/>
    </row>
    <row r="71" spans="2:19">
      <c r="B71" s="256" t="s">
        <v>1664</v>
      </c>
      <c r="E71" t="s">
        <v>29</v>
      </c>
      <c r="I71" t="s">
        <v>48</v>
      </c>
      <c r="S71" s="161"/>
    </row>
    <row r="72" spans="2:19">
      <c r="B72" s="256" t="s">
        <v>1720</v>
      </c>
      <c r="E72" t="s">
        <v>1719</v>
      </c>
      <c r="I72" t="s">
        <v>1750</v>
      </c>
    </row>
    <row r="73" spans="2:19">
      <c r="B73" s="256" t="s">
        <v>1721</v>
      </c>
      <c r="E73" t="s">
        <v>46</v>
      </c>
      <c r="I73" s="161" t="s">
        <v>1665</v>
      </c>
      <c r="N73" s="161"/>
    </row>
    <row r="74" spans="2:19">
      <c r="B74" s="256" t="s">
        <v>1722</v>
      </c>
      <c r="E74" t="s">
        <v>28</v>
      </c>
      <c r="I74" t="s">
        <v>1667</v>
      </c>
      <c r="S74" s="161"/>
    </row>
    <row r="75" spans="2:19">
      <c r="B75" s="256" t="s">
        <v>260</v>
      </c>
      <c r="E75" t="s">
        <v>32</v>
      </c>
      <c r="I75" t="s">
        <v>1713</v>
      </c>
      <c r="S75" s="161"/>
    </row>
    <row r="76" spans="2:19">
      <c r="B76" s="256" t="s">
        <v>48</v>
      </c>
      <c r="E76" t="s">
        <v>1664</v>
      </c>
      <c r="I76" s="161" t="s">
        <v>1727</v>
      </c>
      <c r="S76" s="161"/>
    </row>
    <row r="77" spans="2:19">
      <c r="B77" s="268" t="s">
        <v>1723</v>
      </c>
      <c r="E77" t="s">
        <v>1776</v>
      </c>
      <c r="L77" t="s">
        <v>84</v>
      </c>
    </row>
    <row r="78" spans="2:19">
      <c r="B78" s="256" t="s">
        <v>1749</v>
      </c>
      <c r="E78" t="s">
        <v>50</v>
      </c>
      <c r="P78" s="265"/>
    </row>
    <row r="79" spans="2:19">
      <c r="B79" s="256" t="s">
        <v>1724</v>
      </c>
      <c r="E79" t="s">
        <v>524</v>
      </c>
    </row>
    <row r="80" spans="2:19">
      <c r="B80" s="256" t="s">
        <v>1712</v>
      </c>
      <c r="E80" t="s">
        <v>126</v>
      </c>
    </row>
    <row r="81" spans="2:9">
      <c r="B81" s="268" t="s">
        <v>1751</v>
      </c>
      <c r="E81" s="269" t="s">
        <v>1777</v>
      </c>
    </row>
    <row r="82" spans="2:9">
      <c r="B82" s="268" t="s">
        <v>1752</v>
      </c>
      <c r="E82" t="s">
        <v>1778</v>
      </c>
    </row>
    <row r="83" spans="2:9" s="161" customFormat="1">
      <c r="B83" s="268" t="s">
        <v>1753</v>
      </c>
      <c r="E83" s="161" t="s">
        <v>216</v>
      </c>
      <c r="I83"/>
    </row>
    <row r="84" spans="2:9" s="161" customFormat="1">
      <c r="B84" s="268" t="s">
        <v>1726</v>
      </c>
      <c r="E84" s="161" t="s">
        <v>224</v>
      </c>
    </row>
    <row r="85" spans="2:9" s="161" customFormat="1">
      <c r="B85" s="268" t="s">
        <v>1725</v>
      </c>
      <c r="E85" s="161" t="s">
        <v>47</v>
      </c>
    </row>
    <row r="86" spans="2:9">
      <c r="B86" s="256" t="s">
        <v>1713</v>
      </c>
      <c r="E86" s="269" t="s">
        <v>81</v>
      </c>
      <c r="I86" s="161"/>
    </row>
    <row r="87" spans="2:9">
      <c r="B87" s="256" t="s">
        <v>1754</v>
      </c>
      <c r="E87" s="269" t="s">
        <v>1779</v>
      </c>
    </row>
    <row r="88" spans="2:9">
      <c r="E88" s="269" t="s">
        <v>1780</v>
      </c>
    </row>
    <row r="89" spans="2:9">
      <c r="E89" s="269" t="s">
        <v>1781</v>
      </c>
    </row>
    <row r="90" spans="2:9">
      <c r="E90" s="269" t="s">
        <v>1782</v>
      </c>
    </row>
  </sheetData>
  <mergeCells count="10">
    <mergeCell ref="Q69:Q70"/>
    <mergeCell ref="N56:Q56"/>
    <mergeCell ref="E56:G56"/>
    <mergeCell ref="B12:J12"/>
    <mergeCell ref="B13:O13"/>
    <mergeCell ref="C18:I18"/>
    <mergeCell ref="N18:X18"/>
    <mergeCell ref="B38:B39"/>
    <mergeCell ref="C38:H39"/>
    <mergeCell ref="B14:I14"/>
  </mergeCells>
  <pageMargins left="0.3" right="0.17" top="0.17" bottom="0.54" header="0.18" footer="0.17"/>
  <pageSetup paperSize="9" scale="56" orientation="landscape" r:id="rId1"/>
  <colBreaks count="1" manualBreakCount="1">
    <brk id="11" max="1048575" man="1"/>
  </colBreaks>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M22"/>
  <sheetViews>
    <sheetView showGridLines="0" zoomScale="60" zoomScaleNormal="60" workbookViewId="0">
      <selection activeCell="O4" sqref="O4"/>
    </sheetView>
  </sheetViews>
  <sheetFormatPr baseColWidth="10" defaultRowHeight="15"/>
  <cols>
    <col min="3" max="3" width="20.7109375" customWidth="1"/>
    <col min="4" max="4" width="78.7109375" customWidth="1"/>
    <col min="5" max="5" width="16" customWidth="1"/>
    <col min="6" max="6" width="17.5703125" customWidth="1"/>
    <col min="7" max="7" width="16.42578125" customWidth="1"/>
    <col min="8" max="8" width="14.42578125" customWidth="1"/>
    <col min="9" max="9" width="13.85546875" customWidth="1"/>
  </cols>
  <sheetData>
    <row r="2" spans="3:13" ht="45" customHeight="1">
      <c r="C2" s="257" t="s">
        <v>1701</v>
      </c>
      <c r="D2" s="257" t="s">
        <v>1815</v>
      </c>
      <c r="E2" s="257" t="s">
        <v>1702</v>
      </c>
      <c r="F2" s="257" t="s">
        <v>1703</v>
      </c>
      <c r="G2" s="257" t="s">
        <v>1704</v>
      </c>
      <c r="H2" s="257" t="s">
        <v>1705</v>
      </c>
      <c r="I2" s="257" t="s">
        <v>1706</v>
      </c>
    </row>
    <row r="3" spans="3:13" ht="114" customHeight="1">
      <c r="C3" s="487" t="s">
        <v>1816</v>
      </c>
      <c r="D3" s="253" t="s">
        <v>1817</v>
      </c>
      <c r="E3" s="487" t="s">
        <v>1818</v>
      </c>
      <c r="F3" s="486" t="s">
        <v>1819</v>
      </c>
      <c r="G3" s="488" t="s">
        <v>1733</v>
      </c>
      <c r="H3" s="488" t="s">
        <v>1729</v>
      </c>
      <c r="I3" s="486" t="s">
        <v>1709</v>
      </c>
    </row>
    <row r="4" spans="3:13" ht="128.25" customHeight="1">
      <c r="C4" s="487"/>
      <c r="D4" s="264" t="s">
        <v>1820</v>
      </c>
      <c r="E4" s="487"/>
      <c r="F4" s="486"/>
      <c r="G4" s="489"/>
      <c r="H4" s="489"/>
      <c r="I4" s="486"/>
    </row>
    <row r="5" spans="3:13" ht="126.75" customHeight="1">
      <c r="C5" s="488" t="s">
        <v>1821</v>
      </c>
      <c r="D5" s="253" t="s">
        <v>1822</v>
      </c>
      <c r="E5" s="267" t="s">
        <v>1707</v>
      </c>
      <c r="F5" s="267" t="s">
        <v>1732</v>
      </c>
      <c r="G5" s="267" t="s">
        <v>1733</v>
      </c>
      <c r="H5" s="262" t="s">
        <v>1735</v>
      </c>
      <c r="I5" s="266" t="s">
        <v>41</v>
      </c>
    </row>
    <row r="6" spans="3:13" ht="57" customHeight="1">
      <c r="C6" s="490"/>
      <c r="D6" s="253" t="s">
        <v>1823</v>
      </c>
      <c r="E6" s="267" t="s">
        <v>1707</v>
      </c>
      <c r="F6" s="267" t="s">
        <v>1733</v>
      </c>
      <c r="G6" s="267" t="s">
        <v>1732</v>
      </c>
      <c r="H6" s="262" t="s">
        <v>1735</v>
      </c>
      <c r="I6" s="266" t="s">
        <v>41</v>
      </c>
    </row>
    <row r="7" spans="3:13" ht="131.25" customHeight="1">
      <c r="C7" s="490"/>
      <c r="D7" s="253" t="s">
        <v>1824</v>
      </c>
      <c r="E7" s="267" t="s">
        <v>1707</v>
      </c>
      <c r="F7" s="267" t="s">
        <v>1825</v>
      </c>
      <c r="G7" s="267" t="s">
        <v>1734</v>
      </c>
      <c r="H7" s="262" t="s">
        <v>1735</v>
      </c>
      <c r="I7" s="266" t="s">
        <v>41</v>
      </c>
      <c r="M7" t="s">
        <v>84</v>
      </c>
    </row>
    <row r="8" spans="3:13" ht="66" customHeight="1">
      <c r="C8" s="489"/>
      <c r="D8" s="253" t="s">
        <v>1826</v>
      </c>
      <c r="E8" s="267" t="s">
        <v>1707</v>
      </c>
      <c r="F8" s="267" t="s">
        <v>1734</v>
      </c>
      <c r="G8" s="267" t="s">
        <v>1827</v>
      </c>
      <c r="H8" s="262" t="s">
        <v>1735</v>
      </c>
      <c r="I8" s="266" t="s">
        <v>41</v>
      </c>
    </row>
    <row r="9" spans="3:13" ht="57.75" customHeight="1">
      <c r="C9" s="263" t="s">
        <v>1828</v>
      </c>
      <c r="D9" s="253" t="s">
        <v>1829</v>
      </c>
      <c r="E9" s="267" t="s">
        <v>1818</v>
      </c>
      <c r="F9" s="267" t="s">
        <v>1827</v>
      </c>
      <c r="G9" s="266" t="s">
        <v>1830</v>
      </c>
      <c r="H9" s="266" t="s">
        <v>1736</v>
      </c>
      <c r="I9" s="266" t="s">
        <v>41</v>
      </c>
    </row>
    <row r="10" spans="3:13" ht="111.75" customHeight="1">
      <c r="C10" s="488" t="s">
        <v>1708</v>
      </c>
      <c r="D10" s="253" t="s">
        <v>1831</v>
      </c>
      <c r="E10" s="487" t="s">
        <v>1707</v>
      </c>
      <c r="F10" s="266" t="s">
        <v>1832</v>
      </c>
      <c r="G10" s="267" t="s">
        <v>1738</v>
      </c>
      <c r="H10" s="266" t="s">
        <v>1737</v>
      </c>
      <c r="I10" s="266" t="s">
        <v>41</v>
      </c>
    </row>
    <row r="11" spans="3:13" ht="68.25" customHeight="1">
      <c r="C11" s="490"/>
      <c r="D11" s="253" t="s">
        <v>1833</v>
      </c>
      <c r="E11" s="487"/>
      <c r="F11" s="267" t="s">
        <v>1738</v>
      </c>
      <c r="G11" s="267" t="s">
        <v>1739</v>
      </c>
      <c r="H11" s="267" t="s">
        <v>1740</v>
      </c>
      <c r="I11" s="266" t="s">
        <v>1709</v>
      </c>
    </row>
    <row r="12" spans="3:13" ht="80.25" customHeight="1">
      <c r="C12" s="490"/>
      <c r="D12" s="253" t="s">
        <v>1834</v>
      </c>
      <c r="E12" s="267" t="s">
        <v>1730</v>
      </c>
      <c r="F12" s="267" t="s">
        <v>1739</v>
      </c>
      <c r="G12" s="267" t="s">
        <v>1741</v>
      </c>
      <c r="H12" s="266" t="s">
        <v>1737</v>
      </c>
      <c r="I12" s="266" t="s">
        <v>1709</v>
      </c>
    </row>
    <row r="13" spans="3:13" ht="75" customHeight="1">
      <c r="C13" s="267" t="s">
        <v>1835</v>
      </c>
      <c r="D13" s="253" t="s">
        <v>1836</v>
      </c>
      <c r="E13" s="267" t="s">
        <v>1731</v>
      </c>
      <c r="F13" s="267" t="s">
        <v>1741</v>
      </c>
      <c r="G13" s="267" t="s">
        <v>1742</v>
      </c>
      <c r="H13" s="266" t="s">
        <v>1737</v>
      </c>
      <c r="I13" s="266" t="s">
        <v>1709</v>
      </c>
    </row>
    <row r="14" spans="3:13">
      <c r="C14" s="161"/>
      <c r="D14" s="161"/>
      <c r="E14" s="161"/>
      <c r="F14" s="161"/>
      <c r="G14" s="161"/>
      <c r="H14" s="161"/>
      <c r="I14" s="161"/>
    </row>
    <row r="15" spans="3:13">
      <c r="C15" s="161"/>
      <c r="D15" s="161"/>
      <c r="E15" s="161"/>
      <c r="F15" s="161"/>
      <c r="G15" s="161"/>
      <c r="H15" s="161"/>
      <c r="I15" s="161"/>
    </row>
    <row r="16" spans="3:13" ht="59.25" customHeight="1">
      <c r="C16" s="257" t="s">
        <v>1701</v>
      </c>
      <c r="D16" s="257" t="s">
        <v>1815</v>
      </c>
      <c r="E16" s="257" t="s">
        <v>1702</v>
      </c>
      <c r="F16" s="257" t="s">
        <v>1703</v>
      </c>
      <c r="G16" s="257" t="s">
        <v>1704</v>
      </c>
      <c r="H16" s="257" t="s">
        <v>1705</v>
      </c>
      <c r="I16" s="257" t="s">
        <v>1706</v>
      </c>
    </row>
    <row r="17" spans="3:9" ht="60">
      <c r="C17" s="486" t="s">
        <v>1738</v>
      </c>
      <c r="D17" s="264" t="s">
        <v>1837</v>
      </c>
      <c r="E17" s="487" t="s">
        <v>1707</v>
      </c>
      <c r="F17" s="267" t="s">
        <v>1830</v>
      </c>
      <c r="G17" s="267" t="s">
        <v>1738</v>
      </c>
      <c r="H17" s="267" t="s">
        <v>1838</v>
      </c>
      <c r="I17" s="267" t="s">
        <v>41</v>
      </c>
    </row>
    <row r="18" spans="3:9" ht="45">
      <c r="C18" s="486"/>
      <c r="D18" s="264" t="s">
        <v>1839</v>
      </c>
      <c r="E18" s="487"/>
      <c r="F18" s="267" t="s">
        <v>1830</v>
      </c>
      <c r="G18" s="267" t="s">
        <v>1738</v>
      </c>
      <c r="H18" s="267" t="s">
        <v>1838</v>
      </c>
      <c r="I18" s="267"/>
    </row>
    <row r="19" spans="3:9" ht="75">
      <c r="C19" s="486"/>
      <c r="D19" s="264" t="s">
        <v>1840</v>
      </c>
      <c r="E19" s="267" t="s">
        <v>1841</v>
      </c>
      <c r="F19" s="267" t="s">
        <v>1830</v>
      </c>
      <c r="G19" s="267" t="s">
        <v>1738</v>
      </c>
      <c r="H19" s="267" t="s">
        <v>1838</v>
      </c>
      <c r="I19" s="154"/>
    </row>
    <row r="20" spans="3:9" ht="60">
      <c r="C20" s="486"/>
      <c r="D20" s="253" t="s">
        <v>1842</v>
      </c>
      <c r="E20" s="267" t="s">
        <v>1707</v>
      </c>
      <c r="F20" s="267" t="s">
        <v>1830</v>
      </c>
      <c r="G20" s="267" t="s">
        <v>1738</v>
      </c>
      <c r="H20" s="267" t="s">
        <v>1838</v>
      </c>
      <c r="I20" s="154"/>
    </row>
    <row r="21" spans="3:9" ht="135">
      <c r="C21" s="486"/>
      <c r="D21" s="253" t="s">
        <v>1843</v>
      </c>
      <c r="E21" s="267" t="s">
        <v>1844</v>
      </c>
      <c r="F21" s="267" t="s">
        <v>1845</v>
      </c>
      <c r="G21" s="267" t="s">
        <v>1846</v>
      </c>
      <c r="H21" s="270" t="s">
        <v>1838</v>
      </c>
      <c r="I21" s="253" t="s">
        <v>1847</v>
      </c>
    </row>
    <row r="22" spans="3:9" ht="165">
      <c r="C22" s="486"/>
      <c r="D22" s="271" t="s">
        <v>1848</v>
      </c>
      <c r="E22" s="267" t="s">
        <v>1844</v>
      </c>
      <c r="F22" s="267" t="s">
        <v>1845</v>
      </c>
      <c r="G22" s="267" t="s">
        <v>1846</v>
      </c>
      <c r="H22" s="270" t="s">
        <v>1729</v>
      </c>
      <c r="I22" s="253" t="s">
        <v>1847</v>
      </c>
    </row>
  </sheetData>
  <mergeCells count="11">
    <mergeCell ref="C17:C22"/>
    <mergeCell ref="E17:E18"/>
    <mergeCell ref="H3:H4"/>
    <mergeCell ref="I3:I4"/>
    <mergeCell ref="E10:E11"/>
    <mergeCell ref="C10:C12"/>
    <mergeCell ref="C3:C4"/>
    <mergeCell ref="E3:E4"/>
    <mergeCell ref="F3:F4"/>
    <mergeCell ref="G3:G4"/>
    <mergeCell ref="C5:C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B1:R69"/>
  <sheetViews>
    <sheetView topLeftCell="A32" zoomScale="90" zoomScaleNormal="90" workbookViewId="0">
      <selection activeCell="L50" sqref="L50"/>
    </sheetView>
  </sheetViews>
  <sheetFormatPr baseColWidth="10" defaultRowHeight="15"/>
  <cols>
    <col min="1" max="1" width="6" customWidth="1"/>
  </cols>
  <sheetData>
    <row r="1" spans="2:18">
      <c r="N1" s="277">
        <v>43127</v>
      </c>
      <c r="O1" s="277">
        <f>N1+21</f>
        <v>43148</v>
      </c>
    </row>
    <row r="2" spans="2:18" ht="33.75">
      <c r="B2" s="272" t="s">
        <v>1859</v>
      </c>
      <c r="C2" s="272" t="s">
        <v>1860</v>
      </c>
      <c r="D2" s="272" t="s">
        <v>607</v>
      </c>
      <c r="E2" s="272" t="s">
        <v>1861</v>
      </c>
      <c r="F2" s="272" t="s">
        <v>1862</v>
      </c>
      <c r="G2" s="272" t="s">
        <v>1863</v>
      </c>
      <c r="H2" s="272" t="s">
        <v>1864</v>
      </c>
      <c r="I2" s="272" t="s">
        <v>1668</v>
      </c>
      <c r="J2" s="272" t="s">
        <v>1865</v>
      </c>
      <c r="K2" s="272" t="s">
        <v>1866</v>
      </c>
      <c r="L2" s="272" t="s">
        <v>1867</v>
      </c>
      <c r="M2" s="272" t="s">
        <v>1868</v>
      </c>
      <c r="N2" s="272" t="s">
        <v>260</v>
      </c>
      <c r="O2" s="272" t="s">
        <v>1711</v>
      </c>
      <c r="P2" s="272" t="s">
        <v>1869</v>
      </c>
      <c r="Q2" s="272" t="s">
        <v>1870</v>
      </c>
    </row>
    <row r="3" spans="2:18" ht="27" hidden="1">
      <c r="B3" s="273" t="s">
        <v>1966</v>
      </c>
      <c r="C3" s="274">
        <v>43122</v>
      </c>
      <c r="D3" s="275" t="s">
        <v>614</v>
      </c>
      <c r="E3" s="274">
        <v>43138</v>
      </c>
      <c r="F3" s="276" t="s">
        <v>2091</v>
      </c>
      <c r="G3" s="276" t="s">
        <v>1967</v>
      </c>
      <c r="H3" s="276">
        <v>6378</v>
      </c>
      <c r="I3" s="275" t="s">
        <v>1968</v>
      </c>
      <c r="J3" s="276" t="s">
        <v>1880</v>
      </c>
      <c r="K3" s="275">
        <v>-4</v>
      </c>
      <c r="L3" s="275" t="s">
        <v>1896</v>
      </c>
      <c r="M3" s="276" t="s">
        <v>141</v>
      </c>
      <c r="N3" s="275" t="s">
        <v>1876</v>
      </c>
      <c r="O3" s="276">
        <v>2.6989999999999998</v>
      </c>
      <c r="P3" s="276" t="s">
        <v>1937</v>
      </c>
      <c r="Q3" s="276" t="s">
        <v>1874</v>
      </c>
    </row>
    <row r="4" spans="2:18" ht="36">
      <c r="B4" s="273" t="s">
        <v>2037</v>
      </c>
      <c r="C4" s="274">
        <v>43122</v>
      </c>
      <c r="D4" s="275" t="s">
        <v>614</v>
      </c>
      <c r="E4" s="274">
        <v>43139</v>
      </c>
      <c r="F4" s="276" t="s">
        <v>1919</v>
      </c>
      <c r="G4" s="276" t="s">
        <v>2038</v>
      </c>
      <c r="H4" s="276">
        <v>2706297</v>
      </c>
      <c r="I4" s="275" t="s">
        <v>2039</v>
      </c>
      <c r="J4" s="276" t="s">
        <v>1888</v>
      </c>
      <c r="K4" s="275">
        <v>-3</v>
      </c>
      <c r="L4" s="275" t="s">
        <v>1900</v>
      </c>
      <c r="M4" s="276" t="s">
        <v>142</v>
      </c>
      <c r="N4" s="275" t="s">
        <v>1890</v>
      </c>
      <c r="O4" s="276">
        <v>3.9990000000000001</v>
      </c>
      <c r="P4" s="276" t="s">
        <v>2040</v>
      </c>
      <c r="Q4" s="276" t="s">
        <v>1874</v>
      </c>
      <c r="R4" s="277">
        <v>43125</v>
      </c>
    </row>
    <row r="5" spans="2:18" ht="36" hidden="1">
      <c r="B5" s="273" t="s">
        <v>2056</v>
      </c>
      <c r="C5" s="274">
        <v>43125</v>
      </c>
      <c r="D5" s="275" t="s">
        <v>614</v>
      </c>
      <c r="E5" s="274">
        <v>43141</v>
      </c>
      <c r="F5" s="276"/>
      <c r="G5" s="276" t="s">
        <v>2057</v>
      </c>
      <c r="H5" s="276">
        <v>645</v>
      </c>
      <c r="I5" s="275" t="s">
        <v>1894</v>
      </c>
      <c r="J5" s="276" t="s">
        <v>1885</v>
      </c>
      <c r="K5" s="275">
        <v>-1</v>
      </c>
      <c r="L5" s="275" t="s">
        <v>1900</v>
      </c>
      <c r="M5" s="276" t="s">
        <v>142</v>
      </c>
      <c r="N5" s="275" t="s">
        <v>1876</v>
      </c>
      <c r="O5" s="276">
        <v>1.4950000000000001</v>
      </c>
      <c r="P5" s="276" t="s">
        <v>1879</v>
      </c>
      <c r="Q5" s="276" t="s">
        <v>1874</v>
      </c>
      <c r="R5" s="277"/>
    </row>
    <row r="6" spans="2:18" ht="27">
      <c r="B6" s="273" t="s">
        <v>1948</v>
      </c>
      <c r="C6" s="274">
        <v>43126</v>
      </c>
      <c r="D6" s="275" t="s">
        <v>614</v>
      </c>
      <c r="E6" s="274">
        <v>43138</v>
      </c>
      <c r="F6" s="276" t="s">
        <v>1919</v>
      </c>
      <c r="G6" s="276" t="s">
        <v>1949</v>
      </c>
      <c r="H6" s="276">
        <v>1236</v>
      </c>
      <c r="I6" s="275" t="s">
        <v>1950</v>
      </c>
      <c r="J6" s="276" t="s">
        <v>1880</v>
      </c>
      <c r="K6" s="275">
        <v>-4</v>
      </c>
      <c r="L6" s="275" t="s">
        <v>1909</v>
      </c>
      <c r="M6" s="276" t="s">
        <v>141</v>
      </c>
      <c r="N6" s="275" t="s">
        <v>1882</v>
      </c>
      <c r="O6" s="276">
        <v>2.399</v>
      </c>
      <c r="P6" s="276" t="s">
        <v>1905</v>
      </c>
      <c r="Q6" s="276" t="s">
        <v>1874</v>
      </c>
    </row>
    <row r="7" spans="2:18" ht="27" hidden="1">
      <c r="B7" s="273" t="s">
        <v>2067</v>
      </c>
      <c r="C7" s="274">
        <v>43127</v>
      </c>
      <c r="D7" s="275" t="s">
        <v>614</v>
      </c>
      <c r="E7" s="274">
        <v>43141</v>
      </c>
      <c r="F7" s="276" t="s">
        <v>2092</v>
      </c>
      <c r="G7" s="276" t="s">
        <v>2068</v>
      </c>
      <c r="H7" s="276">
        <v>1482</v>
      </c>
      <c r="I7" s="275" t="s">
        <v>2069</v>
      </c>
      <c r="J7" s="276" t="s">
        <v>2053</v>
      </c>
      <c r="K7" s="275">
        <v>-1</v>
      </c>
      <c r="L7" s="275" t="s">
        <v>1900</v>
      </c>
      <c r="M7" s="276" t="s">
        <v>142</v>
      </c>
      <c r="N7" s="275" t="s">
        <v>1882</v>
      </c>
      <c r="O7" s="276">
        <v>179</v>
      </c>
      <c r="P7" s="276" t="s">
        <v>1898</v>
      </c>
      <c r="Q7" s="276" t="s">
        <v>1874</v>
      </c>
    </row>
    <row r="8" spans="2:18" ht="36" hidden="1">
      <c r="B8" s="273" t="s">
        <v>1951</v>
      </c>
      <c r="C8" s="274">
        <v>43128</v>
      </c>
      <c r="D8" s="275" t="s">
        <v>614</v>
      </c>
      <c r="E8" s="274">
        <v>43140</v>
      </c>
      <c r="F8" s="276" t="s">
        <v>2091</v>
      </c>
      <c r="G8" s="276" t="s">
        <v>1952</v>
      </c>
      <c r="H8" s="276">
        <v>262941</v>
      </c>
      <c r="I8" s="275" t="s">
        <v>1953</v>
      </c>
      <c r="J8" s="276" t="s">
        <v>1871</v>
      </c>
      <c r="K8" s="275">
        <v>-2</v>
      </c>
      <c r="L8" s="275" t="s">
        <v>1875</v>
      </c>
      <c r="M8" s="276" t="s">
        <v>141</v>
      </c>
      <c r="N8" s="275" t="s">
        <v>1873</v>
      </c>
      <c r="O8" s="276">
        <v>4.2990000000000004</v>
      </c>
      <c r="P8" s="276" t="s">
        <v>1954</v>
      </c>
      <c r="Q8" s="276" t="s">
        <v>1874</v>
      </c>
    </row>
    <row r="9" spans="2:18" ht="27" hidden="1">
      <c r="B9" s="273" t="s">
        <v>2043</v>
      </c>
      <c r="C9" s="274">
        <v>43128</v>
      </c>
      <c r="D9" s="275" t="s">
        <v>614</v>
      </c>
      <c r="E9" s="274">
        <v>43141</v>
      </c>
      <c r="F9" s="276" t="s">
        <v>2092</v>
      </c>
      <c r="G9" s="276" t="s">
        <v>2044</v>
      </c>
      <c r="H9" s="276">
        <v>1280</v>
      </c>
      <c r="I9" s="275" t="s">
        <v>2045</v>
      </c>
      <c r="J9" s="276" t="s">
        <v>1885</v>
      </c>
      <c r="K9" s="275">
        <v>-1</v>
      </c>
      <c r="L9" s="275" t="s">
        <v>1900</v>
      </c>
      <c r="M9" s="276" t="s">
        <v>142</v>
      </c>
      <c r="N9" s="275" t="s">
        <v>1876</v>
      </c>
      <c r="O9" s="276">
        <v>1.4990000000000001</v>
      </c>
      <c r="P9" s="276" t="s">
        <v>1887</v>
      </c>
      <c r="Q9" s="276" t="s">
        <v>1874</v>
      </c>
    </row>
    <row r="10" spans="2:18" ht="36" hidden="1">
      <c r="B10" s="273" t="s">
        <v>2061</v>
      </c>
      <c r="C10" s="274">
        <v>43128</v>
      </c>
      <c r="D10" s="275" t="s">
        <v>614</v>
      </c>
      <c r="E10" s="274">
        <v>43141</v>
      </c>
      <c r="F10" s="276" t="s">
        <v>2092</v>
      </c>
      <c r="G10" s="276" t="s">
        <v>2062</v>
      </c>
      <c r="H10" s="276">
        <v>9239</v>
      </c>
      <c r="I10" s="275" t="s">
        <v>2063</v>
      </c>
      <c r="J10" s="276" t="s">
        <v>2053</v>
      </c>
      <c r="K10" s="275">
        <v>-1</v>
      </c>
      <c r="L10" s="275" t="s">
        <v>1900</v>
      </c>
      <c r="M10" s="276" t="s">
        <v>142</v>
      </c>
      <c r="N10" s="275" t="s">
        <v>1882</v>
      </c>
      <c r="O10" s="276">
        <v>449</v>
      </c>
      <c r="P10" s="276" t="s">
        <v>1929</v>
      </c>
      <c r="Q10" s="276" t="s">
        <v>1874</v>
      </c>
    </row>
    <row r="11" spans="2:18" ht="36" hidden="1">
      <c r="B11" s="273" t="s">
        <v>1944</v>
      </c>
      <c r="C11" s="274">
        <v>43129</v>
      </c>
      <c r="D11" s="275" t="s">
        <v>614</v>
      </c>
      <c r="E11" s="274">
        <v>43137</v>
      </c>
      <c r="F11" s="276"/>
      <c r="G11" s="276" t="s">
        <v>1945</v>
      </c>
      <c r="H11" s="276">
        <v>9160</v>
      </c>
      <c r="I11" s="275" t="s">
        <v>1946</v>
      </c>
      <c r="J11" s="276" t="s">
        <v>1880</v>
      </c>
      <c r="K11" s="275">
        <v>-5</v>
      </c>
      <c r="L11" s="275" t="s">
        <v>1930</v>
      </c>
      <c r="M11" s="276" t="s">
        <v>141</v>
      </c>
      <c r="N11" s="275" t="s">
        <v>1882</v>
      </c>
      <c r="O11" s="276">
        <v>1.399</v>
      </c>
      <c r="P11" s="276" t="s">
        <v>1947</v>
      </c>
      <c r="Q11" s="276" t="s">
        <v>1874</v>
      </c>
    </row>
    <row r="12" spans="2:18" ht="27" hidden="1">
      <c r="B12" s="273" t="s">
        <v>2050</v>
      </c>
      <c r="C12" s="274">
        <v>43129</v>
      </c>
      <c r="D12" s="275" t="s">
        <v>614</v>
      </c>
      <c r="E12" s="274">
        <v>43141</v>
      </c>
      <c r="F12" s="276"/>
      <c r="G12" s="276" t="s">
        <v>2051</v>
      </c>
      <c r="H12" s="276">
        <v>1650</v>
      </c>
      <c r="I12" s="275" t="s">
        <v>2052</v>
      </c>
      <c r="J12" s="276" t="s">
        <v>2053</v>
      </c>
      <c r="K12" s="275">
        <v>-1</v>
      </c>
      <c r="L12" s="275" t="s">
        <v>1900</v>
      </c>
      <c r="M12" s="276" t="s">
        <v>142</v>
      </c>
      <c r="N12" s="275" t="s">
        <v>1876</v>
      </c>
      <c r="O12" s="276">
        <v>599</v>
      </c>
      <c r="P12" s="276" t="s">
        <v>1877</v>
      </c>
      <c r="Q12" s="276" t="s">
        <v>1874</v>
      </c>
    </row>
    <row r="13" spans="2:18" ht="27" hidden="1">
      <c r="B13" s="273" t="s">
        <v>2070</v>
      </c>
      <c r="C13" s="274">
        <v>43129</v>
      </c>
      <c r="D13" s="275" t="s">
        <v>614</v>
      </c>
      <c r="E13" s="274">
        <v>43141</v>
      </c>
      <c r="F13" s="276"/>
      <c r="G13" s="276" t="s">
        <v>2071</v>
      </c>
      <c r="H13" s="276">
        <v>6151</v>
      </c>
      <c r="I13" s="275" t="s">
        <v>2072</v>
      </c>
      <c r="J13" s="276" t="s">
        <v>2053</v>
      </c>
      <c r="K13" s="275">
        <v>-1</v>
      </c>
      <c r="L13" s="275" t="s">
        <v>1900</v>
      </c>
      <c r="M13" s="276" t="s">
        <v>142</v>
      </c>
      <c r="N13" s="275" t="s">
        <v>1882</v>
      </c>
      <c r="O13" s="276">
        <v>188</v>
      </c>
      <c r="P13" s="276" t="s">
        <v>1927</v>
      </c>
      <c r="Q13" s="276" t="s">
        <v>1874</v>
      </c>
    </row>
    <row r="14" spans="2:18" ht="27" hidden="1">
      <c r="B14" s="273" t="s">
        <v>2073</v>
      </c>
      <c r="C14" s="274">
        <v>43129</v>
      </c>
      <c r="D14" s="275" t="s">
        <v>614</v>
      </c>
      <c r="E14" s="274">
        <v>43141</v>
      </c>
      <c r="F14" s="276"/>
      <c r="G14" s="276" t="s">
        <v>2074</v>
      </c>
      <c r="H14" s="276">
        <v>9633</v>
      </c>
      <c r="I14" s="275" t="s">
        <v>1928</v>
      </c>
      <c r="J14" s="276" t="s">
        <v>1885</v>
      </c>
      <c r="K14" s="275">
        <v>-1</v>
      </c>
      <c r="L14" s="275" t="s">
        <v>1900</v>
      </c>
      <c r="M14" s="276" t="s">
        <v>142</v>
      </c>
      <c r="N14" s="275" t="s">
        <v>1876</v>
      </c>
      <c r="O14" s="276">
        <v>1.9990000000000001</v>
      </c>
      <c r="P14" s="276" t="s">
        <v>1887</v>
      </c>
      <c r="Q14" s="276" t="s">
        <v>1874</v>
      </c>
    </row>
    <row r="15" spans="2:18" ht="27" hidden="1">
      <c r="B15" s="273" t="s">
        <v>1955</v>
      </c>
      <c r="C15" s="274">
        <v>43130</v>
      </c>
      <c r="D15" s="275" t="s">
        <v>614</v>
      </c>
      <c r="E15" s="274">
        <v>43139</v>
      </c>
      <c r="F15" s="276"/>
      <c r="G15" s="276" t="s">
        <v>1956</v>
      </c>
      <c r="H15" s="276">
        <v>133162</v>
      </c>
      <c r="I15" s="275" t="s">
        <v>1957</v>
      </c>
      <c r="J15" s="276" t="s">
        <v>1871</v>
      </c>
      <c r="K15" s="275">
        <v>-3</v>
      </c>
      <c r="L15" s="275" t="s">
        <v>1897</v>
      </c>
      <c r="M15" s="276" t="s">
        <v>142</v>
      </c>
      <c r="N15" s="275" t="s">
        <v>1873</v>
      </c>
      <c r="O15" s="276">
        <v>1.399</v>
      </c>
      <c r="P15" s="276" t="s">
        <v>1958</v>
      </c>
      <c r="Q15" s="276" t="s">
        <v>1874</v>
      </c>
    </row>
    <row r="16" spans="2:18" ht="36" hidden="1">
      <c r="B16" s="273" t="s">
        <v>1963</v>
      </c>
      <c r="C16" s="274">
        <v>43130</v>
      </c>
      <c r="D16" s="275" t="s">
        <v>614</v>
      </c>
      <c r="E16" s="274">
        <v>43143</v>
      </c>
      <c r="F16" s="276" t="s">
        <v>2091</v>
      </c>
      <c r="G16" s="276" t="s">
        <v>1964</v>
      </c>
      <c r="H16" s="276">
        <v>2703952</v>
      </c>
      <c r="I16" s="275" t="s">
        <v>1965</v>
      </c>
      <c r="J16" s="276" t="s">
        <v>1888</v>
      </c>
      <c r="K16" s="275">
        <v>1</v>
      </c>
      <c r="L16" s="275" t="s">
        <v>1896</v>
      </c>
      <c r="M16" s="276" t="s">
        <v>141</v>
      </c>
      <c r="N16" s="275" t="s">
        <v>1890</v>
      </c>
      <c r="O16" s="276">
        <v>1.6990000000000001</v>
      </c>
      <c r="P16" s="276" t="s">
        <v>1891</v>
      </c>
      <c r="Q16" s="276" t="s">
        <v>1874</v>
      </c>
    </row>
    <row r="17" spans="2:17" ht="27" hidden="1">
      <c r="B17" s="273" t="s">
        <v>2064</v>
      </c>
      <c r="C17" s="274">
        <v>43130</v>
      </c>
      <c r="D17" s="275" t="s">
        <v>614</v>
      </c>
      <c r="E17" s="274">
        <v>43141</v>
      </c>
      <c r="F17" s="276"/>
      <c r="G17" s="276" t="s">
        <v>2065</v>
      </c>
      <c r="H17" s="276">
        <v>5282</v>
      </c>
      <c r="I17" s="275" t="s">
        <v>2066</v>
      </c>
      <c r="J17" s="276" t="s">
        <v>1885</v>
      </c>
      <c r="K17" s="275">
        <v>-1</v>
      </c>
      <c r="L17" s="275" t="s">
        <v>1900</v>
      </c>
      <c r="M17" s="276" t="s">
        <v>142</v>
      </c>
      <c r="N17" s="275" t="s">
        <v>1876</v>
      </c>
      <c r="O17" s="276">
        <v>2.6989999999999998</v>
      </c>
      <c r="P17" s="276" t="s">
        <v>1877</v>
      </c>
      <c r="Q17" s="276" t="s">
        <v>1874</v>
      </c>
    </row>
    <row r="18" spans="2:17" ht="36" hidden="1">
      <c r="B18" s="273" t="s">
        <v>2088</v>
      </c>
      <c r="C18" s="274">
        <v>43130</v>
      </c>
      <c r="D18" s="275" t="s">
        <v>614</v>
      </c>
      <c r="E18" s="274">
        <v>43141</v>
      </c>
      <c r="F18" s="276"/>
      <c r="G18" s="276" t="s">
        <v>2089</v>
      </c>
      <c r="H18" s="276">
        <v>2706999</v>
      </c>
      <c r="I18" s="275" t="s">
        <v>2090</v>
      </c>
      <c r="J18" s="276" t="s">
        <v>1888</v>
      </c>
      <c r="K18" s="275">
        <v>-1</v>
      </c>
      <c r="L18" s="275" t="s">
        <v>1900</v>
      </c>
      <c r="M18" s="276" t="s">
        <v>142</v>
      </c>
      <c r="N18" s="275" t="s">
        <v>1890</v>
      </c>
      <c r="O18" s="276">
        <v>1.4990000000000001</v>
      </c>
      <c r="P18" s="276" t="s">
        <v>1891</v>
      </c>
      <c r="Q18" s="276" t="s">
        <v>1874</v>
      </c>
    </row>
    <row r="19" spans="2:17" ht="36" hidden="1">
      <c r="B19" s="273" t="s">
        <v>1959</v>
      </c>
      <c r="C19" s="274">
        <v>43131</v>
      </c>
      <c r="D19" s="275" t="s">
        <v>614</v>
      </c>
      <c r="E19" s="274">
        <v>43136</v>
      </c>
      <c r="F19" s="276" t="s">
        <v>2091</v>
      </c>
      <c r="G19" s="276" t="s">
        <v>1960</v>
      </c>
      <c r="H19" s="276">
        <v>221617</v>
      </c>
      <c r="I19" s="275" t="s">
        <v>1961</v>
      </c>
      <c r="J19" s="276" t="s">
        <v>1871</v>
      </c>
      <c r="K19" s="275">
        <v>-6</v>
      </c>
      <c r="L19" s="275" t="s">
        <v>1886</v>
      </c>
      <c r="M19" s="276" t="s">
        <v>142</v>
      </c>
      <c r="N19" s="275" t="s">
        <v>1873</v>
      </c>
      <c r="O19" s="276">
        <v>1.9990000000000001</v>
      </c>
      <c r="P19" s="276" t="s">
        <v>1962</v>
      </c>
      <c r="Q19" s="276" t="s">
        <v>1874</v>
      </c>
    </row>
    <row r="20" spans="2:17" ht="18">
      <c r="B20" s="273" t="s">
        <v>1972</v>
      </c>
      <c r="C20" s="274">
        <v>43131</v>
      </c>
      <c r="D20" s="275" t="s">
        <v>614</v>
      </c>
      <c r="E20" s="274">
        <v>43143</v>
      </c>
      <c r="F20" s="276" t="s">
        <v>1919</v>
      </c>
      <c r="G20" s="276" t="s">
        <v>1973</v>
      </c>
      <c r="H20" s="276">
        <v>4591</v>
      </c>
      <c r="I20" s="275" t="s">
        <v>1974</v>
      </c>
      <c r="J20" s="276" t="s">
        <v>1880</v>
      </c>
      <c r="K20" s="275">
        <v>1</v>
      </c>
      <c r="L20" s="275" t="s">
        <v>1896</v>
      </c>
      <c r="M20" s="276" t="s">
        <v>141</v>
      </c>
      <c r="N20" s="275" t="s">
        <v>1876</v>
      </c>
      <c r="O20" s="276">
        <v>999</v>
      </c>
      <c r="P20" s="276" t="s">
        <v>1877</v>
      </c>
      <c r="Q20" s="276" t="s">
        <v>1874</v>
      </c>
    </row>
    <row r="21" spans="2:17" ht="36" hidden="1">
      <c r="B21" s="273" t="s">
        <v>1981</v>
      </c>
      <c r="C21" s="274">
        <v>43132</v>
      </c>
      <c r="D21" s="275" t="s">
        <v>614</v>
      </c>
      <c r="E21" s="274">
        <v>43138</v>
      </c>
      <c r="F21" s="276" t="s">
        <v>2091</v>
      </c>
      <c r="G21" s="276" t="s">
        <v>1982</v>
      </c>
      <c r="H21" s="276">
        <v>316052</v>
      </c>
      <c r="I21" s="275" t="s">
        <v>1983</v>
      </c>
      <c r="J21" s="276" t="s">
        <v>1871</v>
      </c>
      <c r="K21" s="275">
        <v>-4</v>
      </c>
      <c r="L21" s="275" t="s">
        <v>1886</v>
      </c>
      <c r="M21" s="276" t="s">
        <v>142</v>
      </c>
      <c r="N21" s="275" t="s">
        <v>1873</v>
      </c>
      <c r="O21" s="276">
        <v>1.2989999999999999</v>
      </c>
      <c r="P21" s="276" t="s">
        <v>1984</v>
      </c>
      <c r="Q21" s="276" t="s">
        <v>1874</v>
      </c>
    </row>
    <row r="22" spans="2:17" ht="27" hidden="1">
      <c r="B22" s="273" t="s">
        <v>2054</v>
      </c>
      <c r="C22" s="274">
        <v>43132</v>
      </c>
      <c r="D22" s="275" t="s">
        <v>614</v>
      </c>
      <c r="E22" s="274">
        <v>43141</v>
      </c>
      <c r="F22" s="276"/>
      <c r="G22" s="276" t="s">
        <v>1918</v>
      </c>
      <c r="H22" s="276">
        <v>6124</v>
      </c>
      <c r="I22" s="275" t="s">
        <v>2055</v>
      </c>
      <c r="J22" s="276" t="s">
        <v>2053</v>
      </c>
      <c r="K22" s="275">
        <v>-1</v>
      </c>
      <c r="L22" s="275" t="s">
        <v>1900</v>
      </c>
      <c r="M22" s="276" t="s">
        <v>142</v>
      </c>
      <c r="N22" s="275" t="s">
        <v>1876</v>
      </c>
      <c r="O22" s="276">
        <v>805</v>
      </c>
      <c r="P22" s="276" t="s">
        <v>1899</v>
      </c>
      <c r="Q22" s="276" t="s">
        <v>1874</v>
      </c>
    </row>
    <row r="23" spans="2:17" ht="36" hidden="1">
      <c r="B23" s="273" t="s">
        <v>2085</v>
      </c>
      <c r="C23" s="274">
        <v>43132</v>
      </c>
      <c r="D23" s="275" t="s">
        <v>614</v>
      </c>
      <c r="E23" s="274">
        <v>43141</v>
      </c>
      <c r="F23" s="276"/>
      <c r="G23" s="276" t="s">
        <v>2086</v>
      </c>
      <c r="H23" s="276">
        <v>2706417</v>
      </c>
      <c r="I23" s="275" t="s">
        <v>2087</v>
      </c>
      <c r="J23" s="276" t="s">
        <v>1888</v>
      </c>
      <c r="K23" s="275">
        <v>-1</v>
      </c>
      <c r="L23" s="275" t="s">
        <v>1900</v>
      </c>
      <c r="M23" s="276" t="s">
        <v>142</v>
      </c>
      <c r="N23" s="275" t="s">
        <v>1890</v>
      </c>
      <c r="O23" s="276">
        <v>2.4990000000000001</v>
      </c>
      <c r="P23" s="276" t="s">
        <v>1891</v>
      </c>
      <c r="Q23" s="276" t="s">
        <v>1874</v>
      </c>
    </row>
    <row r="24" spans="2:17" ht="27">
      <c r="B24" s="273" t="s">
        <v>1985</v>
      </c>
      <c r="C24" s="274">
        <v>43133</v>
      </c>
      <c r="D24" s="275" t="s">
        <v>614</v>
      </c>
      <c r="E24" s="274">
        <v>43143</v>
      </c>
      <c r="F24" s="276" t="s">
        <v>1919</v>
      </c>
      <c r="G24" s="276" t="s">
        <v>1986</v>
      </c>
      <c r="H24" s="276">
        <v>260615</v>
      </c>
      <c r="I24" s="275" t="s">
        <v>1987</v>
      </c>
      <c r="J24" s="276" t="s">
        <v>1871</v>
      </c>
      <c r="K24" s="275">
        <v>1</v>
      </c>
      <c r="L24" s="275" t="s">
        <v>1872</v>
      </c>
      <c r="M24" s="276" t="s">
        <v>141</v>
      </c>
      <c r="N24" s="275" t="s">
        <v>1873</v>
      </c>
      <c r="O24" s="276">
        <v>1.2589999999999999</v>
      </c>
      <c r="P24" s="276" t="s">
        <v>1988</v>
      </c>
      <c r="Q24" s="276" t="s">
        <v>1874</v>
      </c>
    </row>
    <row r="25" spans="2:17" ht="36">
      <c r="B25" s="273" t="s">
        <v>1989</v>
      </c>
      <c r="C25" s="274">
        <v>43133</v>
      </c>
      <c r="D25" s="275" t="s">
        <v>614</v>
      </c>
      <c r="E25" s="274">
        <v>43140</v>
      </c>
      <c r="F25" s="276" t="s">
        <v>1919</v>
      </c>
      <c r="G25" s="276" t="s">
        <v>1990</v>
      </c>
      <c r="H25" s="276">
        <v>1304303</v>
      </c>
      <c r="I25" s="275" t="s">
        <v>1991</v>
      </c>
      <c r="J25" s="276" t="s">
        <v>1888</v>
      </c>
      <c r="K25" s="275">
        <v>-2</v>
      </c>
      <c r="L25" s="275" t="s">
        <v>1906</v>
      </c>
      <c r="M25" s="276" t="s">
        <v>141</v>
      </c>
      <c r="N25" s="275" t="s">
        <v>1890</v>
      </c>
      <c r="O25" s="276">
        <v>2.7989999999999999</v>
      </c>
      <c r="P25" s="276" t="s">
        <v>1992</v>
      </c>
      <c r="Q25" s="276" t="s">
        <v>1874</v>
      </c>
    </row>
    <row r="26" spans="2:17" ht="27" hidden="1">
      <c r="B26" s="273" t="s">
        <v>1996</v>
      </c>
      <c r="C26" s="274">
        <v>43133</v>
      </c>
      <c r="D26" s="275" t="s">
        <v>1912</v>
      </c>
      <c r="E26" s="274">
        <v>43139</v>
      </c>
      <c r="F26" s="276"/>
      <c r="G26" s="276" t="s">
        <v>1997</v>
      </c>
      <c r="H26" s="276">
        <v>9235</v>
      </c>
      <c r="I26" s="275" t="s">
        <v>1908</v>
      </c>
      <c r="J26" s="276" t="s">
        <v>1880</v>
      </c>
      <c r="K26" s="275">
        <v>-2</v>
      </c>
      <c r="L26" s="275" t="s">
        <v>1896</v>
      </c>
      <c r="M26" s="276" t="s">
        <v>141</v>
      </c>
      <c r="N26" s="275" t="s">
        <v>1876</v>
      </c>
      <c r="O26" s="276">
        <v>3.3029999999999999</v>
      </c>
      <c r="P26" s="276" t="s">
        <v>1998</v>
      </c>
      <c r="Q26" s="276" t="s">
        <v>1874</v>
      </c>
    </row>
    <row r="27" spans="2:17" ht="36" hidden="1">
      <c r="B27" s="273" t="s">
        <v>1999</v>
      </c>
      <c r="C27" s="274">
        <v>43133</v>
      </c>
      <c r="D27" s="275" t="s">
        <v>614</v>
      </c>
      <c r="E27" s="274">
        <v>43137</v>
      </c>
      <c r="F27" s="276" t="s">
        <v>2091</v>
      </c>
      <c r="G27" s="276" t="s">
        <v>2000</v>
      </c>
      <c r="H27" s="276">
        <v>2646</v>
      </c>
      <c r="I27" s="275" t="s">
        <v>2001</v>
      </c>
      <c r="J27" s="276" t="s">
        <v>1880</v>
      </c>
      <c r="K27" s="275">
        <v>-5</v>
      </c>
      <c r="L27" s="275" t="s">
        <v>1896</v>
      </c>
      <c r="M27" s="276" t="s">
        <v>141</v>
      </c>
      <c r="N27" s="275" t="s">
        <v>1876</v>
      </c>
      <c r="O27" s="276">
        <v>744</v>
      </c>
      <c r="P27" s="276" t="s">
        <v>1911</v>
      </c>
      <c r="Q27" s="276" t="s">
        <v>1874</v>
      </c>
    </row>
    <row r="28" spans="2:17" ht="27">
      <c r="B28" s="273" t="s">
        <v>1969</v>
      </c>
      <c r="C28" s="274">
        <v>43134</v>
      </c>
      <c r="D28" s="275" t="s">
        <v>614</v>
      </c>
      <c r="E28" s="274">
        <v>43143</v>
      </c>
      <c r="F28" s="276" t="s">
        <v>1919</v>
      </c>
      <c r="G28" s="276" t="s">
        <v>1970</v>
      </c>
      <c r="H28" s="276">
        <v>1580</v>
      </c>
      <c r="I28" s="275" t="s">
        <v>1971</v>
      </c>
      <c r="J28" s="276" t="s">
        <v>1884</v>
      </c>
      <c r="K28" s="275">
        <v>1</v>
      </c>
      <c r="L28" s="275" t="s">
        <v>1875</v>
      </c>
      <c r="M28" s="276" t="s">
        <v>141</v>
      </c>
      <c r="N28" s="275" t="s">
        <v>1876</v>
      </c>
      <c r="O28" s="276">
        <v>1.899</v>
      </c>
      <c r="P28" s="276" t="s">
        <v>1895</v>
      </c>
      <c r="Q28" s="276" t="s">
        <v>1874</v>
      </c>
    </row>
    <row r="29" spans="2:17" ht="27" hidden="1">
      <c r="B29" s="273" t="s">
        <v>1978</v>
      </c>
      <c r="C29" s="274">
        <v>43134</v>
      </c>
      <c r="D29" s="275" t="s">
        <v>614</v>
      </c>
      <c r="E29" s="274">
        <v>43137</v>
      </c>
      <c r="F29" s="276" t="s">
        <v>2091</v>
      </c>
      <c r="G29" s="276" t="s">
        <v>1979</v>
      </c>
      <c r="H29" s="276">
        <v>7789</v>
      </c>
      <c r="I29" s="275" t="s">
        <v>1980</v>
      </c>
      <c r="J29" s="276" t="s">
        <v>1885</v>
      </c>
      <c r="K29" s="275">
        <v>-5</v>
      </c>
      <c r="L29" s="275" t="s">
        <v>1886</v>
      </c>
      <c r="M29" s="276" t="s">
        <v>142</v>
      </c>
      <c r="N29" s="275" t="s">
        <v>1876</v>
      </c>
      <c r="O29" s="276">
        <v>1.5509999999999999</v>
      </c>
      <c r="P29" s="276" t="s">
        <v>1887</v>
      </c>
      <c r="Q29" s="276" t="s">
        <v>1874</v>
      </c>
    </row>
    <row r="30" spans="2:17" ht="54">
      <c r="B30" s="273" t="s">
        <v>1975</v>
      </c>
      <c r="C30" s="274">
        <v>43135</v>
      </c>
      <c r="D30" s="275" t="s">
        <v>614</v>
      </c>
      <c r="E30" s="274">
        <v>43143</v>
      </c>
      <c r="F30" s="276" t="s">
        <v>1919</v>
      </c>
      <c r="G30" s="276" t="s">
        <v>1976</v>
      </c>
      <c r="H30" s="276">
        <v>8283</v>
      </c>
      <c r="I30" s="275" t="s">
        <v>1977</v>
      </c>
      <c r="J30" s="276" t="s">
        <v>1880</v>
      </c>
      <c r="K30" s="275">
        <v>1</v>
      </c>
      <c r="L30" s="275" t="s">
        <v>1881</v>
      </c>
      <c r="M30" s="276" t="s">
        <v>141</v>
      </c>
      <c r="N30" s="275" t="s">
        <v>1876</v>
      </c>
      <c r="O30" s="276">
        <v>1.63</v>
      </c>
      <c r="P30" s="276" t="s">
        <v>1899</v>
      </c>
      <c r="Q30" s="276" t="s">
        <v>1874</v>
      </c>
    </row>
    <row r="31" spans="2:17" ht="36" hidden="1">
      <c r="B31" s="273" t="s">
        <v>2014</v>
      </c>
      <c r="C31" s="274">
        <v>43135</v>
      </c>
      <c r="D31" s="275" t="s">
        <v>614</v>
      </c>
      <c r="E31" s="274">
        <v>43140</v>
      </c>
      <c r="F31" s="276" t="s">
        <v>2091</v>
      </c>
      <c r="G31" s="276" t="s">
        <v>2015</v>
      </c>
      <c r="H31" s="276">
        <v>3580</v>
      </c>
      <c r="I31" s="275" t="s">
        <v>1913</v>
      </c>
      <c r="J31" s="276" t="s">
        <v>1885</v>
      </c>
      <c r="K31" s="275">
        <v>-2</v>
      </c>
      <c r="L31" s="275" t="s">
        <v>1886</v>
      </c>
      <c r="M31" s="276" t="s">
        <v>142</v>
      </c>
      <c r="N31" s="275" t="s">
        <v>1876</v>
      </c>
      <c r="O31" s="276">
        <v>1.099</v>
      </c>
      <c r="P31" s="276" t="s">
        <v>1933</v>
      </c>
      <c r="Q31" s="276" t="s">
        <v>1874</v>
      </c>
    </row>
    <row r="32" spans="2:17" ht="36">
      <c r="B32" s="273" t="s">
        <v>2030</v>
      </c>
      <c r="C32" s="274">
        <v>43135</v>
      </c>
      <c r="D32" s="275" t="s">
        <v>614</v>
      </c>
      <c r="E32" s="274">
        <v>43143</v>
      </c>
      <c r="F32" s="276" t="s">
        <v>1919</v>
      </c>
      <c r="G32" s="276" t="s">
        <v>2031</v>
      </c>
      <c r="H32" s="276">
        <v>7129</v>
      </c>
      <c r="I32" s="275" t="s">
        <v>2032</v>
      </c>
      <c r="J32" s="276" t="s">
        <v>1884</v>
      </c>
      <c r="K32" s="275">
        <v>1</v>
      </c>
      <c r="L32" s="275" t="s">
        <v>1875</v>
      </c>
      <c r="M32" s="276" t="s">
        <v>142</v>
      </c>
      <c r="N32" s="275" t="s">
        <v>1876</v>
      </c>
      <c r="O32" s="276">
        <v>1.2989999999999999</v>
      </c>
      <c r="P32" s="276" t="s">
        <v>1917</v>
      </c>
      <c r="Q32" s="276" t="s">
        <v>1874</v>
      </c>
    </row>
    <row r="33" spans="2:17" ht="36" hidden="1">
      <c r="B33" s="273" t="s">
        <v>1993</v>
      </c>
      <c r="C33" s="274">
        <v>43136</v>
      </c>
      <c r="D33" s="275" t="s">
        <v>614</v>
      </c>
      <c r="E33" s="274">
        <v>43140</v>
      </c>
      <c r="F33" s="276"/>
      <c r="G33" s="276" t="s">
        <v>1994</v>
      </c>
      <c r="H33" s="276">
        <v>1634</v>
      </c>
      <c r="I33" s="275" t="s">
        <v>1995</v>
      </c>
      <c r="J33" s="276" t="s">
        <v>1884</v>
      </c>
      <c r="K33" s="275">
        <v>-2</v>
      </c>
      <c r="L33" s="275" t="s">
        <v>1930</v>
      </c>
      <c r="M33" s="276" t="s">
        <v>141</v>
      </c>
      <c r="N33" s="275" t="s">
        <v>1876</v>
      </c>
      <c r="O33" s="276">
        <v>1.099</v>
      </c>
      <c r="P33" s="276" t="s">
        <v>1902</v>
      </c>
      <c r="Q33" s="276" t="s">
        <v>1874</v>
      </c>
    </row>
    <row r="34" spans="2:17" ht="27" hidden="1">
      <c r="B34" s="273" t="s">
        <v>2008</v>
      </c>
      <c r="C34" s="274">
        <v>43136</v>
      </c>
      <c r="D34" s="275" t="s">
        <v>614</v>
      </c>
      <c r="E34" s="274">
        <v>43140</v>
      </c>
      <c r="F34" s="276"/>
      <c r="G34" s="276" t="s">
        <v>2009</v>
      </c>
      <c r="H34" s="276">
        <v>7654</v>
      </c>
      <c r="I34" s="275" t="s">
        <v>2010</v>
      </c>
      <c r="J34" s="276" t="s">
        <v>1885</v>
      </c>
      <c r="K34" s="275">
        <v>-2</v>
      </c>
      <c r="L34" s="275" t="s">
        <v>1886</v>
      </c>
      <c r="M34" s="276" t="s">
        <v>142</v>
      </c>
      <c r="N34" s="275" t="s">
        <v>1876</v>
      </c>
      <c r="O34" s="276">
        <v>3.899</v>
      </c>
      <c r="P34" s="276" t="s">
        <v>1877</v>
      </c>
      <c r="Q34" s="276" t="s">
        <v>1874</v>
      </c>
    </row>
    <row r="35" spans="2:17" ht="54">
      <c r="B35" s="273" t="s">
        <v>2011</v>
      </c>
      <c r="C35" s="274">
        <v>43136</v>
      </c>
      <c r="D35" s="275" t="s">
        <v>614</v>
      </c>
      <c r="E35" s="274">
        <v>43143</v>
      </c>
      <c r="F35" s="276" t="s">
        <v>1919</v>
      </c>
      <c r="G35" s="276" t="s">
        <v>2012</v>
      </c>
      <c r="H35" s="276">
        <v>396</v>
      </c>
      <c r="I35" s="275" t="s">
        <v>2013</v>
      </c>
      <c r="J35" s="276" t="s">
        <v>1880</v>
      </c>
      <c r="K35" s="275">
        <v>1</v>
      </c>
      <c r="L35" s="275" t="s">
        <v>1881</v>
      </c>
      <c r="M35" s="276" t="s">
        <v>141</v>
      </c>
      <c r="N35" s="275" t="s">
        <v>1882</v>
      </c>
      <c r="O35" s="276">
        <v>1.6990000000000001</v>
      </c>
      <c r="P35" s="276" t="s">
        <v>1883</v>
      </c>
      <c r="Q35" s="276" t="s">
        <v>1874</v>
      </c>
    </row>
    <row r="36" spans="2:17" ht="27" hidden="1">
      <c r="B36" s="273" t="s">
        <v>2020</v>
      </c>
      <c r="C36" s="274">
        <v>43136</v>
      </c>
      <c r="D36" s="275" t="s">
        <v>614</v>
      </c>
      <c r="E36" s="274">
        <v>43137</v>
      </c>
      <c r="F36" s="276"/>
      <c r="G36" s="276" t="s">
        <v>2021</v>
      </c>
      <c r="H36" s="276">
        <v>243512</v>
      </c>
      <c r="I36" s="275" t="s">
        <v>2022</v>
      </c>
      <c r="J36" s="276" t="s">
        <v>1871</v>
      </c>
      <c r="K36" s="275">
        <v>-5</v>
      </c>
      <c r="L36" s="275" t="s">
        <v>1896</v>
      </c>
      <c r="M36" s="276" t="s">
        <v>142</v>
      </c>
      <c r="N36" s="275" t="s">
        <v>1873</v>
      </c>
      <c r="O36" s="276">
        <v>550</v>
      </c>
      <c r="P36" s="276" t="s">
        <v>2023</v>
      </c>
      <c r="Q36" s="276" t="s">
        <v>1874</v>
      </c>
    </row>
    <row r="37" spans="2:17" ht="27" hidden="1">
      <c r="B37" s="273" t="s">
        <v>2027</v>
      </c>
      <c r="C37" s="274">
        <v>43136</v>
      </c>
      <c r="D37" s="275" t="s">
        <v>614</v>
      </c>
      <c r="E37" s="274">
        <v>43143</v>
      </c>
      <c r="F37" s="276"/>
      <c r="G37" s="276" t="s">
        <v>2028</v>
      </c>
      <c r="H37" s="276">
        <v>9805</v>
      </c>
      <c r="I37" s="275" t="s">
        <v>2029</v>
      </c>
      <c r="J37" s="276" t="s">
        <v>1885</v>
      </c>
      <c r="K37" s="275">
        <v>1</v>
      </c>
      <c r="L37" s="275" t="s">
        <v>1886</v>
      </c>
      <c r="M37" s="276" t="s">
        <v>142</v>
      </c>
      <c r="N37" s="275" t="s">
        <v>1876</v>
      </c>
      <c r="O37" s="276">
        <v>1.7989999999999999</v>
      </c>
      <c r="P37" s="276" t="s">
        <v>1893</v>
      </c>
      <c r="Q37" s="276" t="s">
        <v>1874</v>
      </c>
    </row>
    <row r="38" spans="2:17" ht="36">
      <c r="B38" s="273" t="s">
        <v>2033</v>
      </c>
      <c r="C38" s="274">
        <v>43136</v>
      </c>
      <c r="D38" s="275" t="s">
        <v>614</v>
      </c>
      <c r="E38" s="274">
        <v>43140</v>
      </c>
      <c r="F38" s="276" t="s">
        <v>1919</v>
      </c>
      <c r="G38" s="276" t="s">
        <v>2034</v>
      </c>
      <c r="H38" s="276">
        <v>1305980</v>
      </c>
      <c r="I38" s="275" t="s">
        <v>2035</v>
      </c>
      <c r="J38" s="276" t="s">
        <v>1888</v>
      </c>
      <c r="K38" s="275">
        <v>-2</v>
      </c>
      <c r="L38" s="275" t="s">
        <v>1901</v>
      </c>
      <c r="M38" s="276" t="s">
        <v>142</v>
      </c>
      <c r="N38" s="275" t="s">
        <v>1890</v>
      </c>
      <c r="O38" s="276">
        <v>2.399</v>
      </c>
      <c r="P38" s="276" t="s">
        <v>2036</v>
      </c>
      <c r="Q38" s="276" t="s">
        <v>1874</v>
      </c>
    </row>
    <row r="39" spans="2:17" ht="36" hidden="1">
      <c r="B39" s="273" t="s">
        <v>2041</v>
      </c>
      <c r="C39" s="274">
        <v>43136</v>
      </c>
      <c r="D39" s="275" t="s">
        <v>614</v>
      </c>
      <c r="E39" s="274">
        <v>43140</v>
      </c>
      <c r="F39" s="276" t="s">
        <v>2091</v>
      </c>
      <c r="G39" s="276" t="s">
        <v>2042</v>
      </c>
      <c r="H39" s="276">
        <v>1404703</v>
      </c>
      <c r="I39" s="275" t="s">
        <v>1925</v>
      </c>
      <c r="J39" s="276" t="s">
        <v>1888</v>
      </c>
      <c r="K39" s="275">
        <v>-2</v>
      </c>
      <c r="L39" s="275" t="s">
        <v>1930</v>
      </c>
      <c r="M39" s="276" t="s">
        <v>141</v>
      </c>
      <c r="N39" s="275" t="s">
        <v>1890</v>
      </c>
      <c r="O39" s="276">
        <v>1.7989999999999999</v>
      </c>
      <c r="P39" s="276" t="s">
        <v>2036</v>
      </c>
      <c r="Q39" s="276" t="s">
        <v>1874</v>
      </c>
    </row>
    <row r="40" spans="2:17" ht="36">
      <c r="B40" s="273" t="s">
        <v>2002</v>
      </c>
      <c r="C40" s="274">
        <v>43137</v>
      </c>
      <c r="D40" s="275" t="s">
        <v>614</v>
      </c>
      <c r="E40" s="274">
        <v>43143</v>
      </c>
      <c r="F40" s="276" t="s">
        <v>1919</v>
      </c>
      <c r="G40" s="276" t="s">
        <v>2003</v>
      </c>
      <c r="H40" s="276">
        <v>5188</v>
      </c>
      <c r="I40" s="275" t="s">
        <v>2004</v>
      </c>
      <c r="J40" s="276" t="s">
        <v>1880</v>
      </c>
      <c r="K40" s="275">
        <v>1</v>
      </c>
      <c r="L40" s="275" t="s">
        <v>1896</v>
      </c>
      <c r="M40" s="276" t="s">
        <v>141</v>
      </c>
      <c r="N40" s="275" t="s">
        <v>1876</v>
      </c>
      <c r="O40" s="276">
        <v>1.7989999999999999</v>
      </c>
      <c r="P40" s="276" t="s">
        <v>1877</v>
      </c>
      <c r="Q40" s="276" t="s">
        <v>1874</v>
      </c>
    </row>
    <row r="41" spans="2:17" ht="27">
      <c r="B41" s="273" t="s">
        <v>2005</v>
      </c>
      <c r="C41" s="274">
        <v>43137</v>
      </c>
      <c r="D41" s="275" t="s">
        <v>614</v>
      </c>
      <c r="E41" s="274">
        <v>43139</v>
      </c>
      <c r="F41" s="276" t="s">
        <v>1919</v>
      </c>
      <c r="G41" s="276" t="s">
        <v>2006</v>
      </c>
      <c r="H41" s="276">
        <v>8396</v>
      </c>
      <c r="I41" s="275" t="s">
        <v>2007</v>
      </c>
      <c r="J41" s="276" t="s">
        <v>1880</v>
      </c>
      <c r="K41" s="275">
        <v>-3</v>
      </c>
      <c r="L41" s="275" t="s">
        <v>1916</v>
      </c>
      <c r="M41" s="276" t="s">
        <v>141</v>
      </c>
      <c r="N41" s="275" t="s">
        <v>1876</v>
      </c>
      <c r="O41" s="276">
        <v>1.6339999999999999</v>
      </c>
      <c r="P41" s="276" t="s">
        <v>1899</v>
      </c>
      <c r="Q41" s="276" t="s">
        <v>1874</v>
      </c>
    </row>
    <row r="42" spans="2:17" ht="36">
      <c r="B42" s="273" t="s">
        <v>2016</v>
      </c>
      <c r="C42" s="274">
        <v>43137</v>
      </c>
      <c r="D42" s="275" t="s">
        <v>614</v>
      </c>
      <c r="E42" s="274">
        <v>43143</v>
      </c>
      <c r="F42" s="276" t="s">
        <v>1919</v>
      </c>
      <c r="G42" s="276" t="s">
        <v>2017</v>
      </c>
      <c r="H42" s="276">
        <v>76267</v>
      </c>
      <c r="I42" s="275" t="s">
        <v>2018</v>
      </c>
      <c r="J42" s="276" t="s">
        <v>1871</v>
      </c>
      <c r="K42" s="275">
        <v>1</v>
      </c>
      <c r="L42" s="275" t="s">
        <v>1872</v>
      </c>
      <c r="M42" s="276" t="s">
        <v>141</v>
      </c>
      <c r="N42" s="275" t="s">
        <v>1873</v>
      </c>
      <c r="O42" s="276">
        <v>999</v>
      </c>
      <c r="P42" s="276" t="s">
        <v>2019</v>
      </c>
      <c r="Q42" s="276" t="s">
        <v>1874</v>
      </c>
    </row>
    <row r="43" spans="2:17" ht="36">
      <c r="B43" s="273" t="s">
        <v>2024</v>
      </c>
      <c r="C43" s="274">
        <v>43137</v>
      </c>
      <c r="D43" s="275" t="s">
        <v>614</v>
      </c>
      <c r="E43" s="274">
        <v>43143</v>
      </c>
      <c r="F43" s="276" t="s">
        <v>1919</v>
      </c>
      <c r="G43" s="276" t="s">
        <v>2025</v>
      </c>
      <c r="H43" s="276">
        <v>334923</v>
      </c>
      <c r="I43" s="275" t="s">
        <v>1936</v>
      </c>
      <c r="J43" s="276" t="s">
        <v>1871</v>
      </c>
      <c r="K43" s="275">
        <v>1</v>
      </c>
      <c r="L43" s="275" t="s">
        <v>1872</v>
      </c>
      <c r="M43" s="276" t="s">
        <v>141</v>
      </c>
      <c r="N43" s="275" t="s">
        <v>1873</v>
      </c>
      <c r="O43" s="276">
        <v>1.7989999999999999</v>
      </c>
      <c r="P43" s="276" t="s">
        <v>2026</v>
      </c>
      <c r="Q43" s="276" t="s">
        <v>1874</v>
      </c>
    </row>
    <row r="44" spans="2:17" ht="27">
      <c r="B44" s="273" t="s">
        <v>2058</v>
      </c>
      <c r="C44" s="274">
        <v>43138</v>
      </c>
      <c r="D44" s="275" t="s">
        <v>614</v>
      </c>
      <c r="E44" s="274">
        <v>43143</v>
      </c>
      <c r="F44" s="276" t="s">
        <v>1919</v>
      </c>
      <c r="G44" s="276" t="s">
        <v>2059</v>
      </c>
      <c r="H44" s="276">
        <v>9160</v>
      </c>
      <c r="I44" s="275" t="s">
        <v>2060</v>
      </c>
      <c r="J44" s="276" t="s">
        <v>1885</v>
      </c>
      <c r="K44" s="275">
        <v>1</v>
      </c>
      <c r="L44" s="275" t="s">
        <v>1914</v>
      </c>
      <c r="M44" s="276" t="s">
        <v>142</v>
      </c>
      <c r="N44" s="275" t="s">
        <v>1876</v>
      </c>
      <c r="O44" s="276">
        <v>1.2989999999999999</v>
      </c>
      <c r="P44" s="276" t="s">
        <v>1933</v>
      </c>
      <c r="Q44" s="276" t="s">
        <v>1874</v>
      </c>
    </row>
    <row r="45" spans="2:17" ht="18">
      <c r="B45" s="273" t="s">
        <v>2082</v>
      </c>
      <c r="C45" s="274">
        <v>43138</v>
      </c>
      <c r="D45" s="275" t="s">
        <v>614</v>
      </c>
      <c r="E45" s="274">
        <v>43142</v>
      </c>
      <c r="F45" s="276" t="s">
        <v>1919</v>
      </c>
      <c r="G45" s="276" t="s">
        <v>2083</v>
      </c>
      <c r="H45" s="276">
        <v>17</v>
      </c>
      <c r="I45" s="275" t="s">
        <v>2084</v>
      </c>
      <c r="J45" s="276" t="s">
        <v>1885</v>
      </c>
      <c r="K45" s="275">
        <v>0</v>
      </c>
      <c r="L45" s="275" t="s">
        <v>1914</v>
      </c>
      <c r="M45" s="276" t="s">
        <v>142</v>
      </c>
      <c r="N45" s="275" t="s">
        <v>1882</v>
      </c>
      <c r="O45" s="276">
        <v>1.399</v>
      </c>
      <c r="P45" s="276" t="s">
        <v>1938</v>
      </c>
      <c r="Q45" s="276" t="s">
        <v>1874</v>
      </c>
    </row>
    <row r="46" spans="2:17" ht="27">
      <c r="B46" s="273" t="s">
        <v>2046</v>
      </c>
      <c r="C46" s="274">
        <v>43139</v>
      </c>
      <c r="D46" s="275" t="s">
        <v>614</v>
      </c>
      <c r="E46" s="274">
        <v>43143</v>
      </c>
      <c r="F46" s="276" t="s">
        <v>1919</v>
      </c>
      <c r="G46" s="276" t="s">
        <v>2047</v>
      </c>
      <c r="H46" s="276">
        <v>632</v>
      </c>
      <c r="I46" s="275" t="s">
        <v>2048</v>
      </c>
      <c r="J46" s="276" t="s">
        <v>1885</v>
      </c>
      <c r="K46" s="275">
        <v>1</v>
      </c>
      <c r="L46" s="275" t="s">
        <v>1914</v>
      </c>
      <c r="M46" s="276" t="s">
        <v>142</v>
      </c>
      <c r="N46" s="275" t="s">
        <v>1876</v>
      </c>
      <c r="O46" s="276">
        <v>2.1989999999999998</v>
      </c>
      <c r="P46" s="276" t="s">
        <v>2049</v>
      </c>
      <c r="Q46" s="276" t="s">
        <v>1874</v>
      </c>
    </row>
    <row r="47" spans="2:17" ht="36" hidden="1">
      <c r="B47" s="273" t="s">
        <v>2075</v>
      </c>
      <c r="C47" s="274">
        <v>43139</v>
      </c>
      <c r="D47" s="275" t="s">
        <v>614</v>
      </c>
      <c r="E47" s="274">
        <v>43143</v>
      </c>
      <c r="F47" s="276"/>
      <c r="G47" s="276" t="s">
        <v>2076</v>
      </c>
      <c r="H47" s="276">
        <v>134110</v>
      </c>
      <c r="I47" s="275" t="s">
        <v>2077</v>
      </c>
      <c r="J47" s="276" t="s">
        <v>1871</v>
      </c>
      <c r="K47" s="275">
        <v>1</v>
      </c>
      <c r="L47" s="275" t="s">
        <v>1897</v>
      </c>
      <c r="M47" s="276" t="s">
        <v>141</v>
      </c>
      <c r="N47" s="275" t="s">
        <v>1873</v>
      </c>
      <c r="O47" s="276">
        <v>1.1990000000000001</v>
      </c>
      <c r="P47" s="276" t="s">
        <v>2078</v>
      </c>
      <c r="Q47" s="276" t="s">
        <v>1874</v>
      </c>
    </row>
    <row r="48" spans="2:17" ht="27">
      <c r="B48" s="273" t="s">
        <v>2079</v>
      </c>
      <c r="C48" s="274">
        <v>43140</v>
      </c>
      <c r="D48" s="275" t="s">
        <v>614</v>
      </c>
      <c r="E48" s="274">
        <v>43142</v>
      </c>
      <c r="F48" s="276" t="s">
        <v>1919</v>
      </c>
      <c r="G48" s="276" t="s">
        <v>2080</v>
      </c>
      <c r="H48" s="276">
        <v>6857</v>
      </c>
      <c r="I48" s="275" t="s">
        <v>2081</v>
      </c>
      <c r="J48" s="276" t="s">
        <v>1885</v>
      </c>
      <c r="K48" s="275">
        <v>0</v>
      </c>
      <c r="L48" s="275" t="s">
        <v>1914</v>
      </c>
      <c r="M48" s="276" t="s">
        <v>142</v>
      </c>
      <c r="N48" s="275" t="s">
        <v>1876</v>
      </c>
      <c r="O48" s="276">
        <v>749</v>
      </c>
      <c r="P48" s="276" t="s">
        <v>2049</v>
      </c>
      <c r="Q48" s="276" t="s">
        <v>1874</v>
      </c>
    </row>
    <row r="49" spans="2:17" ht="27">
      <c r="B49" s="273" t="s">
        <v>2043</v>
      </c>
      <c r="C49" s="274">
        <v>43128</v>
      </c>
      <c r="D49" s="275" t="s">
        <v>614</v>
      </c>
      <c r="E49" s="274">
        <v>43141</v>
      </c>
      <c r="F49" s="276" t="s">
        <v>1919</v>
      </c>
      <c r="G49" s="276" t="s">
        <v>2044</v>
      </c>
      <c r="H49" s="276">
        <v>1280</v>
      </c>
      <c r="I49" s="275" t="s">
        <v>2045</v>
      </c>
      <c r="J49" s="276" t="s">
        <v>1885</v>
      </c>
      <c r="K49" s="275">
        <v>-2</v>
      </c>
      <c r="L49" s="275" t="s">
        <v>1900</v>
      </c>
      <c r="M49" s="276" t="s">
        <v>142</v>
      </c>
      <c r="N49" s="275" t="s">
        <v>1876</v>
      </c>
      <c r="O49" s="276">
        <v>1.4990000000000001</v>
      </c>
      <c r="P49" s="276" t="s">
        <v>1887</v>
      </c>
      <c r="Q49" s="276" t="s">
        <v>1874</v>
      </c>
    </row>
    <row r="50" spans="2:17" ht="36">
      <c r="B50" s="273" t="s">
        <v>2061</v>
      </c>
      <c r="C50" s="274">
        <v>43128</v>
      </c>
      <c r="D50" s="275" t="s">
        <v>614</v>
      </c>
      <c r="E50" s="274">
        <v>43141</v>
      </c>
      <c r="F50" s="276" t="s">
        <v>1919</v>
      </c>
      <c r="G50" s="276" t="s">
        <v>2062</v>
      </c>
      <c r="H50" s="276">
        <v>9239</v>
      </c>
      <c r="I50" s="275" t="s">
        <v>2063</v>
      </c>
      <c r="J50" s="276" t="s">
        <v>2053</v>
      </c>
      <c r="K50" s="275">
        <v>-2</v>
      </c>
      <c r="L50" s="275" t="s">
        <v>1900</v>
      </c>
      <c r="M50" s="276" t="s">
        <v>142</v>
      </c>
      <c r="N50" s="275" t="s">
        <v>1882</v>
      </c>
      <c r="O50" s="276">
        <v>449</v>
      </c>
      <c r="P50" s="276" t="s">
        <v>1929</v>
      </c>
      <c r="Q50" s="276" t="s">
        <v>1874</v>
      </c>
    </row>
    <row r="51" spans="2:17" ht="27">
      <c r="B51" s="273" t="s">
        <v>2050</v>
      </c>
      <c r="C51" s="274">
        <v>43129</v>
      </c>
      <c r="D51" s="275" t="s">
        <v>614</v>
      </c>
      <c r="E51" s="274">
        <v>43141</v>
      </c>
      <c r="F51" s="276" t="s">
        <v>1919</v>
      </c>
      <c r="G51" s="276" t="s">
        <v>2051</v>
      </c>
      <c r="H51" s="276">
        <v>1650</v>
      </c>
      <c r="I51" s="275" t="s">
        <v>2052</v>
      </c>
      <c r="J51" s="276" t="s">
        <v>2053</v>
      </c>
      <c r="K51" s="275">
        <v>-2</v>
      </c>
      <c r="L51" s="275" t="s">
        <v>1900</v>
      </c>
      <c r="M51" s="276" t="s">
        <v>142</v>
      </c>
      <c r="N51" s="275" t="s">
        <v>1876</v>
      </c>
      <c r="O51" s="276">
        <v>599</v>
      </c>
      <c r="P51" s="276" t="s">
        <v>1877</v>
      </c>
      <c r="Q51" s="276" t="s">
        <v>1874</v>
      </c>
    </row>
    <row r="52" spans="2:17" ht="27">
      <c r="B52" s="273" t="s">
        <v>2073</v>
      </c>
      <c r="C52" s="274">
        <v>43129</v>
      </c>
      <c r="D52" s="275" t="s">
        <v>614</v>
      </c>
      <c r="E52" s="274">
        <v>43141</v>
      </c>
      <c r="F52" s="276" t="s">
        <v>1919</v>
      </c>
      <c r="G52" s="276" t="s">
        <v>2074</v>
      </c>
      <c r="H52" s="276">
        <v>9633</v>
      </c>
      <c r="I52" s="275" t="s">
        <v>1928</v>
      </c>
      <c r="J52" s="276" t="s">
        <v>1885</v>
      </c>
      <c r="K52" s="275">
        <v>-2</v>
      </c>
      <c r="L52" s="275" t="s">
        <v>1900</v>
      </c>
      <c r="M52" s="276" t="s">
        <v>142</v>
      </c>
      <c r="N52" s="275" t="s">
        <v>1876</v>
      </c>
      <c r="O52" s="276">
        <v>1.9990000000000001</v>
      </c>
      <c r="P52" s="276" t="s">
        <v>1887</v>
      </c>
      <c r="Q52" s="276" t="s">
        <v>1874</v>
      </c>
    </row>
    <row r="53" spans="2:17" ht="27">
      <c r="B53" s="273" t="s">
        <v>2070</v>
      </c>
      <c r="C53" s="274">
        <v>43129</v>
      </c>
      <c r="D53" s="275" t="s">
        <v>614</v>
      </c>
      <c r="E53" s="274">
        <v>43141</v>
      </c>
      <c r="F53" s="276" t="s">
        <v>1919</v>
      </c>
      <c r="G53" s="276" t="s">
        <v>2071</v>
      </c>
      <c r="H53" s="276">
        <v>6151</v>
      </c>
      <c r="I53" s="275" t="s">
        <v>2072</v>
      </c>
      <c r="J53" s="276" t="s">
        <v>2053</v>
      </c>
      <c r="K53" s="275">
        <v>-2</v>
      </c>
      <c r="L53" s="275" t="s">
        <v>1900</v>
      </c>
      <c r="M53" s="276" t="s">
        <v>142</v>
      </c>
      <c r="N53" s="275" t="s">
        <v>1882</v>
      </c>
      <c r="O53" s="276">
        <v>188</v>
      </c>
      <c r="P53" s="276" t="s">
        <v>1927</v>
      </c>
      <c r="Q53" s="276" t="s">
        <v>1874</v>
      </c>
    </row>
    <row r="54" spans="2:17" ht="27">
      <c r="B54" s="273" t="s">
        <v>2064</v>
      </c>
      <c r="C54" s="274">
        <v>43130</v>
      </c>
      <c r="D54" s="275" t="s">
        <v>614</v>
      </c>
      <c r="E54" s="274">
        <v>43141</v>
      </c>
      <c r="F54" s="276" t="s">
        <v>1919</v>
      </c>
      <c r="G54" s="276" t="s">
        <v>2065</v>
      </c>
      <c r="H54" s="276">
        <v>5282</v>
      </c>
      <c r="I54" s="275" t="s">
        <v>2066</v>
      </c>
      <c r="J54" s="276" t="s">
        <v>1885</v>
      </c>
      <c r="K54" s="275">
        <v>-2</v>
      </c>
      <c r="L54" s="275" t="s">
        <v>1900</v>
      </c>
      <c r="M54" s="276" t="s">
        <v>142</v>
      </c>
      <c r="N54" s="275" t="s">
        <v>1876</v>
      </c>
      <c r="O54" s="276">
        <v>2.6989999999999998</v>
      </c>
      <c r="P54" s="276" t="s">
        <v>1877</v>
      </c>
      <c r="Q54" s="276" t="s">
        <v>1874</v>
      </c>
    </row>
    <row r="55" spans="2:17" ht="36">
      <c r="B55" s="273" t="s">
        <v>2088</v>
      </c>
      <c r="C55" s="274">
        <v>43130</v>
      </c>
      <c r="D55" s="275" t="s">
        <v>614</v>
      </c>
      <c r="E55" s="274">
        <v>43141</v>
      </c>
      <c r="F55" s="276" t="s">
        <v>1919</v>
      </c>
      <c r="G55" s="276" t="s">
        <v>2089</v>
      </c>
      <c r="H55" s="276">
        <v>2706999</v>
      </c>
      <c r="I55" s="275" t="s">
        <v>2090</v>
      </c>
      <c r="J55" s="276" t="s">
        <v>1888</v>
      </c>
      <c r="K55" s="275">
        <v>-2</v>
      </c>
      <c r="L55" s="275" t="s">
        <v>1900</v>
      </c>
      <c r="M55" s="276" t="s">
        <v>142</v>
      </c>
      <c r="N55" s="275" t="s">
        <v>1890</v>
      </c>
      <c r="O55" s="276">
        <v>1.4990000000000001</v>
      </c>
      <c r="P55" s="276" t="s">
        <v>1891</v>
      </c>
      <c r="Q55" s="276" t="s">
        <v>1874</v>
      </c>
    </row>
    <row r="56" spans="2:17" ht="36">
      <c r="B56" s="273" t="s">
        <v>2085</v>
      </c>
      <c r="C56" s="274">
        <v>43132</v>
      </c>
      <c r="D56" s="275" t="s">
        <v>614</v>
      </c>
      <c r="E56" s="274">
        <v>43141</v>
      </c>
      <c r="F56" s="276" t="s">
        <v>1919</v>
      </c>
      <c r="G56" s="276" t="s">
        <v>2086</v>
      </c>
      <c r="H56" s="276">
        <v>2706417</v>
      </c>
      <c r="I56" s="275" t="s">
        <v>2087</v>
      </c>
      <c r="J56" s="276" t="s">
        <v>1888</v>
      </c>
      <c r="K56" s="275">
        <v>-2</v>
      </c>
      <c r="L56" s="275" t="s">
        <v>1900</v>
      </c>
      <c r="M56" s="276" t="s">
        <v>142</v>
      </c>
      <c r="N56" s="275" t="s">
        <v>1890</v>
      </c>
      <c r="O56" s="276">
        <v>2.4990000000000001</v>
      </c>
      <c r="P56" s="276" t="s">
        <v>1891</v>
      </c>
      <c r="Q56" s="276" t="s">
        <v>1874</v>
      </c>
    </row>
    <row r="57" spans="2:17" ht="27">
      <c r="B57" s="273" t="s">
        <v>1996</v>
      </c>
      <c r="C57" s="274">
        <v>43133</v>
      </c>
      <c r="D57" s="275" t="s">
        <v>1912</v>
      </c>
      <c r="E57" s="274">
        <v>43139</v>
      </c>
      <c r="F57" s="276" t="s">
        <v>1919</v>
      </c>
      <c r="G57" s="276" t="s">
        <v>1997</v>
      </c>
      <c r="H57" s="276">
        <v>9235</v>
      </c>
      <c r="I57" s="275" t="s">
        <v>1908</v>
      </c>
      <c r="J57" s="276" t="s">
        <v>1880</v>
      </c>
      <c r="K57" s="275">
        <v>-3</v>
      </c>
      <c r="L57" s="275" t="s">
        <v>1896</v>
      </c>
      <c r="M57" s="276" t="s">
        <v>141</v>
      </c>
      <c r="N57" s="275" t="s">
        <v>1876</v>
      </c>
      <c r="O57" s="276">
        <v>3.3029999999999999</v>
      </c>
      <c r="P57" s="276" t="s">
        <v>1998</v>
      </c>
      <c r="Q57" s="276" t="s">
        <v>1874</v>
      </c>
    </row>
    <row r="58" spans="2:17" ht="36">
      <c r="B58" s="273" t="s">
        <v>1999</v>
      </c>
      <c r="C58" s="274">
        <v>43133</v>
      </c>
      <c r="D58" s="275" t="s">
        <v>614</v>
      </c>
      <c r="E58" s="274">
        <v>43143</v>
      </c>
      <c r="F58" s="276" t="s">
        <v>1919</v>
      </c>
      <c r="G58" s="276" t="s">
        <v>2000</v>
      </c>
      <c r="H58" s="276">
        <v>2646</v>
      </c>
      <c r="I58" s="275" t="s">
        <v>2001</v>
      </c>
      <c r="J58" s="276" t="s">
        <v>1880</v>
      </c>
      <c r="K58" s="275">
        <v>0</v>
      </c>
      <c r="L58" s="275" t="s">
        <v>1896</v>
      </c>
      <c r="M58" s="276" t="s">
        <v>141</v>
      </c>
      <c r="N58" s="275" t="s">
        <v>1876</v>
      </c>
      <c r="O58" s="276">
        <v>744</v>
      </c>
      <c r="P58" s="276" t="s">
        <v>1911</v>
      </c>
      <c r="Q58" s="276" t="s">
        <v>1874</v>
      </c>
    </row>
    <row r="59" spans="2:17" ht="27">
      <c r="B59" s="273" t="s">
        <v>2093</v>
      </c>
      <c r="C59" s="274">
        <v>43137</v>
      </c>
      <c r="D59" s="275" t="s">
        <v>614</v>
      </c>
      <c r="E59" s="274">
        <v>43143</v>
      </c>
      <c r="F59" s="276" t="s">
        <v>1919</v>
      </c>
      <c r="G59" s="276" t="s">
        <v>2094</v>
      </c>
      <c r="H59" s="276">
        <v>1591</v>
      </c>
      <c r="I59" s="275" t="s">
        <v>2095</v>
      </c>
      <c r="J59" s="276" t="s">
        <v>1884</v>
      </c>
      <c r="K59" s="275">
        <v>0</v>
      </c>
      <c r="L59" s="275" t="s">
        <v>1875</v>
      </c>
      <c r="M59" s="276" t="s">
        <v>142</v>
      </c>
      <c r="N59" s="275" t="s">
        <v>1876</v>
      </c>
      <c r="O59" s="276">
        <v>2.9990000000000001</v>
      </c>
      <c r="P59" s="276" t="s">
        <v>1887</v>
      </c>
      <c r="Q59" s="276" t="s">
        <v>1874</v>
      </c>
    </row>
    <row r="60" spans="2:17" ht="27">
      <c r="B60" s="273" t="s">
        <v>2099</v>
      </c>
      <c r="C60" s="274">
        <v>43137</v>
      </c>
      <c r="D60" s="275" t="s">
        <v>614</v>
      </c>
      <c r="E60" s="274">
        <v>43143</v>
      </c>
      <c r="F60" s="276" t="s">
        <v>1919</v>
      </c>
      <c r="G60" s="276" t="s">
        <v>2100</v>
      </c>
      <c r="H60" s="276">
        <v>7432</v>
      </c>
      <c r="I60" s="275" t="s">
        <v>2101</v>
      </c>
      <c r="J60" s="276" t="s">
        <v>1884</v>
      </c>
      <c r="K60" s="275">
        <v>0</v>
      </c>
      <c r="L60" s="275" t="s">
        <v>1875</v>
      </c>
      <c r="M60" s="276" t="s">
        <v>141</v>
      </c>
      <c r="N60" s="275" t="s">
        <v>1876</v>
      </c>
      <c r="O60" s="276">
        <v>2.2989999999999999</v>
      </c>
      <c r="P60" s="276" t="s">
        <v>1879</v>
      </c>
      <c r="Q60" s="276" t="s">
        <v>1874</v>
      </c>
    </row>
    <row r="61" spans="2:17" ht="36">
      <c r="B61" s="273" t="s">
        <v>2096</v>
      </c>
      <c r="C61" s="274">
        <v>43138</v>
      </c>
      <c r="D61" s="275" t="s">
        <v>614</v>
      </c>
      <c r="E61" s="274">
        <v>43143</v>
      </c>
      <c r="F61" s="276" t="s">
        <v>1919</v>
      </c>
      <c r="G61" s="276" t="s">
        <v>2097</v>
      </c>
      <c r="H61" s="276">
        <v>8551</v>
      </c>
      <c r="I61" s="275" t="s">
        <v>2098</v>
      </c>
      <c r="J61" s="276" t="s">
        <v>1880</v>
      </c>
      <c r="K61" s="275">
        <v>0</v>
      </c>
      <c r="L61" s="275" t="s">
        <v>1896</v>
      </c>
      <c r="M61" s="276" t="s">
        <v>141</v>
      </c>
      <c r="N61" s="275" t="s">
        <v>1882</v>
      </c>
      <c r="O61" s="276">
        <v>1.1990000000000001</v>
      </c>
      <c r="P61" s="276" t="s">
        <v>1892</v>
      </c>
      <c r="Q61" s="276" t="s">
        <v>1874</v>
      </c>
    </row>
    <row r="62" spans="2:17" ht="27">
      <c r="B62" s="273" t="s">
        <v>2102</v>
      </c>
      <c r="C62" s="274">
        <v>43138</v>
      </c>
      <c r="D62" s="275" t="s">
        <v>614</v>
      </c>
      <c r="E62" s="274">
        <v>43143</v>
      </c>
      <c r="F62" s="276" t="s">
        <v>1919</v>
      </c>
      <c r="G62" s="276" t="s">
        <v>2103</v>
      </c>
      <c r="H62" s="276">
        <v>5026</v>
      </c>
      <c r="I62" s="275" t="s">
        <v>2104</v>
      </c>
      <c r="J62" s="276" t="s">
        <v>1880</v>
      </c>
      <c r="K62" s="275">
        <v>0</v>
      </c>
      <c r="L62" s="275" t="s">
        <v>1916</v>
      </c>
      <c r="M62" s="276" t="s">
        <v>141</v>
      </c>
      <c r="N62" s="275" t="s">
        <v>1882</v>
      </c>
      <c r="O62" s="276">
        <v>1.0920000000000001</v>
      </c>
      <c r="P62" s="276" t="s">
        <v>1929</v>
      </c>
      <c r="Q62" s="276" t="s">
        <v>1874</v>
      </c>
    </row>
    <row r="63" spans="2:17" ht="45">
      <c r="B63" s="273" t="s">
        <v>2105</v>
      </c>
      <c r="C63" s="274">
        <v>43138</v>
      </c>
      <c r="D63" s="275" t="s">
        <v>614</v>
      </c>
      <c r="E63" s="274">
        <v>43143</v>
      </c>
      <c r="F63" s="276" t="s">
        <v>1919</v>
      </c>
      <c r="G63" s="276" t="s">
        <v>2106</v>
      </c>
      <c r="H63" s="276">
        <v>1704438</v>
      </c>
      <c r="I63" s="275" t="s">
        <v>2107</v>
      </c>
      <c r="J63" s="276" t="s">
        <v>1888</v>
      </c>
      <c r="K63" s="275">
        <v>0</v>
      </c>
      <c r="L63" s="275" t="s">
        <v>1903</v>
      </c>
      <c r="M63" s="276" t="s">
        <v>142</v>
      </c>
      <c r="N63" s="275" t="s">
        <v>1890</v>
      </c>
      <c r="O63" s="276">
        <v>899</v>
      </c>
      <c r="P63" s="276" t="s">
        <v>1904</v>
      </c>
      <c r="Q63" s="276" t="s">
        <v>1874</v>
      </c>
    </row>
    <row r="64" spans="2:17" ht="27">
      <c r="B64" s="273" t="s">
        <v>2108</v>
      </c>
      <c r="C64" s="274">
        <v>43140</v>
      </c>
      <c r="D64" s="275" t="s">
        <v>614</v>
      </c>
      <c r="E64" s="274">
        <v>43143</v>
      </c>
      <c r="F64" s="276" t="s">
        <v>1919</v>
      </c>
      <c r="G64" s="276" t="s">
        <v>2109</v>
      </c>
      <c r="H64" s="276">
        <v>6773</v>
      </c>
      <c r="I64" s="275" t="s">
        <v>1915</v>
      </c>
      <c r="J64" s="276" t="s">
        <v>1880</v>
      </c>
      <c r="K64" s="275">
        <v>0</v>
      </c>
      <c r="L64" s="275" t="s">
        <v>1897</v>
      </c>
      <c r="M64" s="276" t="s">
        <v>141</v>
      </c>
      <c r="N64" s="275" t="s">
        <v>1882</v>
      </c>
      <c r="O64" s="276">
        <v>599</v>
      </c>
      <c r="P64" s="276" t="s">
        <v>1910</v>
      </c>
      <c r="Q64" s="276" t="s">
        <v>1874</v>
      </c>
    </row>
    <row r="65" spans="2:17" ht="45">
      <c r="B65" s="273" t="s">
        <v>2110</v>
      </c>
      <c r="C65" s="274">
        <v>43140</v>
      </c>
      <c r="D65" s="275" t="s">
        <v>614</v>
      </c>
      <c r="E65" s="274">
        <v>43143</v>
      </c>
      <c r="F65" s="276" t="s">
        <v>1919</v>
      </c>
      <c r="G65" s="276" t="s">
        <v>2111</v>
      </c>
      <c r="H65" s="276">
        <v>9477</v>
      </c>
      <c r="I65" s="275" t="s">
        <v>2112</v>
      </c>
      <c r="J65" s="276" t="s">
        <v>1880</v>
      </c>
      <c r="K65" s="275">
        <v>0</v>
      </c>
      <c r="L65" s="275" t="s">
        <v>1889</v>
      </c>
      <c r="M65" s="276" t="s">
        <v>141</v>
      </c>
      <c r="N65" s="275" t="s">
        <v>1876</v>
      </c>
      <c r="O65" s="276">
        <v>1.899</v>
      </c>
      <c r="P65" s="276" t="s">
        <v>1902</v>
      </c>
      <c r="Q65" s="276" t="s">
        <v>1874</v>
      </c>
    </row>
    <row r="66" spans="2:17" ht="27">
      <c r="B66" s="295" t="s">
        <v>2113</v>
      </c>
      <c r="C66" s="296">
        <v>43140</v>
      </c>
      <c r="D66" s="297" t="s">
        <v>614</v>
      </c>
      <c r="E66" s="296">
        <v>43143</v>
      </c>
      <c r="F66" s="298" t="s">
        <v>1919</v>
      </c>
      <c r="G66" s="298" t="s">
        <v>2114</v>
      </c>
      <c r="H66" s="298">
        <v>9048</v>
      </c>
      <c r="I66" s="297" t="s">
        <v>2115</v>
      </c>
      <c r="J66" s="298" t="s">
        <v>1880</v>
      </c>
      <c r="K66" s="297">
        <v>0</v>
      </c>
      <c r="L66" s="297" t="s">
        <v>1897</v>
      </c>
      <c r="M66" s="298" t="s">
        <v>141</v>
      </c>
      <c r="N66" s="297" t="s">
        <v>1882</v>
      </c>
      <c r="O66" s="298">
        <v>1.6990000000000001</v>
      </c>
      <c r="P66" s="298" t="s">
        <v>2116</v>
      </c>
      <c r="Q66" s="298" t="s">
        <v>1874</v>
      </c>
    </row>
    <row r="67" spans="2:17" ht="27">
      <c r="B67" s="273" t="s">
        <v>2132</v>
      </c>
      <c r="C67" s="274">
        <v>43138</v>
      </c>
      <c r="D67" s="275" t="s">
        <v>614</v>
      </c>
      <c r="E67" s="274">
        <v>43144</v>
      </c>
      <c r="F67" s="276" t="s">
        <v>1919</v>
      </c>
      <c r="G67" s="276" t="s">
        <v>2133</v>
      </c>
      <c r="H67" s="276">
        <v>3185</v>
      </c>
      <c r="I67" s="275" t="s">
        <v>2134</v>
      </c>
      <c r="J67" s="276" t="s">
        <v>1884</v>
      </c>
      <c r="K67" s="275">
        <v>1</v>
      </c>
      <c r="L67" s="275" t="s">
        <v>1875</v>
      </c>
      <c r="M67" s="276" t="s">
        <v>142</v>
      </c>
      <c r="N67" s="275" t="s">
        <v>1876</v>
      </c>
      <c r="O67" s="276">
        <v>2.9990000000000001</v>
      </c>
      <c r="P67" s="276" t="s">
        <v>1877</v>
      </c>
      <c r="Q67" s="276" t="s">
        <v>1874</v>
      </c>
    </row>
    <row r="68" spans="2:17" ht="27">
      <c r="B68" s="273" t="s">
        <v>2128</v>
      </c>
      <c r="C68" s="274">
        <v>43138</v>
      </c>
      <c r="D68" s="275" t="s">
        <v>614</v>
      </c>
      <c r="E68" s="274">
        <v>43144</v>
      </c>
      <c r="F68" s="276" t="s">
        <v>1919</v>
      </c>
      <c r="G68" s="276" t="s">
        <v>2129</v>
      </c>
      <c r="H68" s="276">
        <v>3129</v>
      </c>
      <c r="I68" s="275" t="s">
        <v>2130</v>
      </c>
      <c r="J68" s="276" t="s">
        <v>1885</v>
      </c>
      <c r="K68" s="275">
        <v>1</v>
      </c>
      <c r="L68" s="275" t="s">
        <v>1903</v>
      </c>
      <c r="M68" s="276" t="s">
        <v>142</v>
      </c>
      <c r="N68" s="275" t="s">
        <v>1876</v>
      </c>
      <c r="O68" s="276">
        <v>2.85</v>
      </c>
      <c r="P68" s="276" t="s">
        <v>2131</v>
      </c>
      <c r="Q68" s="276" t="s">
        <v>1874</v>
      </c>
    </row>
    <row r="69" spans="2:17" ht="27">
      <c r="B69" s="273" t="s">
        <v>2135</v>
      </c>
      <c r="C69" s="274">
        <v>43140</v>
      </c>
      <c r="D69" s="275" t="s">
        <v>614</v>
      </c>
      <c r="E69" s="274">
        <v>43144</v>
      </c>
      <c r="F69" s="276" t="s">
        <v>1919</v>
      </c>
      <c r="G69" s="276" t="s">
        <v>2136</v>
      </c>
      <c r="H69" s="276">
        <v>2776</v>
      </c>
      <c r="I69" s="275" t="s">
        <v>2137</v>
      </c>
      <c r="J69" s="276" t="s">
        <v>1884</v>
      </c>
      <c r="K69" s="275">
        <v>1</v>
      </c>
      <c r="L69" s="275" t="s">
        <v>1875</v>
      </c>
      <c r="M69" s="276" t="s">
        <v>141</v>
      </c>
      <c r="N69" s="275" t="s">
        <v>1876</v>
      </c>
      <c r="O69" s="276">
        <v>2.5990000000000002</v>
      </c>
      <c r="P69" s="276" t="s">
        <v>1879</v>
      </c>
      <c r="Q69" s="276" t="s">
        <v>1874</v>
      </c>
    </row>
  </sheetData>
  <autoFilter ref="B2:Q48">
    <filterColumn colId="4">
      <filters>
        <filter val="llamar"/>
      </filters>
    </filterColumn>
    <sortState ref="B3:Q48">
      <sortCondition ref="C2:C48"/>
    </sortState>
  </autoFilter>
  <hyperlinks>
    <hyperlink ref="B11" r:id="rId1" display="http://segya2prod.cardifnet.com.pe/liquidador/VerOrdenTrabajoLiquidador.asp?accion=inbox&amp;cod_ot=217498"/>
    <hyperlink ref="B6" r:id="rId2" display="http://segya2prod.cardifnet.com.pe/liquidador/VerOrdenTrabajoLiquidador.asp?accion=inbox&amp;cod_ot=217589"/>
    <hyperlink ref="B8" r:id="rId3" display="http://segya2prod.cardifnet.com.pe/liquidador/VerOrdenTrabajoLiquidador.asp?accion=inbox&amp;cod_ot=217624"/>
    <hyperlink ref="B15" r:id="rId4" display="http://segya2prod.cardifnet.com.pe/liquidador/VerOrdenTrabajoLiquidador.asp?accion=inbox&amp;cod_ot=217756"/>
    <hyperlink ref="B19" r:id="rId5" display="http://segya2prod.cardifnet.com.pe/liquidador/VerOrdenTrabajoLiquidador.asp?accion=inbox&amp;cod_ot=217799"/>
    <hyperlink ref="B16" r:id="rId6" display="http://segya2prod.cardifnet.com.pe/liquidador/VerOrdenTrabajoLiquidador.asp?accion=inbox&amp;cod_ot=217739"/>
    <hyperlink ref="B3" r:id="rId7" display="http://segya2prod.cardifnet.com.pe/liquidador/VerOrdenTrabajoLiquidador.asp?accion=inbox&amp;cod_ot=217949"/>
    <hyperlink ref="B28" r:id="rId8" display="http://segya2prod.cardifnet.com.pe/liquidador/VerOrdenTrabajoLiquidador.asp?accion=inbox&amp;cod_ot=218038"/>
    <hyperlink ref="B20" r:id="rId9" display="http://segya2prod.cardifnet.com.pe/liquidador/VerOrdenTrabajoLiquidador.asp?accion=inbox&amp;cod_ot=217850"/>
    <hyperlink ref="B30" r:id="rId10" display="http://segya2prod.cardifnet.com.pe/liquidador/VerOrdenTrabajoLiquidador.asp?accion=inbox&amp;cod_ot=218058"/>
    <hyperlink ref="B29" r:id="rId11" display="http://segya2prod.cardifnet.com.pe/liquidador/VerOrdenTrabajoLiquidador.asp?accion=inbox&amp;cod_ot=218028"/>
    <hyperlink ref="B21" r:id="rId12" display="http://segya2prod.cardifnet.com.pe/liquidador/VerOrdenTrabajoLiquidador.asp?accion=inbox&amp;cod_ot=217915"/>
    <hyperlink ref="B24" r:id="rId13" display="http://segya2prod.cardifnet.com.pe/liquidador/VerOrdenTrabajoLiquidador.asp?accion=inbox&amp;cod_ot=217956"/>
    <hyperlink ref="B25" r:id="rId14" display="http://segya2prod.cardifnet.com.pe/liquidador/VerOrdenTrabajoLiquidador.asp?accion=inbox&amp;cod_ot=218008"/>
    <hyperlink ref="B33" r:id="rId15" display="http://segya2prod.cardifnet.com.pe/liquidador/VerOrdenTrabajoLiquidador.asp?accion=inbox&amp;cod_ot=218166"/>
    <hyperlink ref="B26" r:id="rId16" display="http://segya2prod.cardifnet.com.pe/liquidador/VerOrdenTrabajoLiquidador.asp?accion=inbox&amp;cod_ot=218083"/>
    <hyperlink ref="B27" r:id="rId17" display="http://segya2prod.cardifnet.com.pe/liquidador/VerOrdenTrabajoLiquidador.asp?accion=inbox&amp;cod_ot=218084"/>
    <hyperlink ref="B40" r:id="rId18" display="http://segya2prod.cardifnet.com.pe/liquidador/VerOrdenTrabajoLiquidador.asp?accion=inbox&amp;cod_ot=218352"/>
    <hyperlink ref="B41" r:id="rId19" display="http://segya2prod.cardifnet.com.pe/liquidador/VerOrdenTrabajoLiquidador.asp?accion=inbox&amp;cod_ot=218262"/>
    <hyperlink ref="B34" r:id="rId20" display="http://segya2prod.cardifnet.com.pe/liquidador/VerOrdenTrabajoLiquidador.asp?accion=inbox&amp;cod_ot=218173"/>
    <hyperlink ref="B35" r:id="rId21" display="http://segya2prod.cardifnet.com.pe/liquidador/VerOrdenTrabajoLiquidador.asp?accion=inbox&amp;cod_ot=218179"/>
    <hyperlink ref="B31" r:id="rId22" display="http://segya2prod.cardifnet.com.pe/liquidador/VerOrdenTrabajoLiquidador.asp?accion=inbox&amp;cod_ot=218078"/>
    <hyperlink ref="B42" r:id="rId23" display="http://segya2prod.cardifnet.com.pe/liquidador/VerOrdenTrabajoLiquidador.asp?accion=inbox&amp;cod_ot=218351"/>
    <hyperlink ref="B36" r:id="rId24" display="http://segya2prod.cardifnet.com.pe/liquidador/VerOrdenTrabajoLiquidador.asp?accion=inbox&amp;cod_ot=218209"/>
    <hyperlink ref="B43" r:id="rId25" display="http://segya2prod.cardifnet.com.pe/liquidador/VerOrdenTrabajoLiquidador.asp?accion=inbox&amp;cod_ot=218270"/>
    <hyperlink ref="B37" r:id="rId26" display="http://segya2prod.cardifnet.com.pe/liquidador/VerOrdenTrabajoLiquidador.asp?accion=inbox&amp;cod_ot=218190"/>
    <hyperlink ref="B32" r:id="rId27" display="http://segya2prod.cardifnet.com.pe/liquidador/VerOrdenTrabajoLiquidador.asp?accion=inbox&amp;cod_ot=218068"/>
    <hyperlink ref="B38" r:id="rId28" display="http://segya2prod.cardifnet.com.pe/liquidador/VerOrdenTrabajoLiquidador.asp?accion=inbox&amp;cod_ot=218214"/>
    <hyperlink ref="B4" r:id="rId29" display="http://segya2prod.cardifnet.com.pe/liquidador/VerOrdenTrabajoLiquidador.asp?accion=inbox&amp;cod_ot=218183"/>
    <hyperlink ref="B39" r:id="rId30" display="http://segya2prod.cardifnet.com.pe/liquidador/VerOrdenTrabajoLiquidador.asp?accion=inbox&amp;cod_ot=218182"/>
    <hyperlink ref="B9" r:id="rId31" display="http://segya2prod.cardifnet.com.pe/liquidador/VerOrdenTrabajoLiquidador.asp?accion=inbox&amp;cod_ot=218490"/>
    <hyperlink ref="B46" r:id="rId32" display="http://segya2prod.cardifnet.com.pe/liquidador/VerOrdenTrabajoLiquidador.asp?accion=inbox&amp;cod_ot=218496"/>
    <hyperlink ref="B12" r:id="rId33" display="http://segya2prod.cardifnet.com.pe/liquidador/VerOrdenTrabajoLiquidador.asp?accion=inbox&amp;cod_ot=218545"/>
    <hyperlink ref="B22" r:id="rId34" display="http://segya2prod.cardifnet.com.pe/liquidador/VerOrdenTrabajoLiquidador.asp?accion=inbox&amp;cod_ot=218548"/>
    <hyperlink ref="B5" r:id="rId35" display="http://segya2prod.cardifnet.com.pe/liquidador/VerOrdenTrabajoLiquidador.asp?accion=inbox&amp;cod_ot=218491"/>
    <hyperlink ref="B44" r:id="rId36" display="http://segya2prod.cardifnet.com.pe/liquidador/VerOrdenTrabajoLiquidador.asp?accion=inbox&amp;cod_ot=218388"/>
    <hyperlink ref="B10" r:id="rId37" display="http://segya2prod.cardifnet.com.pe/liquidador/VerOrdenTrabajoLiquidador.asp?accion=inbox&amp;cod_ot=218544"/>
    <hyperlink ref="B17" r:id="rId38" display="http://segya2prod.cardifnet.com.pe/liquidador/VerOrdenTrabajoLiquidador.asp?accion=inbox&amp;cod_ot=218494"/>
    <hyperlink ref="B7" r:id="rId39" display="http://segya2prod.cardifnet.com.pe/liquidador/VerOrdenTrabajoLiquidador.asp?accion=inbox&amp;cod_ot=218543"/>
    <hyperlink ref="B13" r:id="rId40" display="http://segya2prod.cardifnet.com.pe/liquidador/VerOrdenTrabajoLiquidador.asp?accion=inbox&amp;cod_ot=218546"/>
    <hyperlink ref="B14" r:id="rId41" display="http://segya2prod.cardifnet.com.pe/liquidador/VerOrdenTrabajoLiquidador.asp?accion=inbox&amp;cod_ot=218492"/>
    <hyperlink ref="B47" r:id="rId42" display="http://segya2prod.cardifnet.com.pe/liquidador/VerOrdenTrabajoLiquidador.asp?accion=inbox&amp;cod_ot=218422"/>
    <hyperlink ref="B48" r:id="rId43" display="http://segya2prod.cardifnet.com.pe/liquidador/VerOrdenTrabajoLiquidador.asp?accion=inbox&amp;cod_ot=218534"/>
    <hyperlink ref="B45" r:id="rId44" display="http://segya2prod.cardifnet.com.pe/liquidador/VerOrdenTrabajoLiquidador.asp?accion=inbox&amp;cod_ot=218374"/>
    <hyperlink ref="B23" r:id="rId45" display="http://segya2prod.cardifnet.com.pe/liquidador/VerOrdenTrabajoLiquidador.asp?accion=inbox&amp;cod_ot=218436"/>
    <hyperlink ref="B18" r:id="rId46" display="http://segya2prod.cardifnet.com.pe/liquidador/VerOrdenTrabajoLiquidador.asp?accion=inbox&amp;cod_ot=218493"/>
    <hyperlink ref="B49" r:id="rId47" display="http://segya2prod.cardifnet.com.pe/liquidador/VerOrdenTrabajoLiquidador.asp?accion=inbox&amp;cod_ot=218490"/>
    <hyperlink ref="B50" r:id="rId48" display="http://segya2prod.cardifnet.com.pe/liquidador/VerOrdenTrabajoLiquidador.asp?accion=inbox&amp;cod_ot=218544"/>
    <hyperlink ref="B51" r:id="rId49" display="http://segya2prod.cardifnet.com.pe/liquidador/VerOrdenTrabajoLiquidador.asp?accion=inbox&amp;cod_ot=218545"/>
    <hyperlink ref="B52" r:id="rId50" display="http://segya2prod.cardifnet.com.pe/liquidador/VerOrdenTrabajoLiquidador.asp?accion=inbox&amp;cod_ot=218492"/>
    <hyperlink ref="B53" r:id="rId51" display="http://segya2prod.cardifnet.com.pe/liquidador/VerOrdenTrabajoLiquidador.asp?accion=inbox&amp;cod_ot=218546"/>
    <hyperlink ref="B54" r:id="rId52" display="http://segya2prod.cardifnet.com.pe/liquidador/VerOrdenTrabajoLiquidador.asp?accion=inbox&amp;cod_ot=218494"/>
    <hyperlink ref="B56" r:id="rId53" display="http://segya2prod.cardifnet.com.pe/liquidador/VerOrdenTrabajoLiquidador.asp?accion=inbox&amp;cod_ot=218436"/>
    <hyperlink ref="B55" r:id="rId54" display="http://segya2prod.cardifnet.com.pe/liquidador/VerOrdenTrabajoLiquidador.asp?accion=inbox&amp;cod_ot=218493"/>
    <hyperlink ref="B57" r:id="rId55" display="http://segya2prod.cardifnet.com.pe/liquidador/VerOrdenTrabajoLiquidador.asp?accion=inbox&amp;cod_ot=218083"/>
    <hyperlink ref="B58" r:id="rId56" display="http://segya2prod.cardifnet.com.pe/liquidador/VerOrdenTrabajoLiquidador.asp?accion=inbox&amp;cod_ot=218084"/>
    <hyperlink ref="B59" r:id="rId57" display="http://segya2prod.cardifnet.com.pe/liquidador/VerOrdenTrabajoLiquidador.asp?accion=inbox&amp;cod_ot=218242"/>
    <hyperlink ref="B61" r:id="rId58" display="http://segya2prod.cardifnet.com.pe/liquidador/VerOrdenTrabajoLiquidador.asp?accion=inbox&amp;cod_ot=218396"/>
    <hyperlink ref="B60" r:id="rId59" display="http://segya2prod.cardifnet.com.pe/liquidador/VerOrdenTrabajoLiquidador.asp?accion=inbox&amp;cod_ot=218247"/>
    <hyperlink ref="B62" r:id="rId60" display="http://segya2prod.cardifnet.com.pe/liquidador/VerOrdenTrabajoLiquidador.asp?accion=inbox&amp;cod_ot=218367"/>
    <hyperlink ref="B63" r:id="rId61" display="http://segya2prod.cardifnet.com.pe/liquidador/VerOrdenTrabajoLiquidador.asp?accion=inbox&amp;cod_ot=218371"/>
    <hyperlink ref="B64" r:id="rId62" display="http://segya2prod.cardifnet.com.pe/liquidador/VerOrdenTrabajoLiquidador.asp?accion=inbox&amp;cod_ot=218574"/>
    <hyperlink ref="B65" r:id="rId63" display="http://segya2prod.cardifnet.com.pe/liquidador/VerOrdenTrabajoLiquidador.asp?accion=inbox&amp;cod_ot=218593"/>
    <hyperlink ref="B66" r:id="rId64" display="http://segya2prod.cardifnet.com.pe/liquidador/VerOrdenTrabajoLiquidador.asp?accion=inbox&amp;cod_ot=218689"/>
    <hyperlink ref="B67" r:id="rId65" display="http://segya2prod.cardifnet.com.pe/liquidador/VerOrdenTrabajoLiquidador.asp?accion=inbox&amp;cod_ot=218325"/>
    <hyperlink ref="B68" r:id="rId66" display="http://segya2prod.cardifnet.com.pe/liquidador/VerOrdenTrabajoLiquidador.asp?accion=inbox&amp;cod_ot=218466"/>
    <hyperlink ref="B69" r:id="rId67" display="http://segya2prod.cardifnet.com.pe/liquidador/VerOrdenTrabajoLiquidador.asp?accion=inbox&amp;cod_ot=218595"/>
  </hyperlinks>
  <pageMargins left="0.7" right="0.7" top="0.75" bottom="0.75" header="0.3" footer="0.3"/>
  <pageSetup paperSize="9" orientation="portrait" r:id="rId6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G19"/>
  <sheetViews>
    <sheetView showGridLines="0" workbookViewId="0">
      <selection activeCell="D23" sqref="D23"/>
    </sheetView>
  </sheetViews>
  <sheetFormatPr baseColWidth="10" defaultRowHeight="15"/>
  <cols>
    <col min="3" max="3" width="13.28515625" customWidth="1"/>
    <col min="4" max="4" width="13.42578125" customWidth="1"/>
    <col min="5" max="5" width="15.140625" style="161" customWidth="1"/>
  </cols>
  <sheetData>
    <row r="3" spans="2:7" ht="15.75" thickBot="1"/>
    <row r="4" spans="2:7" ht="15" customHeight="1" thickBot="1">
      <c r="B4" s="292" t="s">
        <v>2117</v>
      </c>
      <c r="C4" s="493" t="s">
        <v>2118</v>
      </c>
      <c r="D4" s="493"/>
      <c r="E4" s="493"/>
      <c r="F4" s="293" t="s">
        <v>2119</v>
      </c>
      <c r="G4" s="294" t="s">
        <v>2120</v>
      </c>
    </row>
    <row r="5" spans="2:7">
      <c r="B5" s="290"/>
      <c r="C5" s="491" t="s">
        <v>2121</v>
      </c>
      <c r="D5" s="491"/>
      <c r="E5" s="491"/>
      <c r="F5" s="158"/>
      <c r="G5" s="291"/>
    </row>
    <row r="6" spans="2:7">
      <c r="B6" s="281">
        <v>1</v>
      </c>
      <c r="C6" s="454" t="s">
        <v>2122</v>
      </c>
      <c r="D6" s="454"/>
      <c r="E6" s="454"/>
      <c r="F6" s="154">
        <v>165</v>
      </c>
      <c r="G6" s="282">
        <v>165</v>
      </c>
    </row>
    <row r="7" spans="2:7" ht="15.75" thickBot="1">
      <c r="B7" s="283">
        <v>1</v>
      </c>
      <c r="C7" s="492" t="s">
        <v>2123</v>
      </c>
      <c r="D7" s="492"/>
      <c r="E7" s="492"/>
      <c r="F7" s="193">
        <v>210</v>
      </c>
      <c r="G7" s="284">
        <v>210</v>
      </c>
    </row>
    <row r="8" spans="2:7">
      <c r="F8" s="285" t="s">
        <v>2124</v>
      </c>
      <c r="G8" s="286">
        <v>317.79000000000002</v>
      </c>
    </row>
    <row r="9" spans="2:7">
      <c r="F9" s="287" t="s">
        <v>2125</v>
      </c>
      <c r="G9" s="282">
        <v>57.21</v>
      </c>
    </row>
    <row r="10" spans="2:7" ht="15.75" thickBot="1">
      <c r="F10" s="288" t="s">
        <v>2126</v>
      </c>
      <c r="G10" s="289">
        <f>SUM(G6:G7)</f>
        <v>375</v>
      </c>
    </row>
    <row r="12" spans="2:7" ht="15.75" thickBot="1"/>
    <row r="13" spans="2:7" ht="15.75" thickBot="1">
      <c r="B13" s="292" t="s">
        <v>2117</v>
      </c>
      <c r="C13" s="493" t="s">
        <v>2118</v>
      </c>
      <c r="D13" s="493"/>
      <c r="E13" s="493"/>
      <c r="F13" s="293" t="s">
        <v>2119</v>
      </c>
      <c r="G13" s="294" t="s">
        <v>2120</v>
      </c>
    </row>
    <row r="14" spans="2:7">
      <c r="B14" s="290"/>
      <c r="C14" s="491" t="s">
        <v>2127</v>
      </c>
      <c r="D14" s="491"/>
      <c r="E14" s="491"/>
      <c r="F14" s="158"/>
      <c r="G14" s="291"/>
    </row>
    <row r="15" spans="2:7">
      <c r="B15" s="281">
        <v>1</v>
      </c>
      <c r="C15" s="454" t="s">
        <v>2122</v>
      </c>
      <c r="D15" s="454"/>
      <c r="E15" s="454"/>
      <c r="F15" s="154">
        <v>35</v>
      </c>
      <c r="G15" s="282">
        <v>35</v>
      </c>
    </row>
    <row r="16" spans="2:7" ht="15.75" thickBot="1">
      <c r="B16" s="283">
        <v>1</v>
      </c>
      <c r="C16" s="492" t="s">
        <v>2123</v>
      </c>
      <c r="D16" s="492"/>
      <c r="E16" s="492"/>
      <c r="F16" s="193">
        <v>40</v>
      </c>
      <c r="G16" s="284">
        <v>40</v>
      </c>
    </row>
    <row r="17" spans="2:7">
      <c r="B17" s="161"/>
      <c r="C17" s="161"/>
      <c r="D17" s="161"/>
      <c r="F17" s="285" t="s">
        <v>2124</v>
      </c>
      <c r="G17" s="286">
        <v>63.55</v>
      </c>
    </row>
    <row r="18" spans="2:7">
      <c r="B18" s="161"/>
      <c r="C18" s="161"/>
      <c r="D18" s="161"/>
      <c r="F18" s="287" t="s">
        <v>2125</v>
      </c>
      <c r="G18" s="282">
        <v>11.45</v>
      </c>
    </row>
    <row r="19" spans="2:7" ht="15.75" thickBot="1">
      <c r="B19" s="161"/>
      <c r="C19" s="161"/>
      <c r="D19" s="161"/>
      <c r="F19" s="288" t="s">
        <v>2126</v>
      </c>
      <c r="G19" s="289">
        <f>SUM(G15:G16)</f>
        <v>75</v>
      </c>
    </row>
  </sheetData>
  <mergeCells count="8">
    <mergeCell ref="C14:E14"/>
    <mergeCell ref="C15:E15"/>
    <mergeCell ref="C16:E16"/>
    <mergeCell ref="C4:E4"/>
    <mergeCell ref="C5:E5"/>
    <mergeCell ref="C6:E6"/>
    <mergeCell ref="C7:E7"/>
    <mergeCell ref="C13:E13"/>
  </mergeCells>
  <pageMargins left="0.7" right="0.7" top="0.75" bottom="0.75" header="0.3" footer="0.3"/>
  <pageSetup paperSize="9" orientation="portrait" r:id="rId1"/>
  <ignoredErrors>
    <ignoredError sqref="G10 G19" formulaRange="1"/>
  </ignoredError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53"/>
  <sheetViews>
    <sheetView showGridLines="0" zoomScale="80" zoomScaleNormal="80" workbookViewId="0">
      <pane ySplit="2" topLeftCell="A3" activePane="bottomLeft" state="frozen"/>
      <selection pane="bottomLeft" activeCell="E24" sqref="E24:E27"/>
    </sheetView>
  </sheetViews>
  <sheetFormatPr baseColWidth="10" defaultRowHeight="15"/>
  <cols>
    <col min="2" max="2" width="15.7109375" customWidth="1"/>
    <col min="3" max="3" width="67.140625" customWidth="1"/>
    <col min="4" max="4" width="16.42578125" customWidth="1"/>
    <col min="5" max="5" width="21.5703125" customWidth="1"/>
    <col min="6" max="6" width="16.85546875" customWidth="1"/>
    <col min="8" max="8" width="19.140625" customWidth="1"/>
  </cols>
  <sheetData>
    <row r="1" spans="2:8" ht="15.75" thickBot="1"/>
    <row r="2" spans="2:8" ht="39.75" customHeight="1" thickBot="1">
      <c r="B2" s="316" t="s">
        <v>1701</v>
      </c>
      <c r="C2" s="316" t="s">
        <v>1815</v>
      </c>
      <c r="D2" s="316" t="s">
        <v>1702</v>
      </c>
      <c r="E2" s="316" t="s">
        <v>1703</v>
      </c>
      <c r="F2" s="316" t="s">
        <v>1704</v>
      </c>
      <c r="G2" s="316" t="s">
        <v>1705</v>
      </c>
      <c r="H2" s="316" t="s">
        <v>1706</v>
      </c>
    </row>
    <row r="3" spans="2:8" ht="15" customHeight="1">
      <c r="B3" s="489" t="s">
        <v>615</v>
      </c>
      <c r="C3" s="499" t="s">
        <v>2279</v>
      </c>
      <c r="D3" s="489" t="s">
        <v>2268</v>
      </c>
      <c r="E3" s="509" t="s">
        <v>2269</v>
      </c>
      <c r="F3" s="489" t="s">
        <v>2270</v>
      </c>
      <c r="G3" s="510" t="s">
        <v>2274</v>
      </c>
      <c r="H3" s="489" t="s">
        <v>41</v>
      </c>
    </row>
    <row r="4" spans="2:8">
      <c r="B4" s="487"/>
      <c r="C4" s="508"/>
      <c r="D4" s="487"/>
      <c r="E4" s="500"/>
      <c r="F4" s="487"/>
      <c r="G4" s="486"/>
      <c r="H4" s="487"/>
    </row>
    <row r="5" spans="2:8">
      <c r="B5" s="487"/>
      <c r="C5" s="508"/>
      <c r="D5" s="487"/>
      <c r="E5" s="500"/>
      <c r="F5" s="487"/>
      <c r="G5" s="486"/>
      <c r="H5" s="487"/>
    </row>
    <row r="6" spans="2:8">
      <c r="B6" s="487"/>
      <c r="C6" s="508"/>
      <c r="D6" s="487"/>
      <c r="E6" s="500"/>
      <c r="F6" s="487"/>
      <c r="G6" s="486"/>
      <c r="H6" s="487"/>
    </row>
    <row r="7" spans="2:8">
      <c r="B7" s="487"/>
      <c r="C7" s="508"/>
      <c r="D7" s="487"/>
      <c r="E7" s="500"/>
      <c r="F7" s="487"/>
      <c r="G7" s="486"/>
      <c r="H7" s="487"/>
    </row>
    <row r="8" spans="2:8" ht="15" customHeight="1">
      <c r="B8" s="487"/>
      <c r="C8" s="507" t="s">
        <v>2280</v>
      </c>
      <c r="D8" s="487"/>
      <c r="E8" s="488" t="s">
        <v>2270</v>
      </c>
      <c r="F8" s="487" t="s">
        <v>2283</v>
      </c>
      <c r="G8" s="486" t="s">
        <v>2271</v>
      </c>
      <c r="H8" s="487" t="s">
        <v>41</v>
      </c>
    </row>
    <row r="9" spans="2:8">
      <c r="B9" s="487"/>
      <c r="C9" s="507"/>
      <c r="D9" s="487"/>
      <c r="E9" s="490"/>
      <c r="F9" s="487"/>
      <c r="G9" s="486"/>
      <c r="H9" s="487"/>
    </row>
    <row r="10" spans="2:8">
      <c r="B10" s="487"/>
      <c r="C10" s="507"/>
      <c r="D10" s="487"/>
      <c r="E10" s="490"/>
      <c r="F10" s="487"/>
      <c r="G10" s="486"/>
      <c r="H10" s="487"/>
    </row>
    <row r="11" spans="2:8">
      <c r="B11" s="487"/>
      <c r="C11" s="507"/>
      <c r="D11" s="487"/>
      <c r="E11" s="490"/>
      <c r="F11" s="487"/>
      <c r="G11" s="486"/>
      <c r="H11" s="487"/>
    </row>
    <row r="12" spans="2:8">
      <c r="B12" s="487"/>
      <c r="C12" s="507"/>
      <c r="D12" s="487"/>
      <c r="E12" s="490"/>
      <c r="F12" s="487"/>
      <c r="G12" s="486"/>
      <c r="H12" s="487"/>
    </row>
    <row r="13" spans="2:8" ht="20.25" customHeight="1">
      <c r="B13" s="487"/>
      <c r="C13" s="507"/>
      <c r="D13" s="487"/>
      <c r="E13" s="490"/>
      <c r="F13" s="487"/>
      <c r="G13" s="486"/>
      <c r="H13" s="487"/>
    </row>
    <row r="14" spans="2:8">
      <c r="B14" s="487"/>
      <c r="C14" s="507"/>
      <c r="D14" s="487"/>
      <c r="E14" s="490"/>
      <c r="F14" s="487"/>
      <c r="G14" s="486"/>
      <c r="H14" s="487"/>
    </row>
    <row r="15" spans="2:8">
      <c r="B15" s="487"/>
      <c r="C15" s="507"/>
      <c r="D15" s="487"/>
      <c r="E15" s="490"/>
      <c r="F15" s="487"/>
      <c r="G15" s="486"/>
      <c r="H15" s="487"/>
    </row>
    <row r="16" spans="2:8">
      <c r="B16" s="487"/>
      <c r="C16" s="507"/>
      <c r="D16" s="487"/>
      <c r="E16" s="490"/>
      <c r="F16" s="487"/>
      <c r="G16" s="486"/>
      <c r="H16" s="487"/>
    </row>
    <row r="17" spans="2:8">
      <c r="B17" s="487"/>
      <c r="C17" s="507"/>
      <c r="D17" s="487"/>
      <c r="E17" s="490"/>
      <c r="F17" s="487"/>
      <c r="G17" s="486"/>
      <c r="H17" s="487"/>
    </row>
    <row r="18" spans="2:8">
      <c r="B18" s="487"/>
      <c r="C18" s="507"/>
      <c r="D18" s="487"/>
      <c r="E18" s="490"/>
      <c r="F18" s="487"/>
      <c r="G18" s="486"/>
      <c r="H18" s="487"/>
    </row>
    <row r="19" spans="2:8" ht="15.75" customHeight="1">
      <c r="B19" s="487"/>
      <c r="C19" s="507"/>
      <c r="D19" s="487"/>
      <c r="E19" s="489"/>
      <c r="F19" s="487"/>
      <c r="G19" s="486"/>
      <c r="H19" s="487"/>
    </row>
    <row r="20" spans="2:8" ht="15" customHeight="1">
      <c r="B20" s="487"/>
      <c r="C20" s="497" t="s">
        <v>2282</v>
      </c>
      <c r="D20" s="488" t="s">
        <v>2275</v>
      </c>
      <c r="E20" s="487" t="s">
        <v>2283</v>
      </c>
      <c r="F20" s="488" t="s">
        <v>2276</v>
      </c>
      <c r="G20" s="488" t="s">
        <v>2271</v>
      </c>
      <c r="H20" s="511" t="s">
        <v>1709</v>
      </c>
    </row>
    <row r="21" spans="2:8">
      <c r="B21" s="487"/>
      <c r="C21" s="498"/>
      <c r="D21" s="490"/>
      <c r="E21" s="487"/>
      <c r="F21" s="490"/>
      <c r="G21" s="490"/>
      <c r="H21" s="512"/>
    </row>
    <row r="22" spans="2:8">
      <c r="B22" s="487"/>
      <c r="C22" s="498"/>
      <c r="D22" s="490"/>
      <c r="E22" s="487"/>
      <c r="F22" s="490"/>
      <c r="G22" s="490"/>
      <c r="H22" s="512"/>
    </row>
    <row r="23" spans="2:8" s="315" customFormat="1" ht="19.5" customHeight="1">
      <c r="B23" s="487"/>
      <c r="C23" s="499"/>
      <c r="D23" s="489"/>
      <c r="E23" s="487"/>
      <c r="F23" s="489"/>
      <c r="G23" s="489"/>
      <c r="H23" s="510"/>
    </row>
    <row r="24" spans="2:8" ht="15" customHeight="1">
      <c r="B24" s="488" t="s">
        <v>613</v>
      </c>
      <c r="C24" s="507" t="s">
        <v>2277</v>
      </c>
      <c r="D24" s="487" t="s">
        <v>2268</v>
      </c>
      <c r="E24" s="487" t="s">
        <v>2283</v>
      </c>
      <c r="F24" s="487" t="s">
        <v>2283</v>
      </c>
      <c r="G24" s="487" t="s">
        <v>2274</v>
      </c>
      <c r="H24" s="486" t="s">
        <v>41</v>
      </c>
    </row>
    <row r="25" spans="2:8">
      <c r="B25" s="490"/>
      <c r="C25" s="507"/>
      <c r="D25" s="487"/>
      <c r="E25" s="487"/>
      <c r="F25" s="487"/>
      <c r="G25" s="487"/>
      <c r="H25" s="486"/>
    </row>
    <row r="26" spans="2:8">
      <c r="B26" s="490"/>
      <c r="C26" s="507"/>
      <c r="D26" s="487"/>
      <c r="E26" s="487"/>
      <c r="F26" s="487"/>
      <c r="G26" s="487"/>
      <c r="H26" s="486"/>
    </row>
    <row r="27" spans="2:8">
      <c r="B27" s="489"/>
      <c r="C27" s="507"/>
      <c r="D27" s="487"/>
      <c r="E27" s="487"/>
      <c r="F27" s="487"/>
      <c r="G27" s="487"/>
      <c r="H27" s="486"/>
    </row>
    <row r="28" spans="2:8" s="315" customFormat="1" ht="15" customHeight="1">
      <c r="B28" s="488" t="s">
        <v>2287</v>
      </c>
      <c r="C28" s="503" t="s">
        <v>2278</v>
      </c>
      <c r="D28" s="488" t="s">
        <v>2275</v>
      </c>
      <c r="E28" s="488" t="s">
        <v>2288</v>
      </c>
      <c r="F28" s="488" t="s">
        <v>2288</v>
      </c>
      <c r="G28" s="488" t="s">
        <v>2271</v>
      </c>
      <c r="H28" s="488" t="s">
        <v>41</v>
      </c>
    </row>
    <row r="29" spans="2:8" ht="15" customHeight="1">
      <c r="B29" s="490"/>
      <c r="C29" s="504"/>
      <c r="D29" s="490"/>
      <c r="E29" s="490"/>
      <c r="F29" s="490"/>
      <c r="G29" s="490"/>
      <c r="H29" s="490"/>
    </row>
    <row r="30" spans="2:8">
      <c r="B30" s="490"/>
      <c r="C30" s="504"/>
      <c r="D30" s="490"/>
      <c r="E30" s="490"/>
      <c r="F30" s="490"/>
      <c r="G30" s="490"/>
      <c r="H30" s="490"/>
    </row>
    <row r="31" spans="2:8">
      <c r="B31" s="490"/>
      <c r="C31" s="505"/>
      <c r="D31" s="490"/>
      <c r="E31" s="490"/>
      <c r="F31" s="490"/>
      <c r="G31" s="490"/>
      <c r="H31" s="490"/>
    </row>
    <row r="32" spans="2:8" ht="15" customHeight="1">
      <c r="B32" s="490"/>
      <c r="C32" s="506" t="s">
        <v>2281</v>
      </c>
      <c r="D32" s="490"/>
      <c r="E32" s="490"/>
      <c r="F32" s="490"/>
      <c r="G32" s="490"/>
      <c r="H32" s="490"/>
    </row>
    <row r="33" spans="2:8">
      <c r="B33" s="490"/>
      <c r="C33" s="501"/>
      <c r="D33" s="490"/>
      <c r="E33" s="490"/>
      <c r="F33" s="490"/>
      <c r="G33" s="490"/>
      <c r="H33" s="490"/>
    </row>
    <row r="34" spans="2:8">
      <c r="B34" s="490"/>
      <c r="C34" s="501"/>
      <c r="D34" s="490"/>
      <c r="E34" s="490"/>
      <c r="F34" s="490"/>
      <c r="G34" s="490"/>
      <c r="H34" s="490"/>
    </row>
    <row r="35" spans="2:8">
      <c r="B35" s="490"/>
      <c r="C35" s="501"/>
      <c r="D35" s="490"/>
      <c r="E35" s="490"/>
      <c r="F35" s="490"/>
      <c r="G35" s="490"/>
      <c r="H35" s="490"/>
    </row>
    <row r="36" spans="2:8">
      <c r="B36" s="490"/>
      <c r="C36" s="501"/>
      <c r="D36" s="490"/>
      <c r="E36" s="490"/>
      <c r="F36" s="490"/>
      <c r="G36" s="490"/>
      <c r="H36" s="490"/>
    </row>
    <row r="37" spans="2:8">
      <c r="B37" s="490"/>
      <c r="C37" s="502"/>
      <c r="D37" s="489"/>
      <c r="E37" s="489"/>
      <c r="F37" s="489"/>
      <c r="G37" s="489"/>
      <c r="H37" s="489"/>
    </row>
    <row r="38" spans="2:8" ht="15" customHeight="1">
      <c r="B38" s="490"/>
      <c r="C38" s="506" t="s">
        <v>2284</v>
      </c>
      <c r="D38" s="500" t="s">
        <v>2275</v>
      </c>
      <c r="E38" s="500" t="s">
        <v>2283</v>
      </c>
      <c r="F38" s="500" t="s">
        <v>2288</v>
      </c>
      <c r="G38" s="500" t="s">
        <v>2271</v>
      </c>
      <c r="H38" s="500" t="s">
        <v>41</v>
      </c>
    </row>
    <row r="39" spans="2:8">
      <c r="B39" s="490"/>
      <c r="C39" s="501"/>
      <c r="D39" s="500"/>
      <c r="E39" s="500"/>
      <c r="F39" s="500"/>
      <c r="G39" s="500"/>
      <c r="H39" s="500"/>
    </row>
    <row r="40" spans="2:8">
      <c r="B40" s="490"/>
      <c r="C40" s="501"/>
      <c r="D40" s="500"/>
      <c r="E40" s="500"/>
      <c r="F40" s="500"/>
      <c r="G40" s="500"/>
      <c r="H40" s="500"/>
    </row>
    <row r="41" spans="2:8">
      <c r="B41" s="490"/>
      <c r="C41" s="501"/>
      <c r="D41" s="500"/>
      <c r="E41" s="500"/>
      <c r="F41" s="500"/>
      <c r="G41" s="500"/>
      <c r="H41" s="500"/>
    </row>
    <row r="42" spans="2:8">
      <c r="B42" s="490"/>
      <c r="C42" s="502"/>
      <c r="D42" s="500"/>
      <c r="E42" s="500"/>
      <c r="F42" s="500"/>
      <c r="G42" s="500"/>
      <c r="H42" s="500"/>
    </row>
    <row r="43" spans="2:8" ht="15" customHeight="1">
      <c r="B43" s="490"/>
      <c r="C43" s="501" t="s">
        <v>2285</v>
      </c>
      <c r="D43" s="488" t="s">
        <v>2268</v>
      </c>
      <c r="E43" s="488" t="s">
        <v>2288</v>
      </c>
      <c r="F43" s="488" t="s">
        <v>2283</v>
      </c>
      <c r="G43" s="488" t="s">
        <v>2271</v>
      </c>
      <c r="H43" s="488" t="s">
        <v>41</v>
      </c>
    </row>
    <row r="44" spans="2:8">
      <c r="B44" s="490"/>
      <c r="C44" s="501"/>
      <c r="D44" s="490"/>
      <c r="E44" s="490"/>
      <c r="F44" s="490"/>
      <c r="G44" s="490"/>
      <c r="H44" s="490"/>
    </row>
    <row r="45" spans="2:8" ht="11.25" customHeight="1">
      <c r="B45" s="490"/>
      <c r="C45" s="501"/>
      <c r="D45" s="490"/>
      <c r="E45" s="490"/>
      <c r="F45" s="490"/>
      <c r="G45" s="490"/>
      <c r="H45" s="490"/>
    </row>
    <row r="46" spans="2:8" ht="10.5" customHeight="1">
      <c r="B46" s="490"/>
      <c r="C46" s="501" t="s">
        <v>2286</v>
      </c>
      <c r="D46" s="490"/>
      <c r="E46" s="490"/>
      <c r="F46" s="490"/>
      <c r="G46" s="490"/>
      <c r="H46" s="490"/>
    </row>
    <row r="47" spans="2:8">
      <c r="B47" s="490"/>
      <c r="C47" s="501"/>
      <c r="D47" s="490"/>
      <c r="E47" s="490"/>
      <c r="F47" s="490"/>
      <c r="G47" s="490"/>
      <c r="H47" s="490"/>
    </row>
    <row r="48" spans="2:8" s="315" customFormat="1">
      <c r="B48" s="490"/>
      <c r="C48" s="501"/>
      <c r="D48" s="490"/>
      <c r="E48" s="490"/>
      <c r="F48" s="490"/>
      <c r="G48" s="490"/>
      <c r="H48" s="490"/>
    </row>
    <row r="49" spans="2:8">
      <c r="B49" s="490"/>
      <c r="C49" s="502"/>
      <c r="D49" s="489"/>
      <c r="E49" s="489"/>
      <c r="F49" s="489"/>
      <c r="G49" s="489"/>
      <c r="H49" s="489"/>
    </row>
    <row r="50" spans="2:8">
      <c r="B50" s="490"/>
      <c r="C50" s="497" t="s">
        <v>2289</v>
      </c>
      <c r="D50" s="488" t="s">
        <v>2268</v>
      </c>
      <c r="E50" s="494" t="s">
        <v>2288</v>
      </c>
      <c r="F50" s="494" t="s">
        <v>2290</v>
      </c>
      <c r="G50" s="494" t="s">
        <v>2271</v>
      </c>
      <c r="H50" s="488" t="s">
        <v>41</v>
      </c>
    </row>
    <row r="51" spans="2:8">
      <c r="B51" s="490"/>
      <c r="C51" s="498"/>
      <c r="D51" s="490"/>
      <c r="E51" s="495"/>
      <c r="F51" s="495"/>
      <c r="G51" s="495"/>
      <c r="H51" s="490"/>
    </row>
    <row r="52" spans="2:8">
      <c r="B52" s="490"/>
      <c r="C52" s="498"/>
      <c r="D52" s="490"/>
      <c r="E52" s="495"/>
      <c r="F52" s="495"/>
      <c r="G52" s="495"/>
      <c r="H52" s="490"/>
    </row>
    <row r="53" spans="2:8">
      <c r="B53" s="489"/>
      <c r="C53" s="499"/>
      <c r="D53" s="489"/>
      <c r="E53" s="496"/>
      <c r="F53" s="496"/>
      <c r="G53" s="496"/>
      <c r="H53" s="489"/>
    </row>
  </sheetData>
  <mergeCells count="52">
    <mergeCell ref="H24:H27"/>
    <mergeCell ref="B24:B27"/>
    <mergeCell ref="E20:E23"/>
    <mergeCell ref="F20:F23"/>
    <mergeCell ref="G20:G23"/>
    <mergeCell ref="H20:H23"/>
    <mergeCell ref="E24:E27"/>
    <mergeCell ref="F24:F27"/>
    <mergeCell ref="G24:G27"/>
    <mergeCell ref="B3:B23"/>
    <mergeCell ref="C24:C27"/>
    <mergeCell ref="D24:D27"/>
    <mergeCell ref="E8:E19"/>
    <mergeCell ref="F8:F19"/>
    <mergeCell ref="G8:G19"/>
    <mergeCell ref="H8:H19"/>
    <mergeCell ref="C20:C23"/>
    <mergeCell ref="D20:D23"/>
    <mergeCell ref="C8:C19"/>
    <mergeCell ref="D3:D19"/>
    <mergeCell ref="H3:H7"/>
    <mergeCell ref="C3:C7"/>
    <mergeCell ref="E3:E7"/>
    <mergeCell ref="F3:F7"/>
    <mergeCell ref="G3:G7"/>
    <mergeCell ref="C46:C49"/>
    <mergeCell ref="D43:D49"/>
    <mergeCell ref="E38:E42"/>
    <mergeCell ref="E43:E49"/>
    <mergeCell ref="D28:D37"/>
    <mergeCell ref="E28:E37"/>
    <mergeCell ref="D38:D42"/>
    <mergeCell ref="C43:C45"/>
    <mergeCell ref="C28:C31"/>
    <mergeCell ref="C32:C37"/>
    <mergeCell ref="C38:C42"/>
    <mergeCell ref="F50:F53"/>
    <mergeCell ref="G50:G53"/>
    <mergeCell ref="H50:H53"/>
    <mergeCell ref="C50:C53"/>
    <mergeCell ref="B28:B53"/>
    <mergeCell ref="D50:D53"/>
    <mergeCell ref="E50:E53"/>
    <mergeCell ref="F38:F42"/>
    <mergeCell ref="G38:G42"/>
    <mergeCell ref="H38:H42"/>
    <mergeCell ref="F43:F49"/>
    <mergeCell ref="G43:G49"/>
    <mergeCell ref="H43:H49"/>
    <mergeCell ref="F28:F37"/>
    <mergeCell ref="G28:G37"/>
    <mergeCell ref="H28:H37"/>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filterMode="1">
    <tabColor rgb="FF00B050"/>
  </sheetPr>
  <dimension ref="A1:XFD1114"/>
  <sheetViews>
    <sheetView zoomScale="80" zoomScaleNormal="80" workbookViewId="0">
      <pane ySplit="1" topLeftCell="A880" activePane="bottomLeft" state="frozen"/>
      <selection pane="bottomLeft" activeCell="F914" sqref="F914"/>
    </sheetView>
  </sheetViews>
  <sheetFormatPr baseColWidth="10" defaultRowHeight="12.75"/>
  <cols>
    <col min="1" max="1" width="6.140625" style="53" customWidth="1"/>
    <col min="2" max="2" width="11.42578125" style="179"/>
    <col min="3" max="3" width="13.7109375" style="53" customWidth="1"/>
    <col min="4" max="5" width="13" style="53" customWidth="1"/>
    <col min="6" max="6" width="14.42578125" style="53" customWidth="1"/>
    <col min="7" max="7" width="9.28515625" style="53" customWidth="1"/>
    <col min="8" max="8" width="15.5703125" style="53" customWidth="1"/>
    <col min="9" max="9" width="19.5703125" style="53" customWidth="1"/>
    <col min="10" max="10" width="22" style="53" customWidth="1"/>
    <col min="11" max="11" width="9.5703125" style="53" customWidth="1"/>
    <col min="12" max="12" width="11.42578125" style="53" customWidth="1"/>
    <col min="13" max="13" width="9.5703125" style="53" customWidth="1"/>
    <col min="14" max="14" width="10.5703125" style="53" customWidth="1"/>
    <col min="15" max="15" width="11.42578125" style="53" customWidth="1"/>
    <col min="16" max="16" width="16.5703125" style="89" customWidth="1"/>
    <col min="17" max="17" width="14.42578125" style="89" customWidth="1"/>
    <col min="18" max="18" width="15.7109375" style="53" customWidth="1"/>
    <col min="19" max="19" width="18.7109375" style="53" customWidth="1"/>
    <col min="20" max="20" width="11.42578125" style="53" customWidth="1"/>
    <col min="21" max="21" width="20.7109375" style="53" customWidth="1"/>
    <col min="22" max="22" width="28.42578125" style="53" customWidth="1"/>
    <col min="23" max="23" width="14.85546875" style="53" customWidth="1"/>
    <col min="24" max="24" width="13.5703125" style="53" customWidth="1"/>
    <col min="25" max="25" width="24.5703125" style="53" customWidth="1"/>
    <col min="26" max="26" width="10.85546875" style="53" customWidth="1"/>
    <col min="27" max="27" width="12.28515625" style="53" customWidth="1"/>
    <col min="28" max="28" width="13.28515625" style="53" customWidth="1"/>
    <col min="29" max="29" width="11.42578125" style="53" customWidth="1"/>
    <col min="30" max="30" width="12.5703125" style="53" customWidth="1"/>
    <col min="31" max="31" width="13.42578125" style="53" customWidth="1"/>
    <col min="32" max="32" width="20" style="53" customWidth="1"/>
    <col min="33" max="33" width="11.42578125" style="53" customWidth="1"/>
    <col min="34" max="34" width="36.7109375" style="90" customWidth="1"/>
    <col min="35" max="35" width="13.28515625" style="53" customWidth="1"/>
    <col min="36" max="36" width="11.42578125" style="53" customWidth="1"/>
    <col min="37" max="37" width="18.7109375" style="53" customWidth="1"/>
    <col min="38" max="38" width="20.5703125" style="53" customWidth="1"/>
    <col min="39" max="39" width="23.85546875" style="53" bestFit="1" customWidth="1"/>
    <col min="40" max="16384" width="11.42578125" style="53"/>
  </cols>
  <sheetData>
    <row r="1" spans="1:39" ht="63.75" customHeight="1">
      <c r="A1" s="114" t="s">
        <v>34</v>
      </c>
      <c r="B1" s="166" t="s">
        <v>27</v>
      </c>
      <c r="C1" s="113" t="s">
        <v>43</v>
      </c>
      <c r="D1" s="113" t="s">
        <v>44</v>
      </c>
      <c r="E1" s="113" t="s">
        <v>470</v>
      </c>
      <c r="F1" s="114" t="s">
        <v>45</v>
      </c>
      <c r="G1" s="113" t="s">
        <v>208</v>
      </c>
      <c r="H1" s="115" t="s">
        <v>607</v>
      </c>
      <c r="I1" s="123" t="s">
        <v>607</v>
      </c>
      <c r="J1" s="123" t="s">
        <v>823</v>
      </c>
      <c r="K1" s="114" t="s">
        <v>30</v>
      </c>
      <c r="L1" s="113" t="s">
        <v>1343</v>
      </c>
      <c r="M1" s="113" t="s">
        <v>35</v>
      </c>
      <c r="N1" s="113" t="s">
        <v>606</v>
      </c>
      <c r="O1" s="124" t="s">
        <v>48</v>
      </c>
      <c r="P1" s="113" t="s">
        <v>260</v>
      </c>
      <c r="Q1" s="113" t="s">
        <v>1340</v>
      </c>
      <c r="R1" s="114" t="s">
        <v>29</v>
      </c>
      <c r="S1" s="113" t="s">
        <v>321</v>
      </c>
      <c r="T1" s="113" t="s">
        <v>46</v>
      </c>
      <c r="U1" s="114" t="s">
        <v>28</v>
      </c>
      <c r="V1" s="114" t="s">
        <v>32</v>
      </c>
      <c r="W1" s="114" t="s">
        <v>31</v>
      </c>
      <c r="X1" s="114" t="s">
        <v>33</v>
      </c>
      <c r="Y1" s="113" t="s">
        <v>49</v>
      </c>
      <c r="Z1" s="113" t="s">
        <v>50</v>
      </c>
      <c r="AA1" s="114" t="s">
        <v>524</v>
      </c>
      <c r="AB1" s="116" t="s">
        <v>126</v>
      </c>
      <c r="AC1" s="113" t="s">
        <v>285</v>
      </c>
      <c r="AD1" s="113" t="s">
        <v>386</v>
      </c>
      <c r="AE1" s="113" t="s">
        <v>216</v>
      </c>
      <c r="AF1" s="113" t="s">
        <v>224</v>
      </c>
      <c r="AG1" s="113" t="s">
        <v>213</v>
      </c>
      <c r="AH1" s="113" t="s">
        <v>47</v>
      </c>
      <c r="AI1" s="113" t="s">
        <v>81</v>
      </c>
      <c r="AJ1" s="113" t="s">
        <v>809</v>
      </c>
      <c r="AK1" s="113" t="s">
        <v>575</v>
      </c>
      <c r="AL1" s="113" t="s">
        <v>644</v>
      </c>
      <c r="AM1" s="113" t="s">
        <v>808</v>
      </c>
    </row>
    <row r="2" spans="1:39" ht="31.5" hidden="1" customHeight="1">
      <c r="A2" s="56">
        <v>1</v>
      </c>
      <c r="B2" s="223">
        <v>186790</v>
      </c>
      <c r="C2" s="117" t="s">
        <v>86</v>
      </c>
      <c r="D2" s="57">
        <v>42786</v>
      </c>
      <c r="E2" s="58" t="s">
        <v>471</v>
      </c>
      <c r="F2" s="118">
        <v>42790</v>
      </c>
      <c r="G2" s="223">
        <f t="shared" ref="G2:G48" si="0">F2-D2</f>
        <v>4</v>
      </c>
      <c r="H2" s="117" t="s">
        <v>133</v>
      </c>
      <c r="I2" s="223" t="s">
        <v>218</v>
      </c>
      <c r="J2" s="223" t="s">
        <v>611</v>
      </c>
      <c r="K2" s="94">
        <v>1699</v>
      </c>
      <c r="L2" s="94">
        <v>1699</v>
      </c>
      <c r="M2" s="96">
        <v>450</v>
      </c>
      <c r="N2" s="96">
        <v>855</v>
      </c>
      <c r="O2" s="93">
        <f t="shared" ref="O2:O13" si="1">IF(AE2="Reemplazo",0,K2-(K2*0.12*0.5)-(MAX(M2,N2)))</f>
        <v>742.06</v>
      </c>
      <c r="P2" s="119" t="s">
        <v>261</v>
      </c>
      <c r="Q2" s="224" t="s">
        <v>1341</v>
      </c>
      <c r="R2" s="221" t="s">
        <v>87</v>
      </c>
      <c r="S2" s="62" t="s">
        <v>465</v>
      </c>
      <c r="T2" s="117" t="s">
        <v>88</v>
      </c>
      <c r="U2" s="117" t="s">
        <v>89</v>
      </c>
      <c r="V2" s="224" t="s">
        <v>90</v>
      </c>
      <c r="W2" s="117" t="s">
        <v>42</v>
      </c>
      <c r="X2" s="117" t="s">
        <v>142</v>
      </c>
      <c r="Y2" s="224" t="s">
        <v>188</v>
      </c>
      <c r="Z2" s="221" t="s">
        <v>189</v>
      </c>
      <c r="AA2" s="221"/>
      <c r="AB2" s="146" t="s">
        <v>140</v>
      </c>
      <c r="AC2" s="63">
        <f t="shared" ref="AC2:AC65" si="2">+IF(O2&gt;0,1,0)</f>
        <v>1</v>
      </c>
      <c r="AD2" s="226" t="s">
        <v>217</v>
      </c>
      <c r="AE2" s="117" t="s">
        <v>218</v>
      </c>
      <c r="AF2" s="117"/>
      <c r="AG2" s="117" t="s">
        <v>142</v>
      </c>
      <c r="AH2" s="64"/>
      <c r="AI2" s="221" t="s">
        <v>82</v>
      </c>
      <c r="AJ2" s="221"/>
      <c r="AK2" s="221"/>
      <c r="AL2" s="221" t="s">
        <v>645</v>
      </c>
      <c r="AM2" s="221"/>
    </row>
    <row r="3" spans="1:39" ht="25.5" hidden="1" customHeight="1">
      <c r="A3" s="147">
        <v>2</v>
      </c>
      <c r="B3" s="223">
        <v>187871</v>
      </c>
      <c r="C3" s="146" t="s">
        <v>128</v>
      </c>
      <c r="D3" s="57">
        <v>42786</v>
      </c>
      <c r="E3" s="58" t="s">
        <v>471</v>
      </c>
      <c r="F3" s="118">
        <v>42800</v>
      </c>
      <c r="G3" s="223">
        <f t="shared" si="0"/>
        <v>14</v>
      </c>
      <c r="H3" s="146" t="s">
        <v>133</v>
      </c>
      <c r="I3" s="223" t="s">
        <v>608</v>
      </c>
      <c r="J3" s="223" t="s">
        <v>610</v>
      </c>
      <c r="K3" s="94">
        <v>1699</v>
      </c>
      <c r="L3" s="94">
        <v>1699</v>
      </c>
      <c r="M3" s="96">
        <v>0</v>
      </c>
      <c r="N3" s="96">
        <v>0</v>
      </c>
      <c r="O3" s="93">
        <f t="shared" si="1"/>
        <v>0</v>
      </c>
      <c r="P3" s="119" t="s">
        <v>263</v>
      </c>
      <c r="Q3" s="224" t="s">
        <v>1341</v>
      </c>
      <c r="R3" s="221" t="s">
        <v>143</v>
      </c>
      <c r="S3" s="62" t="s">
        <v>465</v>
      </c>
      <c r="T3" s="146" t="s">
        <v>144</v>
      </c>
      <c r="U3" s="146" t="s">
        <v>145</v>
      </c>
      <c r="V3" s="224" t="s">
        <v>90</v>
      </c>
      <c r="W3" s="146" t="s">
        <v>146</v>
      </c>
      <c r="X3" s="146" t="s">
        <v>142</v>
      </c>
      <c r="Y3" s="221"/>
      <c r="Z3" s="146" t="s">
        <v>147</v>
      </c>
      <c r="AA3" s="221"/>
      <c r="AB3" s="146"/>
      <c r="AC3" s="63">
        <f t="shared" si="2"/>
        <v>0</v>
      </c>
      <c r="AD3" s="226" t="s">
        <v>217</v>
      </c>
      <c r="AE3" s="146" t="s">
        <v>217</v>
      </c>
      <c r="AF3" s="146" t="s">
        <v>225</v>
      </c>
      <c r="AG3" s="146" t="s">
        <v>142</v>
      </c>
      <c r="AH3" s="64" t="s">
        <v>148</v>
      </c>
      <c r="AI3" s="146"/>
      <c r="AJ3" s="221"/>
      <c r="AK3" s="221"/>
      <c r="AL3" s="146"/>
      <c r="AM3" s="221"/>
    </row>
    <row r="4" spans="1:39" ht="12.75" hidden="1" customHeight="1">
      <c r="A4" s="147">
        <v>3</v>
      </c>
      <c r="B4" s="223">
        <v>186946</v>
      </c>
      <c r="C4" s="146" t="s">
        <v>128</v>
      </c>
      <c r="D4" s="57">
        <v>42787</v>
      </c>
      <c r="E4" s="58" t="s">
        <v>471</v>
      </c>
      <c r="F4" s="118">
        <v>42790</v>
      </c>
      <c r="G4" s="223">
        <f t="shared" si="0"/>
        <v>3</v>
      </c>
      <c r="H4" s="146" t="s">
        <v>133</v>
      </c>
      <c r="I4" s="223" t="s">
        <v>218</v>
      </c>
      <c r="J4" s="223" t="s">
        <v>611</v>
      </c>
      <c r="K4" s="94">
        <v>3599</v>
      </c>
      <c r="L4" s="94">
        <v>3599</v>
      </c>
      <c r="M4" s="96">
        <v>250</v>
      </c>
      <c r="N4" s="96">
        <v>330.01</v>
      </c>
      <c r="O4" s="93">
        <f t="shared" si="1"/>
        <v>3053.05</v>
      </c>
      <c r="P4" s="119" t="s">
        <v>264</v>
      </c>
      <c r="Q4" s="224" t="s">
        <v>1342</v>
      </c>
      <c r="R4" s="221" t="s">
        <v>134</v>
      </c>
      <c r="S4" s="62" t="s">
        <v>465</v>
      </c>
      <c r="T4" s="146" t="s">
        <v>120</v>
      </c>
      <c r="U4" s="146" t="s">
        <v>135</v>
      </c>
      <c r="V4" s="146" t="s">
        <v>136</v>
      </c>
      <c r="W4" s="48">
        <v>502301000083</v>
      </c>
      <c r="X4" s="146" t="s">
        <v>141</v>
      </c>
      <c r="Y4" s="221" t="s">
        <v>1616</v>
      </c>
      <c r="Z4" s="146" t="s">
        <v>137</v>
      </c>
      <c r="AA4" s="117"/>
      <c r="AB4" s="146" t="s">
        <v>127</v>
      </c>
      <c r="AC4" s="63">
        <f t="shared" si="2"/>
        <v>1</v>
      </c>
      <c r="AD4" s="226" t="s">
        <v>217</v>
      </c>
      <c r="AE4" s="221" t="s">
        <v>218</v>
      </c>
      <c r="AF4" s="146"/>
      <c r="AG4" s="146" t="s">
        <v>142</v>
      </c>
      <c r="AH4" s="64" t="s">
        <v>190</v>
      </c>
      <c r="AI4" s="146" t="s">
        <v>82</v>
      </c>
      <c r="AJ4" s="146"/>
      <c r="AK4" s="221" t="s">
        <v>669</v>
      </c>
      <c r="AL4" s="146" t="s">
        <v>645</v>
      </c>
      <c r="AM4" s="117"/>
    </row>
    <row r="5" spans="1:39" ht="12.75" hidden="1" customHeight="1">
      <c r="A5" s="147">
        <v>4</v>
      </c>
      <c r="B5" s="223">
        <v>187435</v>
      </c>
      <c r="C5" s="146" t="s">
        <v>121</v>
      </c>
      <c r="D5" s="57">
        <v>42787</v>
      </c>
      <c r="E5" s="58" t="s">
        <v>471</v>
      </c>
      <c r="F5" s="118">
        <v>42804</v>
      </c>
      <c r="G5" s="223">
        <f t="shared" si="0"/>
        <v>17</v>
      </c>
      <c r="H5" s="146" t="s">
        <v>133</v>
      </c>
      <c r="I5" s="223" t="s">
        <v>218</v>
      </c>
      <c r="J5" s="223" t="s">
        <v>611</v>
      </c>
      <c r="K5" s="94">
        <v>1799</v>
      </c>
      <c r="L5" s="94">
        <v>1799</v>
      </c>
      <c r="M5" s="96">
        <v>365</v>
      </c>
      <c r="N5" s="96">
        <v>595</v>
      </c>
      <c r="O5" s="93">
        <f t="shared" si="1"/>
        <v>1096.06</v>
      </c>
      <c r="P5" s="119" t="s">
        <v>261</v>
      </c>
      <c r="Q5" s="224" t="s">
        <v>1341</v>
      </c>
      <c r="R5" s="221" t="s">
        <v>134</v>
      </c>
      <c r="S5" s="62" t="s">
        <v>465</v>
      </c>
      <c r="T5" s="221" t="s">
        <v>88</v>
      </c>
      <c r="U5" s="146" t="s">
        <v>138</v>
      </c>
      <c r="V5" s="146" t="s">
        <v>139</v>
      </c>
      <c r="W5" s="65" t="s">
        <v>42</v>
      </c>
      <c r="X5" s="146" t="s">
        <v>141</v>
      </c>
      <c r="Y5" s="221" t="s">
        <v>3</v>
      </c>
      <c r="Z5" s="146" t="s">
        <v>124</v>
      </c>
      <c r="AA5" s="221"/>
      <c r="AB5" s="146" t="s">
        <v>140</v>
      </c>
      <c r="AC5" s="63">
        <f t="shared" si="2"/>
        <v>1</v>
      </c>
      <c r="AD5" s="226" t="s">
        <v>217</v>
      </c>
      <c r="AE5" s="221" t="s">
        <v>218</v>
      </c>
      <c r="AF5" s="146"/>
      <c r="AG5" s="146" t="s">
        <v>141</v>
      </c>
      <c r="AH5" s="64"/>
      <c r="AI5" s="146" t="s">
        <v>184</v>
      </c>
      <c r="AJ5" s="221"/>
      <c r="AK5" s="221"/>
      <c r="AL5" s="146" t="s">
        <v>645</v>
      </c>
      <c r="AM5" s="221"/>
    </row>
    <row r="6" spans="1:39" ht="12.75" hidden="1" customHeight="1">
      <c r="A6" s="147">
        <v>5</v>
      </c>
      <c r="B6" s="223">
        <v>187474</v>
      </c>
      <c r="C6" s="146" t="s">
        <v>121</v>
      </c>
      <c r="D6" s="57">
        <v>42788</v>
      </c>
      <c r="E6" s="58" t="s">
        <v>471</v>
      </c>
      <c r="F6" s="118">
        <v>42792</v>
      </c>
      <c r="G6" s="223">
        <f t="shared" si="0"/>
        <v>4</v>
      </c>
      <c r="H6" s="146" t="s">
        <v>133</v>
      </c>
      <c r="I6" s="223" t="s">
        <v>218</v>
      </c>
      <c r="J6" s="223" t="s">
        <v>611</v>
      </c>
      <c r="K6" s="94">
        <v>1399</v>
      </c>
      <c r="L6" s="94">
        <v>1399</v>
      </c>
      <c r="M6" s="96">
        <v>370</v>
      </c>
      <c r="N6" s="96">
        <v>680</v>
      </c>
      <c r="O6" s="93">
        <f t="shared" si="1"/>
        <v>635.05999999999995</v>
      </c>
      <c r="P6" s="119" t="s">
        <v>262</v>
      </c>
      <c r="Q6" s="224" t="s">
        <v>1342</v>
      </c>
      <c r="R6" s="221" t="s">
        <v>122</v>
      </c>
      <c r="S6" s="62" t="s">
        <v>469</v>
      </c>
      <c r="T6" s="146" t="s">
        <v>114</v>
      </c>
      <c r="U6" s="146" t="s">
        <v>123</v>
      </c>
      <c r="V6" s="224" t="s">
        <v>90</v>
      </c>
      <c r="W6" s="146" t="s">
        <v>42</v>
      </c>
      <c r="X6" s="146" t="s">
        <v>142</v>
      </c>
      <c r="Y6" s="221" t="s">
        <v>1942</v>
      </c>
      <c r="Z6" s="221" t="s">
        <v>124</v>
      </c>
      <c r="AA6" s="221"/>
      <c r="AB6" s="146" t="s">
        <v>127</v>
      </c>
      <c r="AC6" s="63">
        <f t="shared" si="2"/>
        <v>1</v>
      </c>
      <c r="AD6" s="226" t="s">
        <v>217</v>
      </c>
      <c r="AE6" s="221" t="s">
        <v>218</v>
      </c>
      <c r="AF6" s="146"/>
      <c r="AG6" s="146" t="s">
        <v>142</v>
      </c>
      <c r="AH6" s="64"/>
      <c r="AI6" s="146" t="s">
        <v>82</v>
      </c>
      <c r="AJ6" s="221"/>
      <c r="AK6" s="221" t="s">
        <v>670</v>
      </c>
      <c r="AL6" s="146" t="s">
        <v>645</v>
      </c>
      <c r="AM6" s="221"/>
    </row>
    <row r="7" spans="1:39" ht="12.75" hidden="1" customHeight="1">
      <c r="A7" s="147">
        <v>6</v>
      </c>
      <c r="B7" s="223">
        <v>187547</v>
      </c>
      <c r="C7" s="146" t="s">
        <v>121</v>
      </c>
      <c r="D7" s="57">
        <v>42789</v>
      </c>
      <c r="E7" s="58" t="s">
        <v>471</v>
      </c>
      <c r="F7" s="118">
        <v>42799</v>
      </c>
      <c r="G7" s="223">
        <f t="shared" si="0"/>
        <v>10</v>
      </c>
      <c r="H7" s="146" t="s">
        <v>133</v>
      </c>
      <c r="I7" s="223" t="s">
        <v>608</v>
      </c>
      <c r="J7" s="223" t="s">
        <v>612</v>
      </c>
      <c r="K7" s="94">
        <v>3810.6</v>
      </c>
      <c r="L7" s="94">
        <v>3810.6</v>
      </c>
      <c r="M7" s="96">
        <v>0</v>
      </c>
      <c r="N7" s="96">
        <v>0</v>
      </c>
      <c r="O7" s="93">
        <f t="shared" si="1"/>
        <v>0</v>
      </c>
      <c r="P7" s="119" t="s">
        <v>264</v>
      </c>
      <c r="Q7" s="224" t="s">
        <v>1342</v>
      </c>
      <c r="R7" s="221" t="s">
        <v>134</v>
      </c>
      <c r="S7" s="62" t="s">
        <v>465</v>
      </c>
      <c r="T7" s="146" t="s">
        <v>164</v>
      </c>
      <c r="U7" s="146" t="s">
        <v>165</v>
      </c>
      <c r="V7" s="224" t="s">
        <v>166</v>
      </c>
      <c r="W7" s="146" t="s">
        <v>167</v>
      </c>
      <c r="X7" s="146" t="s">
        <v>142</v>
      </c>
      <c r="Y7" s="221"/>
      <c r="Z7" s="146" t="s">
        <v>202</v>
      </c>
      <c r="AA7" s="221"/>
      <c r="AB7" s="146"/>
      <c r="AC7" s="63">
        <f t="shared" si="2"/>
        <v>0</v>
      </c>
      <c r="AD7" s="226" t="s">
        <v>217</v>
      </c>
      <c r="AE7" s="221" t="s">
        <v>217</v>
      </c>
      <c r="AF7" s="146" t="s">
        <v>225</v>
      </c>
      <c r="AG7" s="146" t="s">
        <v>142</v>
      </c>
      <c r="AH7" s="64"/>
      <c r="AI7" s="146"/>
      <c r="AJ7" s="221"/>
      <c r="AK7" s="221"/>
      <c r="AL7" s="146"/>
      <c r="AM7" s="221"/>
    </row>
    <row r="8" spans="1:39" ht="12.75" hidden="1" customHeight="1">
      <c r="A8" s="147">
        <v>7</v>
      </c>
      <c r="B8" s="223">
        <v>188708</v>
      </c>
      <c r="C8" s="117" t="s">
        <v>86</v>
      </c>
      <c r="D8" s="57">
        <v>42789</v>
      </c>
      <c r="E8" s="58" t="s">
        <v>471</v>
      </c>
      <c r="F8" s="118">
        <v>42805</v>
      </c>
      <c r="G8" s="223">
        <f t="shared" si="0"/>
        <v>16</v>
      </c>
      <c r="H8" s="117" t="s">
        <v>133</v>
      </c>
      <c r="I8" s="223" t="s">
        <v>218</v>
      </c>
      <c r="J8" s="223" t="s">
        <v>611</v>
      </c>
      <c r="K8" s="94">
        <v>1299</v>
      </c>
      <c r="L8" s="94">
        <v>1299</v>
      </c>
      <c r="M8" s="96">
        <v>300</v>
      </c>
      <c r="N8" s="96">
        <v>460</v>
      </c>
      <c r="O8" s="93">
        <f t="shared" si="1"/>
        <v>761.06</v>
      </c>
      <c r="P8" s="119" t="s">
        <v>264</v>
      </c>
      <c r="Q8" s="119" t="s">
        <v>1342</v>
      </c>
      <c r="R8" s="222" t="s">
        <v>122</v>
      </c>
      <c r="S8" s="225" t="s">
        <v>469</v>
      </c>
      <c r="T8" s="222" t="s">
        <v>114</v>
      </c>
      <c r="U8" s="222" t="s">
        <v>168</v>
      </c>
      <c r="V8" s="222" t="s">
        <v>169</v>
      </c>
      <c r="W8" s="146" t="s">
        <v>42</v>
      </c>
      <c r="X8" s="117" t="s">
        <v>142</v>
      </c>
      <c r="Y8" s="221" t="s">
        <v>1942</v>
      </c>
      <c r="Z8" s="117" t="s">
        <v>170</v>
      </c>
      <c r="AA8" s="221"/>
      <c r="AB8" s="117" t="s">
        <v>127</v>
      </c>
      <c r="AC8" s="63">
        <f t="shared" si="2"/>
        <v>1</v>
      </c>
      <c r="AD8" s="226" t="s">
        <v>217</v>
      </c>
      <c r="AE8" s="221" t="s">
        <v>218</v>
      </c>
      <c r="AF8" s="117"/>
      <c r="AG8" s="117" t="s">
        <v>141</v>
      </c>
      <c r="AH8" s="64"/>
      <c r="AI8" s="117" t="s">
        <v>82</v>
      </c>
      <c r="AJ8" s="221"/>
      <c r="AK8" s="221" t="s">
        <v>671</v>
      </c>
      <c r="AL8" s="117" t="s">
        <v>645</v>
      </c>
      <c r="AM8" s="221"/>
    </row>
    <row r="9" spans="1:39" ht="12.75" hidden="1" customHeight="1">
      <c r="A9" s="147">
        <v>8</v>
      </c>
      <c r="B9" s="103">
        <v>187744</v>
      </c>
      <c r="C9" s="52" t="s">
        <v>121</v>
      </c>
      <c r="D9" s="57">
        <v>42790</v>
      </c>
      <c r="E9" s="58" t="s">
        <v>471</v>
      </c>
      <c r="F9" s="59">
        <v>42797</v>
      </c>
      <c r="G9" s="223">
        <f t="shared" si="0"/>
        <v>7</v>
      </c>
      <c r="H9" s="52" t="s">
        <v>133</v>
      </c>
      <c r="I9" s="223" t="s">
        <v>608</v>
      </c>
      <c r="J9" s="223" t="s">
        <v>610</v>
      </c>
      <c r="K9" s="94">
        <v>4399</v>
      </c>
      <c r="L9" s="94">
        <v>4399</v>
      </c>
      <c r="M9" s="96">
        <v>0</v>
      </c>
      <c r="N9" s="96">
        <v>0</v>
      </c>
      <c r="O9" s="93">
        <f t="shared" si="1"/>
        <v>0</v>
      </c>
      <c r="P9" s="61" t="s">
        <v>264</v>
      </c>
      <c r="Q9" s="224" t="s">
        <v>1342</v>
      </c>
      <c r="R9" s="221" t="s">
        <v>134</v>
      </c>
      <c r="S9" s="225" t="s">
        <v>465</v>
      </c>
      <c r="T9" s="222" t="s">
        <v>162</v>
      </c>
      <c r="U9" s="222" t="s">
        <v>186</v>
      </c>
      <c r="V9" s="66" t="s">
        <v>187</v>
      </c>
      <c r="W9" s="52" t="s">
        <v>42</v>
      </c>
      <c r="X9" s="52" t="s">
        <v>141</v>
      </c>
      <c r="Y9" s="221"/>
      <c r="Z9" s="52" t="s">
        <v>203</v>
      </c>
      <c r="AA9" s="146"/>
      <c r="AB9" s="52"/>
      <c r="AC9" s="63">
        <f t="shared" si="2"/>
        <v>0</v>
      </c>
      <c r="AD9" s="226" t="s">
        <v>217</v>
      </c>
      <c r="AE9" s="221" t="s">
        <v>217</v>
      </c>
      <c r="AF9" s="52" t="s">
        <v>225</v>
      </c>
      <c r="AG9" s="52" t="s">
        <v>142</v>
      </c>
      <c r="AH9" s="64"/>
      <c r="AI9" s="117"/>
      <c r="AJ9" s="117"/>
      <c r="AK9" s="221"/>
      <c r="AL9" s="117"/>
      <c r="AM9" s="117"/>
    </row>
    <row r="10" spans="1:39" ht="25.5" hidden="1" customHeight="1">
      <c r="A10" s="147">
        <v>9</v>
      </c>
      <c r="B10" s="68">
        <v>188019</v>
      </c>
      <c r="C10" s="148" t="s">
        <v>121</v>
      </c>
      <c r="D10" s="57">
        <v>42790</v>
      </c>
      <c r="E10" s="58" t="s">
        <v>471</v>
      </c>
      <c r="F10" s="67">
        <v>42797</v>
      </c>
      <c r="G10" s="68">
        <f t="shared" si="0"/>
        <v>7</v>
      </c>
      <c r="H10" s="148" t="s">
        <v>133</v>
      </c>
      <c r="I10" s="223" t="s">
        <v>218</v>
      </c>
      <c r="J10" s="223" t="s">
        <v>611</v>
      </c>
      <c r="K10" s="94">
        <v>2339</v>
      </c>
      <c r="L10" s="94">
        <v>2339.1</v>
      </c>
      <c r="M10" s="96">
        <v>25</v>
      </c>
      <c r="N10" s="96">
        <v>100</v>
      </c>
      <c r="O10" s="93">
        <f t="shared" si="1"/>
        <v>2098.66</v>
      </c>
      <c r="P10" s="69" t="s">
        <v>263</v>
      </c>
      <c r="Q10" s="119" t="s">
        <v>1341</v>
      </c>
      <c r="R10" s="117" t="s">
        <v>134</v>
      </c>
      <c r="S10" s="62" t="s">
        <v>465</v>
      </c>
      <c r="T10" s="221" t="s">
        <v>88</v>
      </c>
      <c r="U10" s="67" t="s">
        <v>741</v>
      </c>
      <c r="V10" s="70" t="s">
        <v>396</v>
      </c>
      <c r="W10" s="148" t="s">
        <v>42</v>
      </c>
      <c r="X10" s="148" t="s">
        <v>141</v>
      </c>
      <c r="Y10" s="148" t="s">
        <v>219</v>
      </c>
      <c r="Z10" s="148" t="s">
        <v>124</v>
      </c>
      <c r="AA10" s="117"/>
      <c r="AB10" s="148" t="s">
        <v>195</v>
      </c>
      <c r="AC10" s="63">
        <f t="shared" si="2"/>
        <v>1</v>
      </c>
      <c r="AD10" s="226" t="s">
        <v>217</v>
      </c>
      <c r="AE10" s="221" t="s">
        <v>218</v>
      </c>
      <c r="AF10" s="148"/>
      <c r="AG10" s="148" t="s">
        <v>141</v>
      </c>
      <c r="AH10" s="71" t="s">
        <v>194</v>
      </c>
      <c r="AI10" s="148" t="s">
        <v>184</v>
      </c>
      <c r="AJ10" s="148"/>
      <c r="AK10" s="148"/>
      <c r="AL10" s="148"/>
      <c r="AM10" s="117"/>
    </row>
    <row r="11" spans="1:39" s="72" customFormat="1" ht="25.5" hidden="1" customHeight="1">
      <c r="A11" s="147">
        <v>10</v>
      </c>
      <c r="B11" s="68">
        <v>187867</v>
      </c>
      <c r="C11" s="148" t="s">
        <v>128</v>
      </c>
      <c r="D11" s="57">
        <v>42793</v>
      </c>
      <c r="E11" s="58" t="s">
        <v>471</v>
      </c>
      <c r="F11" s="67">
        <v>42801</v>
      </c>
      <c r="G11" s="68">
        <f t="shared" si="0"/>
        <v>8</v>
      </c>
      <c r="H11" s="148" t="s">
        <v>133</v>
      </c>
      <c r="I11" s="223" t="s">
        <v>218</v>
      </c>
      <c r="J11" s="223" t="s">
        <v>611</v>
      </c>
      <c r="K11" s="94">
        <v>13999</v>
      </c>
      <c r="L11" s="94">
        <v>13999</v>
      </c>
      <c r="M11" s="96">
        <v>6343.54</v>
      </c>
      <c r="N11" s="96">
        <v>6573.54</v>
      </c>
      <c r="O11" s="227">
        <f t="shared" si="1"/>
        <v>6585.5199999999995</v>
      </c>
      <c r="P11" s="69" t="s">
        <v>263</v>
      </c>
      <c r="Q11" s="224" t="s">
        <v>1341</v>
      </c>
      <c r="R11" s="148" t="s">
        <v>122</v>
      </c>
      <c r="S11" s="225" t="s">
        <v>469</v>
      </c>
      <c r="T11" s="67" t="s">
        <v>114</v>
      </c>
      <c r="U11" s="70" t="s">
        <v>191</v>
      </c>
      <c r="V11" s="70" t="s">
        <v>192</v>
      </c>
      <c r="W11" s="69" t="s">
        <v>485</v>
      </c>
      <c r="X11" s="148" t="s">
        <v>142</v>
      </c>
      <c r="Y11" s="69" t="s">
        <v>91</v>
      </c>
      <c r="Z11" s="148" t="s">
        <v>147</v>
      </c>
      <c r="AA11" s="149"/>
      <c r="AB11" s="148" t="s">
        <v>195</v>
      </c>
      <c r="AC11" s="63">
        <f t="shared" si="2"/>
        <v>1</v>
      </c>
      <c r="AD11" s="226" t="s">
        <v>217</v>
      </c>
      <c r="AE11" s="221" t="s">
        <v>218</v>
      </c>
      <c r="AF11" s="148"/>
      <c r="AG11" s="148" t="s">
        <v>142</v>
      </c>
      <c r="AH11" s="71" t="s">
        <v>196</v>
      </c>
      <c r="AI11" s="148" t="s">
        <v>82</v>
      </c>
      <c r="AJ11" s="148"/>
      <c r="AK11" s="148" t="s">
        <v>672</v>
      </c>
      <c r="AL11" s="148" t="s">
        <v>645</v>
      </c>
      <c r="AM11" s="149"/>
    </row>
    <row r="12" spans="1:39" ht="12.75" hidden="1" customHeight="1">
      <c r="A12" s="147">
        <v>11</v>
      </c>
      <c r="B12" s="68">
        <v>188328</v>
      </c>
      <c r="C12" s="148" t="s">
        <v>86</v>
      </c>
      <c r="D12" s="57">
        <v>42793</v>
      </c>
      <c r="E12" s="58" t="s">
        <v>471</v>
      </c>
      <c r="F12" s="67">
        <f>D12+11</f>
        <v>42804</v>
      </c>
      <c r="G12" s="68">
        <f t="shared" si="0"/>
        <v>11</v>
      </c>
      <c r="H12" s="148" t="s">
        <v>133</v>
      </c>
      <c r="I12" s="223" t="s">
        <v>218</v>
      </c>
      <c r="J12" s="223" t="s">
        <v>611</v>
      </c>
      <c r="K12" s="94">
        <v>1799</v>
      </c>
      <c r="L12" s="94">
        <v>1799</v>
      </c>
      <c r="M12" s="96">
        <v>396</v>
      </c>
      <c r="N12" s="96">
        <v>826</v>
      </c>
      <c r="O12" s="93">
        <f t="shared" si="1"/>
        <v>865.06</v>
      </c>
      <c r="P12" s="69" t="s">
        <v>262</v>
      </c>
      <c r="Q12" s="224" t="s">
        <v>1342</v>
      </c>
      <c r="R12" s="148" t="s">
        <v>122</v>
      </c>
      <c r="S12" s="225" t="s">
        <v>469</v>
      </c>
      <c r="T12" s="148" t="s">
        <v>114</v>
      </c>
      <c r="U12" s="148" t="s">
        <v>197</v>
      </c>
      <c r="V12" s="224" t="s">
        <v>90</v>
      </c>
      <c r="W12" s="148" t="s">
        <v>201</v>
      </c>
      <c r="X12" s="148" t="s">
        <v>142</v>
      </c>
      <c r="Y12" s="221" t="s">
        <v>1942</v>
      </c>
      <c r="Z12" s="148" t="s">
        <v>170</v>
      </c>
      <c r="AA12" s="221"/>
      <c r="AB12" s="148" t="s">
        <v>127</v>
      </c>
      <c r="AC12" s="63">
        <f t="shared" si="2"/>
        <v>1</v>
      </c>
      <c r="AD12" s="226" t="s">
        <v>217</v>
      </c>
      <c r="AE12" s="221" t="s">
        <v>218</v>
      </c>
      <c r="AF12" s="148"/>
      <c r="AG12" s="148" t="s">
        <v>142</v>
      </c>
      <c r="AH12" s="71" t="s">
        <v>200</v>
      </c>
      <c r="AI12" s="148" t="s">
        <v>184</v>
      </c>
      <c r="AJ12" s="148"/>
      <c r="AK12" s="148" t="s">
        <v>673</v>
      </c>
      <c r="AL12" s="148" t="s">
        <v>645</v>
      </c>
      <c r="AM12" s="221"/>
    </row>
    <row r="13" spans="1:39" ht="12.75" hidden="1" customHeight="1">
      <c r="A13" s="147">
        <v>12</v>
      </c>
      <c r="B13" s="68">
        <v>188444</v>
      </c>
      <c r="C13" s="148" t="s">
        <v>86</v>
      </c>
      <c r="D13" s="57">
        <v>42793</v>
      </c>
      <c r="E13" s="58" t="s">
        <v>471</v>
      </c>
      <c r="F13" s="67">
        <f>D13+11</f>
        <v>42804</v>
      </c>
      <c r="G13" s="68">
        <f t="shared" si="0"/>
        <v>11</v>
      </c>
      <c r="H13" s="148" t="s">
        <v>133</v>
      </c>
      <c r="I13" s="223" t="s">
        <v>608</v>
      </c>
      <c r="J13" s="223" t="s">
        <v>610</v>
      </c>
      <c r="K13" s="94">
        <v>7599.05</v>
      </c>
      <c r="L13" s="94">
        <v>7599.05</v>
      </c>
      <c r="M13" s="96">
        <v>0</v>
      </c>
      <c r="N13" s="96">
        <v>0</v>
      </c>
      <c r="O13" s="93">
        <f t="shared" si="1"/>
        <v>0</v>
      </c>
      <c r="P13" s="69" t="s">
        <v>264</v>
      </c>
      <c r="Q13" s="224" t="s">
        <v>1342</v>
      </c>
      <c r="R13" s="117" t="s">
        <v>134</v>
      </c>
      <c r="S13" s="62" t="s">
        <v>465</v>
      </c>
      <c r="T13" s="148" t="s">
        <v>114</v>
      </c>
      <c r="U13" s="148" t="s">
        <v>198</v>
      </c>
      <c r="V13" s="224" t="s">
        <v>90</v>
      </c>
      <c r="W13" s="148" t="s">
        <v>199</v>
      </c>
      <c r="X13" s="148" t="s">
        <v>142</v>
      </c>
      <c r="Y13" s="148"/>
      <c r="Z13" s="148" t="s">
        <v>170</v>
      </c>
      <c r="AA13" s="221"/>
      <c r="AB13" s="148"/>
      <c r="AC13" s="63">
        <f t="shared" si="2"/>
        <v>0</v>
      </c>
      <c r="AD13" s="226" t="s">
        <v>217</v>
      </c>
      <c r="AE13" s="221" t="s">
        <v>217</v>
      </c>
      <c r="AF13" s="148" t="s">
        <v>225</v>
      </c>
      <c r="AG13" s="148" t="s">
        <v>142</v>
      </c>
      <c r="AH13" s="71"/>
      <c r="AI13" s="148"/>
      <c r="AJ13" s="148"/>
      <c r="AK13" s="148"/>
      <c r="AL13" s="148"/>
      <c r="AM13" s="147"/>
    </row>
    <row r="14" spans="1:39" ht="12.75" hidden="1" customHeight="1">
      <c r="A14" s="147">
        <v>13</v>
      </c>
      <c r="B14" s="68">
        <v>187649</v>
      </c>
      <c r="C14" s="148" t="s">
        <v>121</v>
      </c>
      <c r="D14" s="57">
        <v>42794</v>
      </c>
      <c r="E14" s="58" t="s">
        <v>471</v>
      </c>
      <c r="F14" s="67">
        <v>42795</v>
      </c>
      <c r="G14" s="68">
        <f t="shared" si="0"/>
        <v>1</v>
      </c>
      <c r="H14" s="148" t="s">
        <v>133</v>
      </c>
      <c r="I14" s="223" t="s">
        <v>608</v>
      </c>
      <c r="J14" s="223" t="s">
        <v>612</v>
      </c>
      <c r="K14" s="94">
        <v>3899</v>
      </c>
      <c r="L14" s="94">
        <v>3899</v>
      </c>
      <c r="M14" s="96">
        <v>0</v>
      </c>
      <c r="N14" s="96">
        <v>0</v>
      </c>
      <c r="O14" s="93">
        <v>0</v>
      </c>
      <c r="P14" s="69" t="s">
        <v>264</v>
      </c>
      <c r="Q14" s="224" t="s">
        <v>1342</v>
      </c>
      <c r="R14" s="148" t="s">
        <v>204</v>
      </c>
      <c r="S14" s="225" t="s">
        <v>469</v>
      </c>
      <c r="T14" s="148" t="s">
        <v>164</v>
      </c>
      <c r="U14" s="148" t="s">
        <v>205</v>
      </c>
      <c r="V14" s="69" t="s">
        <v>206</v>
      </c>
      <c r="W14" s="148" t="s">
        <v>207</v>
      </c>
      <c r="X14" s="148" t="s">
        <v>142</v>
      </c>
      <c r="Y14" s="148"/>
      <c r="Z14" s="148" t="s">
        <v>202</v>
      </c>
      <c r="AA14" s="221"/>
      <c r="AB14" s="148"/>
      <c r="AC14" s="63">
        <f t="shared" si="2"/>
        <v>0</v>
      </c>
      <c r="AD14" s="226" t="s">
        <v>217</v>
      </c>
      <c r="AE14" s="221" t="s">
        <v>217</v>
      </c>
      <c r="AF14" s="148" t="s">
        <v>1625</v>
      </c>
      <c r="AG14" s="148" t="s">
        <v>142</v>
      </c>
      <c r="AH14" s="110" t="s">
        <v>1626</v>
      </c>
      <c r="AI14" s="148"/>
      <c r="AJ14" s="148"/>
      <c r="AK14" s="148"/>
      <c r="AL14" s="148"/>
      <c r="AM14" s="147"/>
    </row>
    <row r="15" spans="1:39" ht="12.75" hidden="1" customHeight="1">
      <c r="A15" s="147">
        <v>14</v>
      </c>
      <c r="B15" s="68">
        <v>187891</v>
      </c>
      <c r="C15" s="148" t="s">
        <v>121</v>
      </c>
      <c r="D15" s="57">
        <v>42794</v>
      </c>
      <c r="E15" s="58" t="s">
        <v>471</v>
      </c>
      <c r="F15" s="67">
        <v>42798</v>
      </c>
      <c r="G15" s="68">
        <f t="shared" si="0"/>
        <v>4</v>
      </c>
      <c r="H15" s="148" t="s">
        <v>133</v>
      </c>
      <c r="I15" s="223" t="s">
        <v>608</v>
      </c>
      <c r="J15" s="223" t="s">
        <v>610</v>
      </c>
      <c r="K15" s="94">
        <v>2699</v>
      </c>
      <c r="L15" s="94">
        <v>2699</v>
      </c>
      <c r="M15" s="96">
        <v>0</v>
      </c>
      <c r="N15" s="96">
        <v>0</v>
      </c>
      <c r="O15" s="93">
        <f t="shared" ref="O15:O78" si="3">IF(AE15="Reemplazo",0,K15-(K15*0.12*0.5)-(MAX(M15,N15)))</f>
        <v>0</v>
      </c>
      <c r="P15" s="69" t="s">
        <v>264</v>
      </c>
      <c r="Q15" s="119" t="s">
        <v>1342</v>
      </c>
      <c r="R15" s="148" t="s">
        <v>210</v>
      </c>
      <c r="S15" s="225" t="s">
        <v>469</v>
      </c>
      <c r="T15" s="148" t="s">
        <v>164</v>
      </c>
      <c r="U15" s="148" t="s">
        <v>211</v>
      </c>
      <c r="V15" s="224" t="s">
        <v>90</v>
      </c>
      <c r="W15" s="148" t="s">
        <v>212</v>
      </c>
      <c r="X15" s="148" t="s">
        <v>142</v>
      </c>
      <c r="Y15" s="221" t="s">
        <v>1942</v>
      </c>
      <c r="Z15" s="148" t="s">
        <v>203</v>
      </c>
      <c r="AA15" s="221"/>
      <c r="AB15" s="148"/>
      <c r="AC15" s="63">
        <f t="shared" si="2"/>
        <v>0</v>
      </c>
      <c r="AD15" s="226" t="s">
        <v>217</v>
      </c>
      <c r="AE15" s="221" t="s">
        <v>217</v>
      </c>
      <c r="AF15" s="148" t="s">
        <v>225</v>
      </c>
      <c r="AG15" s="148" t="s">
        <v>141</v>
      </c>
      <c r="AH15" s="73" t="s">
        <v>233</v>
      </c>
      <c r="AI15" s="148"/>
      <c r="AJ15" s="148"/>
      <c r="AK15" s="148"/>
      <c r="AL15" s="148"/>
      <c r="AM15" s="146"/>
    </row>
    <row r="16" spans="1:39" s="72" customFormat="1" ht="12.75" hidden="1" customHeight="1">
      <c r="A16" s="147">
        <v>15</v>
      </c>
      <c r="B16" s="68">
        <v>188559</v>
      </c>
      <c r="C16" s="148" t="s">
        <v>121</v>
      </c>
      <c r="D16" s="57">
        <v>42794</v>
      </c>
      <c r="E16" s="58" t="s">
        <v>471</v>
      </c>
      <c r="F16" s="67">
        <v>42805</v>
      </c>
      <c r="G16" s="68">
        <f t="shared" si="0"/>
        <v>11</v>
      </c>
      <c r="H16" s="148" t="s">
        <v>133</v>
      </c>
      <c r="I16" s="223" t="s">
        <v>218</v>
      </c>
      <c r="J16" s="223" t="s">
        <v>611</v>
      </c>
      <c r="K16" s="94">
        <v>1899</v>
      </c>
      <c r="L16" s="94">
        <v>1899</v>
      </c>
      <c r="M16" s="96">
        <v>587</v>
      </c>
      <c r="N16" s="96">
        <v>970</v>
      </c>
      <c r="O16" s="93">
        <f t="shared" si="3"/>
        <v>815.06</v>
      </c>
      <c r="P16" s="69" t="s">
        <v>264</v>
      </c>
      <c r="Q16" s="119" t="s">
        <v>1342</v>
      </c>
      <c r="R16" s="148" t="s">
        <v>122</v>
      </c>
      <c r="S16" s="225" t="s">
        <v>469</v>
      </c>
      <c r="T16" s="148" t="s">
        <v>164</v>
      </c>
      <c r="U16" s="148" t="s">
        <v>214</v>
      </c>
      <c r="V16" s="224" t="s">
        <v>90</v>
      </c>
      <c r="W16" s="148" t="s">
        <v>215</v>
      </c>
      <c r="X16" s="148" t="s">
        <v>142</v>
      </c>
      <c r="Y16" s="221" t="s">
        <v>1942</v>
      </c>
      <c r="Z16" s="148" t="s">
        <v>202</v>
      </c>
      <c r="AA16" s="146"/>
      <c r="AB16" s="148" t="s">
        <v>127</v>
      </c>
      <c r="AC16" s="63">
        <f t="shared" si="2"/>
        <v>1</v>
      </c>
      <c r="AD16" s="226" t="s">
        <v>217</v>
      </c>
      <c r="AE16" s="221" t="s">
        <v>218</v>
      </c>
      <c r="AF16" s="148"/>
      <c r="AG16" s="148" t="s">
        <v>141</v>
      </c>
      <c r="AH16" s="71"/>
      <c r="AI16" s="148" t="s">
        <v>184</v>
      </c>
      <c r="AJ16" s="148"/>
      <c r="AK16" s="221"/>
      <c r="AL16" s="148"/>
      <c r="AM16" s="117"/>
    </row>
    <row r="17" spans="1:39" ht="12.75" hidden="1" customHeight="1">
      <c r="A17" s="147">
        <v>16</v>
      </c>
      <c r="B17" s="223">
        <v>189156</v>
      </c>
      <c r="C17" s="221" t="s">
        <v>128</v>
      </c>
      <c r="D17" s="57">
        <v>42794</v>
      </c>
      <c r="E17" s="58" t="s">
        <v>471</v>
      </c>
      <c r="F17" s="222">
        <v>42809</v>
      </c>
      <c r="G17" s="223">
        <f t="shared" si="0"/>
        <v>15</v>
      </c>
      <c r="H17" s="221" t="s">
        <v>133</v>
      </c>
      <c r="I17" s="223" t="s">
        <v>608</v>
      </c>
      <c r="J17" s="223" t="s">
        <v>610</v>
      </c>
      <c r="K17" s="94">
        <v>2199</v>
      </c>
      <c r="L17" s="94">
        <v>2199</v>
      </c>
      <c r="M17" s="96">
        <v>0</v>
      </c>
      <c r="N17" s="96">
        <v>0</v>
      </c>
      <c r="O17" s="93">
        <f t="shared" si="3"/>
        <v>0</v>
      </c>
      <c r="P17" s="224" t="s">
        <v>264</v>
      </c>
      <c r="Q17" s="224" t="s">
        <v>1342</v>
      </c>
      <c r="R17" s="221" t="s">
        <v>267</v>
      </c>
      <c r="S17" s="62" t="s">
        <v>465</v>
      </c>
      <c r="T17" s="222" t="s">
        <v>164</v>
      </c>
      <c r="U17" s="222" t="s">
        <v>268</v>
      </c>
      <c r="V17" s="224" t="s">
        <v>90</v>
      </c>
      <c r="W17" s="221"/>
      <c r="X17" s="221" t="s">
        <v>141</v>
      </c>
      <c r="Y17" s="221"/>
      <c r="Z17" s="221" t="s">
        <v>269</v>
      </c>
      <c r="AA17" s="149"/>
      <c r="AB17" s="221"/>
      <c r="AC17" s="63">
        <f t="shared" si="2"/>
        <v>0</v>
      </c>
      <c r="AD17" s="226" t="s">
        <v>217</v>
      </c>
      <c r="AE17" s="221" t="s">
        <v>217</v>
      </c>
      <c r="AF17" s="148" t="s">
        <v>1625</v>
      </c>
      <c r="AG17" s="221" t="s">
        <v>142</v>
      </c>
      <c r="AH17" s="64" t="s">
        <v>270</v>
      </c>
      <c r="AI17" s="221"/>
      <c r="AJ17" s="221"/>
      <c r="AK17" s="221"/>
      <c r="AL17" s="221"/>
      <c r="AM17" s="221"/>
    </row>
    <row r="18" spans="1:39" ht="12.75" hidden="1" customHeight="1">
      <c r="A18" s="147">
        <v>17</v>
      </c>
      <c r="B18" s="68">
        <v>188081</v>
      </c>
      <c r="C18" s="148" t="s">
        <v>128</v>
      </c>
      <c r="D18" s="57">
        <v>42795</v>
      </c>
      <c r="E18" s="58" t="s">
        <v>472</v>
      </c>
      <c r="F18" s="67">
        <v>42800</v>
      </c>
      <c r="G18" s="68">
        <f t="shared" si="0"/>
        <v>5</v>
      </c>
      <c r="H18" s="148" t="s">
        <v>133</v>
      </c>
      <c r="I18" s="223" t="s">
        <v>608</v>
      </c>
      <c r="J18" s="223" t="s">
        <v>612</v>
      </c>
      <c r="K18" s="94">
        <v>1019</v>
      </c>
      <c r="L18" s="94">
        <v>1019</v>
      </c>
      <c r="M18" s="96">
        <v>0</v>
      </c>
      <c r="N18" s="96">
        <v>0</v>
      </c>
      <c r="O18" s="93">
        <f t="shared" si="3"/>
        <v>0</v>
      </c>
      <c r="P18" s="69" t="s">
        <v>264</v>
      </c>
      <c r="Q18" s="119" t="s">
        <v>1342</v>
      </c>
      <c r="R18" s="221" t="s">
        <v>134</v>
      </c>
      <c r="S18" s="62" t="s">
        <v>465</v>
      </c>
      <c r="T18" s="148" t="s">
        <v>144</v>
      </c>
      <c r="U18" s="148" t="s">
        <v>229</v>
      </c>
      <c r="V18" s="148" t="s">
        <v>136</v>
      </c>
      <c r="W18" s="74">
        <v>301321070018</v>
      </c>
      <c r="X18" s="148" t="s">
        <v>141</v>
      </c>
      <c r="Y18" s="148"/>
      <c r="Z18" s="148" t="s">
        <v>137</v>
      </c>
      <c r="AA18" s="221"/>
      <c r="AB18" s="148"/>
      <c r="AC18" s="63">
        <f t="shared" si="2"/>
        <v>0</v>
      </c>
      <c r="AD18" s="226" t="s">
        <v>217</v>
      </c>
      <c r="AE18" s="221" t="s">
        <v>217</v>
      </c>
      <c r="AF18" s="148" t="s">
        <v>225</v>
      </c>
      <c r="AG18" s="148" t="s">
        <v>142</v>
      </c>
      <c r="AH18" s="71"/>
      <c r="AI18" s="148"/>
      <c r="AJ18" s="148"/>
      <c r="AK18" s="148"/>
      <c r="AL18" s="148"/>
      <c r="AM18" s="221"/>
    </row>
    <row r="19" spans="1:39" ht="12.75" hidden="1" customHeight="1">
      <c r="A19" s="147">
        <v>18</v>
      </c>
      <c r="B19" s="68">
        <v>188640</v>
      </c>
      <c r="C19" s="148" t="s">
        <v>121</v>
      </c>
      <c r="D19" s="57">
        <v>42795</v>
      </c>
      <c r="E19" s="58" t="s">
        <v>472</v>
      </c>
      <c r="F19" s="67">
        <f>D19+9</f>
        <v>42804</v>
      </c>
      <c r="G19" s="68">
        <f t="shared" si="0"/>
        <v>9</v>
      </c>
      <c r="H19" s="148" t="s">
        <v>133</v>
      </c>
      <c r="I19" s="223" t="s">
        <v>608</v>
      </c>
      <c r="J19" s="223" t="s">
        <v>612</v>
      </c>
      <c r="K19" s="94">
        <v>1199</v>
      </c>
      <c r="L19" s="94">
        <v>1199</v>
      </c>
      <c r="M19" s="96">
        <v>0</v>
      </c>
      <c r="N19" s="96">
        <v>0</v>
      </c>
      <c r="O19" s="93">
        <f t="shared" si="3"/>
        <v>0</v>
      </c>
      <c r="P19" s="69" t="s">
        <v>262</v>
      </c>
      <c r="Q19" s="119" t="s">
        <v>1342</v>
      </c>
      <c r="R19" s="148" t="s">
        <v>220</v>
      </c>
      <c r="S19" s="225" t="s">
        <v>469</v>
      </c>
      <c r="T19" s="148" t="s">
        <v>164</v>
      </c>
      <c r="U19" s="148" t="s">
        <v>221</v>
      </c>
      <c r="V19" s="148" t="s">
        <v>222</v>
      </c>
      <c r="W19" s="148" t="s">
        <v>223</v>
      </c>
      <c r="X19" s="148" t="s">
        <v>141</v>
      </c>
      <c r="Y19" s="148"/>
      <c r="Z19" s="148" t="s">
        <v>202</v>
      </c>
      <c r="AA19" s="117"/>
      <c r="AB19" s="148"/>
      <c r="AC19" s="63">
        <f t="shared" si="2"/>
        <v>0</v>
      </c>
      <c r="AD19" s="226" t="s">
        <v>217</v>
      </c>
      <c r="AE19" s="221" t="s">
        <v>217</v>
      </c>
      <c r="AF19" s="148" t="s">
        <v>225</v>
      </c>
      <c r="AG19" s="148" t="s">
        <v>142</v>
      </c>
      <c r="AH19" s="71"/>
      <c r="AI19" s="148"/>
      <c r="AJ19" s="148"/>
      <c r="AK19" s="148"/>
      <c r="AL19" s="148"/>
      <c r="AM19" s="117"/>
    </row>
    <row r="20" spans="1:39" ht="12.75" hidden="1" customHeight="1">
      <c r="A20" s="147">
        <v>19</v>
      </c>
      <c r="B20" s="68">
        <v>188146</v>
      </c>
      <c r="C20" s="148" t="s">
        <v>121</v>
      </c>
      <c r="D20" s="57">
        <v>42796</v>
      </c>
      <c r="E20" s="58" t="s">
        <v>472</v>
      </c>
      <c r="F20" s="67">
        <v>42800</v>
      </c>
      <c r="G20" s="68">
        <f t="shared" si="0"/>
        <v>4</v>
      </c>
      <c r="H20" s="148" t="s">
        <v>363</v>
      </c>
      <c r="I20" s="223" t="s">
        <v>218</v>
      </c>
      <c r="J20" s="223" t="s">
        <v>611</v>
      </c>
      <c r="K20" s="94">
        <v>1999</v>
      </c>
      <c r="L20" s="94">
        <v>1999</v>
      </c>
      <c r="M20" s="96">
        <v>0</v>
      </c>
      <c r="N20" s="96">
        <v>348</v>
      </c>
      <c r="O20" s="93">
        <f t="shared" si="3"/>
        <v>1531.06</v>
      </c>
      <c r="P20" s="69" t="s">
        <v>264</v>
      </c>
      <c r="Q20" s="119" t="s">
        <v>1342</v>
      </c>
      <c r="R20" s="117" t="s">
        <v>134</v>
      </c>
      <c r="S20" s="62" t="s">
        <v>465</v>
      </c>
      <c r="T20" s="148" t="s">
        <v>164</v>
      </c>
      <c r="U20" s="148" t="s">
        <v>226</v>
      </c>
      <c r="V20" s="148" t="s">
        <v>227</v>
      </c>
      <c r="W20" s="148" t="s">
        <v>228</v>
      </c>
      <c r="X20" s="148" t="s">
        <v>141</v>
      </c>
      <c r="Y20" s="148"/>
      <c r="Z20" s="148" t="s">
        <v>202</v>
      </c>
      <c r="AA20" s="221"/>
      <c r="AB20" s="148"/>
      <c r="AC20" s="63">
        <f t="shared" si="2"/>
        <v>1</v>
      </c>
      <c r="AD20" s="226" t="s">
        <v>217</v>
      </c>
      <c r="AE20" s="221" t="s">
        <v>218</v>
      </c>
      <c r="AF20" s="148"/>
      <c r="AG20" s="148" t="s">
        <v>142</v>
      </c>
      <c r="AH20" s="105" t="s">
        <v>443</v>
      </c>
      <c r="AI20" s="148"/>
      <c r="AJ20" s="148"/>
      <c r="AK20" s="148"/>
      <c r="AL20" s="148"/>
      <c r="AM20" s="221"/>
    </row>
    <row r="21" spans="1:39" ht="12.75" hidden="1" customHeight="1">
      <c r="A21" s="147">
        <v>20</v>
      </c>
      <c r="B21" s="68">
        <v>188764</v>
      </c>
      <c r="C21" s="148" t="s">
        <v>121</v>
      </c>
      <c r="D21" s="57">
        <v>42797</v>
      </c>
      <c r="E21" s="58" t="s">
        <v>472</v>
      </c>
      <c r="F21" s="67">
        <v>42808</v>
      </c>
      <c r="G21" s="68">
        <f t="shared" si="0"/>
        <v>11</v>
      </c>
      <c r="H21" s="148" t="s">
        <v>133</v>
      </c>
      <c r="I21" s="223" t="s">
        <v>218</v>
      </c>
      <c r="J21" s="223" t="s">
        <v>611</v>
      </c>
      <c r="K21" s="94">
        <v>2499</v>
      </c>
      <c r="L21" s="94">
        <v>2499</v>
      </c>
      <c r="M21" s="96">
        <v>340</v>
      </c>
      <c r="N21" s="96">
        <v>435</v>
      </c>
      <c r="O21" s="93">
        <f t="shared" si="3"/>
        <v>1914.06</v>
      </c>
      <c r="P21" s="69" t="s">
        <v>264</v>
      </c>
      <c r="Q21" s="224" t="s">
        <v>1342</v>
      </c>
      <c r="R21" s="148" t="s">
        <v>87</v>
      </c>
      <c r="S21" s="62" t="s">
        <v>465</v>
      </c>
      <c r="T21" s="148" t="s">
        <v>164</v>
      </c>
      <c r="U21" s="148" t="s">
        <v>230</v>
      </c>
      <c r="V21" s="148" t="s">
        <v>231</v>
      </c>
      <c r="W21" s="148" t="s">
        <v>232</v>
      </c>
      <c r="X21" s="148" t="s">
        <v>141</v>
      </c>
      <c r="Y21" s="221" t="s">
        <v>1942</v>
      </c>
      <c r="Z21" s="148" t="s">
        <v>202</v>
      </c>
      <c r="AA21" s="221"/>
      <c r="AB21" s="148" t="s">
        <v>140</v>
      </c>
      <c r="AC21" s="63">
        <f t="shared" si="2"/>
        <v>1</v>
      </c>
      <c r="AD21" s="226" t="s">
        <v>217</v>
      </c>
      <c r="AE21" s="221" t="s">
        <v>218</v>
      </c>
      <c r="AF21" s="148"/>
      <c r="AG21" s="148" t="s">
        <v>141</v>
      </c>
      <c r="AH21" s="71"/>
      <c r="AI21" s="148" t="s">
        <v>184</v>
      </c>
      <c r="AJ21" s="148"/>
      <c r="AK21" s="221" t="s">
        <v>680</v>
      </c>
      <c r="AL21" s="148" t="s">
        <v>645</v>
      </c>
      <c r="AM21" s="221"/>
    </row>
    <row r="22" spans="1:39" ht="12.75" hidden="1" customHeight="1">
      <c r="A22" s="147">
        <v>21</v>
      </c>
      <c r="B22" s="68">
        <v>189215</v>
      </c>
      <c r="C22" s="148" t="s">
        <v>128</v>
      </c>
      <c r="D22" s="57">
        <v>42800</v>
      </c>
      <c r="E22" s="58" t="s">
        <v>472</v>
      </c>
      <c r="F22" s="67">
        <v>42812</v>
      </c>
      <c r="G22" s="68">
        <f t="shared" si="0"/>
        <v>12</v>
      </c>
      <c r="H22" s="148" t="s">
        <v>133</v>
      </c>
      <c r="I22" s="223" t="s">
        <v>218</v>
      </c>
      <c r="J22" s="223" t="s">
        <v>611</v>
      </c>
      <c r="K22" s="94">
        <v>2999</v>
      </c>
      <c r="L22" s="94">
        <v>2999</v>
      </c>
      <c r="M22" s="96">
        <v>25</v>
      </c>
      <c r="N22" s="96">
        <v>100</v>
      </c>
      <c r="O22" s="93">
        <f t="shared" si="3"/>
        <v>2719.06</v>
      </c>
      <c r="P22" s="69" t="s">
        <v>264</v>
      </c>
      <c r="Q22" s="224" t="s">
        <v>1342</v>
      </c>
      <c r="R22" s="221" t="s">
        <v>134</v>
      </c>
      <c r="S22" s="62" t="s">
        <v>465</v>
      </c>
      <c r="T22" s="221" t="s">
        <v>88</v>
      </c>
      <c r="U22" s="148" t="s">
        <v>449</v>
      </c>
      <c r="V22" s="70" t="s">
        <v>234</v>
      </c>
      <c r="W22" s="148" t="s">
        <v>42</v>
      </c>
      <c r="X22" s="148" t="s">
        <v>142</v>
      </c>
      <c r="Y22" s="148" t="s">
        <v>219</v>
      </c>
      <c r="Z22" s="148" t="s">
        <v>235</v>
      </c>
      <c r="AA22" s="221"/>
      <c r="AB22" s="148" t="s">
        <v>236</v>
      </c>
      <c r="AC22" s="63">
        <f t="shared" si="2"/>
        <v>1</v>
      </c>
      <c r="AD22" s="226" t="s">
        <v>217</v>
      </c>
      <c r="AE22" s="221" t="s">
        <v>218</v>
      </c>
      <c r="AF22" s="148"/>
      <c r="AG22" s="148" t="s">
        <v>142</v>
      </c>
      <c r="AH22" s="71" t="s">
        <v>301</v>
      </c>
      <c r="AI22" s="148" t="s">
        <v>184</v>
      </c>
      <c r="AJ22" s="148"/>
      <c r="AK22" s="148"/>
      <c r="AL22" s="148"/>
      <c r="AM22" s="221"/>
    </row>
    <row r="23" spans="1:39" ht="12.75" hidden="1" customHeight="1">
      <c r="A23" s="147">
        <v>22</v>
      </c>
      <c r="B23" s="68">
        <v>175543</v>
      </c>
      <c r="C23" s="148" t="s">
        <v>129</v>
      </c>
      <c r="D23" s="57">
        <v>42802</v>
      </c>
      <c r="E23" s="58" t="s">
        <v>472</v>
      </c>
      <c r="F23" s="67">
        <v>42807</v>
      </c>
      <c r="G23" s="68">
        <f t="shared" si="0"/>
        <v>5</v>
      </c>
      <c r="H23" s="148" t="s">
        <v>363</v>
      </c>
      <c r="I23" s="223" t="s">
        <v>218</v>
      </c>
      <c r="J23" s="223" t="s">
        <v>611</v>
      </c>
      <c r="K23" s="94">
        <v>2414.3000000000002</v>
      </c>
      <c r="L23" s="94" t="e">
        <v>#N/A</v>
      </c>
      <c r="M23" s="96">
        <v>0</v>
      </c>
      <c r="N23" s="96">
        <v>390</v>
      </c>
      <c r="O23" s="93">
        <f t="shared" si="3"/>
        <v>1879.442</v>
      </c>
      <c r="P23" s="69" t="s">
        <v>264</v>
      </c>
      <c r="Q23" s="224" t="s">
        <v>1342</v>
      </c>
      <c r="R23" s="148" t="s">
        <v>237</v>
      </c>
      <c r="S23" s="62" t="s">
        <v>465</v>
      </c>
      <c r="T23" s="67" t="s">
        <v>238</v>
      </c>
      <c r="U23" s="67" t="s">
        <v>239</v>
      </c>
      <c r="V23" s="67" t="s">
        <v>240</v>
      </c>
      <c r="W23" s="148" t="s">
        <v>42</v>
      </c>
      <c r="X23" s="148" t="s">
        <v>141</v>
      </c>
      <c r="Y23" s="148"/>
      <c r="Z23" s="148" t="s">
        <v>246</v>
      </c>
      <c r="AA23" s="221"/>
      <c r="AB23" s="148"/>
      <c r="AC23" s="63">
        <f t="shared" si="2"/>
        <v>1</v>
      </c>
      <c r="AD23" s="226" t="s">
        <v>217</v>
      </c>
      <c r="AE23" s="221" t="s">
        <v>218</v>
      </c>
      <c r="AF23" s="221"/>
      <c r="AG23" s="148" t="s">
        <v>141</v>
      </c>
      <c r="AH23" s="73" t="s">
        <v>247</v>
      </c>
      <c r="AI23" s="148"/>
      <c r="AJ23" s="148"/>
      <c r="AK23" s="148"/>
      <c r="AL23" s="148"/>
      <c r="AM23" s="221"/>
    </row>
    <row r="24" spans="1:39" ht="12.75" hidden="1" customHeight="1">
      <c r="A24" s="147">
        <v>23</v>
      </c>
      <c r="B24" s="68">
        <v>188980</v>
      </c>
      <c r="C24" s="148" t="s">
        <v>86</v>
      </c>
      <c r="D24" s="57">
        <v>42802</v>
      </c>
      <c r="E24" s="58" t="s">
        <v>472</v>
      </c>
      <c r="F24" s="67">
        <v>42808</v>
      </c>
      <c r="G24" s="68">
        <f t="shared" si="0"/>
        <v>6</v>
      </c>
      <c r="H24" s="148" t="s">
        <v>363</v>
      </c>
      <c r="I24" s="223" t="s">
        <v>218</v>
      </c>
      <c r="J24" s="223" t="s">
        <v>611</v>
      </c>
      <c r="K24" s="94">
        <v>1710</v>
      </c>
      <c r="L24" s="94">
        <v>1710</v>
      </c>
      <c r="M24" s="96">
        <v>0</v>
      </c>
      <c r="N24" s="96">
        <v>960</v>
      </c>
      <c r="O24" s="93">
        <f t="shared" si="3"/>
        <v>647.40000000000009</v>
      </c>
      <c r="P24" s="69" t="s">
        <v>264</v>
      </c>
      <c r="Q24" s="224" t="s">
        <v>1342</v>
      </c>
      <c r="R24" s="221" t="s">
        <v>134</v>
      </c>
      <c r="S24" s="62" t="s">
        <v>465</v>
      </c>
      <c r="T24" s="67" t="s">
        <v>114</v>
      </c>
      <c r="U24" s="148" t="s">
        <v>245</v>
      </c>
      <c r="V24" s="67" t="s">
        <v>139</v>
      </c>
      <c r="W24" s="148" t="s">
        <v>42</v>
      </c>
      <c r="X24" s="148" t="s">
        <v>142</v>
      </c>
      <c r="Y24" s="148"/>
      <c r="Z24" s="148" t="s">
        <v>170</v>
      </c>
      <c r="AA24" s="221"/>
      <c r="AB24" s="148"/>
      <c r="AC24" s="63">
        <f t="shared" si="2"/>
        <v>1</v>
      </c>
      <c r="AD24" s="226" t="s">
        <v>217</v>
      </c>
      <c r="AE24" s="221" t="s">
        <v>218</v>
      </c>
      <c r="AF24" s="148"/>
      <c r="AG24" s="148" t="s">
        <v>142</v>
      </c>
      <c r="AH24" s="105" t="s">
        <v>443</v>
      </c>
      <c r="AI24" s="148"/>
      <c r="AJ24" s="148"/>
      <c r="AK24" s="148"/>
      <c r="AL24" s="148"/>
      <c r="AM24" s="221"/>
    </row>
    <row r="25" spans="1:39" ht="12.75" hidden="1" customHeight="1">
      <c r="A25" s="147">
        <v>24</v>
      </c>
      <c r="B25" s="68">
        <v>189707</v>
      </c>
      <c r="C25" s="148" t="s">
        <v>86</v>
      </c>
      <c r="D25" s="57">
        <v>42804</v>
      </c>
      <c r="E25" s="58" t="s">
        <v>472</v>
      </c>
      <c r="F25" s="67">
        <v>42828</v>
      </c>
      <c r="G25" s="68">
        <f t="shared" si="0"/>
        <v>24</v>
      </c>
      <c r="H25" s="148" t="s">
        <v>133</v>
      </c>
      <c r="I25" s="223" t="s">
        <v>218</v>
      </c>
      <c r="J25" s="223" t="s">
        <v>611</v>
      </c>
      <c r="K25" s="94">
        <v>2599</v>
      </c>
      <c r="L25" s="94">
        <v>2599</v>
      </c>
      <c r="M25" s="96">
        <v>353.16</v>
      </c>
      <c r="N25" s="96">
        <v>538.16000000000008</v>
      </c>
      <c r="O25" s="93">
        <f t="shared" si="3"/>
        <v>1904.8999999999999</v>
      </c>
      <c r="P25" s="69" t="s">
        <v>261</v>
      </c>
      <c r="Q25" s="224" t="s">
        <v>1341</v>
      </c>
      <c r="R25" s="148" t="s">
        <v>87</v>
      </c>
      <c r="S25" s="62" t="s">
        <v>465</v>
      </c>
      <c r="T25" s="67" t="s">
        <v>114</v>
      </c>
      <c r="U25" s="148" t="s">
        <v>244</v>
      </c>
      <c r="V25" s="70" t="s">
        <v>395</v>
      </c>
      <c r="W25" s="148" t="s">
        <v>486</v>
      </c>
      <c r="X25" s="148" t="s">
        <v>141</v>
      </c>
      <c r="Y25" s="69" t="s">
        <v>91</v>
      </c>
      <c r="Z25" s="148" t="s">
        <v>170</v>
      </c>
      <c r="AA25" s="221"/>
      <c r="AB25" s="148" t="s">
        <v>140</v>
      </c>
      <c r="AC25" s="63">
        <f t="shared" si="2"/>
        <v>1</v>
      </c>
      <c r="AD25" s="226" t="s">
        <v>217</v>
      </c>
      <c r="AE25" s="221" t="s">
        <v>218</v>
      </c>
      <c r="AF25" s="148"/>
      <c r="AG25" s="148" t="s">
        <v>142</v>
      </c>
      <c r="AH25" s="71"/>
      <c r="AI25" s="148" t="s">
        <v>82</v>
      </c>
      <c r="AJ25" s="148"/>
      <c r="AK25" s="148" t="s">
        <v>677</v>
      </c>
      <c r="AL25" s="148" t="s">
        <v>645</v>
      </c>
      <c r="AM25" s="221"/>
    </row>
    <row r="26" spans="1:39" ht="12.75" hidden="1" customHeight="1">
      <c r="A26" s="147">
        <v>25</v>
      </c>
      <c r="B26" s="68">
        <v>190711</v>
      </c>
      <c r="C26" s="148" t="s">
        <v>121</v>
      </c>
      <c r="D26" s="57">
        <v>42804</v>
      </c>
      <c r="E26" s="58" t="s">
        <v>472</v>
      </c>
      <c r="F26" s="67">
        <v>42816</v>
      </c>
      <c r="G26" s="68">
        <f t="shared" si="0"/>
        <v>12</v>
      </c>
      <c r="H26" s="148" t="s">
        <v>133</v>
      </c>
      <c r="I26" s="223" t="s">
        <v>218</v>
      </c>
      <c r="J26" s="223" t="s">
        <v>611</v>
      </c>
      <c r="K26" s="94">
        <v>1993</v>
      </c>
      <c r="L26" s="94">
        <v>1993</v>
      </c>
      <c r="M26" s="96">
        <v>158</v>
      </c>
      <c r="N26" s="96">
        <v>80</v>
      </c>
      <c r="O26" s="93">
        <f t="shared" si="3"/>
        <v>1715.42</v>
      </c>
      <c r="P26" s="69" t="s">
        <v>264</v>
      </c>
      <c r="Q26" s="224" t="s">
        <v>1342</v>
      </c>
      <c r="R26" s="221" t="s">
        <v>134</v>
      </c>
      <c r="S26" s="62" t="s">
        <v>465</v>
      </c>
      <c r="T26" s="67" t="s">
        <v>164</v>
      </c>
      <c r="U26" s="148" t="s">
        <v>241</v>
      </c>
      <c r="V26" s="67" t="s">
        <v>242</v>
      </c>
      <c r="W26" s="148" t="s">
        <v>243</v>
      </c>
      <c r="X26" s="148" t="s">
        <v>141</v>
      </c>
      <c r="Y26" s="221" t="s">
        <v>1942</v>
      </c>
      <c r="Z26" s="148" t="s">
        <v>292</v>
      </c>
      <c r="AA26" s="146"/>
      <c r="AB26" s="148" t="s">
        <v>127</v>
      </c>
      <c r="AC26" s="63">
        <f t="shared" si="2"/>
        <v>1</v>
      </c>
      <c r="AD26" s="226" t="s">
        <v>217</v>
      </c>
      <c r="AE26" s="221" t="s">
        <v>218</v>
      </c>
      <c r="AF26" s="148"/>
      <c r="AG26" s="148" t="s">
        <v>142</v>
      </c>
      <c r="AH26" s="71"/>
      <c r="AI26" s="148" t="s">
        <v>184</v>
      </c>
      <c r="AJ26" s="148"/>
      <c r="AK26" s="148"/>
      <c r="AL26" s="148" t="s">
        <v>645</v>
      </c>
      <c r="AM26" s="146"/>
    </row>
    <row r="27" spans="1:39" ht="25.5" hidden="1" customHeight="1">
      <c r="A27" s="147">
        <v>26</v>
      </c>
      <c r="B27" s="68">
        <v>189089</v>
      </c>
      <c r="C27" s="148" t="s">
        <v>121</v>
      </c>
      <c r="D27" s="57">
        <v>42807</v>
      </c>
      <c r="E27" s="58" t="s">
        <v>472</v>
      </c>
      <c r="F27" s="67">
        <v>42811</v>
      </c>
      <c r="G27" s="68">
        <f t="shared" si="0"/>
        <v>4</v>
      </c>
      <c r="H27" s="148" t="s">
        <v>133</v>
      </c>
      <c r="I27" s="223" t="s">
        <v>608</v>
      </c>
      <c r="J27" s="223" t="s">
        <v>612</v>
      </c>
      <c r="K27" s="94">
        <v>2519.4</v>
      </c>
      <c r="L27" s="94">
        <v>2519.4</v>
      </c>
      <c r="M27" s="96">
        <v>0</v>
      </c>
      <c r="N27" s="96">
        <v>0</v>
      </c>
      <c r="O27" s="93">
        <f t="shared" si="3"/>
        <v>0</v>
      </c>
      <c r="P27" s="69" t="s">
        <v>264</v>
      </c>
      <c r="Q27" s="119" t="s">
        <v>1342</v>
      </c>
      <c r="R27" s="148" t="s">
        <v>204</v>
      </c>
      <c r="S27" s="225" t="s">
        <v>469</v>
      </c>
      <c r="T27" s="67" t="s">
        <v>164</v>
      </c>
      <c r="U27" s="67" t="s">
        <v>248</v>
      </c>
      <c r="V27" s="67" t="s">
        <v>249</v>
      </c>
      <c r="W27" s="148" t="s">
        <v>250</v>
      </c>
      <c r="X27" s="148" t="s">
        <v>142</v>
      </c>
      <c r="Y27" s="148"/>
      <c r="Z27" s="69" t="s">
        <v>253</v>
      </c>
      <c r="AA27" s="221"/>
      <c r="AB27" s="148"/>
      <c r="AC27" s="63">
        <f t="shared" si="2"/>
        <v>0</v>
      </c>
      <c r="AD27" s="226" t="s">
        <v>217</v>
      </c>
      <c r="AE27" s="221" t="s">
        <v>217</v>
      </c>
      <c r="AF27" s="148" t="s">
        <v>1625</v>
      </c>
      <c r="AG27" s="148" t="s">
        <v>142</v>
      </c>
      <c r="AH27" s="73" t="s">
        <v>291</v>
      </c>
      <c r="AI27" s="148"/>
      <c r="AJ27" s="148"/>
      <c r="AK27" s="148"/>
      <c r="AL27" s="148"/>
      <c r="AM27" s="221"/>
    </row>
    <row r="28" spans="1:39" ht="25.5" hidden="1" customHeight="1">
      <c r="A28" s="147">
        <v>27</v>
      </c>
      <c r="B28" s="68">
        <v>189604</v>
      </c>
      <c r="C28" s="148" t="s">
        <v>121</v>
      </c>
      <c r="D28" s="57">
        <v>42807</v>
      </c>
      <c r="E28" s="58" t="s">
        <v>472</v>
      </c>
      <c r="F28" s="67">
        <v>42814</v>
      </c>
      <c r="G28" s="68">
        <f t="shared" si="0"/>
        <v>7</v>
      </c>
      <c r="H28" s="148" t="s">
        <v>133</v>
      </c>
      <c r="I28" s="223" t="s">
        <v>218</v>
      </c>
      <c r="J28" s="223" t="s">
        <v>611</v>
      </c>
      <c r="K28" s="94">
        <v>4899</v>
      </c>
      <c r="L28" s="94">
        <v>4899</v>
      </c>
      <c r="M28" s="96">
        <v>450</v>
      </c>
      <c r="N28" s="96">
        <v>800</v>
      </c>
      <c r="O28" s="93">
        <f t="shared" si="3"/>
        <v>3805.0600000000004</v>
      </c>
      <c r="P28" s="69" t="s">
        <v>264</v>
      </c>
      <c r="Q28" s="224" t="s">
        <v>1342</v>
      </c>
      <c r="R28" s="221" t="s">
        <v>134</v>
      </c>
      <c r="S28" s="62" t="s">
        <v>465</v>
      </c>
      <c r="T28" s="70" t="s">
        <v>251</v>
      </c>
      <c r="U28" s="67" t="s">
        <v>324</v>
      </c>
      <c r="V28" s="224" t="s">
        <v>90</v>
      </c>
      <c r="W28" s="148"/>
      <c r="X28" s="148" t="s">
        <v>141</v>
      </c>
      <c r="Y28" s="127" t="s">
        <v>153</v>
      </c>
      <c r="Z28" s="148" t="s">
        <v>252</v>
      </c>
      <c r="AA28" s="221"/>
      <c r="AB28" s="148" t="s">
        <v>236</v>
      </c>
      <c r="AC28" s="63">
        <f t="shared" si="2"/>
        <v>1</v>
      </c>
      <c r="AD28" s="226" t="s">
        <v>217</v>
      </c>
      <c r="AE28" s="221" t="s">
        <v>218</v>
      </c>
      <c r="AF28" s="148"/>
      <c r="AG28" s="148" t="s">
        <v>142</v>
      </c>
      <c r="AH28" s="71"/>
      <c r="AI28" s="148" t="s">
        <v>82</v>
      </c>
      <c r="AJ28" s="148"/>
      <c r="AK28" s="148"/>
      <c r="AL28" s="148" t="s">
        <v>645</v>
      </c>
      <c r="AM28" s="146"/>
    </row>
    <row r="29" spans="1:39" ht="12.75" hidden="1" customHeight="1">
      <c r="A29" s="147">
        <v>28</v>
      </c>
      <c r="B29" s="68">
        <v>189915</v>
      </c>
      <c r="C29" s="148" t="s">
        <v>128</v>
      </c>
      <c r="D29" s="57">
        <v>42807</v>
      </c>
      <c r="E29" s="58" t="s">
        <v>472</v>
      </c>
      <c r="F29" s="67">
        <v>42822</v>
      </c>
      <c r="G29" s="68">
        <f t="shared" si="0"/>
        <v>15</v>
      </c>
      <c r="H29" s="148" t="s">
        <v>133</v>
      </c>
      <c r="I29" s="223" t="s">
        <v>608</v>
      </c>
      <c r="J29" s="223" t="s">
        <v>612</v>
      </c>
      <c r="K29" s="94">
        <v>4091.07</v>
      </c>
      <c r="L29" s="94">
        <v>4091.07</v>
      </c>
      <c r="M29" s="96">
        <v>0</v>
      </c>
      <c r="N29" s="96">
        <v>0</v>
      </c>
      <c r="O29" s="93">
        <f t="shared" si="3"/>
        <v>0</v>
      </c>
      <c r="P29" s="69" t="s">
        <v>264</v>
      </c>
      <c r="Q29" s="224" t="s">
        <v>1342</v>
      </c>
      <c r="R29" s="148" t="s">
        <v>254</v>
      </c>
      <c r="S29" s="62" t="s">
        <v>466</v>
      </c>
      <c r="T29" s="148" t="s">
        <v>255</v>
      </c>
      <c r="U29" s="148" t="s">
        <v>256</v>
      </c>
      <c r="V29" s="148" t="s">
        <v>257</v>
      </c>
      <c r="W29" s="69" t="s">
        <v>258</v>
      </c>
      <c r="X29" s="148" t="s">
        <v>142</v>
      </c>
      <c r="Y29" s="148" t="s">
        <v>265</v>
      </c>
      <c r="Z29" s="148" t="s">
        <v>259</v>
      </c>
      <c r="AA29" s="146"/>
      <c r="AB29" s="148"/>
      <c r="AC29" s="63">
        <f t="shared" si="2"/>
        <v>0</v>
      </c>
      <c r="AD29" s="226" t="s">
        <v>217</v>
      </c>
      <c r="AE29" s="221" t="s">
        <v>217</v>
      </c>
      <c r="AF29" s="148" t="s">
        <v>225</v>
      </c>
      <c r="AG29" s="148" t="s">
        <v>142</v>
      </c>
      <c r="AH29" s="71" t="s">
        <v>287</v>
      </c>
      <c r="AI29" s="148"/>
      <c r="AJ29" s="148"/>
      <c r="AK29" s="148"/>
      <c r="AL29" s="148"/>
      <c r="AM29" s="146"/>
    </row>
    <row r="30" spans="1:39" ht="12.75" hidden="1" customHeight="1">
      <c r="A30" s="147">
        <v>29</v>
      </c>
      <c r="B30" s="223">
        <v>188453</v>
      </c>
      <c r="C30" s="221" t="s">
        <v>86</v>
      </c>
      <c r="D30" s="75">
        <v>42808</v>
      </c>
      <c r="E30" s="58" t="s">
        <v>472</v>
      </c>
      <c r="F30" s="222">
        <v>42804</v>
      </c>
      <c r="G30" s="68">
        <f t="shared" si="0"/>
        <v>-4</v>
      </c>
      <c r="H30" s="221" t="s">
        <v>133</v>
      </c>
      <c r="I30" s="223" t="s">
        <v>608</v>
      </c>
      <c r="J30" s="223" t="s">
        <v>612</v>
      </c>
      <c r="K30" s="94">
        <v>1449</v>
      </c>
      <c r="L30" s="94">
        <v>1449</v>
      </c>
      <c r="M30" s="96">
        <v>0</v>
      </c>
      <c r="N30" s="96">
        <v>0</v>
      </c>
      <c r="O30" s="93">
        <f t="shared" si="3"/>
        <v>0</v>
      </c>
      <c r="P30" s="224" t="s">
        <v>264</v>
      </c>
      <c r="Q30" s="224" t="s">
        <v>1342</v>
      </c>
      <c r="R30" s="221" t="s">
        <v>134</v>
      </c>
      <c r="S30" s="62" t="s">
        <v>465</v>
      </c>
      <c r="T30" s="221" t="s">
        <v>114</v>
      </c>
      <c r="U30" s="221" t="s">
        <v>280</v>
      </c>
      <c r="V30" s="224" t="s">
        <v>90</v>
      </c>
      <c r="W30" s="49" t="s">
        <v>281</v>
      </c>
      <c r="X30" s="221" t="s">
        <v>141</v>
      </c>
      <c r="Y30" s="221"/>
      <c r="Z30" s="221" t="s">
        <v>170</v>
      </c>
      <c r="AA30" s="146"/>
      <c r="AB30" s="221"/>
      <c r="AC30" s="63">
        <f t="shared" si="2"/>
        <v>0</v>
      </c>
      <c r="AD30" s="226" t="s">
        <v>217</v>
      </c>
      <c r="AE30" s="221" t="s">
        <v>217</v>
      </c>
      <c r="AF30" s="52" t="s">
        <v>225</v>
      </c>
      <c r="AG30" s="221" t="s">
        <v>142</v>
      </c>
      <c r="AH30" s="64"/>
      <c r="AI30" s="221"/>
      <c r="AJ30" s="221"/>
      <c r="AK30" s="221"/>
      <c r="AL30" s="221"/>
      <c r="AM30" s="146"/>
    </row>
    <row r="31" spans="1:39" ht="18.75" hidden="1" customHeight="1">
      <c r="A31" s="147">
        <v>30</v>
      </c>
      <c r="B31" s="223">
        <v>189398</v>
      </c>
      <c r="C31" s="221" t="s">
        <v>121</v>
      </c>
      <c r="D31" s="57">
        <v>42808</v>
      </c>
      <c r="E31" s="58" t="s">
        <v>472</v>
      </c>
      <c r="F31" s="222">
        <f>D31+18</f>
        <v>42826</v>
      </c>
      <c r="G31" s="68">
        <f t="shared" si="0"/>
        <v>18</v>
      </c>
      <c r="H31" s="221" t="s">
        <v>133</v>
      </c>
      <c r="I31" s="223" t="s">
        <v>133</v>
      </c>
      <c r="J31" s="223" t="s">
        <v>611</v>
      </c>
      <c r="K31" s="94">
        <v>1749.9</v>
      </c>
      <c r="L31" s="94">
        <v>1749.9</v>
      </c>
      <c r="M31" s="97">
        <v>125</v>
      </c>
      <c r="N31" s="96">
        <v>0</v>
      </c>
      <c r="O31" s="93">
        <f t="shared" si="3"/>
        <v>1519.9060000000002</v>
      </c>
      <c r="P31" s="224" t="s">
        <v>264</v>
      </c>
      <c r="Q31" s="119" t="s">
        <v>1342</v>
      </c>
      <c r="R31" s="221" t="s">
        <v>275</v>
      </c>
      <c r="S31" s="62" t="s">
        <v>465</v>
      </c>
      <c r="T31" s="221" t="s">
        <v>238</v>
      </c>
      <c r="U31" s="221" t="s">
        <v>276</v>
      </c>
      <c r="V31" s="221" t="s">
        <v>306</v>
      </c>
      <c r="W31" s="221"/>
      <c r="X31" s="221" t="s">
        <v>142</v>
      </c>
      <c r="Y31" s="221" t="s">
        <v>238</v>
      </c>
      <c r="Z31" s="221" t="s">
        <v>292</v>
      </c>
      <c r="AA31" s="221"/>
      <c r="AB31" s="221" t="s">
        <v>127</v>
      </c>
      <c r="AC31" s="63">
        <f t="shared" si="2"/>
        <v>1</v>
      </c>
      <c r="AD31" s="226" t="s">
        <v>217</v>
      </c>
      <c r="AE31" s="221" t="s">
        <v>218</v>
      </c>
      <c r="AF31" s="221"/>
      <c r="AG31" s="221" t="s">
        <v>142</v>
      </c>
      <c r="AH31" s="64" t="s">
        <v>288</v>
      </c>
      <c r="AI31" s="221" t="s">
        <v>184</v>
      </c>
      <c r="AJ31" s="221"/>
      <c r="AK31" s="221"/>
      <c r="AL31" s="221" t="s">
        <v>645</v>
      </c>
      <c r="AM31" s="221"/>
    </row>
    <row r="32" spans="1:39" ht="29.25" hidden="1" customHeight="1">
      <c r="A32" s="147">
        <v>31</v>
      </c>
      <c r="B32" s="223">
        <v>189514</v>
      </c>
      <c r="C32" s="221" t="s">
        <v>121</v>
      </c>
      <c r="D32" s="57">
        <v>42808</v>
      </c>
      <c r="E32" s="58" t="s">
        <v>472</v>
      </c>
      <c r="F32" s="222">
        <v>42814</v>
      </c>
      <c r="G32" s="68">
        <f t="shared" si="0"/>
        <v>6</v>
      </c>
      <c r="H32" s="221" t="s">
        <v>363</v>
      </c>
      <c r="I32" s="223" t="s">
        <v>218</v>
      </c>
      <c r="J32" s="223" t="s">
        <v>611</v>
      </c>
      <c r="K32" s="94">
        <v>3799.05</v>
      </c>
      <c r="L32" s="94">
        <v>3799.05</v>
      </c>
      <c r="M32" s="96">
        <v>0</v>
      </c>
      <c r="N32" s="96">
        <v>797</v>
      </c>
      <c r="O32" s="93">
        <f t="shared" si="3"/>
        <v>2774.107</v>
      </c>
      <c r="P32" s="224" t="s">
        <v>264</v>
      </c>
      <c r="Q32" s="119" t="s">
        <v>1342</v>
      </c>
      <c r="R32" s="221" t="s">
        <v>134</v>
      </c>
      <c r="S32" s="62" t="s">
        <v>465</v>
      </c>
      <c r="T32" s="221" t="s">
        <v>164</v>
      </c>
      <c r="U32" s="148" t="s">
        <v>277</v>
      </c>
      <c r="V32" s="224" t="s">
        <v>278</v>
      </c>
      <c r="W32" s="221" t="s">
        <v>279</v>
      </c>
      <c r="X32" s="221" t="s">
        <v>142</v>
      </c>
      <c r="Y32" s="221"/>
      <c r="Z32" s="221" t="s">
        <v>202</v>
      </c>
      <c r="AA32" s="221"/>
      <c r="AB32" s="221"/>
      <c r="AC32" s="226">
        <f t="shared" si="2"/>
        <v>1</v>
      </c>
      <c r="AD32" s="226" t="s">
        <v>32</v>
      </c>
      <c r="AE32" s="221" t="s">
        <v>218</v>
      </c>
      <c r="AF32" s="221"/>
      <c r="AG32" s="221" t="s">
        <v>142</v>
      </c>
      <c r="AH32" s="64" t="s">
        <v>298</v>
      </c>
      <c r="AI32" s="221"/>
      <c r="AJ32" s="221"/>
      <c r="AK32" s="221"/>
      <c r="AL32" s="221"/>
      <c r="AM32" s="221"/>
    </row>
    <row r="33" spans="1:39" ht="57" hidden="1" customHeight="1">
      <c r="A33" s="147">
        <v>32</v>
      </c>
      <c r="B33" s="223">
        <v>189737</v>
      </c>
      <c r="C33" s="221" t="s">
        <v>128</v>
      </c>
      <c r="D33" s="57">
        <v>42808</v>
      </c>
      <c r="E33" s="58" t="s">
        <v>472</v>
      </c>
      <c r="F33" s="222">
        <v>42831</v>
      </c>
      <c r="G33" s="68">
        <f t="shared" si="0"/>
        <v>23</v>
      </c>
      <c r="H33" s="221" t="s">
        <v>133</v>
      </c>
      <c r="I33" s="223" t="s">
        <v>608</v>
      </c>
      <c r="J33" s="223" t="s">
        <v>610</v>
      </c>
      <c r="K33" s="94">
        <v>1299</v>
      </c>
      <c r="L33" s="94">
        <v>1299</v>
      </c>
      <c r="M33" s="97">
        <v>55</v>
      </c>
      <c r="N33" s="96">
        <v>0</v>
      </c>
      <c r="O33" s="93">
        <f t="shared" si="3"/>
        <v>0</v>
      </c>
      <c r="P33" s="224" t="s">
        <v>261</v>
      </c>
      <c r="Q33" s="224" t="s">
        <v>1341</v>
      </c>
      <c r="R33" s="117" t="s">
        <v>134</v>
      </c>
      <c r="S33" s="62" t="s">
        <v>465</v>
      </c>
      <c r="T33" s="221" t="s">
        <v>271</v>
      </c>
      <c r="U33" s="148" t="s">
        <v>272</v>
      </c>
      <c r="V33" s="221" t="s">
        <v>273</v>
      </c>
      <c r="W33" s="65"/>
      <c r="X33" s="221" t="s">
        <v>141</v>
      </c>
      <c r="Y33" s="224" t="s">
        <v>316</v>
      </c>
      <c r="Z33" s="221" t="s">
        <v>274</v>
      </c>
      <c r="AA33" s="146"/>
      <c r="AB33" s="221" t="s">
        <v>195</v>
      </c>
      <c r="AC33" s="63">
        <f t="shared" si="2"/>
        <v>0</v>
      </c>
      <c r="AD33" s="226"/>
      <c r="AE33" s="221" t="s">
        <v>217</v>
      </c>
      <c r="AF33" s="148" t="s">
        <v>1625</v>
      </c>
      <c r="AG33" s="221" t="s">
        <v>142</v>
      </c>
      <c r="AH33" s="76" t="s">
        <v>1493</v>
      </c>
      <c r="AI33" s="221" t="s">
        <v>184</v>
      </c>
      <c r="AJ33" s="221"/>
      <c r="AK33" s="225" t="s">
        <v>626</v>
      </c>
      <c r="AL33" s="221" t="s">
        <v>645</v>
      </c>
      <c r="AM33" s="117"/>
    </row>
    <row r="34" spans="1:39" ht="25.5" hidden="1" customHeight="1">
      <c r="A34" s="147">
        <v>33</v>
      </c>
      <c r="B34" s="167">
        <v>188909</v>
      </c>
      <c r="C34" s="221" t="s">
        <v>128</v>
      </c>
      <c r="D34" s="57">
        <v>42809</v>
      </c>
      <c r="E34" s="58" t="s">
        <v>472</v>
      </c>
      <c r="F34" s="222">
        <v>42833</v>
      </c>
      <c r="G34" s="221">
        <f t="shared" si="0"/>
        <v>24</v>
      </c>
      <c r="H34" s="221" t="s">
        <v>133</v>
      </c>
      <c r="I34" s="223" t="s">
        <v>608</v>
      </c>
      <c r="J34" s="223" t="s">
        <v>612</v>
      </c>
      <c r="K34" s="94">
        <v>1699</v>
      </c>
      <c r="L34" s="94">
        <v>1699</v>
      </c>
      <c r="M34" s="97">
        <v>1006</v>
      </c>
      <c r="N34" s="96">
        <v>0</v>
      </c>
      <c r="O34" s="93">
        <f t="shared" si="3"/>
        <v>0</v>
      </c>
      <c r="P34" s="224" t="s">
        <v>263</v>
      </c>
      <c r="Q34" s="224" t="s">
        <v>1341</v>
      </c>
      <c r="R34" s="221" t="s">
        <v>254</v>
      </c>
      <c r="S34" s="225" t="s">
        <v>466</v>
      </c>
      <c r="T34" s="221" t="s">
        <v>302</v>
      </c>
      <c r="U34" s="221" t="s">
        <v>303</v>
      </c>
      <c r="V34" s="148" t="s">
        <v>257</v>
      </c>
      <c r="W34" s="221"/>
      <c r="X34" s="221" t="s">
        <v>142</v>
      </c>
      <c r="Y34" s="221" t="s">
        <v>265</v>
      </c>
      <c r="Z34" s="221" t="s">
        <v>304</v>
      </c>
      <c r="AA34" s="221"/>
      <c r="AB34" s="221" t="s">
        <v>140</v>
      </c>
      <c r="AC34" s="63">
        <f t="shared" si="2"/>
        <v>0</v>
      </c>
      <c r="AD34" s="226"/>
      <c r="AE34" s="221" t="s">
        <v>217</v>
      </c>
      <c r="AF34" s="148" t="s">
        <v>1625</v>
      </c>
      <c r="AG34" s="221" t="s">
        <v>142</v>
      </c>
      <c r="AH34" s="64" t="s">
        <v>373</v>
      </c>
      <c r="AI34" s="221" t="s">
        <v>82</v>
      </c>
      <c r="AJ34" s="221"/>
      <c r="AK34" s="221" t="s">
        <v>679</v>
      </c>
      <c r="AL34" s="221" t="s">
        <v>645</v>
      </c>
      <c r="AM34" s="221"/>
    </row>
    <row r="35" spans="1:39" ht="25.5" hidden="1" customHeight="1">
      <c r="A35" s="147">
        <v>34</v>
      </c>
      <c r="B35" s="223">
        <v>189985</v>
      </c>
      <c r="C35" s="221" t="s">
        <v>121</v>
      </c>
      <c r="D35" s="57">
        <v>42809</v>
      </c>
      <c r="E35" s="58" t="s">
        <v>472</v>
      </c>
      <c r="F35" s="222">
        <v>42819</v>
      </c>
      <c r="G35" s="68">
        <f t="shared" si="0"/>
        <v>10</v>
      </c>
      <c r="H35" s="221" t="s">
        <v>133</v>
      </c>
      <c r="I35" s="223" t="s">
        <v>608</v>
      </c>
      <c r="J35" s="223" t="s">
        <v>610</v>
      </c>
      <c r="K35" s="94">
        <v>2999</v>
      </c>
      <c r="L35" s="94">
        <v>2999</v>
      </c>
      <c r="M35" s="96">
        <v>0</v>
      </c>
      <c r="N35" s="96">
        <v>0</v>
      </c>
      <c r="O35" s="93">
        <f t="shared" si="3"/>
        <v>0</v>
      </c>
      <c r="P35" s="224" t="s">
        <v>262</v>
      </c>
      <c r="Q35" s="224" t="s">
        <v>1342</v>
      </c>
      <c r="R35" s="117" t="s">
        <v>134</v>
      </c>
      <c r="S35" s="62" t="s">
        <v>465</v>
      </c>
      <c r="T35" s="222" t="s">
        <v>164</v>
      </c>
      <c r="U35" s="148" t="s">
        <v>289</v>
      </c>
      <c r="V35" s="224" t="s">
        <v>397</v>
      </c>
      <c r="W35" s="224" t="s">
        <v>290</v>
      </c>
      <c r="X35" s="221" t="s">
        <v>142</v>
      </c>
      <c r="Y35" s="221"/>
      <c r="Z35" s="221" t="s">
        <v>202</v>
      </c>
      <c r="AA35" s="221"/>
      <c r="AB35" s="221"/>
      <c r="AC35" s="63">
        <f t="shared" si="2"/>
        <v>0</v>
      </c>
      <c r="AD35" s="226" t="s">
        <v>217</v>
      </c>
      <c r="AE35" s="221" t="s">
        <v>217</v>
      </c>
      <c r="AF35" s="221" t="s">
        <v>225</v>
      </c>
      <c r="AG35" s="221" t="s">
        <v>142</v>
      </c>
      <c r="AH35" s="64" t="s">
        <v>307</v>
      </c>
      <c r="AI35" s="221"/>
      <c r="AJ35" s="221"/>
      <c r="AK35" s="221"/>
      <c r="AL35" s="221"/>
      <c r="AM35" s="221"/>
    </row>
    <row r="36" spans="1:39" ht="25.5" hidden="1" customHeight="1">
      <c r="A36" s="147">
        <v>35</v>
      </c>
      <c r="B36" s="223">
        <v>190329</v>
      </c>
      <c r="C36" s="221" t="s">
        <v>86</v>
      </c>
      <c r="D36" s="57">
        <v>42809</v>
      </c>
      <c r="E36" s="58" t="s">
        <v>472</v>
      </c>
      <c r="F36" s="222">
        <v>42823</v>
      </c>
      <c r="G36" s="68">
        <f t="shared" si="0"/>
        <v>14</v>
      </c>
      <c r="H36" s="221" t="s">
        <v>133</v>
      </c>
      <c r="I36" s="223" t="s">
        <v>218</v>
      </c>
      <c r="J36" s="223" t="s">
        <v>611</v>
      </c>
      <c r="K36" s="94">
        <v>1599</v>
      </c>
      <c r="L36" s="94">
        <v>1599</v>
      </c>
      <c r="M36" s="97">
        <v>300</v>
      </c>
      <c r="N36" s="96">
        <v>480</v>
      </c>
      <c r="O36" s="93">
        <f t="shared" si="3"/>
        <v>1023.06</v>
      </c>
      <c r="P36" s="66" t="s">
        <v>263</v>
      </c>
      <c r="Q36" s="119" t="s">
        <v>1341</v>
      </c>
      <c r="R36" s="222" t="s">
        <v>122</v>
      </c>
      <c r="S36" s="225" t="s">
        <v>469</v>
      </c>
      <c r="T36" s="221" t="s">
        <v>114</v>
      </c>
      <c r="U36" s="148" t="s">
        <v>286</v>
      </c>
      <c r="V36" s="222" t="s">
        <v>169</v>
      </c>
      <c r="W36" s="221"/>
      <c r="X36" s="221" t="s">
        <v>142</v>
      </c>
      <c r="Y36" s="221" t="s">
        <v>1942</v>
      </c>
      <c r="Z36" s="221" t="s">
        <v>170</v>
      </c>
      <c r="AA36" s="221"/>
      <c r="AB36" s="221" t="s">
        <v>140</v>
      </c>
      <c r="AC36" s="63">
        <f t="shared" si="2"/>
        <v>1</v>
      </c>
      <c r="AD36" s="226" t="s">
        <v>32</v>
      </c>
      <c r="AE36" s="221" t="s">
        <v>218</v>
      </c>
      <c r="AF36" s="221"/>
      <c r="AG36" s="221" t="s">
        <v>142</v>
      </c>
      <c r="AH36" s="64"/>
      <c r="AI36" s="221" t="s">
        <v>184</v>
      </c>
      <c r="AJ36" s="221"/>
      <c r="AK36" s="221" t="s">
        <v>681</v>
      </c>
      <c r="AL36" s="221" t="s">
        <v>645</v>
      </c>
      <c r="AM36" s="221"/>
    </row>
    <row r="37" spans="1:39" ht="12.75" hidden="1" customHeight="1">
      <c r="A37" s="147">
        <v>36</v>
      </c>
      <c r="B37" s="60">
        <v>189585</v>
      </c>
      <c r="C37" s="52" t="s">
        <v>121</v>
      </c>
      <c r="D37" s="57">
        <v>42810</v>
      </c>
      <c r="E37" s="58" t="s">
        <v>472</v>
      </c>
      <c r="F37" s="59">
        <v>42814</v>
      </c>
      <c r="G37" s="221">
        <f t="shared" si="0"/>
        <v>4</v>
      </c>
      <c r="H37" s="52" t="s">
        <v>133</v>
      </c>
      <c r="I37" s="223" t="s">
        <v>218</v>
      </c>
      <c r="J37" s="223" t="s">
        <v>611</v>
      </c>
      <c r="K37" s="94">
        <v>1999</v>
      </c>
      <c r="L37" s="94">
        <v>1999</v>
      </c>
      <c r="M37" s="96">
        <v>0</v>
      </c>
      <c r="N37" s="96">
        <v>70</v>
      </c>
      <c r="O37" s="93">
        <f t="shared" si="3"/>
        <v>1809.06</v>
      </c>
      <c r="P37" s="61" t="s">
        <v>264</v>
      </c>
      <c r="Q37" s="119" t="s">
        <v>1342</v>
      </c>
      <c r="R37" s="223" t="s">
        <v>300</v>
      </c>
      <c r="S37" s="225" t="s">
        <v>469</v>
      </c>
      <c r="T37" s="117" t="s">
        <v>164</v>
      </c>
      <c r="U37" s="117" t="s">
        <v>299</v>
      </c>
      <c r="V37" s="224" t="s">
        <v>90</v>
      </c>
      <c r="W37" s="221"/>
      <c r="X37" s="52" t="s">
        <v>142</v>
      </c>
      <c r="Y37" s="117"/>
      <c r="Z37" s="117" t="s">
        <v>253</v>
      </c>
      <c r="AA37" s="146"/>
      <c r="AB37" s="52"/>
      <c r="AC37" s="63">
        <f t="shared" si="2"/>
        <v>1</v>
      </c>
      <c r="AD37" s="226" t="s">
        <v>217</v>
      </c>
      <c r="AE37" s="221" t="s">
        <v>218</v>
      </c>
      <c r="AF37" s="52"/>
      <c r="AG37" s="52" t="s">
        <v>142</v>
      </c>
      <c r="AH37" s="64" t="s">
        <v>689</v>
      </c>
      <c r="AI37" s="117"/>
      <c r="AJ37" s="117"/>
      <c r="AK37" s="221"/>
      <c r="AL37" s="117"/>
      <c r="AM37" s="221"/>
    </row>
    <row r="38" spans="1:39" ht="25.5" hidden="1" customHeight="1">
      <c r="A38" s="147">
        <v>37</v>
      </c>
      <c r="B38" s="60">
        <v>189972</v>
      </c>
      <c r="C38" s="52" t="s">
        <v>121</v>
      </c>
      <c r="D38" s="57">
        <v>42810</v>
      </c>
      <c r="E38" s="58" t="s">
        <v>472</v>
      </c>
      <c r="F38" s="59">
        <v>42815</v>
      </c>
      <c r="G38" s="68">
        <f t="shared" si="0"/>
        <v>5</v>
      </c>
      <c r="H38" s="52" t="s">
        <v>363</v>
      </c>
      <c r="I38" s="223" t="s">
        <v>218</v>
      </c>
      <c r="J38" s="223" t="s">
        <v>611</v>
      </c>
      <c r="K38" s="94">
        <v>1099</v>
      </c>
      <c r="L38" s="94">
        <v>1099</v>
      </c>
      <c r="M38" s="96">
        <v>115</v>
      </c>
      <c r="N38" s="231">
        <v>17.5</v>
      </c>
      <c r="O38" s="93">
        <f t="shared" si="3"/>
        <v>918.06</v>
      </c>
      <c r="P38" s="61" t="s">
        <v>264</v>
      </c>
      <c r="Q38" s="119" t="s">
        <v>1342</v>
      </c>
      <c r="R38" s="222" t="s">
        <v>293</v>
      </c>
      <c r="S38" s="225" t="s">
        <v>469</v>
      </c>
      <c r="T38" s="117" t="s">
        <v>294</v>
      </c>
      <c r="U38" s="117" t="s">
        <v>295</v>
      </c>
      <c r="V38" s="117" t="s">
        <v>293</v>
      </c>
      <c r="W38" s="52"/>
      <c r="X38" s="52" t="s">
        <v>141</v>
      </c>
      <c r="Y38" s="117" t="s">
        <v>296</v>
      </c>
      <c r="Z38" s="224" t="s">
        <v>253</v>
      </c>
      <c r="AA38" s="221"/>
      <c r="AB38" s="52" t="s">
        <v>195</v>
      </c>
      <c r="AC38" s="63">
        <f t="shared" si="2"/>
        <v>1</v>
      </c>
      <c r="AD38" s="226" t="s">
        <v>32</v>
      </c>
      <c r="AE38" s="221" t="s">
        <v>218</v>
      </c>
      <c r="AF38" s="52"/>
      <c r="AG38" s="52" t="s">
        <v>142</v>
      </c>
      <c r="AH38" s="64" t="s">
        <v>616</v>
      </c>
      <c r="AI38" s="117" t="s">
        <v>184</v>
      </c>
      <c r="AJ38" s="117"/>
      <c r="AK38" s="146"/>
      <c r="AL38" s="117"/>
      <c r="AM38" s="221"/>
    </row>
    <row r="39" spans="1:39" ht="38.25" hidden="1" customHeight="1">
      <c r="A39" s="147">
        <v>38</v>
      </c>
      <c r="B39" s="167">
        <v>190500</v>
      </c>
      <c r="C39" s="52" t="s">
        <v>86</v>
      </c>
      <c r="D39" s="57">
        <v>42810</v>
      </c>
      <c r="E39" s="58" t="s">
        <v>472</v>
      </c>
      <c r="F39" s="59">
        <v>42826</v>
      </c>
      <c r="G39" s="221">
        <f t="shared" si="0"/>
        <v>16</v>
      </c>
      <c r="H39" s="117" t="s">
        <v>133</v>
      </c>
      <c r="I39" s="223" t="s">
        <v>218</v>
      </c>
      <c r="J39" s="223" t="s">
        <v>611</v>
      </c>
      <c r="K39" s="94">
        <v>1834.5</v>
      </c>
      <c r="L39" s="94">
        <v>1834.5</v>
      </c>
      <c r="M39" s="96">
        <v>0</v>
      </c>
      <c r="N39" s="96">
        <v>95</v>
      </c>
      <c r="O39" s="93">
        <f t="shared" si="3"/>
        <v>1629.43</v>
      </c>
      <c r="P39" s="61" t="s">
        <v>264</v>
      </c>
      <c r="Q39" s="119" t="s">
        <v>1342</v>
      </c>
      <c r="R39" s="117" t="s">
        <v>143</v>
      </c>
      <c r="S39" s="62" t="s">
        <v>465</v>
      </c>
      <c r="T39" s="221" t="s">
        <v>88</v>
      </c>
      <c r="U39" s="221" t="s">
        <v>297</v>
      </c>
      <c r="V39" s="224" t="s">
        <v>90</v>
      </c>
      <c r="W39" s="52"/>
      <c r="X39" s="52" t="s">
        <v>142</v>
      </c>
      <c r="Y39" s="221" t="s">
        <v>1942</v>
      </c>
      <c r="Z39" s="117" t="s">
        <v>189</v>
      </c>
      <c r="AA39" s="146"/>
      <c r="AB39" s="52"/>
      <c r="AC39" s="63">
        <f t="shared" si="2"/>
        <v>1</v>
      </c>
      <c r="AD39" s="226" t="s">
        <v>217</v>
      </c>
      <c r="AE39" s="221" t="s">
        <v>218</v>
      </c>
      <c r="AF39" s="52"/>
      <c r="AG39" s="52" t="s">
        <v>142</v>
      </c>
      <c r="AH39" s="76" t="s">
        <v>383</v>
      </c>
      <c r="AI39" s="117" t="s">
        <v>184</v>
      </c>
      <c r="AJ39" s="146"/>
      <c r="AK39" s="221"/>
      <c r="AL39" s="117"/>
      <c r="AM39" s="146"/>
    </row>
    <row r="40" spans="1:39" ht="12.75" hidden="1" customHeight="1">
      <c r="A40" s="147">
        <v>39</v>
      </c>
      <c r="B40" s="60">
        <v>189990</v>
      </c>
      <c r="C40" s="52" t="s">
        <v>128</v>
      </c>
      <c r="D40" s="57">
        <v>42814</v>
      </c>
      <c r="E40" s="58" t="s">
        <v>472</v>
      </c>
      <c r="F40" s="59">
        <v>42819</v>
      </c>
      <c r="G40" s="221">
        <f t="shared" si="0"/>
        <v>5</v>
      </c>
      <c r="H40" s="146" t="s">
        <v>133</v>
      </c>
      <c r="I40" s="223" t="s">
        <v>218</v>
      </c>
      <c r="J40" s="223" t="s">
        <v>611</v>
      </c>
      <c r="K40" s="94">
        <v>1699</v>
      </c>
      <c r="L40" s="94">
        <v>1699</v>
      </c>
      <c r="M40" s="97">
        <v>125</v>
      </c>
      <c r="N40" s="96">
        <v>280</v>
      </c>
      <c r="O40" s="93">
        <f t="shared" si="3"/>
        <v>1317.06</v>
      </c>
      <c r="P40" s="61" t="s">
        <v>264</v>
      </c>
      <c r="Q40" s="119" t="s">
        <v>1342</v>
      </c>
      <c r="R40" s="117" t="s">
        <v>143</v>
      </c>
      <c r="S40" s="62" t="s">
        <v>465</v>
      </c>
      <c r="T40" s="117" t="s">
        <v>114</v>
      </c>
      <c r="U40" s="221" t="s">
        <v>310</v>
      </c>
      <c r="V40" s="146" t="s">
        <v>311</v>
      </c>
      <c r="W40" s="221"/>
      <c r="X40" s="52" t="s">
        <v>142</v>
      </c>
      <c r="Y40" s="221" t="s">
        <v>1942</v>
      </c>
      <c r="Z40" s="52" t="s">
        <v>147</v>
      </c>
      <c r="AA40" s="146"/>
      <c r="AB40" s="52" t="s">
        <v>140</v>
      </c>
      <c r="AC40" s="63">
        <f t="shared" si="2"/>
        <v>1</v>
      </c>
      <c r="AD40" s="226" t="s">
        <v>217</v>
      </c>
      <c r="AE40" s="221" t="s">
        <v>218</v>
      </c>
      <c r="AF40" s="52"/>
      <c r="AG40" s="52" t="s">
        <v>142</v>
      </c>
      <c r="AH40" s="64" t="s">
        <v>312</v>
      </c>
      <c r="AI40" s="146" t="s">
        <v>184</v>
      </c>
      <c r="AJ40" s="146"/>
      <c r="AK40" s="221"/>
      <c r="AL40" s="146" t="s">
        <v>645</v>
      </c>
      <c r="AM40" s="146"/>
    </row>
    <row r="41" spans="1:39" ht="12.75" hidden="1" customHeight="1">
      <c r="A41" s="147">
        <v>40</v>
      </c>
      <c r="B41" s="223">
        <v>190657</v>
      </c>
      <c r="C41" s="52" t="s">
        <v>128</v>
      </c>
      <c r="D41" s="57">
        <v>42814</v>
      </c>
      <c r="E41" s="58" t="s">
        <v>472</v>
      </c>
      <c r="F41" s="59">
        <v>42829</v>
      </c>
      <c r="G41" s="117">
        <f t="shared" si="0"/>
        <v>15</v>
      </c>
      <c r="H41" s="52" t="s">
        <v>363</v>
      </c>
      <c r="I41" s="223" t="s">
        <v>608</v>
      </c>
      <c r="J41" s="223" t="s">
        <v>610</v>
      </c>
      <c r="K41" s="94">
        <v>1499</v>
      </c>
      <c r="L41" s="94">
        <v>1499</v>
      </c>
      <c r="M41" s="96">
        <v>0</v>
      </c>
      <c r="N41" s="96">
        <v>0</v>
      </c>
      <c r="O41" s="93">
        <f t="shared" si="3"/>
        <v>0</v>
      </c>
      <c r="P41" s="119" t="s">
        <v>263</v>
      </c>
      <c r="Q41" s="119" t="s">
        <v>1341</v>
      </c>
      <c r="R41" s="117" t="s">
        <v>134</v>
      </c>
      <c r="S41" s="62" t="s">
        <v>465</v>
      </c>
      <c r="T41" s="117" t="s">
        <v>144</v>
      </c>
      <c r="U41" s="117" t="s">
        <v>308</v>
      </c>
      <c r="V41" s="221" t="s">
        <v>309</v>
      </c>
      <c r="W41" s="146"/>
      <c r="X41" s="52"/>
      <c r="Y41" s="117"/>
      <c r="Z41" s="52" t="s">
        <v>137</v>
      </c>
      <c r="AA41" s="146"/>
      <c r="AB41" s="52"/>
      <c r="AC41" s="63">
        <f t="shared" si="2"/>
        <v>0</v>
      </c>
      <c r="AD41" s="226" t="s">
        <v>217</v>
      </c>
      <c r="AE41" s="221" t="s">
        <v>217</v>
      </c>
      <c r="AF41" s="52" t="s">
        <v>225</v>
      </c>
      <c r="AG41" s="52" t="s">
        <v>142</v>
      </c>
      <c r="AH41" s="64"/>
      <c r="AI41" s="117"/>
      <c r="AJ41" s="146"/>
      <c r="AK41" s="221"/>
      <c r="AL41" s="117"/>
      <c r="AM41" s="146"/>
    </row>
    <row r="42" spans="1:39" ht="25.5" hidden="1" customHeight="1">
      <c r="A42" s="147">
        <v>41</v>
      </c>
      <c r="B42" s="60">
        <v>190808</v>
      </c>
      <c r="C42" s="52" t="s">
        <v>86</v>
      </c>
      <c r="D42" s="57">
        <v>42814</v>
      </c>
      <c r="E42" s="58" t="s">
        <v>472</v>
      </c>
      <c r="F42" s="59">
        <v>42829</v>
      </c>
      <c r="G42" s="221">
        <f t="shared" si="0"/>
        <v>15</v>
      </c>
      <c r="H42" s="146" t="s">
        <v>133</v>
      </c>
      <c r="I42" s="223" t="s">
        <v>218</v>
      </c>
      <c r="J42" s="223" t="s">
        <v>611</v>
      </c>
      <c r="K42" s="94">
        <v>1599</v>
      </c>
      <c r="L42" s="94">
        <v>1599</v>
      </c>
      <c r="M42" s="97">
        <v>300</v>
      </c>
      <c r="N42" s="96">
        <v>480</v>
      </c>
      <c r="O42" s="93">
        <f t="shared" si="3"/>
        <v>1023.06</v>
      </c>
      <c r="P42" s="61" t="s">
        <v>263</v>
      </c>
      <c r="Q42" s="119" t="s">
        <v>1341</v>
      </c>
      <c r="R42" s="117" t="s">
        <v>122</v>
      </c>
      <c r="S42" s="225" t="s">
        <v>469</v>
      </c>
      <c r="T42" s="221" t="s">
        <v>114</v>
      </c>
      <c r="U42" s="221" t="s">
        <v>286</v>
      </c>
      <c r="V42" s="222" t="s">
        <v>169</v>
      </c>
      <c r="W42" s="221"/>
      <c r="X42" s="52" t="s">
        <v>142</v>
      </c>
      <c r="Y42" s="221" t="s">
        <v>1942</v>
      </c>
      <c r="Z42" s="52" t="s">
        <v>170</v>
      </c>
      <c r="AA42" s="221"/>
      <c r="AB42" s="52" t="s">
        <v>195</v>
      </c>
      <c r="AC42" s="63">
        <f t="shared" si="2"/>
        <v>1</v>
      </c>
      <c r="AD42" s="226" t="s">
        <v>32</v>
      </c>
      <c r="AE42" s="221" t="s">
        <v>218</v>
      </c>
      <c r="AF42" s="52"/>
      <c r="AG42" s="52" t="s">
        <v>142</v>
      </c>
      <c r="AH42" s="64"/>
      <c r="AI42" s="146" t="s">
        <v>184</v>
      </c>
      <c r="AJ42" s="146"/>
      <c r="AK42" s="221"/>
      <c r="AL42" s="146" t="s">
        <v>645</v>
      </c>
      <c r="AM42" s="146"/>
    </row>
    <row r="43" spans="1:39" ht="25.5" hidden="1" customHeight="1">
      <c r="A43" s="147">
        <v>42</v>
      </c>
      <c r="B43" s="60">
        <v>190810</v>
      </c>
      <c r="C43" s="52" t="s">
        <v>86</v>
      </c>
      <c r="D43" s="57">
        <v>42814</v>
      </c>
      <c r="E43" s="58" t="s">
        <v>472</v>
      </c>
      <c r="F43" s="59">
        <v>42830</v>
      </c>
      <c r="G43" s="221">
        <f t="shared" si="0"/>
        <v>16</v>
      </c>
      <c r="H43" s="146" t="s">
        <v>133</v>
      </c>
      <c r="I43" s="223" t="s">
        <v>218</v>
      </c>
      <c r="J43" s="223" t="s">
        <v>611</v>
      </c>
      <c r="K43" s="94">
        <v>1599</v>
      </c>
      <c r="L43" s="94">
        <v>1599</v>
      </c>
      <c r="M43" s="97">
        <v>300</v>
      </c>
      <c r="N43" s="96">
        <v>480</v>
      </c>
      <c r="O43" s="93">
        <f t="shared" si="3"/>
        <v>1023.06</v>
      </c>
      <c r="P43" s="224" t="s">
        <v>263</v>
      </c>
      <c r="Q43" s="119" t="s">
        <v>1341</v>
      </c>
      <c r="R43" s="221" t="s">
        <v>122</v>
      </c>
      <c r="S43" s="225" t="s">
        <v>469</v>
      </c>
      <c r="T43" s="117" t="s">
        <v>114</v>
      </c>
      <c r="U43" s="221" t="s">
        <v>286</v>
      </c>
      <c r="V43" s="222" t="s">
        <v>169</v>
      </c>
      <c r="W43" s="52"/>
      <c r="X43" s="52" t="s">
        <v>142</v>
      </c>
      <c r="Y43" s="221" t="s">
        <v>1942</v>
      </c>
      <c r="Z43" s="52" t="s">
        <v>170</v>
      </c>
      <c r="AA43" s="221"/>
      <c r="AB43" s="52" t="s">
        <v>195</v>
      </c>
      <c r="AC43" s="63">
        <f t="shared" si="2"/>
        <v>1</v>
      </c>
      <c r="AD43" s="226" t="s">
        <v>32</v>
      </c>
      <c r="AE43" s="221" t="s">
        <v>218</v>
      </c>
      <c r="AF43" s="52"/>
      <c r="AG43" s="52" t="s">
        <v>142</v>
      </c>
      <c r="AH43" s="64"/>
      <c r="AI43" s="146" t="s">
        <v>184</v>
      </c>
      <c r="AJ43" s="221"/>
      <c r="AK43" s="221"/>
      <c r="AL43" s="146" t="s">
        <v>645</v>
      </c>
      <c r="AM43" s="221"/>
    </row>
    <row r="44" spans="1:39" ht="12.75" hidden="1" customHeight="1">
      <c r="A44" s="147">
        <v>43</v>
      </c>
      <c r="B44" s="60">
        <v>190892</v>
      </c>
      <c r="C44" s="52" t="s">
        <v>86</v>
      </c>
      <c r="D44" s="57">
        <v>42814</v>
      </c>
      <c r="E44" s="58" t="s">
        <v>472</v>
      </c>
      <c r="F44" s="59">
        <v>42827</v>
      </c>
      <c r="G44" s="52">
        <f t="shared" si="0"/>
        <v>13</v>
      </c>
      <c r="H44" s="117" t="s">
        <v>133</v>
      </c>
      <c r="I44" s="223" t="s">
        <v>218</v>
      </c>
      <c r="J44" s="223" t="s">
        <v>611</v>
      </c>
      <c r="K44" s="94">
        <v>1049</v>
      </c>
      <c r="L44" s="94">
        <v>1049</v>
      </c>
      <c r="M44" s="97">
        <v>330</v>
      </c>
      <c r="N44" s="96">
        <v>490</v>
      </c>
      <c r="O44" s="93">
        <f t="shared" si="3"/>
        <v>496.05999999999995</v>
      </c>
      <c r="P44" s="61" t="s">
        <v>264</v>
      </c>
      <c r="Q44" s="119" t="s">
        <v>1342</v>
      </c>
      <c r="R44" s="221" t="s">
        <v>122</v>
      </c>
      <c r="S44" s="225" t="s">
        <v>469</v>
      </c>
      <c r="T44" s="117" t="s">
        <v>114</v>
      </c>
      <c r="U44" s="117" t="s">
        <v>305</v>
      </c>
      <c r="V44" s="222" t="s">
        <v>169</v>
      </c>
      <c r="W44" s="52"/>
      <c r="X44" s="52" t="s">
        <v>142</v>
      </c>
      <c r="Y44" s="221" t="s">
        <v>1942</v>
      </c>
      <c r="Z44" s="52" t="s">
        <v>170</v>
      </c>
      <c r="AA44" s="221"/>
      <c r="AB44" s="52" t="s">
        <v>195</v>
      </c>
      <c r="AC44" s="63">
        <f t="shared" si="2"/>
        <v>1</v>
      </c>
      <c r="AD44" s="226" t="s">
        <v>217</v>
      </c>
      <c r="AE44" s="221" t="s">
        <v>218</v>
      </c>
      <c r="AF44" s="52"/>
      <c r="AG44" s="52" t="s">
        <v>142</v>
      </c>
      <c r="AH44" s="64"/>
      <c r="AI44" s="117" t="s">
        <v>184</v>
      </c>
      <c r="AJ44" s="117"/>
      <c r="AK44" s="221" t="s">
        <v>682</v>
      </c>
      <c r="AL44" s="117" t="s">
        <v>645</v>
      </c>
      <c r="AM44" s="117"/>
    </row>
    <row r="45" spans="1:39" ht="12.75" hidden="1" customHeight="1">
      <c r="A45" s="147">
        <v>44</v>
      </c>
      <c r="B45" s="51">
        <v>191099</v>
      </c>
      <c r="C45" s="52" t="s">
        <v>86</v>
      </c>
      <c r="D45" s="57">
        <v>42815</v>
      </c>
      <c r="E45" s="58" t="s">
        <v>472</v>
      </c>
      <c r="F45" s="59">
        <v>42835</v>
      </c>
      <c r="G45" s="221">
        <f t="shared" si="0"/>
        <v>20</v>
      </c>
      <c r="H45" s="146" t="s">
        <v>363</v>
      </c>
      <c r="I45" s="223" t="s">
        <v>608</v>
      </c>
      <c r="J45" s="223" t="s">
        <v>610</v>
      </c>
      <c r="K45" s="94">
        <v>1399</v>
      </c>
      <c r="L45" s="94">
        <v>1399</v>
      </c>
      <c r="M45" s="96">
        <v>0</v>
      </c>
      <c r="N45" s="96">
        <v>0</v>
      </c>
      <c r="O45" s="93">
        <f t="shared" si="3"/>
        <v>0</v>
      </c>
      <c r="P45" s="119" t="s">
        <v>261</v>
      </c>
      <c r="Q45" s="119" t="s">
        <v>1341</v>
      </c>
      <c r="R45" s="221" t="s">
        <v>254</v>
      </c>
      <c r="S45" s="225" t="s">
        <v>466</v>
      </c>
      <c r="T45" s="117" t="s">
        <v>313</v>
      </c>
      <c r="U45" s="146" t="s">
        <v>314</v>
      </c>
      <c r="V45" s="148" t="s">
        <v>257</v>
      </c>
      <c r="W45" s="117"/>
      <c r="X45" s="117" t="s">
        <v>142</v>
      </c>
      <c r="Y45" s="117"/>
      <c r="Z45" s="221" t="s">
        <v>315</v>
      </c>
      <c r="AA45" s="221"/>
      <c r="AB45" s="52"/>
      <c r="AC45" s="63">
        <f t="shared" si="2"/>
        <v>0</v>
      </c>
      <c r="AD45" s="226" t="s">
        <v>217</v>
      </c>
      <c r="AE45" s="221" t="s">
        <v>217</v>
      </c>
      <c r="AF45" s="52" t="s">
        <v>225</v>
      </c>
      <c r="AG45" s="52" t="s">
        <v>142</v>
      </c>
      <c r="AH45" s="64"/>
      <c r="AI45" s="117"/>
      <c r="AJ45" s="117"/>
      <c r="AK45" s="221"/>
      <c r="AL45" s="117"/>
      <c r="AM45" s="117"/>
    </row>
    <row r="46" spans="1:39" ht="12.75" hidden="1" customHeight="1">
      <c r="A46" s="147">
        <v>45</v>
      </c>
      <c r="B46" s="51">
        <v>190639</v>
      </c>
      <c r="C46" s="117" t="s">
        <v>86</v>
      </c>
      <c r="D46" s="57">
        <v>42817</v>
      </c>
      <c r="E46" s="58" t="s">
        <v>472</v>
      </c>
      <c r="F46" s="118">
        <v>42826</v>
      </c>
      <c r="G46" s="117">
        <f t="shared" si="0"/>
        <v>9</v>
      </c>
      <c r="H46" s="146" t="s">
        <v>133</v>
      </c>
      <c r="I46" s="223" t="s">
        <v>218</v>
      </c>
      <c r="J46" s="223" t="s">
        <v>611</v>
      </c>
      <c r="K46" s="94">
        <v>2499</v>
      </c>
      <c r="L46" s="94">
        <v>2499</v>
      </c>
      <c r="M46" s="97">
        <v>340</v>
      </c>
      <c r="N46" s="96">
        <v>190</v>
      </c>
      <c r="O46" s="93">
        <f t="shared" si="3"/>
        <v>2009.06</v>
      </c>
      <c r="P46" s="119" t="s">
        <v>264</v>
      </c>
      <c r="Q46" s="119" t="s">
        <v>1342</v>
      </c>
      <c r="R46" s="117" t="s">
        <v>143</v>
      </c>
      <c r="S46" s="62" t="s">
        <v>465</v>
      </c>
      <c r="T46" s="117" t="s">
        <v>114</v>
      </c>
      <c r="U46" s="117" t="s">
        <v>325</v>
      </c>
      <c r="V46" s="224" t="s">
        <v>326</v>
      </c>
      <c r="W46" s="117"/>
      <c r="X46" s="117" t="s">
        <v>142</v>
      </c>
      <c r="Y46" s="224" t="s">
        <v>316</v>
      </c>
      <c r="Z46" s="117" t="s">
        <v>170</v>
      </c>
      <c r="AA46" s="221"/>
      <c r="AB46" s="117" t="s">
        <v>127</v>
      </c>
      <c r="AC46" s="63">
        <f t="shared" si="2"/>
        <v>1</v>
      </c>
      <c r="AD46" s="226" t="s">
        <v>217</v>
      </c>
      <c r="AE46" s="221" t="s">
        <v>218</v>
      </c>
      <c r="AF46" s="117"/>
      <c r="AG46" s="117" t="s">
        <v>142</v>
      </c>
      <c r="AH46" s="64"/>
      <c r="AI46" s="117" t="s">
        <v>184</v>
      </c>
      <c r="AJ46" s="221"/>
      <c r="AK46" s="225" t="s">
        <v>627</v>
      </c>
      <c r="AL46" s="117" t="s">
        <v>645</v>
      </c>
      <c r="AM46" s="221"/>
    </row>
    <row r="47" spans="1:39" ht="25.5" hidden="1" customHeight="1">
      <c r="A47" s="147">
        <v>46</v>
      </c>
      <c r="B47" s="168">
        <v>190118</v>
      </c>
      <c r="C47" s="117" t="s">
        <v>121</v>
      </c>
      <c r="D47" s="57">
        <v>42818</v>
      </c>
      <c r="E47" s="58" t="s">
        <v>472</v>
      </c>
      <c r="F47" s="118">
        <v>42825</v>
      </c>
      <c r="G47" s="117">
        <f t="shared" si="0"/>
        <v>7</v>
      </c>
      <c r="H47" s="146" t="s">
        <v>133</v>
      </c>
      <c r="I47" s="223" t="s">
        <v>608</v>
      </c>
      <c r="J47" s="223" t="s">
        <v>612</v>
      </c>
      <c r="K47" s="94">
        <v>5999</v>
      </c>
      <c r="L47" s="94">
        <v>5999</v>
      </c>
      <c r="M47" s="96">
        <v>0</v>
      </c>
      <c r="N47" s="96">
        <v>0</v>
      </c>
      <c r="O47" s="93">
        <f t="shared" si="3"/>
        <v>0</v>
      </c>
      <c r="P47" s="119" t="s">
        <v>264</v>
      </c>
      <c r="Q47" s="119" t="s">
        <v>1342</v>
      </c>
      <c r="R47" s="146" t="s">
        <v>122</v>
      </c>
      <c r="S47" s="225" t="s">
        <v>469</v>
      </c>
      <c r="T47" s="146" t="s">
        <v>164</v>
      </c>
      <c r="U47" s="146" t="s">
        <v>327</v>
      </c>
      <c r="V47" s="146" t="s">
        <v>222</v>
      </c>
      <c r="W47" s="117"/>
      <c r="X47" s="117" t="s">
        <v>142</v>
      </c>
      <c r="Y47" s="221"/>
      <c r="Z47" s="224" t="s">
        <v>253</v>
      </c>
      <c r="AA47" s="221"/>
      <c r="AB47" s="117"/>
      <c r="AC47" s="63">
        <f t="shared" si="2"/>
        <v>0</v>
      </c>
      <c r="AD47" s="226" t="s">
        <v>217</v>
      </c>
      <c r="AE47" s="221" t="s">
        <v>217</v>
      </c>
      <c r="AF47" s="117" t="s">
        <v>225</v>
      </c>
      <c r="AG47" s="117" t="s">
        <v>142</v>
      </c>
      <c r="AH47" s="64" t="s">
        <v>342</v>
      </c>
      <c r="AI47" s="117"/>
      <c r="AJ47" s="221"/>
      <c r="AK47" s="221"/>
      <c r="AL47" s="117"/>
      <c r="AM47" s="221"/>
    </row>
    <row r="48" spans="1:39" ht="12.75" hidden="1" customHeight="1">
      <c r="A48" s="147">
        <v>47</v>
      </c>
      <c r="B48" s="60">
        <v>190304</v>
      </c>
      <c r="C48" s="117" t="s">
        <v>86</v>
      </c>
      <c r="D48" s="57">
        <v>42818</v>
      </c>
      <c r="E48" s="58" t="s">
        <v>472</v>
      </c>
      <c r="F48" s="118">
        <v>42822</v>
      </c>
      <c r="G48" s="117">
        <f t="shared" si="0"/>
        <v>4</v>
      </c>
      <c r="H48" s="117" t="s">
        <v>363</v>
      </c>
      <c r="I48" s="223" t="s">
        <v>218</v>
      </c>
      <c r="J48" s="223" t="s">
        <v>611</v>
      </c>
      <c r="K48" s="94">
        <v>2549</v>
      </c>
      <c r="L48" s="94">
        <v>2549</v>
      </c>
      <c r="M48" s="96">
        <v>0</v>
      </c>
      <c r="N48" s="96">
        <v>860</v>
      </c>
      <c r="O48" s="93">
        <f t="shared" si="3"/>
        <v>1536.06</v>
      </c>
      <c r="P48" s="119" t="s">
        <v>264</v>
      </c>
      <c r="Q48" s="224" t="s">
        <v>1342</v>
      </c>
      <c r="R48" s="221" t="s">
        <v>143</v>
      </c>
      <c r="S48" s="62" t="s">
        <v>465</v>
      </c>
      <c r="T48" s="146" t="s">
        <v>114</v>
      </c>
      <c r="U48" s="146" t="s">
        <v>325</v>
      </c>
      <c r="V48" s="146" t="s">
        <v>328</v>
      </c>
      <c r="W48" s="117"/>
      <c r="X48" s="117" t="s">
        <v>142</v>
      </c>
      <c r="Y48" s="146"/>
      <c r="Z48" s="117" t="s">
        <v>170</v>
      </c>
      <c r="AA48" s="146"/>
      <c r="AB48" s="117"/>
      <c r="AC48" s="63">
        <f t="shared" si="2"/>
        <v>1</v>
      </c>
      <c r="AD48" s="226" t="s">
        <v>32</v>
      </c>
      <c r="AE48" s="221" t="s">
        <v>218</v>
      </c>
      <c r="AF48" s="117"/>
      <c r="AG48" s="117" t="s">
        <v>142</v>
      </c>
      <c r="AH48" s="105" t="s">
        <v>443</v>
      </c>
      <c r="AI48" s="117"/>
      <c r="AJ48" s="146"/>
      <c r="AK48" s="221"/>
      <c r="AL48" s="117"/>
      <c r="AM48" s="146"/>
    </row>
    <row r="49" spans="1:39" s="86" customFormat="1" ht="12.75" hidden="1" customHeight="1">
      <c r="A49" s="147">
        <v>48</v>
      </c>
      <c r="B49" s="168">
        <v>191119</v>
      </c>
      <c r="C49" s="117" t="s">
        <v>128</v>
      </c>
      <c r="D49" s="57">
        <v>42818</v>
      </c>
      <c r="E49" s="58" t="s">
        <v>472</v>
      </c>
      <c r="F49" s="78">
        <v>42828</v>
      </c>
      <c r="G49" s="117">
        <v>7</v>
      </c>
      <c r="H49" s="117" t="s">
        <v>133</v>
      </c>
      <c r="I49" s="223" t="s">
        <v>608</v>
      </c>
      <c r="J49" s="223" t="s">
        <v>612</v>
      </c>
      <c r="K49" s="94">
        <v>1529.15</v>
      </c>
      <c r="L49" s="94">
        <v>1529.15</v>
      </c>
      <c r="M49" s="96">
        <v>0</v>
      </c>
      <c r="N49" s="96">
        <v>0</v>
      </c>
      <c r="O49" s="93">
        <f t="shared" si="3"/>
        <v>0</v>
      </c>
      <c r="P49" s="119" t="s">
        <v>264</v>
      </c>
      <c r="Q49" s="119" t="s">
        <v>1342</v>
      </c>
      <c r="R49" s="146" t="s">
        <v>143</v>
      </c>
      <c r="S49" s="62" t="s">
        <v>465</v>
      </c>
      <c r="T49" s="221" t="s">
        <v>88</v>
      </c>
      <c r="U49" s="146" t="s">
        <v>334</v>
      </c>
      <c r="V49" s="224" t="s">
        <v>90</v>
      </c>
      <c r="W49" s="146"/>
      <c r="X49" s="146" t="s">
        <v>142</v>
      </c>
      <c r="Y49" s="221"/>
      <c r="Z49" s="117" t="s">
        <v>417</v>
      </c>
      <c r="AA49" s="221"/>
      <c r="AB49" s="117"/>
      <c r="AC49" s="63">
        <f t="shared" si="2"/>
        <v>0</v>
      </c>
      <c r="AD49" s="226" t="s">
        <v>217</v>
      </c>
      <c r="AE49" s="221" t="s">
        <v>217</v>
      </c>
      <c r="AF49" s="117" t="s">
        <v>225</v>
      </c>
      <c r="AG49" s="117" t="s">
        <v>141</v>
      </c>
      <c r="AH49" s="64"/>
      <c r="AI49" s="117"/>
      <c r="AJ49" s="221"/>
      <c r="AK49" s="221"/>
      <c r="AL49" s="117"/>
      <c r="AM49" s="221"/>
    </row>
    <row r="50" spans="1:39" ht="12.75" hidden="1" customHeight="1">
      <c r="A50" s="147">
        <v>49</v>
      </c>
      <c r="B50" s="169">
        <v>191120</v>
      </c>
      <c r="C50" s="147" t="s">
        <v>86</v>
      </c>
      <c r="D50" s="79">
        <v>42818</v>
      </c>
      <c r="E50" s="80" t="s">
        <v>472</v>
      </c>
      <c r="F50" s="107">
        <v>42832</v>
      </c>
      <c r="G50" s="147">
        <f t="shared" ref="G50:G113" si="4">F50-D50</f>
        <v>14</v>
      </c>
      <c r="H50" s="147" t="s">
        <v>363</v>
      </c>
      <c r="I50" s="223" t="s">
        <v>218</v>
      </c>
      <c r="J50" s="223" t="s">
        <v>611</v>
      </c>
      <c r="K50" s="108">
        <v>2699</v>
      </c>
      <c r="L50" s="94">
        <v>2699</v>
      </c>
      <c r="M50" s="96">
        <v>0</v>
      </c>
      <c r="N50" s="109">
        <v>470</v>
      </c>
      <c r="O50" s="152">
        <f t="shared" si="3"/>
        <v>2067.06</v>
      </c>
      <c r="P50" s="82" t="s">
        <v>264</v>
      </c>
      <c r="Q50" s="224" t="s">
        <v>1342</v>
      </c>
      <c r="R50" s="146" t="s">
        <v>134</v>
      </c>
      <c r="S50" s="83" t="s">
        <v>465</v>
      </c>
      <c r="T50" s="147" t="s">
        <v>251</v>
      </c>
      <c r="U50" s="147" t="s">
        <v>333</v>
      </c>
      <c r="V50" s="147" t="s">
        <v>365</v>
      </c>
      <c r="W50" s="147" t="s">
        <v>364</v>
      </c>
      <c r="X50" s="147" t="s">
        <v>343</v>
      </c>
      <c r="Y50" s="147" t="s">
        <v>219</v>
      </c>
      <c r="Z50" s="147" t="s">
        <v>366</v>
      </c>
      <c r="AA50" s="147"/>
      <c r="AB50" s="147"/>
      <c r="AC50" s="84">
        <f t="shared" si="2"/>
        <v>1</v>
      </c>
      <c r="AD50" s="84" t="s">
        <v>32</v>
      </c>
      <c r="AE50" s="221" t="s">
        <v>218</v>
      </c>
      <c r="AF50" s="147"/>
      <c r="AG50" s="147" t="s">
        <v>142</v>
      </c>
      <c r="AH50" s="110" t="s">
        <v>702</v>
      </c>
      <c r="AI50" s="147"/>
      <c r="AJ50" s="147"/>
      <c r="AK50" s="147"/>
      <c r="AL50" s="147"/>
      <c r="AM50" s="147"/>
    </row>
    <row r="51" spans="1:39" ht="12.75" hidden="1" customHeight="1">
      <c r="A51" s="147">
        <v>50</v>
      </c>
      <c r="B51" s="60">
        <v>189999</v>
      </c>
      <c r="C51" s="52" t="s">
        <v>128</v>
      </c>
      <c r="D51" s="57">
        <v>42821</v>
      </c>
      <c r="E51" s="58" t="s">
        <v>472</v>
      </c>
      <c r="F51" s="59">
        <v>42822</v>
      </c>
      <c r="G51" s="52">
        <f t="shared" si="4"/>
        <v>1</v>
      </c>
      <c r="H51" s="146" t="s">
        <v>133</v>
      </c>
      <c r="I51" s="223" t="s">
        <v>608</v>
      </c>
      <c r="J51" s="223" t="s">
        <v>612</v>
      </c>
      <c r="K51" s="94">
        <v>1699</v>
      </c>
      <c r="L51" s="94">
        <v>1699</v>
      </c>
      <c r="M51" s="96">
        <v>0</v>
      </c>
      <c r="N51" s="96">
        <v>0</v>
      </c>
      <c r="O51" s="93">
        <f t="shared" si="3"/>
        <v>0</v>
      </c>
      <c r="P51" s="61" t="s">
        <v>262</v>
      </c>
      <c r="Q51" s="119" t="s">
        <v>1342</v>
      </c>
      <c r="R51" s="146" t="s">
        <v>335</v>
      </c>
      <c r="S51" s="225" t="s">
        <v>466</v>
      </c>
      <c r="T51" s="146" t="s">
        <v>338</v>
      </c>
      <c r="U51" s="146" t="s">
        <v>336</v>
      </c>
      <c r="V51" s="148" t="s">
        <v>257</v>
      </c>
      <c r="W51" s="117" t="s">
        <v>337</v>
      </c>
      <c r="X51" s="52" t="s">
        <v>142</v>
      </c>
      <c r="Y51" s="221"/>
      <c r="Z51" s="52" t="s">
        <v>339</v>
      </c>
      <c r="AA51" s="221"/>
      <c r="AB51" s="52"/>
      <c r="AC51" s="63">
        <f t="shared" si="2"/>
        <v>0</v>
      </c>
      <c r="AD51" s="226" t="s">
        <v>217</v>
      </c>
      <c r="AE51" s="221" t="s">
        <v>217</v>
      </c>
      <c r="AF51" s="148" t="s">
        <v>1625</v>
      </c>
      <c r="AG51" s="52" t="s">
        <v>142</v>
      </c>
      <c r="AH51" s="73" t="s">
        <v>247</v>
      </c>
      <c r="AI51" s="146"/>
      <c r="AJ51" s="146"/>
      <c r="AK51" s="146"/>
      <c r="AL51" s="146"/>
      <c r="AM51" s="146"/>
    </row>
    <row r="52" spans="1:39" ht="12.75" hidden="1" customHeight="1">
      <c r="A52" s="147">
        <v>51</v>
      </c>
      <c r="B52" s="223">
        <v>191106</v>
      </c>
      <c r="C52" s="52" t="s">
        <v>86</v>
      </c>
      <c r="D52" s="57">
        <v>42821</v>
      </c>
      <c r="E52" s="58" t="s">
        <v>472</v>
      </c>
      <c r="F52" s="59">
        <v>42831</v>
      </c>
      <c r="G52" s="52">
        <f t="shared" si="4"/>
        <v>10</v>
      </c>
      <c r="H52" s="146" t="s">
        <v>363</v>
      </c>
      <c r="I52" s="223" t="s">
        <v>218</v>
      </c>
      <c r="J52" s="223" t="s">
        <v>611</v>
      </c>
      <c r="K52" s="94">
        <v>2599</v>
      </c>
      <c r="L52" s="94">
        <v>2599</v>
      </c>
      <c r="M52" s="96">
        <v>0</v>
      </c>
      <c r="N52" s="96">
        <v>940</v>
      </c>
      <c r="O52" s="93">
        <f t="shared" si="3"/>
        <v>1503.06</v>
      </c>
      <c r="P52" s="119" t="s">
        <v>264</v>
      </c>
      <c r="Q52" s="224" t="s">
        <v>1342</v>
      </c>
      <c r="R52" s="221" t="s">
        <v>122</v>
      </c>
      <c r="S52" s="225" t="s">
        <v>469</v>
      </c>
      <c r="T52" s="146" t="s">
        <v>114</v>
      </c>
      <c r="U52" s="146" t="s">
        <v>341</v>
      </c>
      <c r="V52" s="224" t="s">
        <v>90</v>
      </c>
      <c r="W52" s="146"/>
      <c r="X52" s="52" t="s">
        <v>142</v>
      </c>
      <c r="Y52" s="117"/>
      <c r="Z52" s="224" t="s">
        <v>170</v>
      </c>
      <c r="AA52" s="221"/>
      <c r="AB52" s="52"/>
      <c r="AC52" s="63">
        <f t="shared" si="2"/>
        <v>1</v>
      </c>
      <c r="AD52" s="226" t="s">
        <v>32</v>
      </c>
      <c r="AE52" s="221" t="s">
        <v>218</v>
      </c>
      <c r="AF52" s="52"/>
      <c r="AG52" s="52" t="s">
        <v>142</v>
      </c>
      <c r="AH52" s="105" t="s">
        <v>443</v>
      </c>
      <c r="AI52" s="117"/>
      <c r="AJ52" s="221"/>
      <c r="AK52" s="221"/>
      <c r="AL52" s="117"/>
      <c r="AM52" s="221"/>
    </row>
    <row r="53" spans="1:39" ht="12.75" hidden="1" customHeight="1">
      <c r="A53" s="147">
        <v>52</v>
      </c>
      <c r="B53" s="223">
        <v>191519</v>
      </c>
      <c r="C53" s="52" t="s">
        <v>86</v>
      </c>
      <c r="D53" s="57">
        <v>42821</v>
      </c>
      <c r="E53" s="58" t="s">
        <v>472</v>
      </c>
      <c r="F53" s="59">
        <v>42832</v>
      </c>
      <c r="G53" s="52">
        <f t="shared" si="4"/>
        <v>11</v>
      </c>
      <c r="H53" s="117" t="s">
        <v>363</v>
      </c>
      <c r="I53" s="223" t="s">
        <v>218</v>
      </c>
      <c r="J53" s="223" t="s">
        <v>611</v>
      </c>
      <c r="K53" s="94">
        <v>3400</v>
      </c>
      <c r="L53" s="94">
        <v>3400</v>
      </c>
      <c r="M53" s="96">
        <v>0</v>
      </c>
      <c r="N53" s="96">
        <v>945</v>
      </c>
      <c r="O53" s="93">
        <f t="shared" si="3"/>
        <v>2251</v>
      </c>
      <c r="P53" s="61" t="s">
        <v>264</v>
      </c>
      <c r="Q53" s="224" t="s">
        <v>1342</v>
      </c>
      <c r="R53" s="146" t="s">
        <v>122</v>
      </c>
      <c r="S53" s="225" t="s">
        <v>469</v>
      </c>
      <c r="T53" s="146" t="s">
        <v>114</v>
      </c>
      <c r="U53" s="221" t="s">
        <v>340</v>
      </c>
      <c r="V53" s="224" t="s">
        <v>90</v>
      </c>
      <c r="W53" s="146"/>
      <c r="X53" s="117" t="s">
        <v>142</v>
      </c>
      <c r="Y53" s="221"/>
      <c r="Z53" s="224" t="s">
        <v>170</v>
      </c>
      <c r="AA53" s="221"/>
      <c r="AB53" s="117"/>
      <c r="AC53" s="63">
        <f t="shared" si="2"/>
        <v>1</v>
      </c>
      <c r="AD53" s="226" t="s">
        <v>32</v>
      </c>
      <c r="AE53" s="221" t="s">
        <v>218</v>
      </c>
      <c r="AF53" s="117"/>
      <c r="AG53" s="117" t="s">
        <v>142</v>
      </c>
      <c r="AH53" s="105" t="s">
        <v>443</v>
      </c>
      <c r="AI53" s="117"/>
      <c r="AJ53" s="221"/>
      <c r="AK53" s="221"/>
      <c r="AL53" s="117"/>
      <c r="AM53" s="221"/>
    </row>
    <row r="54" spans="1:39" ht="12.75" hidden="1" customHeight="1">
      <c r="A54" s="147">
        <v>53</v>
      </c>
      <c r="B54" s="223">
        <v>190407</v>
      </c>
      <c r="C54" s="52" t="s">
        <v>121</v>
      </c>
      <c r="D54" s="57">
        <v>42824</v>
      </c>
      <c r="E54" s="58" t="s">
        <v>472</v>
      </c>
      <c r="F54" s="59">
        <v>42842</v>
      </c>
      <c r="G54" s="52">
        <f t="shared" si="4"/>
        <v>18</v>
      </c>
      <c r="H54" s="52" t="s">
        <v>133</v>
      </c>
      <c r="I54" s="223" t="s">
        <v>218</v>
      </c>
      <c r="J54" s="223" t="s">
        <v>611</v>
      </c>
      <c r="K54" s="94">
        <v>1799</v>
      </c>
      <c r="L54" s="94">
        <v>1799</v>
      </c>
      <c r="M54" s="97">
        <v>471</v>
      </c>
      <c r="N54" s="96">
        <v>172</v>
      </c>
      <c r="O54" s="93">
        <f t="shared" si="3"/>
        <v>1220.06</v>
      </c>
      <c r="P54" s="61" t="s">
        <v>264</v>
      </c>
      <c r="Q54" s="119" t="s">
        <v>1342</v>
      </c>
      <c r="R54" s="148" t="s">
        <v>210</v>
      </c>
      <c r="S54" s="225" t="s">
        <v>469</v>
      </c>
      <c r="T54" s="146" t="s">
        <v>376</v>
      </c>
      <c r="U54" s="146" t="s">
        <v>344</v>
      </c>
      <c r="V54" s="224" t="s">
        <v>90</v>
      </c>
      <c r="W54" s="146" t="s">
        <v>354</v>
      </c>
      <c r="X54" s="52" t="s">
        <v>345</v>
      </c>
      <c r="Y54" s="52" t="s">
        <v>435</v>
      </c>
      <c r="Z54" s="221" t="s">
        <v>367</v>
      </c>
      <c r="AA54" s="221"/>
      <c r="AB54" s="52" t="s">
        <v>266</v>
      </c>
      <c r="AC54" s="63">
        <f t="shared" si="2"/>
        <v>1</v>
      </c>
      <c r="AD54" s="226" t="s">
        <v>217</v>
      </c>
      <c r="AE54" s="221" t="s">
        <v>218</v>
      </c>
      <c r="AF54" s="52"/>
      <c r="AG54" s="52" t="s">
        <v>346</v>
      </c>
      <c r="AH54" s="64" t="s">
        <v>347</v>
      </c>
      <c r="AI54" s="117" t="s">
        <v>82</v>
      </c>
      <c r="AJ54" s="221"/>
      <c r="AK54" s="221"/>
      <c r="AL54" s="117"/>
      <c r="AM54" s="221"/>
    </row>
    <row r="55" spans="1:39" ht="12.75" hidden="1" customHeight="1">
      <c r="A55" s="147">
        <v>54</v>
      </c>
      <c r="B55" s="60">
        <v>190604</v>
      </c>
      <c r="C55" s="52" t="s">
        <v>121</v>
      </c>
      <c r="D55" s="57">
        <v>42824</v>
      </c>
      <c r="E55" s="58" t="s">
        <v>472</v>
      </c>
      <c r="F55" s="59">
        <v>42852</v>
      </c>
      <c r="G55" s="52">
        <f t="shared" si="4"/>
        <v>28</v>
      </c>
      <c r="H55" s="52" t="s">
        <v>363</v>
      </c>
      <c r="I55" s="223" t="s">
        <v>218</v>
      </c>
      <c r="J55" s="223" t="s">
        <v>611</v>
      </c>
      <c r="K55" s="94">
        <v>9999</v>
      </c>
      <c r="L55" s="94">
        <v>9999</v>
      </c>
      <c r="M55" s="96">
        <v>190</v>
      </c>
      <c r="N55" s="96">
        <v>35</v>
      </c>
      <c r="O55" s="93">
        <f t="shared" si="3"/>
        <v>9209.06</v>
      </c>
      <c r="P55" s="66" t="s">
        <v>350</v>
      </c>
      <c r="Q55" s="119" t="s">
        <v>1342</v>
      </c>
      <c r="R55" s="52" t="s">
        <v>293</v>
      </c>
      <c r="S55" s="225" t="s">
        <v>469</v>
      </c>
      <c r="T55" s="146" t="s">
        <v>376</v>
      </c>
      <c r="U55" s="146" t="s">
        <v>351</v>
      </c>
      <c r="V55" s="146" t="s">
        <v>293</v>
      </c>
      <c r="W55" s="146"/>
      <c r="X55" s="52" t="s">
        <v>345</v>
      </c>
      <c r="Y55" s="117" t="s">
        <v>435</v>
      </c>
      <c r="Z55" s="117" t="s">
        <v>253</v>
      </c>
      <c r="AA55" s="146"/>
      <c r="AB55" s="52" t="s">
        <v>127</v>
      </c>
      <c r="AC55" s="63">
        <f t="shared" si="2"/>
        <v>1</v>
      </c>
      <c r="AD55" s="226" t="s">
        <v>32</v>
      </c>
      <c r="AE55" s="221" t="s">
        <v>218</v>
      </c>
      <c r="AF55" s="52"/>
      <c r="AG55" s="52" t="s">
        <v>346</v>
      </c>
      <c r="AH55" s="64" t="s">
        <v>349</v>
      </c>
      <c r="AI55" s="117" t="s">
        <v>82</v>
      </c>
      <c r="AJ55" s="117"/>
      <c r="AK55" s="221"/>
      <c r="AL55" s="117"/>
      <c r="AM55" s="117"/>
    </row>
    <row r="56" spans="1:39" ht="12.75" hidden="1" customHeight="1">
      <c r="A56" s="147">
        <v>55</v>
      </c>
      <c r="B56" s="223">
        <v>190883</v>
      </c>
      <c r="C56" s="52" t="s">
        <v>121</v>
      </c>
      <c r="D56" s="57">
        <v>42824</v>
      </c>
      <c r="E56" s="58" t="s">
        <v>472</v>
      </c>
      <c r="F56" s="222">
        <v>42853</v>
      </c>
      <c r="G56" s="52">
        <f t="shared" si="4"/>
        <v>29</v>
      </c>
      <c r="H56" s="52" t="s">
        <v>363</v>
      </c>
      <c r="I56" s="223" t="s">
        <v>218</v>
      </c>
      <c r="J56" s="223" t="s">
        <v>611</v>
      </c>
      <c r="K56" s="94">
        <v>2550</v>
      </c>
      <c r="L56" s="94">
        <v>2550</v>
      </c>
      <c r="M56" s="96">
        <v>88</v>
      </c>
      <c r="N56" s="231">
        <v>17.5</v>
      </c>
      <c r="O56" s="93">
        <f t="shared" si="3"/>
        <v>2309</v>
      </c>
      <c r="P56" s="66" t="s">
        <v>264</v>
      </c>
      <c r="Q56" s="119" t="s">
        <v>1342</v>
      </c>
      <c r="R56" s="222" t="s">
        <v>293</v>
      </c>
      <c r="S56" s="225" t="s">
        <v>469</v>
      </c>
      <c r="T56" s="146" t="s">
        <v>376</v>
      </c>
      <c r="U56" s="146" t="s">
        <v>348</v>
      </c>
      <c r="V56" s="221" t="s">
        <v>293</v>
      </c>
      <c r="W56" s="117" t="s">
        <v>348</v>
      </c>
      <c r="X56" s="52" t="s">
        <v>345</v>
      </c>
      <c r="Y56" s="52" t="s">
        <v>435</v>
      </c>
      <c r="Z56" s="52" t="s">
        <v>253</v>
      </c>
      <c r="AA56" s="146"/>
      <c r="AB56" s="52" t="s">
        <v>127</v>
      </c>
      <c r="AC56" s="63">
        <f t="shared" si="2"/>
        <v>1</v>
      </c>
      <c r="AD56" s="226" t="s">
        <v>32</v>
      </c>
      <c r="AE56" s="221" t="s">
        <v>218</v>
      </c>
      <c r="AF56" s="52"/>
      <c r="AG56" s="52" t="s">
        <v>346</v>
      </c>
      <c r="AH56" s="64" t="s">
        <v>349</v>
      </c>
      <c r="AI56" s="117" t="s">
        <v>82</v>
      </c>
      <c r="AJ56" s="146"/>
      <c r="AK56" s="221"/>
      <c r="AL56" s="117"/>
      <c r="AM56" s="146"/>
    </row>
    <row r="57" spans="1:39" ht="25.5" hidden="1" customHeight="1">
      <c r="A57" s="147">
        <v>56</v>
      </c>
      <c r="B57" s="223">
        <v>191301</v>
      </c>
      <c r="C57" s="221" t="s">
        <v>86</v>
      </c>
      <c r="D57" s="57">
        <v>42824</v>
      </c>
      <c r="E57" s="58" t="s">
        <v>472</v>
      </c>
      <c r="F57" s="222">
        <v>42835</v>
      </c>
      <c r="G57" s="221">
        <f t="shared" si="4"/>
        <v>11</v>
      </c>
      <c r="H57" s="224" t="s">
        <v>133</v>
      </c>
      <c r="I57" s="223" t="s">
        <v>218</v>
      </c>
      <c r="J57" s="223" t="s">
        <v>611</v>
      </c>
      <c r="K57" s="94">
        <v>2399</v>
      </c>
      <c r="L57" s="94">
        <v>2399</v>
      </c>
      <c r="M57" s="97">
        <v>420</v>
      </c>
      <c r="N57" s="96">
        <v>515</v>
      </c>
      <c r="O57" s="227">
        <f t="shared" si="3"/>
        <v>1740.06</v>
      </c>
      <c r="P57" s="66" t="s">
        <v>263</v>
      </c>
      <c r="Q57" s="119" t="s">
        <v>1341</v>
      </c>
      <c r="R57" s="146" t="s">
        <v>143</v>
      </c>
      <c r="S57" s="225" t="s">
        <v>465</v>
      </c>
      <c r="T57" s="221" t="s">
        <v>88</v>
      </c>
      <c r="U57" s="221" t="s">
        <v>372</v>
      </c>
      <c r="V57" s="224" t="s">
        <v>90</v>
      </c>
      <c r="W57" s="221"/>
      <c r="X57" s="221" t="s">
        <v>142</v>
      </c>
      <c r="Y57" s="224" t="s">
        <v>316</v>
      </c>
      <c r="Z57" s="221" t="s">
        <v>189</v>
      </c>
      <c r="AA57" s="221"/>
      <c r="AB57" s="221" t="s">
        <v>127</v>
      </c>
      <c r="AC57" s="226">
        <f t="shared" si="2"/>
        <v>1</v>
      </c>
      <c r="AD57" s="226" t="s">
        <v>217</v>
      </c>
      <c r="AE57" s="221" t="s">
        <v>218</v>
      </c>
      <c r="AF57" s="221"/>
      <c r="AG57" s="221" t="s">
        <v>142</v>
      </c>
      <c r="AH57" s="64"/>
      <c r="AI57" s="221" t="s">
        <v>184</v>
      </c>
      <c r="AJ57" s="221"/>
      <c r="AK57" s="225" t="s">
        <v>628</v>
      </c>
      <c r="AL57" s="221" t="s">
        <v>645</v>
      </c>
      <c r="AM57" s="221"/>
    </row>
    <row r="58" spans="1:39" ht="12.75" hidden="1" customHeight="1">
      <c r="A58" s="147">
        <v>57</v>
      </c>
      <c r="B58" s="60">
        <v>191405</v>
      </c>
      <c r="C58" s="52" t="s">
        <v>86</v>
      </c>
      <c r="D58" s="57">
        <v>42824</v>
      </c>
      <c r="E58" s="58" t="s">
        <v>472</v>
      </c>
      <c r="F58" s="59">
        <v>42835</v>
      </c>
      <c r="G58" s="52">
        <f t="shared" si="4"/>
        <v>11</v>
      </c>
      <c r="H58" s="117" t="s">
        <v>363</v>
      </c>
      <c r="I58" s="223" t="s">
        <v>218</v>
      </c>
      <c r="J58" s="223" t="s">
        <v>611</v>
      </c>
      <c r="K58" s="94">
        <v>1055.0899999999999</v>
      </c>
      <c r="L58" s="94">
        <v>1055.0899999999999</v>
      </c>
      <c r="M58" s="96">
        <v>0</v>
      </c>
      <c r="N58" s="96">
        <v>700</v>
      </c>
      <c r="O58" s="93">
        <f t="shared" si="3"/>
        <v>291.78459999999995</v>
      </c>
      <c r="P58" s="119" t="s">
        <v>262</v>
      </c>
      <c r="Q58" s="119" t="s">
        <v>1342</v>
      </c>
      <c r="R58" s="52" t="s">
        <v>122</v>
      </c>
      <c r="S58" s="225" t="s">
        <v>469</v>
      </c>
      <c r="T58" s="146" t="s">
        <v>114</v>
      </c>
      <c r="U58" s="146" t="s">
        <v>356</v>
      </c>
      <c r="V58" s="224" t="s">
        <v>90</v>
      </c>
      <c r="W58" s="117"/>
      <c r="X58" s="52" t="s">
        <v>142</v>
      </c>
      <c r="Y58" s="117"/>
      <c r="Z58" s="117" t="s">
        <v>170</v>
      </c>
      <c r="AA58" s="146"/>
      <c r="AB58" s="52"/>
      <c r="AC58" s="63">
        <f t="shared" si="2"/>
        <v>1</v>
      </c>
      <c r="AD58" s="226" t="s">
        <v>32</v>
      </c>
      <c r="AE58" s="221" t="s">
        <v>218</v>
      </c>
      <c r="AF58" s="52"/>
      <c r="AG58" s="52" t="s">
        <v>142</v>
      </c>
      <c r="AH58" s="105" t="s">
        <v>443</v>
      </c>
      <c r="AI58" s="117"/>
      <c r="AJ58" s="146"/>
      <c r="AK58" s="221"/>
      <c r="AL58" s="117"/>
      <c r="AM58" s="146"/>
    </row>
    <row r="59" spans="1:39" ht="12.75" hidden="1" customHeight="1">
      <c r="A59" s="147">
        <v>58</v>
      </c>
      <c r="B59" s="223">
        <v>191508</v>
      </c>
      <c r="C59" s="52" t="s">
        <v>86</v>
      </c>
      <c r="D59" s="57">
        <v>42824</v>
      </c>
      <c r="E59" s="58" t="s">
        <v>472</v>
      </c>
      <c r="F59" s="59">
        <v>42836</v>
      </c>
      <c r="G59" s="52">
        <f t="shared" si="4"/>
        <v>12</v>
      </c>
      <c r="H59" s="224" t="s">
        <v>133</v>
      </c>
      <c r="I59" s="223" t="s">
        <v>609</v>
      </c>
      <c r="J59" s="223" t="s">
        <v>610</v>
      </c>
      <c r="K59" s="94">
        <v>1699</v>
      </c>
      <c r="L59" s="94">
        <v>1699</v>
      </c>
      <c r="M59" s="97">
        <v>420</v>
      </c>
      <c r="N59" s="96">
        <v>0</v>
      </c>
      <c r="O59" s="93">
        <f t="shared" si="3"/>
        <v>1177.06</v>
      </c>
      <c r="P59" s="66" t="s">
        <v>264</v>
      </c>
      <c r="Q59" s="119" t="s">
        <v>1342</v>
      </c>
      <c r="R59" s="52" t="s">
        <v>87</v>
      </c>
      <c r="S59" s="62" t="s">
        <v>465</v>
      </c>
      <c r="T59" s="221" t="s">
        <v>88</v>
      </c>
      <c r="U59" s="146" t="s">
        <v>297</v>
      </c>
      <c r="V59" s="224" t="s">
        <v>90</v>
      </c>
      <c r="W59" s="117"/>
      <c r="X59" s="52" t="s">
        <v>142</v>
      </c>
      <c r="Y59" s="224" t="s">
        <v>316</v>
      </c>
      <c r="Z59" s="221" t="s">
        <v>189</v>
      </c>
      <c r="AA59" s="221"/>
      <c r="AB59" s="52" t="s">
        <v>127</v>
      </c>
      <c r="AC59" s="63">
        <f t="shared" si="2"/>
        <v>1</v>
      </c>
      <c r="AD59" s="226" t="s">
        <v>217</v>
      </c>
      <c r="AE59" s="221" t="s">
        <v>218</v>
      </c>
      <c r="AF59" s="52"/>
      <c r="AG59" s="52" t="s">
        <v>142</v>
      </c>
      <c r="AH59" s="64"/>
      <c r="AI59" s="221" t="s">
        <v>184</v>
      </c>
      <c r="AJ59" s="221"/>
      <c r="AK59" s="225" t="s">
        <v>629</v>
      </c>
      <c r="AL59" s="221" t="s">
        <v>645</v>
      </c>
      <c r="AM59" s="221"/>
    </row>
    <row r="60" spans="1:39" ht="25.5" hidden="1" customHeight="1">
      <c r="A60" s="147">
        <v>59</v>
      </c>
      <c r="B60" s="223">
        <v>191644</v>
      </c>
      <c r="C60" s="52" t="s">
        <v>86</v>
      </c>
      <c r="D60" s="57">
        <v>42824</v>
      </c>
      <c r="E60" s="58" t="s">
        <v>472</v>
      </c>
      <c r="F60" s="59">
        <v>42836</v>
      </c>
      <c r="G60" s="52">
        <f t="shared" si="4"/>
        <v>12</v>
      </c>
      <c r="H60" s="224" t="s">
        <v>133</v>
      </c>
      <c r="I60" s="223" t="s">
        <v>218</v>
      </c>
      <c r="J60" s="223" t="s">
        <v>611</v>
      </c>
      <c r="K60" s="94">
        <v>899</v>
      </c>
      <c r="L60" s="94">
        <v>899</v>
      </c>
      <c r="M60" s="97">
        <v>490</v>
      </c>
      <c r="N60" s="96">
        <v>640</v>
      </c>
      <c r="O60" s="93">
        <f t="shared" si="3"/>
        <v>205.05999999999995</v>
      </c>
      <c r="P60" s="119" t="s">
        <v>264</v>
      </c>
      <c r="Q60" s="224" t="s">
        <v>1342</v>
      </c>
      <c r="R60" s="221" t="s">
        <v>143</v>
      </c>
      <c r="S60" s="62" t="s">
        <v>465</v>
      </c>
      <c r="T60" s="221" t="s">
        <v>88</v>
      </c>
      <c r="U60" s="146" t="s">
        <v>353</v>
      </c>
      <c r="V60" s="224" t="s">
        <v>368</v>
      </c>
      <c r="W60" s="52"/>
      <c r="X60" s="52" t="s">
        <v>142</v>
      </c>
      <c r="Y60" s="224" t="s">
        <v>316</v>
      </c>
      <c r="Z60" s="221" t="s">
        <v>189</v>
      </c>
      <c r="AA60" s="221"/>
      <c r="AB60" s="52" t="s">
        <v>127</v>
      </c>
      <c r="AC60" s="63">
        <f t="shared" si="2"/>
        <v>1</v>
      </c>
      <c r="AD60" s="226" t="s">
        <v>217</v>
      </c>
      <c r="AE60" s="221" t="s">
        <v>218</v>
      </c>
      <c r="AF60" s="52"/>
      <c r="AG60" s="52" t="s">
        <v>142</v>
      </c>
      <c r="AH60" s="64"/>
      <c r="AI60" s="221" t="s">
        <v>184</v>
      </c>
      <c r="AJ60" s="221"/>
      <c r="AK60" s="225" t="s">
        <v>631</v>
      </c>
      <c r="AL60" s="221" t="s">
        <v>645</v>
      </c>
      <c r="AM60" s="221"/>
    </row>
    <row r="61" spans="1:39" ht="12.75" hidden="1" customHeight="1">
      <c r="A61" s="147">
        <v>60</v>
      </c>
      <c r="B61" s="223">
        <v>192041</v>
      </c>
      <c r="C61" s="52" t="s">
        <v>86</v>
      </c>
      <c r="D61" s="57">
        <v>42824</v>
      </c>
      <c r="E61" s="58" t="s">
        <v>472</v>
      </c>
      <c r="F61" s="59">
        <v>42840</v>
      </c>
      <c r="G61" s="52">
        <f t="shared" si="4"/>
        <v>16</v>
      </c>
      <c r="H61" s="224" t="s">
        <v>133</v>
      </c>
      <c r="I61" s="223" t="s">
        <v>218</v>
      </c>
      <c r="J61" s="223" t="s">
        <v>611</v>
      </c>
      <c r="K61" s="94">
        <v>1749</v>
      </c>
      <c r="L61" s="94">
        <v>1749</v>
      </c>
      <c r="M61" s="97">
        <v>420</v>
      </c>
      <c r="N61" s="96">
        <v>95</v>
      </c>
      <c r="O61" s="93">
        <f t="shared" si="3"/>
        <v>1224.06</v>
      </c>
      <c r="P61" s="119" t="s">
        <v>263</v>
      </c>
      <c r="Q61" s="119" t="s">
        <v>1341</v>
      </c>
      <c r="R61" s="221" t="s">
        <v>143</v>
      </c>
      <c r="S61" s="62" t="s">
        <v>465</v>
      </c>
      <c r="T61" s="221" t="s">
        <v>88</v>
      </c>
      <c r="U61" s="146" t="s">
        <v>352</v>
      </c>
      <c r="V61" s="224" t="s">
        <v>90</v>
      </c>
      <c r="W61" s="117"/>
      <c r="X61" s="52" t="s">
        <v>142</v>
      </c>
      <c r="Y61" s="224" t="s">
        <v>316</v>
      </c>
      <c r="Z61" s="52" t="s">
        <v>189</v>
      </c>
      <c r="AA61" s="221"/>
      <c r="AB61" s="52" t="s">
        <v>127</v>
      </c>
      <c r="AC61" s="63">
        <f t="shared" si="2"/>
        <v>1</v>
      </c>
      <c r="AD61" s="226" t="s">
        <v>217</v>
      </c>
      <c r="AE61" s="221" t="s">
        <v>218</v>
      </c>
      <c r="AF61" s="52"/>
      <c r="AG61" s="52" t="s">
        <v>142</v>
      </c>
      <c r="AH61" s="64"/>
      <c r="AI61" s="117" t="s">
        <v>184</v>
      </c>
      <c r="AJ61" s="146"/>
      <c r="AK61" s="225" t="s">
        <v>630</v>
      </c>
      <c r="AL61" s="117" t="s">
        <v>645</v>
      </c>
      <c r="AM61" s="146"/>
    </row>
    <row r="62" spans="1:39" ht="12.75" hidden="1" customHeight="1">
      <c r="A62" s="147">
        <v>61</v>
      </c>
      <c r="B62" s="60">
        <v>192126</v>
      </c>
      <c r="C62" s="146" t="s">
        <v>86</v>
      </c>
      <c r="D62" s="57">
        <v>42824</v>
      </c>
      <c r="E62" s="58" t="s">
        <v>472</v>
      </c>
      <c r="F62" s="118">
        <v>42828</v>
      </c>
      <c r="G62" s="146">
        <f t="shared" si="4"/>
        <v>4</v>
      </c>
      <c r="H62" s="146" t="s">
        <v>133</v>
      </c>
      <c r="I62" s="223" t="s">
        <v>218</v>
      </c>
      <c r="J62" s="223" t="s">
        <v>611</v>
      </c>
      <c r="K62" s="94">
        <v>1399</v>
      </c>
      <c r="L62" s="94">
        <v>1399</v>
      </c>
      <c r="M62" s="97">
        <v>526</v>
      </c>
      <c r="N62" s="96">
        <v>150</v>
      </c>
      <c r="O62" s="151">
        <f t="shared" si="3"/>
        <v>789.06</v>
      </c>
      <c r="P62" s="224" t="s">
        <v>264</v>
      </c>
      <c r="Q62" s="119" t="s">
        <v>1342</v>
      </c>
      <c r="R62" s="146" t="s">
        <v>143</v>
      </c>
      <c r="S62" s="225" t="s">
        <v>465</v>
      </c>
      <c r="T62" s="146" t="s">
        <v>164</v>
      </c>
      <c r="U62" s="146" t="s">
        <v>355</v>
      </c>
      <c r="V62" s="224" t="s">
        <v>90</v>
      </c>
      <c r="W62" s="146"/>
      <c r="X62" s="146" t="s">
        <v>142</v>
      </c>
      <c r="Y62" s="221" t="s">
        <v>1942</v>
      </c>
      <c r="Z62" s="146" t="s">
        <v>315</v>
      </c>
      <c r="AA62" s="221"/>
      <c r="AB62" s="146" t="s">
        <v>195</v>
      </c>
      <c r="AC62" s="63">
        <f t="shared" si="2"/>
        <v>1</v>
      </c>
      <c r="AD62" s="226" t="s">
        <v>217</v>
      </c>
      <c r="AE62" s="221" t="s">
        <v>218</v>
      </c>
      <c r="AF62" s="146"/>
      <c r="AG62" s="146" t="s">
        <v>142</v>
      </c>
      <c r="AH62" s="64"/>
      <c r="AI62" s="146" t="s">
        <v>184</v>
      </c>
      <c r="AJ62" s="146"/>
      <c r="AK62" s="221"/>
      <c r="AL62" s="146"/>
      <c r="AM62" s="146"/>
    </row>
    <row r="63" spans="1:39" ht="12.75" hidden="1" customHeight="1">
      <c r="A63" s="147">
        <v>62</v>
      </c>
      <c r="B63" s="60">
        <v>191189</v>
      </c>
      <c r="C63" s="52" t="s">
        <v>86</v>
      </c>
      <c r="D63" s="57">
        <v>42825</v>
      </c>
      <c r="E63" s="58" t="s">
        <v>472</v>
      </c>
      <c r="F63" s="59">
        <v>42849</v>
      </c>
      <c r="G63" s="52">
        <f t="shared" si="4"/>
        <v>24</v>
      </c>
      <c r="H63" s="52" t="s">
        <v>363</v>
      </c>
      <c r="I63" s="223" t="s">
        <v>218</v>
      </c>
      <c r="J63" s="223" t="s">
        <v>611</v>
      </c>
      <c r="K63" s="94">
        <v>2199</v>
      </c>
      <c r="L63" s="94">
        <v>2199</v>
      </c>
      <c r="M63" s="96">
        <v>0</v>
      </c>
      <c r="N63" s="96">
        <v>20</v>
      </c>
      <c r="O63" s="93">
        <f t="shared" si="3"/>
        <v>2047.06</v>
      </c>
      <c r="P63" s="224" t="s">
        <v>261</v>
      </c>
      <c r="Q63" s="119" t="s">
        <v>1341</v>
      </c>
      <c r="R63" s="221" t="s">
        <v>134</v>
      </c>
      <c r="S63" s="62" t="s">
        <v>465</v>
      </c>
      <c r="T63" s="146" t="s">
        <v>358</v>
      </c>
      <c r="U63" s="146" t="s">
        <v>359</v>
      </c>
      <c r="V63" s="224" t="s">
        <v>360</v>
      </c>
      <c r="W63" s="146"/>
      <c r="X63" s="146" t="s">
        <v>142</v>
      </c>
      <c r="Y63" s="52"/>
      <c r="Z63" s="224" t="s">
        <v>246</v>
      </c>
      <c r="AA63" s="221"/>
      <c r="AB63" s="52"/>
      <c r="AC63" s="63">
        <f t="shared" si="2"/>
        <v>1</v>
      </c>
      <c r="AD63" s="226" t="s">
        <v>217</v>
      </c>
      <c r="AE63" s="221" t="s">
        <v>218</v>
      </c>
      <c r="AF63" s="52"/>
      <c r="AG63" s="52" t="s">
        <v>142</v>
      </c>
      <c r="AH63" s="105" t="s">
        <v>576</v>
      </c>
      <c r="AI63" s="117"/>
      <c r="AJ63" s="146"/>
      <c r="AK63" s="221"/>
      <c r="AL63" s="117"/>
      <c r="AM63" s="146"/>
    </row>
    <row r="64" spans="1:39" ht="12.75" hidden="1" customHeight="1">
      <c r="A64" s="147">
        <v>63</v>
      </c>
      <c r="B64" s="60">
        <v>191162</v>
      </c>
      <c r="C64" s="52" t="s">
        <v>128</v>
      </c>
      <c r="D64" s="57">
        <v>42828</v>
      </c>
      <c r="E64" s="58" t="s">
        <v>473</v>
      </c>
      <c r="F64" s="59">
        <v>42833</v>
      </c>
      <c r="G64" s="52">
        <f t="shared" si="4"/>
        <v>5</v>
      </c>
      <c r="H64" s="221" t="s">
        <v>133</v>
      </c>
      <c r="I64" s="223" t="s">
        <v>608</v>
      </c>
      <c r="J64" s="223" t="s">
        <v>610</v>
      </c>
      <c r="K64" s="94">
        <v>1599</v>
      </c>
      <c r="L64" s="94">
        <v>1599</v>
      </c>
      <c r="M64" s="96">
        <v>0</v>
      </c>
      <c r="N64" s="96">
        <v>0</v>
      </c>
      <c r="O64" s="93">
        <f t="shared" si="3"/>
        <v>0</v>
      </c>
      <c r="P64" s="224" t="s">
        <v>264</v>
      </c>
      <c r="Q64" s="119" t="s">
        <v>1342</v>
      </c>
      <c r="R64" s="52" t="s">
        <v>210</v>
      </c>
      <c r="S64" s="225" t="s">
        <v>469</v>
      </c>
      <c r="T64" s="146" t="s">
        <v>380</v>
      </c>
      <c r="U64" s="221" t="s">
        <v>381</v>
      </c>
      <c r="V64" s="221" t="s">
        <v>382</v>
      </c>
      <c r="W64" s="146"/>
      <c r="X64" s="146" t="s">
        <v>141</v>
      </c>
      <c r="Y64" s="221"/>
      <c r="Z64" s="52" t="s">
        <v>296</v>
      </c>
      <c r="AA64" s="221"/>
      <c r="AB64" s="52"/>
      <c r="AC64" s="63">
        <f t="shared" si="2"/>
        <v>0</v>
      </c>
      <c r="AD64" s="226" t="s">
        <v>217</v>
      </c>
      <c r="AE64" s="221" t="s">
        <v>217</v>
      </c>
      <c r="AF64" s="52" t="s">
        <v>225</v>
      </c>
      <c r="AG64" s="52" t="s">
        <v>142</v>
      </c>
      <c r="AH64" s="64"/>
      <c r="AI64" s="117"/>
      <c r="AJ64" s="221"/>
      <c r="AK64" s="221"/>
      <c r="AL64" s="117"/>
      <c r="AM64" s="221"/>
    </row>
    <row r="65" spans="1:39" ht="12.75" hidden="1" customHeight="1">
      <c r="A65" s="147">
        <v>64</v>
      </c>
      <c r="B65" s="223">
        <v>191199</v>
      </c>
      <c r="C65" s="52" t="s">
        <v>121</v>
      </c>
      <c r="D65" s="57">
        <v>42828</v>
      </c>
      <c r="E65" s="58" t="s">
        <v>473</v>
      </c>
      <c r="F65" s="59">
        <v>42832</v>
      </c>
      <c r="G65" s="52">
        <f t="shared" si="4"/>
        <v>4</v>
      </c>
      <c r="H65" s="221" t="s">
        <v>363</v>
      </c>
      <c r="I65" s="223" t="s">
        <v>608</v>
      </c>
      <c r="J65" s="223" t="s">
        <v>610</v>
      </c>
      <c r="K65" s="94">
        <v>5420</v>
      </c>
      <c r="L65" s="94">
        <v>5420</v>
      </c>
      <c r="M65" s="96">
        <v>0</v>
      </c>
      <c r="N65" s="96">
        <v>0</v>
      </c>
      <c r="O65" s="93">
        <f t="shared" si="3"/>
        <v>0</v>
      </c>
      <c r="P65" s="119" t="s">
        <v>264</v>
      </c>
      <c r="Q65" s="119" t="s">
        <v>1342</v>
      </c>
      <c r="R65" s="117" t="s">
        <v>134</v>
      </c>
      <c r="S65" s="62" t="s">
        <v>465</v>
      </c>
      <c r="T65" s="146" t="s">
        <v>164</v>
      </c>
      <c r="U65" s="146" t="s">
        <v>361</v>
      </c>
      <c r="V65" s="221" t="s">
        <v>278</v>
      </c>
      <c r="W65" s="117" t="s">
        <v>362</v>
      </c>
      <c r="X65" s="52" t="s">
        <v>142</v>
      </c>
      <c r="Y65" s="221"/>
      <c r="Z65" s="52" t="s">
        <v>202</v>
      </c>
      <c r="AA65" s="221"/>
      <c r="AB65" s="52"/>
      <c r="AC65" s="63">
        <f t="shared" si="2"/>
        <v>0</v>
      </c>
      <c r="AD65" s="226" t="s">
        <v>217</v>
      </c>
      <c r="AE65" s="221" t="s">
        <v>217</v>
      </c>
      <c r="AF65" s="52" t="s">
        <v>225</v>
      </c>
      <c r="AG65" s="52" t="s">
        <v>142</v>
      </c>
      <c r="AH65" s="64"/>
      <c r="AI65" s="221"/>
      <c r="AJ65" s="221"/>
      <c r="AK65" s="221"/>
      <c r="AL65" s="221"/>
      <c r="AM65" s="221"/>
    </row>
    <row r="66" spans="1:39" ht="25.5" hidden="1" customHeight="1">
      <c r="A66" s="147">
        <v>65</v>
      </c>
      <c r="B66" s="60">
        <v>191201</v>
      </c>
      <c r="C66" s="52" t="s">
        <v>128</v>
      </c>
      <c r="D66" s="57">
        <v>42828</v>
      </c>
      <c r="E66" s="58" t="s">
        <v>473</v>
      </c>
      <c r="F66" s="59">
        <v>42832</v>
      </c>
      <c r="G66" s="52">
        <f t="shared" si="4"/>
        <v>4</v>
      </c>
      <c r="H66" s="221" t="s">
        <v>133</v>
      </c>
      <c r="I66" s="223" t="s">
        <v>218</v>
      </c>
      <c r="J66" s="223" t="s">
        <v>611</v>
      </c>
      <c r="K66" s="94">
        <v>1999</v>
      </c>
      <c r="L66" s="94">
        <v>1999</v>
      </c>
      <c r="M66" s="97">
        <v>250</v>
      </c>
      <c r="N66" s="96">
        <v>395</v>
      </c>
      <c r="O66" s="93">
        <f t="shared" si="3"/>
        <v>1484.06</v>
      </c>
      <c r="P66" s="224" t="s">
        <v>264</v>
      </c>
      <c r="Q66" s="119" t="s">
        <v>1342</v>
      </c>
      <c r="R66" s="146" t="s">
        <v>143</v>
      </c>
      <c r="S66" s="62" t="s">
        <v>465</v>
      </c>
      <c r="T66" s="146" t="s">
        <v>120</v>
      </c>
      <c r="U66" s="146" t="s">
        <v>369</v>
      </c>
      <c r="V66" s="224" t="s">
        <v>370</v>
      </c>
      <c r="W66" s="224" t="s">
        <v>371</v>
      </c>
      <c r="X66" s="117" t="s">
        <v>142</v>
      </c>
      <c r="Y66" s="221" t="s">
        <v>1616</v>
      </c>
      <c r="Z66" s="117" t="s">
        <v>137</v>
      </c>
      <c r="AA66" s="221"/>
      <c r="AB66" s="52"/>
      <c r="AC66" s="63">
        <f t="shared" ref="AC66:AC129" si="5">+IF(O66&gt;0,1,0)</f>
        <v>1</v>
      </c>
      <c r="AD66" s="226" t="s">
        <v>217</v>
      </c>
      <c r="AE66" s="221" t="s">
        <v>218</v>
      </c>
      <c r="AF66" s="52"/>
      <c r="AG66" s="52" t="s">
        <v>142</v>
      </c>
      <c r="AH66" s="64"/>
      <c r="AI66" s="117" t="s">
        <v>82</v>
      </c>
      <c r="AJ66" s="221"/>
      <c r="AK66" s="221" t="s">
        <v>678</v>
      </c>
      <c r="AL66" s="117" t="s">
        <v>645</v>
      </c>
      <c r="AM66" s="221"/>
    </row>
    <row r="67" spans="1:39" ht="12.75" hidden="1" customHeight="1">
      <c r="A67" s="147">
        <v>66</v>
      </c>
      <c r="B67" s="223">
        <v>192175</v>
      </c>
      <c r="C67" s="52" t="s">
        <v>121</v>
      </c>
      <c r="D67" s="57">
        <v>42828</v>
      </c>
      <c r="E67" s="58" t="s">
        <v>473</v>
      </c>
      <c r="F67" s="59">
        <v>42843</v>
      </c>
      <c r="G67" s="52">
        <f t="shared" si="4"/>
        <v>15</v>
      </c>
      <c r="H67" s="221" t="s">
        <v>133</v>
      </c>
      <c r="I67" s="223" t="s">
        <v>608</v>
      </c>
      <c r="J67" s="223" t="s">
        <v>612</v>
      </c>
      <c r="K67" s="94">
        <v>1599</v>
      </c>
      <c r="L67" s="94">
        <v>1599</v>
      </c>
      <c r="M67" s="96">
        <v>0</v>
      </c>
      <c r="N67" s="96">
        <v>0</v>
      </c>
      <c r="O67" s="93">
        <f t="shared" si="3"/>
        <v>0</v>
      </c>
      <c r="P67" s="61" t="s">
        <v>264</v>
      </c>
      <c r="Q67" s="224" t="s">
        <v>1342</v>
      </c>
      <c r="R67" s="117" t="s">
        <v>375</v>
      </c>
      <c r="S67" s="225" t="s">
        <v>469</v>
      </c>
      <c r="T67" s="146" t="s">
        <v>376</v>
      </c>
      <c r="U67" s="146" t="s">
        <v>377</v>
      </c>
      <c r="V67" s="224" t="s">
        <v>90</v>
      </c>
      <c r="W67" s="52"/>
      <c r="X67" s="52" t="s">
        <v>142</v>
      </c>
      <c r="Y67" s="221"/>
      <c r="Z67" s="52" t="s">
        <v>253</v>
      </c>
      <c r="AA67" s="221"/>
      <c r="AB67" s="52"/>
      <c r="AC67" s="63">
        <f t="shared" si="5"/>
        <v>0</v>
      </c>
      <c r="AD67" s="226" t="s">
        <v>217</v>
      </c>
      <c r="AE67" s="221" t="s">
        <v>217</v>
      </c>
      <c r="AF67" s="52" t="s">
        <v>225</v>
      </c>
      <c r="AG67" s="52" t="s">
        <v>142</v>
      </c>
      <c r="AH67" s="64"/>
      <c r="AI67" s="221"/>
      <c r="AJ67" s="221"/>
      <c r="AK67" s="221"/>
      <c r="AL67" s="221"/>
      <c r="AM67" s="221"/>
    </row>
    <row r="68" spans="1:39" ht="12.75" hidden="1" customHeight="1">
      <c r="A68" s="147">
        <v>67</v>
      </c>
      <c r="B68" s="60">
        <v>190571</v>
      </c>
      <c r="C68" s="146" t="s">
        <v>129</v>
      </c>
      <c r="D68" s="57">
        <v>42829</v>
      </c>
      <c r="E68" s="58" t="s">
        <v>473</v>
      </c>
      <c r="F68" s="118">
        <v>42826</v>
      </c>
      <c r="G68" s="146">
        <f t="shared" si="4"/>
        <v>-3</v>
      </c>
      <c r="H68" s="221" t="s">
        <v>133</v>
      </c>
      <c r="I68" s="223" t="s">
        <v>218</v>
      </c>
      <c r="J68" s="223" t="s">
        <v>611</v>
      </c>
      <c r="K68" s="94">
        <v>1099</v>
      </c>
      <c r="L68" s="94">
        <v>1099</v>
      </c>
      <c r="M68" s="97">
        <v>0</v>
      </c>
      <c r="N68" s="96">
        <v>298</v>
      </c>
      <c r="O68" s="93">
        <f t="shared" si="3"/>
        <v>735.06</v>
      </c>
      <c r="P68" s="119" t="s">
        <v>264</v>
      </c>
      <c r="Q68" s="119" t="s">
        <v>1342</v>
      </c>
      <c r="R68" s="146" t="s">
        <v>134</v>
      </c>
      <c r="S68" s="62" t="s">
        <v>465</v>
      </c>
      <c r="T68" s="146" t="s">
        <v>164</v>
      </c>
      <c r="U68" s="221" t="s">
        <v>378</v>
      </c>
      <c r="V68" s="224" t="s">
        <v>90</v>
      </c>
      <c r="W68" s="146"/>
      <c r="X68" s="146" t="s">
        <v>142</v>
      </c>
      <c r="Y68" s="221" t="s">
        <v>219</v>
      </c>
      <c r="Z68" s="146" t="s">
        <v>379</v>
      </c>
      <c r="AA68" s="221"/>
      <c r="AB68" s="146" t="s">
        <v>127</v>
      </c>
      <c r="AC68" s="63">
        <f t="shared" si="5"/>
        <v>1</v>
      </c>
      <c r="AD68" s="226" t="s">
        <v>217</v>
      </c>
      <c r="AE68" s="221" t="s">
        <v>218</v>
      </c>
      <c r="AF68" s="52"/>
      <c r="AG68" s="146" t="s">
        <v>142</v>
      </c>
      <c r="AH68" s="64"/>
      <c r="AI68" s="146" t="s">
        <v>184</v>
      </c>
      <c r="AJ68" s="146"/>
      <c r="AK68" s="221"/>
      <c r="AL68" s="146"/>
      <c r="AM68" s="146"/>
    </row>
    <row r="69" spans="1:39" ht="12.75" hidden="1" customHeight="1">
      <c r="A69" s="147">
        <v>68</v>
      </c>
      <c r="B69" s="60">
        <v>192185</v>
      </c>
      <c r="C69" s="52" t="s">
        <v>128</v>
      </c>
      <c r="D69" s="57">
        <v>42829</v>
      </c>
      <c r="E69" s="58" t="s">
        <v>473</v>
      </c>
      <c r="F69" s="59">
        <v>42841</v>
      </c>
      <c r="G69" s="52">
        <f t="shared" si="4"/>
        <v>12</v>
      </c>
      <c r="H69" s="52" t="s">
        <v>133</v>
      </c>
      <c r="I69" s="223" t="s">
        <v>608</v>
      </c>
      <c r="J69" s="223" t="s">
        <v>610</v>
      </c>
      <c r="K69" s="94">
        <v>1950</v>
      </c>
      <c r="L69" s="94">
        <v>1950</v>
      </c>
      <c r="M69" s="96">
        <v>0</v>
      </c>
      <c r="N69" s="96">
        <v>0</v>
      </c>
      <c r="O69" s="93">
        <f t="shared" si="3"/>
        <v>0</v>
      </c>
      <c r="P69" s="61" t="s">
        <v>264</v>
      </c>
      <c r="Q69" s="119" t="s">
        <v>1342</v>
      </c>
      <c r="R69" s="117" t="s">
        <v>390</v>
      </c>
      <c r="S69" s="225" t="s">
        <v>469</v>
      </c>
      <c r="T69" s="146" t="s">
        <v>391</v>
      </c>
      <c r="U69" s="146" t="s">
        <v>392</v>
      </c>
      <c r="V69" s="221" t="s">
        <v>393</v>
      </c>
      <c r="W69" s="52"/>
      <c r="X69" s="52" t="s">
        <v>141</v>
      </c>
      <c r="Y69" s="221" t="s">
        <v>292</v>
      </c>
      <c r="Z69" s="52" t="s">
        <v>292</v>
      </c>
      <c r="AA69" s="221"/>
      <c r="AB69" s="52" t="s">
        <v>127</v>
      </c>
      <c r="AC69" s="63">
        <f t="shared" si="5"/>
        <v>0</v>
      </c>
      <c r="AD69" s="226" t="s">
        <v>217</v>
      </c>
      <c r="AE69" s="221" t="s">
        <v>217</v>
      </c>
      <c r="AF69" s="52" t="s">
        <v>225</v>
      </c>
      <c r="AG69" s="52" t="s">
        <v>142</v>
      </c>
      <c r="AH69" s="64" t="s">
        <v>416</v>
      </c>
      <c r="AI69" s="117"/>
      <c r="AJ69" s="221"/>
      <c r="AK69" s="221"/>
      <c r="AL69" s="117"/>
      <c r="AM69" s="221"/>
    </row>
    <row r="70" spans="1:39" ht="12.75" hidden="1" customHeight="1">
      <c r="A70" s="147">
        <v>69</v>
      </c>
      <c r="B70" s="223">
        <v>192328</v>
      </c>
      <c r="C70" s="52" t="s">
        <v>86</v>
      </c>
      <c r="D70" s="57">
        <v>42829</v>
      </c>
      <c r="E70" s="58" t="s">
        <v>473</v>
      </c>
      <c r="F70" s="59">
        <v>42843</v>
      </c>
      <c r="G70" s="52">
        <f t="shared" si="4"/>
        <v>14</v>
      </c>
      <c r="H70" s="221" t="s">
        <v>133</v>
      </c>
      <c r="I70" s="223" t="s">
        <v>218</v>
      </c>
      <c r="J70" s="223" t="s">
        <v>611</v>
      </c>
      <c r="K70" s="94">
        <v>3660</v>
      </c>
      <c r="L70" s="94">
        <v>3660</v>
      </c>
      <c r="M70" s="97">
        <v>400</v>
      </c>
      <c r="N70" s="96">
        <v>560</v>
      </c>
      <c r="O70" s="93">
        <f t="shared" si="3"/>
        <v>2880.4</v>
      </c>
      <c r="P70" s="61" t="s">
        <v>264</v>
      </c>
      <c r="Q70" s="119" t="s">
        <v>1342</v>
      </c>
      <c r="R70" s="117" t="s">
        <v>122</v>
      </c>
      <c r="S70" s="225" t="s">
        <v>469</v>
      </c>
      <c r="T70" s="146" t="s">
        <v>114</v>
      </c>
      <c r="U70" s="146" t="s">
        <v>374</v>
      </c>
      <c r="V70" s="222" t="s">
        <v>169</v>
      </c>
      <c r="W70" s="52"/>
      <c r="X70" s="52" t="s">
        <v>142</v>
      </c>
      <c r="Y70" s="224" t="s">
        <v>316</v>
      </c>
      <c r="Z70" s="221" t="s">
        <v>170</v>
      </c>
      <c r="AA70" s="221"/>
      <c r="AB70" s="52" t="s">
        <v>127</v>
      </c>
      <c r="AC70" s="63">
        <f t="shared" si="5"/>
        <v>1</v>
      </c>
      <c r="AD70" s="226" t="s">
        <v>217</v>
      </c>
      <c r="AE70" s="221" t="s">
        <v>218</v>
      </c>
      <c r="AF70" s="52"/>
      <c r="AG70" s="52" t="s">
        <v>142</v>
      </c>
      <c r="AH70" s="64"/>
      <c r="AI70" s="221" t="s">
        <v>184</v>
      </c>
      <c r="AJ70" s="221"/>
      <c r="AK70" s="225" t="s">
        <v>632</v>
      </c>
      <c r="AL70" s="221" t="s">
        <v>645</v>
      </c>
      <c r="AM70" s="221"/>
    </row>
    <row r="71" spans="1:39" ht="25.5" hidden="1" customHeight="1">
      <c r="A71" s="147">
        <v>70</v>
      </c>
      <c r="B71" s="60">
        <v>191546</v>
      </c>
      <c r="C71" s="52" t="s">
        <v>86</v>
      </c>
      <c r="D71" s="57">
        <v>42830</v>
      </c>
      <c r="E71" s="58" t="s">
        <v>473</v>
      </c>
      <c r="F71" s="59">
        <v>42841</v>
      </c>
      <c r="G71" s="52">
        <f t="shared" si="4"/>
        <v>11</v>
      </c>
      <c r="H71" s="117" t="s">
        <v>133</v>
      </c>
      <c r="I71" s="223" t="s">
        <v>218</v>
      </c>
      <c r="J71" s="223" t="s">
        <v>611</v>
      </c>
      <c r="K71" s="94">
        <v>1400</v>
      </c>
      <c r="L71" s="94">
        <v>1400</v>
      </c>
      <c r="M71" s="97">
        <v>220</v>
      </c>
      <c r="N71" s="96">
        <v>400</v>
      </c>
      <c r="O71" s="93">
        <f t="shared" si="3"/>
        <v>916</v>
      </c>
      <c r="P71" s="119" t="s">
        <v>263</v>
      </c>
      <c r="Q71" s="119" t="s">
        <v>1341</v>
      </c>
      <c r="R71" s="117" t="s">
        <v>122</v>
      </c>
      <c r="S71" s="225" t="s">
        <v>469</v>
      </c>
      <c r="T71" s="146" t="s">
        <v>114</v>
      </c>
      <c r="U71" s="224" t="s">
        <v>357</v>
      </c>
      <c r="V71" s="222" t="s">
        <v>169</v>
      </c>
      <c r="W71" s="117"/>
      <c r="X71" s="52" t="s">
        <v>142</v>
      </c>
      <c r="Y71" s="224" t="s">
        <v>316</v>
      </c>
      <c r="Z71" s="52" t="s">
        <v>170</v>
      </c>
      <c r="AA71" s="221"/>
      <c r="AB71" s="52" t="s">
        <v>127</v>
      </c>
      <c r="AC71" s="63">
        <f t="shared" si="5"/>
        <v>1</v>
      </c>
      <c r="AD71" s="226" t="s">
        <v>32</v>
      </c>
      <c r="AE71" s="221" t="s">
        <v>218</v>
      </c>
      <c r="AF71" s="52"/>
      <c r="AG71" s="52" t="s">
        <v>142</v>
      </c>
      <c r="AH71" s="64"/>
      <c r="AI71" s="117" t="s">
        <v>184</v>
      </c>
      <c r="AJ71" s="146"/>
      <c r="AK71" s="225" t="s">
        <v>633</v>
      </c>
      <c r="AL71" s="117" t="s">
        <v>645</v>
      </c>
      <c r="AM71" s="146"/>
    </row>
    <row r="72" spans="1:39" ht="25.5" hidden="1" customHeight="1">
      <c r="A72" s="147">
        <v>71</v>
      </c>
      <c r="B72" s="60">
        <v>191571</v>
      </c>
      <c r="C72" s="52" t="s">
        <v>86</v>
      </c>
      <c r="D72" s="57">
        <v>42830</v>
      </c>
      <c r="E72" s="58" t="s">
        <v>473</v>
      </c>
      <c r="F72" s="59">
        <v>42836</v>
      </c>
      <c r="G72" s="52">
        <f t="shared" si="4"/>
        <v>6</v>
      </c>
      <c r="H72" s="117" t="s">
        <v>363</v>
      </c>
      <c r="I72" s="223" t="s">
        <v>218</v>
      </c>
      <c r="J72" s="223" t="s">
        <v>611</v>
      </c>
      <c r="K72" s="94">
        <v>999</v>
      </c>
      <c r="L72" s="94">
        <v>999</v>
      </c>
      <c r="M72" s="96">
        <v>0</v>
      </c>
      <c r="N72" s="96">
        <v>530</v>
      </c>
      <c r="O72" s="93">
        <f t="shared" si="3"/>
        <v>409.05999999999995</v>
      </c>
      <c r="P72" s="119" t="s">
        <v>263</v>
      </c>
      <c r="Q72" s="119" t="s">
        <v>1341</v>
      </c>
      <c r="R72" s="117" t="s">
        <v>134</v>
      </c>
      <c r="S72" s="62" t="s">
        <v>465</v>
      </c>
      <c r="T72" s="146" t="s">
        <v>114</v>
      </c>
      <c r="U72" s="146" t="s">
        <v>394</v>
      </c>
      <c r="V72" s="224" t="s">
        <v>90</v>
      </c>
      <c r="W72" s="117"/>
      <c r="X72" s="117" t="s">
        <v>142</v>
      </c>
      <c r="Y72" s="117"/>
      <c r="Z72" s="52" t="s">
        <v>170</v>
      </c>
      <c r="AA72" s="221"/>
      <c r="AB72" s="52"/>
      <c r="AC72" s="63">
        <f t="shared" si="5"/>
        <v>1</v>
      </c>
      <c r="AD72" s="226" t="s">
        <v>32</v>
      </c>
      <c r="AE72" s="221" t="s">
        <v>218</v>
      </c>
      <c r="AF72" s="52"/>
      <c r="AG72" s="52" t="s">
        <v>142</v>
      </c>
      <c r="AH72" s="105" t="s">
        <v>443</v>
      </c>
      <c r="AI72" s="117"/>
      <c r="AJ72" s="117"/>
      <c r="AK72" s="221"/>
      <c r="AL72" s="117"/>
      <c r="AM72" s="146"/>
    </row>
    <row r="73" spans="1:39" ht="12.75" hidden="1" customHeight="1">
      <c r="A73" s="147">
        <v>72</v>
      </c>
      <c r="B73" s="60">
        <v>191766</v>
      </c>
      <c r="C73" s="52" t="s">
        <v>86</v>
      </c>
      <c r="D73" s="57">
        <v>42830</v>
      </c>
      <c r="E73" s="58" t="s">
        <v>473</v>
      </c>
      <c r="F73" s="59">
        <v>42840</v>
      </c>
      <c r="G73" s="52">
        <f t="shared" si="4"/>
        <v>10</v>
      </c>
      <c r="H73" s="117" t="s">
        <v>133</v>
      </c>
      <c r="I73" s="223" t="s">
        <v>218</v>
      </c>
      <c r="J73" s="223" t="s">
        <v>611</v>
      </c>
      <c r="K73" s="94">
        <v>1299</v>
      </c>
      <c r="L73" s="94">
        <v>1299</v>
      </c>
      <c r="M73" s="97">
        <v>65</v>
      </c>
      <c r="N73" s="96">
        <v>80</v>
      </c>
      <c r="O73" s="93">
        <f t="shared" si="3"/>
        <v>1141.06</v>
      </c>
      <c r="P73" s="61" t="s">
        <v>262</v>
      </c>
      <c r="Q73" s="119" t="s">
        <v>1342</v>
      </c>
      <c r="R73" s="117" t="s">
        <v>134</v>
      </c>
      <c r="S73" s="62" t="s">
        <v>465</v>
      </c>
      <c r="T73" s="221" t="s">
        <v>88</v>
      </c>
      <c r="U73" s="146" t="s">
        <v>388</v>
      </c>
      <c r="V73" s="221" t="s">
        <v>389</v>
      </c>
      <c r="W73" s="221"/>
      <c r="X73" s="52" t="s">
        <v>141</v>
      </c>
      <c r="Y73" s="224" t="s">
        <v>316</v>
      </c>
      <c r="Z73" s="52" t="s">
        <v>189</v>
      </c>
      <c r="AA73" s="221"/>
      <c r="AB73" s="52" t="s">
        <v>401</v>
      </c>
      <c r="AC73" s="63">
        <f t="shared" si="5"/>
        <v>1</v>
      </c>
      <c r="AD73" s="226" t="s">
        <v>217</v>
      </c>
      <c r="AE73" s="221" t="s">
        <v>218</v>
      </c>
      <c r="AF73" s="52"/>
      <c r="AG73" s="52" t="s">
        <v>142</v>
      </c>
      <c r="AH73" s="64"/>
      <c r="AI73" s="117" t="s">
        <v>184</v>
      </c>
      <c r="AJ73" s="146"/>
      <c r="AK73" s="225" t="s">
        <v>635</v>
      </c>
      <c r="AL73" s="117" t="s">
        <v>645</v>
      </c>
      <c r="AM73" s="146"/>
    </row>
    <row r="74" spans="1:39" ht="12.75" hidden="1" customHeight="1">
      <c r="A74" s="147">
        <v>73</v>
      </c>
      <c r="B74" s="60">
        <v>191783</v>
      </c>
      <c r="C74" s="146" t="s">
        <v>86</v>
      </c>
      <c r="D74" s="57">
        <v>42830</v>
      </c>
      <c r="E74" s="58" t="s">
        <v>473</v>
      </c>
      <c r="F74" s="118">
        <v>42839</v>
      </c>
      <c r="G74" s="146">
        <f t="shared" si="4"/>
        <v>9</v>
      </c>
      <c r="H74" s="146" t="s">
        <v>363</v>
      </c>
      <c r="I74" s="223" t="s">
        <v>218</v>
      </c>
      <c r="J74" s="223" t="s">
        <v>611</v>
      </c>
      <c r="K74" s="94">
        <v>1044.05</v>
      </c>
      <c r="L74" s="94">
        <v>1044.05</v>
      </c>
      <c r="M74" s="96">
        <v>0</v>
      </c>
      <c r="N74" s="96">
        <v>500</v>
      </c>
      <c r="O74" s="93">
        <f t="shared" si="3"/>
        <v>481.40699999999993</v>
      </c>
      <c r="P74" s="119" t="s">
        <v>262</v>
      </c>
      <c r="Q74" s="119" t="s">
        <v>1342</v>
      </c>
      <c r="R74" s="146" t="s">
        <v>210</v>
      </c>
      <c r="S74" s="225" t="s">
        <v>469</v>
      </c>
      <c r="T74" s="146" t="s">
        <v>376</v>
      </c>
      <c r="U74" s="146" t="s">
        <v>384</v>
      </c>
      <c r="V74" s="224" t="s">
        <v>90</v>
      </c>
      <c r="W74" s="146" t="s">
        <v>385</v>
      </c>
      <c r="X74" s="146" t="s">
        <v>142</v>
      </c>
      <c r="Y74" s="146"/>
      <c r="Z74" s="146" t="s">
        <v>170</v>
      </c>
      <c r="AA74" s="146"/>
      <c r="AB74" s="146"/>
      <c r="AC74" s="63">
        <f t="shared" si="5"/>
        <v>1</v>
      </c>
      <c r="AD74" s="226" t="s">
        <v>32</v>
      </c>
      <c r="AE74" s="221" t="s">
        <v>218</v>
      </c>
      <c r="AF74" s="146"/>
      <c r="AG74" s="146" t="s">
        <v>142</v>
      </c>
      <c r="AH74" s="105" t="s">
        <v>576</v>
      </c>
      <c r="AI74" s="146"/>
      <c r="AJ74" s="146"/>
      <c r="AK74" s="221"/>
      <c r="AL74" s="146"/>
      <c r="AM74" s="146"/>
    </row>
    <row r="75" spans="1:39" ht="21.75" hidden="1" customHeight="1">
      <c r="A75" s="147">
        <v>74</v>
      </c>
      <c r="B75" s="60">
        <v>192133</v>
      </c>
      <c r="C75" s="52" t="s">
        <v>86</v>
      </c>
      <c r="D75" s="57">
        <v>42830</v>
      </c>
      <c r="E75" s="58" t="s">
        <v>473</v>
      </c>
      <c r="F75" s="59">
        <v>42846</v>
      </c>
      <c r="G75" s="52">
        <f t="shared" si="4"/>
        <v>16</v>
      </c>
      <c r="H75" s="52" t="s">
        <v>133</v>
      </c>
      <c r="I75" s="223" t="s">
        <v>218</v>
      </c>
      <c r="J75" s="223" t="s">
        <v>611</v>
      </c>
      <c r="K75" s="94">
        <v>1899</v>
      </c>
      <c r="L75" s="94">
        <v>1899</v>
      </c>
      <c r="M75" s="97">
        <v>420</v>
      </c>
      <c r="N75" s="96">
        <v>515</v>
      </c>
      <c r="O75" s="93">
        <f t="shared" si="3"/>
        <v>1270.06</v>
      </c>
      <c r="P75" s="61" t="s">
        <v>264</v>
      </c>
      <c r="Q75" s="119" t="s">
        <v>1342</v>
      </c>
      <c r="R75" s="117" t="s">
        <v>143</v>
      </c>
      <c r="S75" s="225" t="s">
        <v>465</v>
      </c>
      <c r="T75" s="221" t="s">
        <v>88</v>
      </c>
      <c r="U75" s="146" t="s">
        <v>297</v>
      </c>
      <c r="V75" s="224" t="s">
        <v>90</v>
      </c>
      <c r="W75" s="52"/>
      <c r="X75" s="52" t="s">
        <v>142</v>
      </c>
      <c r="Y75" s="224" t="s">
        <v>316</v>
      </c>
      <c r="Z75" s="52" t="s">
        <v>189</v>
      </c>
      <c r="AA75" s="221"/>
      <c r="AB75" s="52" t="s">
        <v>127</v>
      </c>
      <c r="AC75" s="63">
        <f t="shared" si="5"/>
        <v>1</v>
      </c>
      <c r="AD75" s="226" t="s">
        <v>217</v>
      </c>
      <c r="AE75" s="221" t="s">
        <v>218</v>
      </c>
      <c r="AF75" s="52"/>
      <c r="AG75" s="52" t="s">
        <v>141</v>
      </c>
      <c r="AH75" s="64"/>
      <c r="AI75" s="117" t="s">
        <v>184</v>
      </c>
      <c r="AJ75" s="221"/>
      <c r="AK75" s="225" t="s">
        <v>634</v>
      </c>
      <c r="AL75" s="117" t="s">
        <v>645</v>
      </c>
      <c r="AM75" s="221"/>
    </row>
    <row r="76" spans="1:39" ht="12.75" hidden="1" customHeight="1">
      <c r="A76" s="147">
        <v>75</v>
      </c>
      <c r="B76" s="60">
        <v>192271</v>
      </c>
      <c r="C76" s="52" t="s">
        <v>86</v>
      </c>
      <c r="D76" s="57">
        <v>42830</v>
      </c>
      <c r="E76" s="58" t="s">
        <v>473</v>
      </c>
      <c r="F76" s="59">
        <v>42842</v>
      </c>
      <c r="G76" s="52">
        <f t="shared" si="4"/>
        <v>12</v>
      </c>
      <c r="H76" s="117" t="s">
        <v>133</v>
      </c>
      <c r="I76" s="223" t="s">
        <v>218</v>
      </c>
      <c r="J76" s="223" t="s">
        <v>611</v>
      </c>
      <c r="K76" s="94">
        <v>3999</v>
      </c>
      <c r="L76" s="94">
        <v>3999</v>
      </c>
      <c r="M76" s="98">
        <v>503.86</v>
      </c>
      <c r="N76" s="96">
        <v>80</v>
      </c>
      <c r="O76" s="93">
        <f t="shared" si="3"/>
        <v>3255.2</v>
      </c>
      <c r="P76" s="61" t="s">
        <v>264</v>
      </c>
      <c r="Q76" s="119" t="s">
        <v>1342</v>
      </c>
      <c r="R76" s="117" t="s">
        <v>210</v>
      </c>
      <c r="S76" s="225" t="s">
        <v>469</v>
      </c>
      <c r="T76" s="146" t="s">
        <v>114</v>
      </c>
      <c r="U76" s="146" t="s">
        <v>387</v>
      </c>
      <c r="V76" s="224" t="s">
        <v>90</v>
      </c>
      <c r="W76" s="52" t="s">
        <v>398</v>
      </c>
      <c r="X76" s="52" t="s">
        <v>142</v>
      </c>
      <c r="Y76" s="224" t="s">
        <v>91</v>
      </c>
      <c r="Z76" s="52" t="s">
        <v>170</v>
      </c>
      <c r="AA76" s="146"/>
      <c r="AB76" s="52" t="s">
        <v>127</v>
      </c>
      <c r="AC76" s="63">
        <f t="shared" si="5"/>
        <v>1</v>
      </c>
      <c r="AD76" s="226" t="s">
        <v>32</v>
      </c>
      <c r="AE76" s="221" t="s">
        <v>218</v>
      </c>
      <c r="AF76" s="52"/>
      <c r="AG76" s="52" t="s">
        <v>142</v>
      </c>
      <c r="AH76" s="64"/>
      <c r="AI76" s="117" t="s">
        <v>82</v>
      </c>
      <c r="AJ76" s="146"/>
      <c r="AK76" s="221" t="s">
        <v>676</v>
      </c>
      <c r="AL76" s="117" t="s">
        <v>645</v>
      </c>
      <c r="AM76" s="146"/>
    </row>
    <row r="77" spans="1:39" ht="12.75" hidden="1" customHeight="1">
      <c r="A77" s="147">
        <v>76</v>
      </c>
      <c r="B77" s="223">
        <v>192516</v>
      </c>
      <c r="C77" s="52" t="s">
        <v>86</v>
      </c>
      <c r="D77" s="57">
        <v>42830</v>
      </c>
      <c r="E77" s="58" t="s">
        <v>473</v>
      </c>
      <c r="F77" s="59">
        <v>42846</v>
      </c>
      <c r="G77" s="52">
        <f t="shared" si="4"/>
        <v>16</v>
      </c>
      <c r="H77" s="52" t="s">
        <v>363</v>
      </c>
      <c r="I77" s="223" t="s">
        <v>218</v>
      </c>
      <c r="J77" s="223" t="s">
        <v>611</v>
      </c>
      <c r="K77" s="94">
        <v>1259</v>
      </c>
      <c r="L77" s="94">
        <v>1259</v>
      </c>
      <c r="M77" s="96">
        <v>0</v>
      </c>
      <c r="N77" s="96">
        <v>430</v>
      </c>
      <c r="O77" s="93">
        <f t="shared" si="3"/>
        <v>753.46</v>
      </c>
      <c r="P77" s="61" t="s">
        <v>264</v>
      </c>
      <c r="Q77" s="119" t="s">
        <v>1342</v>
      </c>
      <c r="R77" s="117" t="s">
        <v>210</v>
      </c>
      <c r="S77" s="225" t="s">
        <v>469</v>
      </c>
      <c r="T77" s="146" t="s">
        <v>376</v>
      </c>
      <c r="U77" s="221" t="s">
        <v>384</v>
      </c>
      <c r="V77" s="224" t="s">
        <v>90</v>
      </c>
      <c r="W77" s="52" t="s">
        <v>385</v>
      </c>
      <c r="X77" s="52" t="s">
        <v>142</v>
      </c>
      <c r="Y77" s="221"/>
      <c r="Z77" s="52" t="s">
        <v>170</v>
      </c>
      <c r="AA77" s="221"/>
      <c r="AB77" s="52"/>
      <c r="AC77" s="63">
        <f t="shared" si="5"/>
        <v>1</v>
      </c>
      <c r="AD77" s="226" t="s">
        <v>32</v>
      </c>
      <c r="AE77" s="221" t="s">
        <v>218</v>
      </c>
      <c r="AF77" s="52"/>
      <c r="AG77" s="52" t="s">
        <v>142</v>
      </c>
      <c r="AH77" s="105" t="s">
        <v>576</v>
      </c>
      <c r="AI77" s="117"/>
      <c r="AJ77" s="221"/>
      <c r="AK77" s="221"/>
      <c r="AL77" s="117"/>
      <c r="AM77" s="221"/>
    </row>
    <row r="78" spans="1:39" ht="12.75" hidden="1" customHeight="1">
      <c r="A78" s="147">
        <v>77</v>
      </c>
      <c r="B78" s="223">
        <v>190717</v>
      </c>
      <c r="C78" s="52" t="s">
        <v>128</v>
      </c>
      <c r="D78" s="57">
        <v>42831</v>
      </c>
      <c r="E78" s="58" t="s">
        <v>473</v>
      </c>
      <c r="F78" s="59">
        <f>D78+7</f>
        <v>42838</v>
      </c>
      <c r="G78" s="52">
        <f t="shared" si="4"/>
        <v>7</v>
      </c>
      <c r="H78" s="146" t="s">
        <v>133</v>
      </c>
      <c r="I78" s="223" t="s">
        <v>608</v>
      </c>
      <c r="J78" s="223" t="s">
        <v>610</v>
      </c>
      <c r="K78" s="94">
        <v>2261</v>
      </c>
      <c r="L78" s="94">
        <v>2261</v>
      </c>
      <c r="M78" s="96">
        <v>0</v>
      </c>
      <c r="N78" s="96">
        <v>0</v>
      </c>
      <c r="O78" s="93">
        <f t="shared" si="3"/>
        <v>0</v>
      </c>
      <c r="P78" s="61" t="s">
        <v>264</v>
      </c>
      <c r="Q78" s="119" t="s">
        <v>1342</v>
      </c>
      <c r="R78" s="146" t="s">
        <v>254</v>
      </c>
      <c r="S78" s="225" t="s">
        <v>466</v>
      </c>
      <c r="T78" s="146" t="s">
        <v>405</v>
      </c>
      <c r="U78" s="221" t="s">
        <v>406</v>
      </c>
      <c r="V78" s="221" t="s">
        <v>407</v>
      </c>
      <c r="W78" s="146"/>
      <c r="X78" s="146" t="s">
        <v>141</v>
      </c>
      <c r="Y78" s="221"/>
      <c r="Z78" s="52" t="s">
        <v>259</v>
      </c>
      <c r="AA78" s="146"/>
      <c r="AB78" s="52"/>
      <c r="AC78" s="63">
        <f t="shared" si="5"/>
        <v>0</v>
      </c>
      <c r="AD78" s="226" t="s">
        <v>217</v>
      </c>
      <c r="AE78" s="221" t="s">
        <v>217</v>
      </c>
      <c r="AF78" s="52" t="s">
        <v>225</v>
      </c>
      <c r="AG78" s="52" t="s">
        <v>141</v>
      </c>
      <c r="AH78" s="64"/>
      <c r="AI78" s="117"/>
      <c r="AJ78" s="146"/>
      <c r="AK78" s="221"/>
      <c r="AL78" s="117"/>
      <c r="AM78" s="146"/>
    </row>
    <row r="79" spans="1:39" ht="12.75" hidden="1" customHeight="1">
      <c r="A79" s="147">
        <v>78</v>
      </c>
      <c r="B79" s="223">
        <v>191555</v>
      </c>
      <c r="C79" s="52" t="s">
        <v>128</v>
      </c>
      <c r="D79" s="57">
        <v>42831</v>
      </c>
      <c r="E79" s="58" t="s">
        <v>473</v>
      </c>
      <c r="F79" s="59">
        <v>42835</v>
      </c>
      <c r="G79" s="52">
        <f t="shared" si="4"/>
        <v>4</v>
      </c>
      <c r="H79" s="221" t="s">
        <v>133</v>
      </c>
      <c r="I79" s="223" t="s">
        <v>608</v>
      </c>
      <c r="J79" s="223" t="s">
        <v>610</v>
      </c>
      <c r="K79" s="94">
        <v>1349.5</v>
      </c>
      <c r="L79" s="94">
        <v>1349.5</v>
      </c>
      <c r="M79" s="96">
        <v>0</v>
      </c>
      <c r="N79" s="96">
        <v>0</v>
      </c>
      <c r="O79" s="93">
        <f t="shared" ref="O79:O142" si="6">IF(AE79="Reemplazo",0,K79-(K79*0.12*0.5)-(MAX(M79,N79)))</f>
        <v>0</v>
      </c>
      <c r="P79" s="61" t="s">
        <v>264</v>
      </c>
      <c r="Q79" s="119" t="s">
        <v>1342</v>
      </c>
      <c r="R79" s="117" t="s">
        <v>210</v>
      </c>
      <c r="S79" s="225" t="s">
        <v>469</v>
      </c>
      <c r="T79" s="146" t="s">
        <v>380</v>
      </c>
      <c r="U79" s="146" t="s">
        <v>413</v>
      </c>
      <c r="V79" s="221" t="s">
        <v>382</v>
      </c>
      <c r="W79" s="146"/>
      <c r="X79" s="52" t="s">
        <v>142</v>
      </c>
      <c r="Y79" s="221"/>
      <c r="Z79" s="146" t="s">
        <v>296</v>
      </c>
      <c r="AA79" s="221"/>
      <c r="AB79" s="52"/>
      <c r="AC79" s="63">
        <f t="shared" si="5"/>
        <v>0</v>
      </c>
      <c r="AD79" s="226" t="s">
        <v>217</v>
      </c>
      <c r="AE79" s="221" t="s">
        <v>217</v>
      </c>
      <c r="AF79" s="52" t="s">
        <v>225</v>
      </c>
      <c r="AG79" s="52" t="s">
        <v>142</v>
      </c>
      <c r="AH79" s="64"/>
      <c r="AI79" s="221"/>
      <c r="AJ79" s="221"/>
      <c r="AK79" s="221"/>
      <c r="AL79" s="221"/>
      <c r="AM79" s="221"/>
    </row>
    <row r="80" spans="1:39" ht="12.75" hidden="1" customHeight="1">
      <c r="A80" s="147">
        <v>79</v>
      </c>
      <c r="B80" s="223">
        <v>192091</v>
      </c>
      <c r="C80" s="52" t="s">
        <v>121</v>
      </c>
      <c r="D80" s="57">
        <v>42831</v>
      </c>
      <c r="E80" s="58" t="s">
        <v>473</v>
      </c>
      <c r="F80" s="59">
        <v>42841</v>
      </c>
      <c r="G80" s="52">
        <f t="shared" si="4"/>
        <v>10</v>
      </c>
      <c r="H80" s="52" t="s">
        <v>133</v>
      </c>
      <c r="I80" s="223" t="s">
        <v>218</v>
      </c>
      <c r="J80" s="223" t="s">
        <v>611</v>
      </c>
      <c r="K80" s="94">
        <v>1799</v>
      </c>
      <c r="L80" s="94">
        <v>1799</v>
      </c>
      <c r="M80" s="97">
        <v>230</v>
      </c>
      <c r="N80" s="96">
        <v>80</v>
      </c>
      <c r="O80" s="93">
        <f t="shared" si="6"/>
        <v>1461.06</v>
      </c>
      <c r="P80" s="61" t="s">
        <v>264</v>
      </c>
      <c r="Q80" s="119" t="s">
        <v>1342</v>
      </c>
      <c r="R80" s="146" t="s">
        <v>134</v>
      </c>
      <c r="S80" s="62" t="s">
        <v>465</v>
      </c>
      <c r="T80" s="146" t="s">
        <v>164</v>
      </c>
      <c r="U80" s="146" t="s">
        <v>399</v>
      </c>
      <c r="V80" s="224" t="s">
        <v>90</v>
      </c>
      <c r="W80" s="117"/>
      <c r="X80" s="117" t="s">
        <v>142</v>
      </c>
      <c r="Y80" s="221" t="s">
        <v>1942</v>
      </c>
      <c r="Z80" s="52" t="s">
        <v>202</v>
      </c>
      <c r="AA80" s="117"/>
      <c r="AB80" s="117" t="s">
        <v>400</v>
      </c>
      <c r="AC80" s="63">
        <f t="shared" si="5"/>
        <v>1</v>
      </c>
      <c r="AD80" s="226" t="s">
        <v>217</v>
      </c>
      <c r="AE80" s="221" t="s">
        <v>218</v>
      </c>
      <c r="AF80" s="117"/>
      <c r="AG80" s="117" t="s">
        <v>141</v>
      </c>
      <c r="AH80" s="64"/>
      <c r="AI80" s="117" t="s">
        <v>184</v>
      </c>
      <c r="AJ80" s="117"/>
      <c r="AK80" s="221"/>
      <c r="AL80" s="117"/>
      <c r="AM80" s="117"/>
    </row>
    <row r="81" spans="1:39" ht="12.75" hidden="1" customHeight="1">
      <c r="A81" s="147">
        <v>80</v>
      </c>
      <c r="B81" s="223">
        <v>192405</v>
      </c>
      <c r="C81" s="52" t="s">
        <v>121</v>
      </c>
      <c r="D81" s="57">
        <v>42832</v>
      </c>
      <c r="E81" s="58" t="s">
        <v>473</v>
      </c>
      <c r="F81" s="59">
        <v>42839</v>
      </c>
      <c r="G81" s="52">
        <f t="shared" si="4"/>
        <v>7</v>
      </c>
      <c r="H81" s="117" t="s">
        <v>363</v>
      </c>
      <c r="I81" s="223" t="s">
        <v>218</v>
      </c>
      <c r="J81" s="223" t="s">
        <v>611</v>
      </c>
      <c r="K81" s="94">
        <v>1499</v>
      </c>
      <c r="L81" s="94">
        <v>1499</v>
      </c>
      <c r="M81" s="96">
        <v>0</v>
      </c>
      <c r="N81" s="96">
        <v>150</v>
      </c>
      <c r="O81" s="93">
        <f t="shared" si="6"/>
        <v>1259.06</v>
      </c>
      <c r="P81" s="61" t="s">
        <v>262</v>
      </c>
      <c r="Q81" s="119" t="s">
        <v>1342</v>
      </c>
      <c r="R81" s="146" t="s">
        <v>134</v>
      </c>
      <c r="S81" s="62" t="s">
        <v>465</v>
      </c>
      <c r="T81" s="146" t="s">
        <v>164</v>
      </c>
      <c r="U81" s="146" t="s">
        <v>403</v>
      </c>
      <c r="V81" s="221" t="s">
        <v>278</v>
      </c>
      <c r="W81" s="117" t="s">
        <v>402</v>
      </c>
      <c r="X81" s="52" t="s">
        <v>142</v>
      </c>
      <c r="Y81" s="117"/>
      <c r="Z81" s="52" t="s">
        <v>404</v>
      </c>
      <c r="AA81" s="146"/>
      <c r="AB81" s="52"/>
      <c r="AC81" s="63">
        <f t="shared" si="5"/>
        <v>1</v>
      </c>
      <c r="AD81" s="226" t="s">
        <v>217</v>
      </c>
      <c r="AE81" s="221" t="s">
        <v>218</v>
      </c>
      <c r="AF81" s="52"/>
      <c r="AG81" s="52" t="s">
        <v>142</v>
      </c>
      <c r="AH81" s="105" t="s">
        <v>445</v>
      </c>
      <c r="AI81" s="117"/>
      <c r="AJ81" s="146"/>
      <c r="AK81" s="221"/>
      <c r="AL81" s="117"/>
      <c r="AM81" s="146"/>
    </row>
    <row r="82" spans="1:39" ht="25.5" hidden="1" customHeight="1">
      <c r="A82" s="147">
        <v>81</v>
      </c>
      <c r="B82" s="223">
        <v>192619</v>
      </c>
      <c r="C82" s="52" t="s">
        <v>86</v>
      </c>
      <c r="D82" s="57">
        <v>42832</v>
      </c>
      <c r="E82" s="58" t="s">
        <v>473</v>
      </c>
      <c r="F82" s="59">
        <v>42847</v>
      </c>
      <c r="G82" s="52">
        <f t="shared" si="4"/>
        <v>15</v>
      </c>
      <c r="H82" s="224" t="s">
        <v>133</v>
      </c>
      <c r="I82" s="223" t="s">
        <v>218</v>
      </c>
      <c r="J82" s="223" t="s">
        <v>611</v>
      </c>
      <c r="K82" s="94">
        <v>1899</v>
      </c>
      <c r="L82" s="94">
        <v>1899</v>
      </c>
      <c r="M82" s="97">
        <v>420</v>
      </c>
      <c r="N82" s="96">
        <v>605</v>
      </c>
      <c r="O82" s="93">
        <f t="shared" si="6"/>
        <v>1180.06</v>
      </c>
      <c r="P82" s="61" t="s">
        <v>264</v>
      </c>
      <c r="Q82" s="119" t="s">
        <v>1342</v>
      </c>
      <c r="R82" s="117" t="s">
        <v>143</v>
      </c>
      <c r="S82" s="62" t="s">
        <v>465</v>
      </c>
      <c r="T82" s="221" t="s">
        <v>88</v>
      </c>
      <c r="U82" s="146" t="s">
        <v>408</v>
      </c>
      <c r="V82" s="224" t="s">
        <v>368</v>
      </c>
      <c r="W82" s="146"/>
      <c r="X82" s="52" t="s">
        <v>142</v>
      </c>
      <c r="Y82" s="224" t="s">
        <v>316</v>
      </c>
      <c r="Z82" s="52" t="s">
        <v>189</v>
      </c>
      <c r="AA82" s="221"/>
      <c r="AB82" s="52" t="s">
        <v>127</v>
      </c>
      <c r="AC82" s="63">
        <f t="shared" si="5"/>
        <v>1</v>
      </c>
      <c r="AD82" s="226" t="s">
        <v>217</v>
      </c>
      <c r="AE82" s="221" t="s">
        <v>218</v>
      </c>
      <c r="AF82" s="52"/>
      <c r="AG82" s="52" t="s">
        <v>142</v>
      </c>
      <c r="AH82" s="64"/>
      <c r="AI82" s="117" t="s">
        <v>184</v>
      </c>
      <c r="AJ82" s="221"/>
      <c r="AK82" s="225" t="s">
        <v>636</v>
      </c>
      <c r="AL82" s="117" t="s">
        <v>645</v>
      </c>
      <c r="AM82" s="149"/>
    </row>
    <row r="83" spans="1:39" ht="12.75" hidden="1" customHeight="1">
      <c r="A83" s="147">
        <v>82</v>
      </c>
      <c r="B83" s="60">
        <v>191369</v>
      </c>
      <c r="C83" s="52" t="s">
        <v>128</v>
      </c>
      <c r="D83" s="57">
        <v>42833</v>
      </c>
      <c r="E83" s="58" t="s">
        <v>473</v>
      </c>
      <c r="F83" s="59">
        <v>42835</v>
      </c>
      <c r="G83" s="52">
        <f t="shared" si="4"/>
        <v>2</v>
      </c>
      <c r="H83" s="52" t="s">
        <v>363</v>
      </c>
      <c r="I83" s="223" t="s">
        <v>218</v>
      </c>
      <c r="J83" s="223" t="s">
        <v>611</v>
      </c>
      <c r="K83" s="94">
        <v>3200</v>
      </c>
      <c r="L83" s="94">
        <v>3200</v>
      </c>
      <c r="M83" s="96">
        <v>0</v>
      </c>
      <c r="N83" s="96">
        <v>422.1</v>
      </c>
      <c r="O83" s="93">
        <f t="shared" si="6"/>
        <v>2585.9</v>
      </c>
      <c r="P83" s="61" t="s">
        <v>264</v>
      </c>
      <c r="Q83" s="119" t="s">
        <v>1342</v>
      </c>
      <c r="R83" s="117" t="s">
        <v>254</v>
      </c>
      <c r="S83" s="225" t="s">
        <v>466</v>
      </c>
      <c r="T83" s="221" t="s">
        <v>405</v>
      </c>
      <c r="U83" s="146" t="s">
        <v>409</v>
      </c>
      <c r="V83" s="221" t="s">
        <v>834</v>
      </c>
      <c r="W83" s="117"/>
      <c r="X83" s="52" t="s">
        <v>141</v>
      </c>
      <c r="Y83" s="221"/>
      <c r="Z83" s="52" t="s">
        <v>259</v>
      </c>
      <c r="AA83" s="221"/>
      <c r="AB83" s="52"/>
      <c r="AC83" s="63">
        <f t="shared" si="5"/>
        <v>1</v>
      </c>
      <c r="AD83" s="226" t="s">
        <v>32</v>
      </c>
      <c r="AE83" s="221" t="s">
        <v>218</v>
      </c>
      <c r="AF83" s="52"/>
      <c r="AG83" s="52" t="s">
        <v>142</v>
      </c>
      <c r="AH83" s="105" t="s">
        <v>576</v>
      </c>
      <c r="AI83" s="117"/>
      <c r="AJ83" s="221"/>
      <c r="AK83" s="146"/>
      <c r="AL83" s="117"/>
      <c r="AM83" s="221"/>
    </row>
    <row r="84" spans="1:39" ht="12.75" hidden="1" customHeight="1">
      <c r="A84" s="147">
        <v>83</v>
      </c>
      <c r="B84" s="223">
        <v>191970</v>
      </c>
      <c r="C84" s="52" t="s">
        <v>121</v>
      </c>
      <c r="D84" s="57">
        <v>42835</v>
      </c>
      <c r="E84" s="58" t="s">
        <v>473</v>
      </c>
      <c r="F84" s="59">
        <v>42840</v>
      </c>
      <c r="G84" s="52">
        <f t="shared" si="4"/>
        <v>5</v>
      </c>
      <c r="H84" s="224" t="s">
        <v>363</v>
      </c>
      <c r="I84" s="223" t="s">
        <v>608</v>
      </c>
      <c r="J84" s="223" t="s">
        <v>612</v>
      </c>
      <c r="K84" s="94">
        <v>1399</v>
      </c>
      <c r="L84" s="94">
        <v>1399</v>
      </c>
      <c r="M84" s="96">
        <v>0</v>
      </c>
      <c r="N84" s="96">
        <v>0</v>
      </c>
      <c r="O84" s="93">
        <f t="shared" si="6"/>
        <v>0</v>
      </c>
      <c r="P84" s="61" t="s">
        <v>264</v>
      </c>
      <c r="Q84" s="119" t="s">
        <v>1342</v>
      </c>
      <c r="R84" s="117" t="s">
        <v>143</v>
      </c>
      <c r="S84" s="62" t="s">
        <v>465</v>
      </c>
      <c r="T84" s="221" t="s">
        <v>88</v>
      </c>
      <c r="U84" s="146" t="s">
        <v>419</v>
      </c>
      <c r="V84" s="224" t="s">
        <v>420</v>
      </c>
      <c r="W84" s="117"/>
      <c r="X84" s="52" t="s">
        <v>141</v>
      </c>
      <c r="Y84" s="52"/>
      <c r="Z84" s="52" t="s">
        <v>434</v>
      </c>
      <c r="AA84" s="146"/>
      <c r="AB84" s="52"/>
      <c r="AC84" s="63">
        <f t="shared" si="5"/>
        <v>0</v>
      </c>
      <c r="AD84" s="226" t="s">
        <v>217</v>
      </c>
      <c r="AE84" s="221" t="s">
        <v>217</v>
      </c>
      <c r="AF84" s="148" t="s">
        <v>1625</v>
      </c>
      <c r="AG84" s="52" t="s">
        <v>142</v>
      </c>
      <c r="AH84" s="105" t="s">
        <v>422</v>
      </c>
      <c r="AI84" s="117"/>
      <c r="AJ84" s="146"/>
      <c r="AK84" s="221"/>
      <c r="AL84" s="117"/>
      <c r="AM84" s="146"/>
    </row>
    <row r="85" spans="1:39" ht="12.75" hidden="1" customHeight="1">
      <c r="A85" s="147">
        <v>84</v>
      </c>
      <c r="B85" s="223">
        <v>192084</v>
      </c>
      <c r="C85" s="117" t="s">
        <v>121</v>
      </c>
      <c r="D85" s="57">
        <v>42835</v>
      </c>
      <c r="E85" s="58" t="s">
        <v>473</v>
      </c>
      <c r="F85" s="59">
        <v>42850</v>
      </c>
      <c r="G85" s="52">
        <f t="shared" si="4"/>
        <v>15</v>
      </c>
      <c r="H85" s="221" t="s">
        <v>133</v>
      </c>
      <c r="I85" s="223" t="s">
        <v>608</v>
      </c>
      <c r="J85" s="223" t="s">
        <v>610</v>
      </c>
      <c r="K85" s="94">
        <v>2499</v>
      </c>
      <c r="L85" s="94">
        <v>2499</v>
      </c>
      <c r="M85" s="96">
        <v>0</v>
      </c>
      <c r="N85" s="96">
        <v>0</v>
      </c>
      <c r="O85" s="93">
        <f t="shared" si="6"/>
        <v>0</v>
      </c>
      <c r="P85" s="61" t="s">
        <v>264</v>
      </c>
      <c r="Q85" s="119" t="s">
        <v>1342</v>
      </c>
      <c r="R85" s="117" t="s">
        <v>122</v>
      </c>
      <c r="S85" s="225" t="s">
        <v>469</v>
      </c>
      <c r="T85" s="146" t="s">
        <v>164</v>
      </c>
      <c r="U85" s="146" t="s">
        <v>412</v>
      </c>
      <c r="V85" s="221" t="s">
        <v>222</v>
      </c>
      <c r="W85" s="117"/>
      <c r="X85" s="221" t="s">
        <v>142</v>
      </c>
      <c r="Y85" s="221"/>
      <c r="Z85" s="52" t="s">
        <v>202</v>
      </c>
      <c r="AA85" s="221"/>
      <c r="AB85" s="52"/>
      <c r="AC85" s="63">
        <f t="shared" si="5"/>
        <v>0</v>
      </c>
      <c r="AD85" s="226" t="s">
        <v>217</v>
      </c>
      <c r="AE85" s="221" t="s">
        <v>217</v>
      </c>
      <c r="AF85" s="52" t="s">
        <v>225</v>
      </c>
      <c r="AG85" s="52" t="s">
        <v>142</v>
      </c>
      <c r="AH85" s="64"/>
      <c r="AI85" s="221"/>
      <c r="AJ85" s="221"/>
      <c r="AK85" s="221"/>
      <c r="AL85" s="221"/>
      <c r="AM85" s="221"/>
    </row>
    <row r="86" spans="1:39" ht="12.75" hidden="1" customHeight="1">
      <c r="A86" s="147">
        <v>85</v>
      </c>
      <c r="B86" s="223">
        <v>192329</v>
      </c>
      <c r="C86" s="52" t="s">
        <v>121</v>
      </c>
      <c r="D86" s="57">
        <v>42835</v>
      </c>
      <c r="E86" s="58" t="s">
        <v>473</v>
      </c>
      <c r="F86" s="59">
        <v>42837</v>
      </c>
      <c r="G86" s="52">
        <f t="shared" si="4"/>
        <v>2</v>
      </c>
      <c r="H86" s="146" t="s">
        <v>133</v>
      </c>
      <c r="I86" s="223" t="s">
        <v>608</v>
      </c>
      <c r="J86" s="223" t="s">
        <v>610</v>
      </c>
      <c r="K86" s="94">
        <v>1299</v>
      </c>
      <c r="L86" s="94">
        <v>1299</v>
      </c>
      <c r="M86" s="96">
        <v>0</v>
      </c>
      <c r="N86" s="96">
        <v>0</v>
      </c>
      <c r="O86" s="93">
        <f t="shared" si="6"/>
        <v>0</v>
      </c>
      <c r="P86" s="61" t="s">
        <v>264</v>
      </c>
      <c r="Q86" s="119" t="s">
        <v>1342</v>
      </c>
      <c r="R86" s="146" t="s">
        <v>220</v>
      </c>
      <c r="S86" s="225" t="s">
        <v>469</v>
      </c>
      <c r="T86" s="146" t="s">
        <v>376</v>
      </c>
      <c r="U86" s="221" t="s">
        <v>410</v>
      </c>
      <c r="V86" s="224" t="s">
        <v>90</v>
      </c>
      <c r="W86" s="117"/>
      <c r="X86" s="52" t="s">
        <v>142</v>
      </c>
      <c r="Y86" s="117"/>
      <c r="Z86" s="52" t="s">
        <v>253</v>
      </c>
      <c r="AA86" s="146"/>
      <c r="AB86" s="52"/>
      <c r="AC86" s="63">
        <f t="shared" si="5"/>
        <v>0</v>
      </c>
      <c r="AD86" s="226" t="s">
        <v>217</v>
      </c>
      <c r="AE86" s="221" t="s">
        <v>217</v>
      </c>
      <c r="AF86" s="52" t="s">
        <v>225</v>
      </c>
      <c r="AG86" s="52" t="s">
        <v>142</v>
      </c>
      <c r="AH86" s="64"/>
      <c r="AI86" s="117"/>
      <c r="AJ86" s="146"/>
      <c r="AK86" s="221"/>
      <c r="AL86" s="117"/>
      <c r="AM86" s="146"/>
    </row>
    <row r="87" spans="1:39" ht="12.75" hidden="1" customHeight="1">
      <c r="A87" s="147">
        <v>86</v>
      </c>
      <c r="B87" s="223">
        <v>192478</v>
      </c>
      <c r="C87" s="52" t="s">
        <v>121</v>
      </c>
      <c r="D87" s="57">
        <v>42835</v>
      </c>
      <c r="E87" s="58" t="s">
        <v>473</v>
      </c>
      <c r="F87" s="59">
        <v>42844</v>
      </c>
      <c r="G87" s="52">
        <f t="shared" si="4"/>
        <v>9</v>
      </c>
      <c r="H87" s="224" t="s">
        <v>363</v>
      </c>
      <c r="I87" s="223" t="s">
        <v>608</v>
      </c>
      <c r="J87" s="223" t="s">
        <v>610</v>
      </c>
      <c r="K87" s="94">
        <v>2199</v>
      </c>
      <c r="L87" s="94">
        <v>2199</v>
      </c>
      <c r="M87" s="96">
        <v>0</v>
      </c>
      <c r="N87" s="96">
        <v>0</v>
      </c>
      <c r="O87" s="93">
        <f t="shared" si="6"/>
        <v>0</v>
      </c>
      <c r="P87" s="61" t="s">
        <v>264</v>
      </c>
      <c r="Q87" s="119" t="s">
        <v>1342</v>
      </c>
      <c r="R87" s="117" t="s">
        <v>122</v>
      </c>
      <c r="S87" s="225" t="s">
        <v>469</v>
      </c>
      <c r="T87" s="146" t="s">
        <v>164</v>
      </c>
      <c r="U87" s="146" t="s">
        <v>411</v>
      </c>
      <c r="V87" s="221" t="s">
        <v>222</v>
      </c>
      <c r="W87" s="146"/>
      <c r="X87" s="146" t="s">
        <v>142</v>
      </c>
      <c r="Y87" s="221"/>
      <c r="Z87" s="52" t="s">
        <v>202</v>
      </c>
      <c r="AA87" s="221"/>
      <c r="AB87" s="52"/>
      <c r="AC87" s="63">
        <f t="shared" si="5"/>
        <v>0</v>
      </c>
      <c r="AD87" s="226" t="s">
        <v>217</v>
      </c>
      <c r="AE87" s="221" t="s">
        <v>217</v>
      </c>
      <c r="AF87" s="52" t="s">
        <v>225</v>
      </c>
      <c r="AG87" s="52" t="s">
        <v>142</v>
      </c>
      <c r="AH87" s="105" t="s">
        <v>422</v>
      </c>
      <c r="AI87" s="117"/>
      <c r="AJ87" s="221"/>
      <c r="AK87" s="221"/>
      <c r="AL87" s="146"/>
      <c r="AM87" s="221"/>
    </row>
    <row r="88" spans="1:39" ht="12.75" hidden="1" customHeight="1">
      <c r="A88" s="147">
        <v>87</v>
      </c>
      <c r="B88" s="60">
        <v>193073</v>
      </c>
      <c r="C88" s="52" t="s">
        <v>86</v>
      </c>
      <c r="D88" s="57">
        <v>42835</v>
      </c>
      <c r="E88" s="58" t="s">
        <v>473</v>
      </c>
      <c r="F88" s="59">
        <v>42850</v>
      </c>
      <c r="G88" s="52">
        <f t="shared" si="4"/>
        <v>15</v>
      </c>
      <c r="H88" s="52" t="s">
        <v>363</v>
      </c>
      <c r="I88" s="223" t="s">
        <v>218</v>
      </c>
      <c r="J88" s="223" t="s">
        <v>611</v>
      </c>
      <c r="K88" s="94">
        <v>6999</v>
      </c>
      <c r="L88" s="94">
        <v>6999</v>
      </c>
      <c r="M88" s="96">
        <v>0</v>
      </c>
      <c r="N88" s="96">
        <v>4272</v>
      </c>
      <c r="O88" s="93">
        <f t="shared" si="6"/>
        <v>2307.0600000000004</v>
      </c>
      <c r="P88" s="61" t="s">
        <v>264</v>
      </c>
      <c r="Q88" s="119" t="s">
        <v>1342</v>
      </c>
      <c r="R88" s="146" t="s">
        <v>122</v>
      </c>
      <c r="S88" s="225" t="s">
        <v>469</v>
      </c>
      <c r="T88" s="146" t="s">
        <v>114</v>
      </c>
      <c r="U88" s="224" t="s">
        <v>418</v>
      </c>
      <c r="V88" s="146" t="s">
        <v>222</v>
      </c>
      <c r="W88" s="146"/>
      <c r="X88" s="146" t="s">
        <v>141</v>
      </c>
      <c r="Y88" s="52"/>
      <c r="Z88" s="52" t="s">
        <v>170</v>
      </c>
      <c r="AA88" s="221"/>
      <c r="AB88" s="52"/>
      <c r="AC88" s="63">
        <f t="shared" si="5"/>
        <v>1</v>
      </c>
      <c r="AD88" s="226" t="s">
        <v>217</v>
      </c>
      <c r="AE88" s="221" t="s">
        <v>218</v>
      </c>
      <c r="AF88" s="52"/>
      <c r="AG88" s="52" t="s">
        <v>142</v>
      </c>
      <c r="AH88" s="105" t="s">
        <v>443</v>
      </c>
      <c r="AI88" s="117"/>
      <c r="AJ88" s="221"/>
      <c r="AK88" s="221"/>
      <c r="AL88" s="117"/>
      <c r="AM88" s="221"/>
    </row>
    <row r="89" spans="1:39" ht="12.75" hidden="1" customHeight="1">
      <c r="A89" s="147">
        <v>88</v>
      </c>
      <c r="B89" s="60">
        <v>193091</v>
      </c>
      <c r="C89" s="146" t="s">
        <v>121</v>
      </c>
      <c r="D89" s="57">
        <v>42835</v>
      </c>
      <c r="E89" s="58" t="s">
        <v>473</v>
      </c>
      <c r="F89" s="59">
        <v>42850</v>
      </c>
      <c r="G89" s="52">
        <f t="shared" si="4"/>
        <v>15</v>
      </c>
      <c r="H89" s="221" t="s">
        <v>363</v>
      </c>
      <c r="I89" s="223" t="s">
        <v>608</v>
      </c>
      <c r="J89" s="223" t="s">
        <v>610</v>
      </c>
      <c r="K89" s="94">
        <v>5699.05</v>
      </c>
      <c r="L89" s="94">
        <v>5699.05</v>
      </c>
      <c r="M89" s="96">
        <v>0</v>
      </c>
      <c r="N89" s="96">
        <v>0</v>
      </c>
      <c r="O89" s="93">
        <f t="shared" si="6"/>
        <v>0</v>
      </c>
      <c r="P89" s="61" t="s">
        <v>264</v>
      </c>
      <c r="Q89" s="119" t="s">
        <v>1342</v>
      </c>
      <c r="R89" s="117" t="s">
        <v>122</v>
      </c>
      <c r="S89" s="225" t="s">
        <v>469</v>
      </c>
      <c r="T89" s="146" t="s">
        <v>376</v>
      </c>
      <c r="U89" s="146" t="s">
        <v>414</v>
      </c>
      <c r="V89" s="221" t="s">
        <v>222</v>
      </c>
      <c r="W89" s="146"/>
      <c r="X89" s="117" t="s">
        <v>142</v>
      </c>
      <c r="Y89" s="221"/>
      <c r="Z89" s="52" t="s">
        <v>379</v>
      </c>
      <c r="AA89" s="221"/>
      <c r="AB89" s="52"/>
      <c r="AC89" s="63">
        <f t="shared" si="5"/>
        <v>0</v>
      </c>
      <c r="AD89" s="226" t="s">
        <v>217</v>
      </c>
      <c r="AE89" s="221" t="s">
        <v>217</v>
      </c>
      <c r="AF89" s="52" t="s">
        <v>225</v>
      </c>
      <c r="AG89" s="52" t="s">
        <v>142</v>
      </c>
      <c r="AH89" s="64"/>
      <c r="AI89" s="117"/>
      <c r="AJ89" s="146"/>
      <c r="AK89" s="221"/>
      <c r="AL89" s="117"/>
      <c r="AM89" s="221"/>
    </row>
    <row r="90" spans="1:39" ht="12.75" hidden="1" customHeight="1">
      <c r="A90" s="147">
        <v>89</v>
      </c>
      <c r="B90" s="60">
        <v>192209</v>
      </c>
      <c r="C90" s="52" t="s">
        <v>86</v>
      </c>
      <c r="D90" s="57">
        <v>42836</v>
      </c>
      <c r="E90" s="58" t="s">
        <v>473</v>
      </c>
      <c r="F90" s="59">
        <v>42854</v>
      </c>
      <c r="G90" s="52">
        <f t="shared" si="4"/>
        <v>18</v>
      </c>
      <c r="H90" s="117" t="s">
        <v>133</v>
      </c>
      <c r="I90" s="223" t="s">
        <v>218</v>
      </c>
      <c r="J90" s="223" t="s">
        <v>611</v>
      </c>
      <c r="K90" s="94">
        <v>1299</v>
      </c>
      <c r="L90" s="94">
        <v>1299</v>
      </c>
      <c r="M90" s="97">
        <v>130</v>
      </c>
      <c r="N90" s="96">
        <v>90</v>
      </c>
      <c r="O90" s="93">
        <f t="shared" si="6"/>
        <v>1091.06</v>
      </c>
      <c r="P90" s="61" t="s">
        <v>261</v>
      </c>
      <c r="Q90" s="119" t="s">
        <v>1341</v>
      </c>
      <c r="R90" s="117" t="s">
        <v>143</v>
      </c>
      <c r="S90" s="62" t="s">
        <v>465</v>
      </c>
      <c r="T90" s="221" t="s">
        <v>88</v>
      </c>
      <c r="U90" s="146" t="s">
        <v>423</v>
      </c>
      <c r="V90" s="224" t="s">
        <v>90</v>
      </c>
      <c r="W90" s="117"/>
      <c r="X90" s="221" t="s">
        <v>141</v>
      </c>
      <c r="Y90" s="224" t="s">
        <v>316</v>
      </c>
      <c r="Z90" s="52" t="s">
        <v>189</v>
      </c>
      <c r="AA90" s="221"/>
      <c r="AB90" s="52" t="s">
        <v>195</v>
      </c>
      <c r="AC90" s="63">
        <f t="shared" si="5"/>
        <v>1</v>
      </c>
      <c r="AD90" s="226" t="s">
        <v>217</v>
      </c>
      <c r="AE90" s="221" t="s">
        <v>218</v>
      </c>
      <c r="AF90" s="52"/>
      <c r="AG90" s="52" t="s">
        <v>142</v>
      </c>
      <c r="AH90" s="64"/>
      <c r="AI90" s="117" t="s">
        <v>184</v>
      </c>
      <c r="AJ90" s="221"/>
      <c r="AK90" s="225" t="s">
        <v>637</v>
      </c>
      <c r="AL90" s="117" t="s">
        <v>645</v>
      </c>
      <c r="AM90" s="221"/>
    </row>
    <row r="91" spans="1:39" ht="12.75" hidden="1" customHeight="1">
      <c r="A91" s="147">
        <v>90</v>
      </c>
      <c r="B91" s="170">
        <v>192763</v>
      </c>
      <c r="C91" s="52" t="s">
        <v>86</v>
      </c>
      <c r="D91" s="57">
        <v>42836</v>
      </c>
      <c r="E91" s="58" t="s">
        <v>473</v>
      </c>
      <c r="F91" s="59">
        <v>42848</v>
      </c>
      <c r="G91" s="52">
        <f t="shared" si="4"/>
        <v>12</v>
      </c>
      <c r="H91" s="224" t="s">
        <v>133</v>
      </c>
      <c r="I91" s="223" t="s">
        <v>218</v>
      </c>
      <c r="J91" s="223" t="s">
        <v>611</v>
      </c>
      <c r="K91" s="94">
        <v>2810</v>
      </c>
      <c r="L91" s="94">
        <v>2810</v>
      </c>
      <c r="M91" s="97">
        <v>130</v>
      </c>
      <c r="N91" s="96">
        <v>120</v>
      </c>
      <c r="O91" s="93">
        <f t="shared" si="6"/>
        <v>2511.4</v>
      </c>
      <c r="P91" s="61" t="s">
        <v>264</v>
      </c>
      <c r="Q91" s="119" t="s">
        <v>1342</v>
      </c>
      <c r="R91" s="117" t="s">
        <v>134</v>
      </c>
      <c r="S91" s="62" t="s">
        <v>465</v>
      </c>
      <c r="T91" s="221" t="s">
        <v>88</v>
      </c>
      <c r="U91" s="146" t="s">
        <v>1460</v>
      </c>
      <c r="V91" s="221" t="s">
        <v>429</v>
      </c>
      <c r="W91" s="117"/>
      <c r="X91" s="117" t="s">
        <v>345</v>
      </c>
      <c r="Y91" s="224" t="s">
        <v>316</v>
      </c>
      <c r="Z91" s="117" t="s">
        <v>189</v>
      </c>
      <c r="AA91" s="221"/>
      <c r="AB91" s="52" t="s">
        <v>127</v>
      </c>
      <c r="AC91" s="63">
        <f t="shared" si="5"/>
        <v>1</v>
      </c>
      <c r="AD91" s="226" t="s">
        <v>217</v>
      </c>
      <c r="AE91" s="221" t="s">
        <v>218</v>
      </c>
      <c r="AF91" s="52"/>
      <c r="AG91" s="52" t="s">
        <v>142</v>
      </c>
      <c r="AH91" s="64"/>
      <c r="AI91" s="117" t="s">
        <v>184</v>
      </c>
      <c r="AJ91" s="146"/>
      <c r="AK91" s="225" t="s">
        <v>639</v>
      </c>
      <c r="AL91" s="117" t="s">
        <v>645</v>
      </c>
      <c r="AM91" s="146"/>
    </row>
    <row r="92" spans="1:39" ht="12.75" hidden="1" customHeight="1">
      <c r="A92" s="147">
        <v>91</v>
      </c>
      <c r="B92" s="60">
        <v>192929</v>
      </c>
      <c r="C92" s="52" t="s">
        <v>86</v>
      </c>
      <c r="D92" s="57">
        <v>42836</v>
      </c>
      <c r="E92" s="58" t="s">
        <v>473</v>
      </c>
      <c r="F92" s="59">
        <v>42852</v>
      </c>
      <c r="G92" s="52">
        <f t="shared" si="4"/>
        <v>16</v>
      </c>
      <c r="H92" s="117" t="s">
        <v>133</v>
      </c>
      <c r="I92" s="223" t="s">
        <v>609</v>
      </c>
      <c r="J92" s="223" t="s">
        <v>611</v>
      </c>
      <c r="K92" s="94">
        <v>2799</v>
      </c>
      <c r="L92" s="94">
        <v>2799</v>
      </c>
      <c r="M92" s="97">
        <v>130</v>
      </c>
      <c r="N92" s="96">
        <v>0</v>
      </c>
      <c r="O92" s="93">
        <f t="shared" si="6"/>
        <v>2501.06</v>
      </c>
      <c r="P92" s="61" t="s">
        <v>264</v>
      </c>
      <c r="Q92" s="119" t="s">
        <v>1342</v>
      </c>
      <c r="R92" s="117" t="s">
        <v>134</v>
      </c>
      <c r="S92" s="62" t="s">
        <v>465</v>
      </c>
      <c r="T92" s="221" t="s">
        <v>88</v>
      </c>
      <c r="U92" s="67" t="s">
        <v>741</v>
      </c>
      <c r="V92" s="146" t="s">
        <v>429</v>
      </c>
      <c r="W92" s="117"/>
      <c r="X92" s="117" t="s">
        <v>141</v>
      </c>
      <c r="Y92" s="224" t="s">
        <v>316</v>
      </c>
      <c r="Z92" s="117" t="s">
        <v>189</v>
      </c>
      <c r="AA92" s="221"/>
      <c r="AB92" s="52" t="s">
        <v>140</v>
      </c>
      <c r="AC92" s="63">
        <f t="shared" si="5"/>
        <v>1</v>
      </c>
      <c r="AD92" s="226" t="s">
        <v>217</v>
      </c>
      <c r="AE92" s="221" t="s">
        <v>218</v>
      </c>
      <c r="AF92" s="52"/>
      <c r="AG92" s="52" t="s">
        <v>142</v>
      </c>
      <c r="AH92" s="64"/>
      <c r="AI92" s="117" t="s">
        <v>184</v>
      </c>
      <c r="AJ92" s="221"/>
      <c r="AK92" s="225" t="s">
        <v>638</v>
      </c>
      <c r="AL92" s="117" t="s">
        <v>645</v>
      </c>
      <c r="AM92" s="221"/>
    </row>
    <row r="93" spans="1:39" ht="25.5" hidden="1" customHeight="1">
      <c r="A93" s="147">
        <v>92</v>
      </c>
      <c r="B93" s="60">
        <v>193069</v>
      </c>
      <c r="C93" s="52" t="s">
        <v>86</v>
      </c>
      <c r="D93" s="57">
        <v>42836</v>
      </c>
      <c r="E93" s="58" t="s">
        <v>473</v>
      </c>
      <c r="F93" s="59">
        <v>42852</v>
      </c>
      <c r="G93" s="52">
        <f t="shared" si="4"/>
        <v>16</v>
      </c>
      <c r="H93" s="224" t="s">
        <v>133</v>
      </c>
      <c r="I93" s="223" t="s">
        <v>218</v>
      </c>
      <c r="J93" s="223">
        <v>205946</v>
      </c>
      <c r="K93" s="94">
        <v>1599</v>
      </c>
      <c r="L93" s="94">
        <v>1599</v>
      </c>
      <c r="M93" s="97">
        <v>300</v>
      </c>
      <c r="N93" s="96">
        <v>250</v>
      </c>
      <c r="O93" s="93">
        <f t="shared" si="6"/>
        <v>1203.06</v>
      </c>
      <c r="P93" s="61" t="s">
        <v>263</v>
      </c>
      <c r="Q93" s="119" t="s">
        <v>1341</v>
      </c>
      <c r="R93" s="146" t="s">
        <v>122</v>
      </c>
      <c r="S93" s="225" t="s">
        <v>469</v>
      </c>
      <c r="T93" s="146" t="s">
        <v>114</v>
      </c>
      <c r="U93" s="224" t="s">
        <v>286</v>
      </c>
      <c r="V93" s="222" t="s">
        <v>169</v>
      </c>
      <c r="W93" s="117"/>
      <c r="X93" s="117" t="s">
        <v>142</v>
      </c>
      <c r="Y93" s="221" t="s">
        <v>1942</v>
      </c>
      <c r="Z93" s="117" t="s">
        <v>170</v>
      </c>
      <c r="AA93" s="146"/>
      <c r="AB93" s="52" t="s">
        <v>140</v>
      </c>
      <c r="AC93" s="63">
        <f t="shared" si="5"/>
        <v>1</v>
      </c>
      <c r="AD93" s="226" t="s">
        <v>32</v>
      </c>
      <c r="AE93" s="221" t="s">
        <v>218</v>
      </c>
      <c r="AF93" s="52"/>
      <c r="AG93" s="52"/>
      <c r="AH93" s="64"/>
      <c r="AI93" s="117" t="s">
        <v>184</v>
      </c>
      <c r="AJ93" s="146"/>
      <c r="AK93" s="221" t="s">
        <v>683</v>
      </c>
      <c r="AL93" s="117" t="s">
        <v>645</v>
      </c>
      <c r="AM93" s="146"/>
    </row>
    <row r="94" spans="1:39" ht="12.75" hidden="1" customHeight="1">
      <c r="A94" s="147">
        <v>93</v>
      </c>
      <c r="B94" s="60">
        <v>192728</v>
      </c>
      <c r="C94" s="52" t="s">
        <v>121</v>
      </c>
      <c r="D94" s="57">
        <v>42837</v>
      </c>
      <c r="E94" s="58" t="s">
        <v>473</v>
      </c>
      <c r="F94" s="59">
        <v>42853</v>
      </c>
      <c r="G94" s="52">
        <f t="shared" si="4"/>
        <v>16</v>
      </c>
      <c r="H94" s="224" t="s">
        <v>363</v>
      </c>
      <c r="I94" s="223" t="s">
        <v>608</v>
      </c>
      <c r="J94" s="223" t="s">
        <v>610</v>
      </c>
      <c r="K94" s="94">
        <v>7639</v>
      </c>
      <c r="L94" s="94">
        <v>7639</v>
      </c>
      <c r="M94" s="96">
        <v>0</v>
      </c>
      <c r="N94" s="96">
        <v>0</v>
      </c>
      <c r="O94" s="93">
        <f t="shared" si="6"/>
        <v>0</v>
      </c>
      <c r="P94" s="61" t="s">
        <v>264</v>
      </c>
      <c r="Q94" s="119" t="s">
        <v>1342</v>
      </c>
      <c r="R94" s="117" t="s">
        <v>427</v>
      </c>
      <c r="S94" s="225" t="s">
        <v>469</v>
      </c>
      <c r="T94" s="146" t="s">
        <v>114</v>
      </c>
      <c r="U94" s="224" t="s">
        <v>428</v>
      </c>
      <c r="V94" s="146" t="s">
        <v>222</v>
      </c>
      <c r="W94" s="146"/>
      <c r="X94" s="52" t="s">
        <v>142</v>
      </c>
      <c r="Y94" s="117"/>
      <c r="Z94" s="117" t="s">
        <v>124</v>
      </c>
      <c r="AA94" s="221"/>
      <c r="AB94" s="52"/>
      <c r="AC94" s="63">
        <f t="shared" si="5"/>
        <v>0</v>
      </c>
      <c r="AD94" s="226" t="s">
        <v>217</v>
      </c>
      <c r="AE94" s="221" t="s">
        <v>217</v>
      </c>
      <c r="AF94" s="52" t="s">
        <v>225</v>
      </c>
      <c r="AG94" s="52" t="s">
        <v>142</v>
      </c>
      <c r="AH94" s="64"/>
      <c r="AI94" s="117"/>
      <c r="AJ94" s="146"/>
      <c r="AK94" s="221"/>
      <c r="AL94" s="117"/>
      <c r="AM94" s="146"/>
    </row>
    <row r="95" spans="1:39" ht="12.75" hidden="1" customHeight="1">
      <c r="A95" s="147">
        <v>94</v>
      </c>
      <c r="B95" s="60">
        <v>192741</v>
      </c>
      <c r="C95" s="52" t="s">
        <v>86</v>
      </c>
      <c r="D95" s="57">
        <v>42837</v>
      </c>
      <c r="E95" s="58" t="s">
        <v>473</v>
      </c>
      <c r="F95" s="59">
        <v>42859</v>
      </c>
      <c r="G95" s="52">
        <f t="shared" si="4"/>
        <v>22</v>
      </c>
      <c r="H95" s="224" t="s">
        <v>133</v>
      </c>
      <c r="I95" s="223" t="s">
        <v>609</v>
      </c>
      <c r="J95" s="223" t="s">
        <v>610</v>
      </c>
      <c r="K95" s="94">
        <v>2099</v>
      </c>
      <c r="L95" s="94">
        <v>2099</v>
      </c>
      <c r="M95" s="96">
        <v>220</v>
      </c>
      <c r="N95" s="96">
        <v>0</v>
      </c>
      <c r="O95" s="93">
        <f t="shared" si="6"/>
        <v>0</v>
      </c>
      <c r="P95" s="61" t="s">
        <v>261</v>
      </c>
      <c r="Q95" s="119" t="s">
        <v>1341</v>
      </c>
      <c r="R95" s="146" t="s">
        <v>143</v>
      </c>
      <c r="S95" s="62" t="s">
        <v>465</v>
      </c>
      <c r="T95" s="221" t="s">
        <v>88</v>
      </c>
      <c r="U95" s="221" t="s">
        <v>424</v>
      </c>
      <c r="V95" s="146" t="s">
        <v>425</v>
      </c>
      <c r="W95" s="146"/>
      <c r="X95" s="221" t="s">
        <v>141</v>
      </c>
      <c r="Y95" s="224" t="s">
        <v>316</v>
      </c>
      <c r="Z95" s="52" t="s">
        <v>189</v>
      </c>
      <c r="AA95" s="222">
        <v>42837</v>
      </c>
      <c r="AB95" s="52" t="s">
        <v>140</v>
      </c>
      <c r="AC95" s="63">
        <f t="shared" si="5"/>
        <v>0</v>
      </c>
      <c r="AD95" s="226"/>
      <c r="AE95" s="221" t="s">
        <v>217</v>
      </c>
      <c r="AF95" s="148" t="s">
        <v>1625</v>
      </c>
      <c r="AG95" s="52" t="s">
        <v>142</v>
      </c>
      <c r="AH95" s="64" t="s">
        <v>536</v>
      </c>
      <c r="AI95" s="117" t="s">
        <v>184</v>
      </c>
      <c r="AJ95" s="146"/>
      <c r="AK95" s="225" t="s">
        <v>767</v>
      </c>
      <c r="AL95" s="117" t="s">
        <v>651</v>
      </c>
      <c r="AM95" s="146"/>
    </row>
    <row r="96" spans="1:39" ht="25.5" hidden="1" customHeight="1">
      <c r="A96" s="147">
        <v>95</v>
      </c>
      <c r="B96" s="60">
        <v>192756</v>
      </c>
      <c r="C96" s="52" t="s">
        <v>121</v>
      </c>
      <c r="D96" s="57">
        <v>42837</v>
      </c>
      <c r="E96" s="58" t="s">
        <v>473</v>
      </c>
      <c r="F96" s="59">
        <v>42848</v>
      </c>
      <c r="G96" s="52">
        <f t="shared" si="4"/>
        <v>11</v>
      </c>
      <c r="H96" s="117" t="s">
        <v>363</v>
      </c>
      <c r="I96" s="223" t="s">
        <v>608</v>
      </c>
      <c r="J96" s="223" t="s">
        <v>612</v>
      </c>
      <c r="K96" s="94">
        <v>2939.1</v>
      </c>
      <c r="L96" s="94">
        <v>2939.1</v>
      </c>
      <c r="M96" s="96">
        <v>0</v>
      </c>
      <c r="N96" s="96">
        <v>0</v>
      </c>
      <c r="O96" s="93">
        <f t="shared" si="6"/>
        <v>0</v>
      </c>
      <c r="P96" s="61" t="s">
        <v>263</v>
      </c>
      <c r="Q96" s="119" t="s">
        <v>1341</v>
      </c>
      <c r="R96" s="117" t="s">
        <v>134</v>
      </c>
      <c r="S96" s="62" t="s">
        <v>465</v>
      </c>
      <c r="T96" s="146" t="s">
        <v>114</v>
      </c>
      <c r="U96" s="146" t="s">
        <v>426</v>
      </c>
      <c r="V96" s="224" t="s">
        <v>90</v>
      </c>
      <c r="W96" s="117"/>
      <c r="X96" s="221" t="s">
        <v>141</v>
      </c>
      <c r="Y96" s="117"/>
      <c r="Z96" s="52" t="s">
        <v>124</v>
      </c>
      <c r="AA96" s="221"/>
      <c r="AB96" s="52"/>
      <c r="AC96" s="63">
        <f t="shared" si="5"/>
        <v>0</v>
      </c>
      <c r="AD96" s="226" t="s">
        <v>217</v>
      </c>
      <c r="AE96" s="221" t="s">
        <v>217</v>
      </c>
      <c r="AF96" s="52" t="s">
        <v>225</v>
      </c>
      <c r="AG96" s="52" t="s">
        <v>142</v>
      </c>
      <c r="AH96" s="64"/>
      <c r="AI96" s="117"/>
      <c r="AJ96" s="221"/>
      <c r="AK96" s="221"/>
      <c r="AL96" s="117"/>
      <c r="AM96" s="221"/>
    </row>
    <row r="97" spans="1:39" ht="12.75" hidden="1" customHeight="1">
      <c r="A97" s="147">
        <v>96</v>
      </c>
      <c r="B97" s="60">
        <v>193169</v>
      </c>
      <c r="C97" s="52" t="s">
        <v>86</v>
      </c>
      <c r="D97" s="57">
        <v>42842</v>
      </c>
      <c r="E97" s="58" t="s">
        <v>473</v>
      </c>
      <c r="F97" s="59">
        <v>42853</v>
      </c>
      <c r="G97" s="52">
        <f t="shared" si="4"/>
        <v>11</v>
      </c>
      <c r="H97" s="224" t="s">
        <v>133</v>
      </c>
      <c r="I97" s="223" t="s">
        <v>218</v>
      </c>
      <c r="J97" s="223" t="s">
        <v>611</v>
      </c>
      <c r="K97" s="94">
        <v>1599</v>
      </c>
      <c r="L97" s="94">
        <v>1599</v>
      </c>
      <c r="M97" s="97">
        <v>420</v>
      </c>
      <c r="N97" s="96">
        <v>95</v>
      </c>
      <c r="O97" s="93">
        <f t="shared" si="6"/>
        <v>1083.06</v>
      </c>
      <c r="P97" s="61" t="s">
        <v>264</v>
      </c>
      <c r="Q97" s="119" t="s">
        <v>1342</v>
      </c>
      <c r="R97" s="117" t="s">
        <v>143</v>
      </c>
      <c r="S97" s="62" t="s">
        <v>465</v>
      </c>
      <c r="T97" s="221" t="s">
        <v>88</v>
      </c>
      <c r="U97" s="146" t="s">
        <v>352</v>
      </c>
      <c r="V97" s="224" t="s">
        <v>90</v>
      </c>
      <c r="W97" s="146"/>
      <c r="X97" s="52" t="s">
        <v>142</v>
      </c>
      <c r="Y97" s="224" t="s">
        <v>316</v>
      </c>
      <c r="Z97" s="52" t="s">
        <v>189</v>
      </c>
      <c r="AA97" s="221"/>
      <c r="AB97" s="52" t="s">
        <v>140</v>
      </c>
      <c r="AC97" s="63">
        <f t="shared" si="5"/>
        <v>1</v>
      </c>
      <c r="AD97" s="226" t="s">
        <v>217</v>
      </c>
      <c r="AE97" s="221" t="s">
        <v>218</v>
      </c>
      <c r="AF97" s="52"/>
      <c r="AG97" s="52"/>
      <c r="AH97" s="64"/>
      <c r="AI97" s="117" t="s">
        <v>184</v>
      </c>
      <c r="AJ97" s="146"/>
      <c r="AK97" s="225" t="s">
        <v>640</v>
      </c>
      <c r="AL97" s="117" t="s">
        <v>645</v>
      </c>
      <c r="AM97" s="146"/>
    </row>
    <row r="98" spans="1:39" ht="12.75" hidden="1" customHeight="1">
      <c r="A98" s="147">
        <v>97</v>
      </c>
      <c r="B98" s="170">
        <v>193276</v>
      </c>
      <c r="C98" s="221" t="s">
        <v>86</v>
      </c>
      <c r="D98" s="57">
        <v>42842</v>
      </c>
      <c r="E98" s="58" t="s">
        <v>473</v>
      </c>
      <c r="F98" s="222">
        <v>42854</v>
      </c>
      <c r="G98" s="221">
        <f t="shared" si="4"/>
        <v>12</v>
      </c>
      <c r="H98" s="224" t="s">
        <v>133</v>
      </c>
      <c r="I98" s="223" t="s">
        <v>218</v>
      </c>
      <c r="J98" s="223" t="s">
        <v>611</v>
      </c>
      <c r="K98" s="94">
        <v>1899</v>
      </c>
      <c r="L98" s="94">
        <v>1899</v>
      </c>
      <c r="M98" s="97">
        <v>420</v>
      </c>
      <c r="N98" s="96">
        <v>95</v>
      </c>
      <c r="O98" s="227">
        <f t="shared" si="6"/>
        <v>1365.06</v>
      </c>
      <c r="P98" s="224" t="s">
        <v>264</v>
      </c>
      <c r="Q98" s="224" t="s">
        <v>1342</v>
      </c>
      <c r="R98" s="221" t="s">
        <v>143</v>
      </c>
      <c r="S98" s="225" t="s">
        <v>465</v>
      </c>
      <c r="T98" s="221" t="s">
        <v>88</v>
      </c>
      <c r="U98" s="221" t="s">
        <v>89</v>
      </c>
      <c r="V98" s="224" t="s">
        <v>90</v>
      </c>
      <c r="W98" s="221"/>
      <c r="X98" s="221" t="s">
        <v>142</v>
      </c>
      <c r="Y98" s="224" t="s">
        <v>316</v>
      </c>
      <c r="Z98" s="221" t="s">
        <v>189</v>
      </c>
      <c r="AA98" s="221"/>
      <c r="AB98" s="221" t="s">
        <v>140</v>
      </c>
      <c r="AC98" s="226">
        <f t="shared" si="5"/>
        <v>1</v>
      </c>
      <c r="AD98" s="226" t="s">
        <v>217</v>
      </c>
      <c r="AE98" s="221" t="s">
        <v>218</v>
      </c>
      <c r="AF98" s="221"/>
      <c r="AG98" s="221" t="s">
        <v>142</v>
      </c>
      <c r="AH98" s="64"/>
      <c r="AI98" s="221" t="s">
        <v>184</v>
      </c>
      <c r="AJ98" s="221"/>
      <c r="AK98" s="225" t="s">
        <v>924</v>
      </c>
      <c r="AL98" s="221" t="s">
        <v>645</v>
      </c>
      <c r="AM98" s="221"/>
    </row>
    <row r="99" spans="1:39" ht="12.75" hidden="1" customHeight="1">
      <c r="A99" s="147">
        <v>98</v>
      </c>
      <c r="B99" s="60">
        <v>193238</v>
      </c>
      <c r="C99" s="52" t="s">
        <v>86</v>
      </c>
      <c r="D99" s="57">
        <v>42843</v>
      </c>
      <c r="E99" s="58" t="s">
        <v>473</v>
      </c>
      <c r="F99" s="59">
        <v>42853</v>
      </c>
      <c r="G99" s="52">
        <f t="shared" si="4"/>
        <v>10</v>
      </c>
      <c r="H99" s="224" t="s">
        <v>133</v>
      </c>
      <c r="I99" s="223" t="s">
        <v>218</v>
      </c>
      <c r="J99" s="223" t="s">
        <v>611</v>
      </c>
      <c r="K99" s="94">
        <v>1299</v>
      </c>
      <c r="L99" s="94">
        <v>1299</v>
      </c>
      <c r="M99" s="97">
        <v>230</v>
      </c>
      <c r="N99" s="96">
        <v>230</v>
      </c>
      <c r="O99" s="93">
        <f t="shared" si="6"/>
        <v>991.06</v>
      </c>
      <c r="P99" s="61" t="s">
        <v>262</v>
      </c>
      <c r="Q99" s="119" t="s">
        <v>1342</v>
      </c>
      <c r="R99" s="117" t="s">
        <v>122</v>
      </c>
      <c r="S99" s="225" t="s">
        <v>469</v>
      </c>
      <c r="T99" s="146" t="s">
        <v>114</v>
      </c>
      <c r="U99" s="224" t="s">
        <v>305</v>
      </c>
      <c r="V99" s="222" t="s">
        <v>169</v>
      </c>
      <c r="W99" s="146"/>
      <c r="X99" s="52" t="s">
        <v>142</v>
      </c>
      <c r="Y99" s="224" t="s">
        <v>316</v>
      </c>
      <c r="Z99" s="52" t="s">
        <v>170</v>
      </c>
      <c r="AA99" s="221"/>
      <c r="AB99" s="52" t="s">
        <v>140</v>
      </c>
      <c r="AC99" s="63">
        <f t="shared" si="5"/>
        <v>1</v>
      </c>
      <c r="AD99" s="226" t="s">
        <v>217</v>
      </c>
      <c r="AE99" s="221" t="s">
        <v>218</v>
      </c>
      <c r="AF99" s="52"/>
      <c r="AG99" s="52" t="s">
        <v>142</v>
      </c>
      <c r="AH99" s="64"/>
      <c r="AI99" s="117" t="s">
        <v>184</v>
      </c>
      <c r="AJ99" s="146"/>
      <c r="AK99" s="225" t="s">
        <v>641</v>
      </c>
      <c r="AL99" s="117" t="s">
        <v>645</v>
      </c>
      <c r="AM99" s="221"/>
    </row>
    <row r="100" spans="1:39" ht="12.75" hidden="1" customHeight="1">
      <c r="A100" s="147">
        <v>99</v>
      </c>
      <c r="B100" s="60">
        <v>192936</v>
      </c>
      <c r="C100" s="221" t="s">
        <v>86</v>
      </c>
      <c r="D100" s="57">
        <v>42844</v>
      </c>
      <c r="E100" s="58" t="s">
        <v>473</v>
      </c>
      <c r="F100" s="222">
        <v>42863</v>
      </c>
      <c r="G100" s="221">
        <f t="shared" si="4"/>
        <v>19</v>
      </c>
      <c r="H100" s="224" t="s">
        <v>133</v>
      </c>
      <c r="I100" s="223" t="s">
        <v>218</v>
      </c>
      <c r="J100" s="223" t="s">
        <v>611</v>
      </c>
      <c r="K100" s="94">
        <v>1299</v>
      </c>
      <c r="L100" s="94">
        <v>1299</v>
      </c>
      <c r="M100" s="97">
        <v>300</v>
      </c>
      <c r="N100" s="96">
        <v>80</v>
      </c>
      <c r="O100" s="227">
        <f t="shared" si="6"/>
        <v>921.06</v>
      </c>
      <c r="P100" s="224" t="s">
        <v>261</v>
      </c>
      <c r="Q100" s="224" t="s">
        <v>1341</v>
      </c>
      <c r="R100" s="221" t="s">
        <v>143</v>
      </c>
      <c r="S100" s="225" t="s">
        <v>465</v>
      </c>
      <c r="T100" s="221" t="s">
        <v>88</v>
      </c>
      <c r="U100" s="221" t="s">
        <v>430</v>
      </c>
      <c r="V100" s="224" t="s">
        <v>90</v>
      </c>
      <c r="W100" s="221"/>
      <c r="X100" s="221" t="s">
        <v>142</v>
      </c>
      <c r="Y100" s="224" t="s">
        <v>316</v>
      </c>
      <c r="Z100" s="221" t="s">
        <v>189</v>
      </c>
      <c r="AA100" s="222">
        <v>42858</v>
      </c>
      <c r="AB100" s="221" t="s">
        <v>195</v>
      </c>
      <c r="AC100" s="226">
        <f t="shared" si="5"/>
        <v>1</v>
      </c>
      <c r="AD100" s="226" t="s">
        <v>217</v>
      </c>
      <c r="AE100" s="221" t="s">
        <v>218</v>
      </c>
      <c r="AF100" s="221"/>
      <c r="AG100" s="221"/>
      <c r="AH100" s="64"/>
      <c r="AI100" s="221" t="s">
        <v>184</v>
      </c>
      <c r="AJ100" s="221"/>
      <c r="AK100" s="225" t="s">
        <v>617</v>
      </c>
      <c r="AL100" s="221" t="s">
        <v>645</v>
      </c>
      <c r="AM100" s="221"/>
    </row>
    <row r="101" spans="1:39" ht="12.75" hidden="1" customHeight="1">
      <c r="A101" s="147">
        <v>100</v>
      </c>
      <c r="B101" s="60">
        <v>193109</v>
      </c>
      <c r="C101" s="221" t="s">
        <v>86</v>
      </c>
      <c r="D101" s="57">
        <v>42844</v>
      </c>
      <c r="E101" s="58" t="s">
        <v>473</v>
      </c>
      <c r="F101" s="222">
        <v>42865</v>
      </c>
      <c r="G101" s="221">
        <f t="shared" si="4"/>
        <v>21</v>
      </c>
      <c r="H101" s="224" t="s">
        <v>133</v>
      </c>
      <c r="I101" s="223" t="s">
        <v>218</v>
      </c>
      <c r="J101" s="223" t="s">
        <v>611</v>
      </c>
      <c r="K101" s="94">
        <v>1199</v>
      </c>
      <c r="L101" s="94">
        <v>1199</v>
      </c>
      <c r="M101" s="97">
        <v>75</v>
      </c>
      <c r="N101" s="96">
        <v>80</v>
      </c>
      <c r="O101" s="227">
        <f t="shared" si="6"/>
        <v>1047.06</v>
      </c>
      <c r="P101" s="224" t="s">
        <v>261</v>
      </c>
      <c r="Q101" s="224" t="s">
        <v>1341</v>
      </c>
      <c r="R101" s="221" t="s">
        <v>143</v>
      </c>
      <c r="S101" s="225" t="s">
        <v>465</v>
      </c>
      <c r="T101" s="221" t="s">
        <v>88</v>
      </c>
      <c r="U101" s="221" t="s">
        <v>431</v>
      </c>
      <c r="V101" s="221" t="s">
        <v>432</v>
      </c>
      <c r="W101" s="221"/>
      <c r="X101" s="221" t="s">
        <v>142</v>
      </c>
      <c r="Y101" s="224" t="s">
        <v>316</v>
      </c>
      <c r="Z101" s="221" t="s">
        <v>189</v>
      </c>
      <c r="AA101" s="221"/>
      <c r="AB101" s="221" t="s">
        <v>140</v>
      </c>
      <c r="AC101" s="226">
        <f t="shared" si="5"/>
        <v>1</v>
      </c>
      <c r="AD101" s="226" t="s">
        <v>217</v>
      </c>
      <c r="AE101" s="221" t="s">
        <v>218</v>
      </c>
      <c r="AF101" s="221"/>
      <c r="AG101" s="221"/>
      <c r="AH101" s="64"/>
      <c r="AI101" s="221" t="s">
        <v>184</v>
      </c>
      <c r="AJ101" s="221"/>
      <c r="AK101" s="225" t="s">
        <v>646</v>
      </c>
      <c r="AL101" s="221" t="s">
        <v>645</v>
      </c>
      <c r="AM101" s="221"/>
    </row>
    <row r="102" spans="1:39" ht="12.75" hidden="1" customHeight="1">
      <c r="A102" s="147">
        <v>101</v>
      </c>
      <c r="B102" s="168">
        <v>193362</v>
      </c>
      <c r="C102" s="117" t="s">
        <v>86</v>
      </c>
      <c r="D102" s="57">
        <v>42844</v>
      </c>
      <c r="E102" s="58" t="s">
        <v>473</v>
      </c>
      <c r="F102" s="118">
        <v>42858</v>
      </c>
      <c r="G102" s="117">
        <f t="shared" si="4"/>
        <v>14</v>
      </c>
      <c r="H102" s="221" t="s">
        <v>133</v>
      </c>
      <c r="I102" s="223" t="s">
        <v>609</v>
      </c>
      <c r="J102" s="223" t="s">
        <v>611</v>
      </c>
      <c r="K102" s="94">
        <v>999</v>
      </c>
      <c r="L102" s="94">
        <v>999</v>
      </c>
      <c r="M102" s="97">
        <v>240</v>
      </c>
      <c r="N102" s="96">
        <v>0</v>
      </c>
      <c r="O102" s="93">
        <f t="shared" si="6"/>
        <v>699.06</v>
      </c>
      <c r="P102" s="119" t="s">
        <v>262</v>
      </c>
      <c r="Q102" s="119" t="s">
        <v>1342</v>
      </c>
      <c r="R102" s="117" t="s">
        <v>143</v>
      </c>
      <c r="S102" s="62" t="s">
        <v>465</v>
      </c>
      <c r="T102" s="221" t="s">
        <v>88</v>
      </c>
      <c r="U102" s="146" t="s">
        <v>431</v>
      </c>
      <c r="V102" s="221" t="s">
        <v>432</v>
      </c>
      <c r="W102" s="146"/>
      <c r="X102" s="117" t="s">
        <v>142</v>
      </c>
      <c r="Y102" s="224" t="s">
        <v>316</v>
      </c>
      <c r="Z102" s="117" t="s">
        <v>189</v>
      </c>
      <c r="AA102" s="221"/>
      <c r="AB102" s="117" t="s">
        <v>140</v>
      </c>
      <c r="AC102" s="63">
        <f t="shared" si="5"/>
        <v>1</v>
      </c>
      <c r="AD102" s="226" t="s">
        <v>217</v>
      </c>
      <c r="AE102" s="221" t="s">
        <v>218</v>
      </c>
      <c r="AF102" s="117"/>
      <c r="AG102" s="117"/>
      <c r="AH102" s="64"/>
      <c r="AI102" s="117" t="s">
        <v>184</v>
      </c>
      <c r="AJ102" s="221"/>
      <c r="AK102" s="225" t="s">
        <v>653</v>
      </c>
      <c r="AL102" s="117" t="s">
        <v>645</v>
      </c>
      <c r="AM102" s="221"/>
    </row>
    <row r="103" spans="1:39" ht="12.75" hidden="1" customHeight="1">
      <c r="A103" s="147">
        <v>102</v>
      </c>
      <c r="B103" s="60">
        <v>193420</v>
      </c>
      <c r="C103" s="52" t="s">
        <v>86</v>
      </c>
      <c r="D103" s="57">
        <v>42844</v>
      </c>
      <c r="E103" s="58" t="s">
        <v>473</v>
      </c>
      <c r="F103" s="59">
        <v>42854</v>
      </c>
      <c r="G103" s="117">
        <f t="shared" si="4"/>
        <v>10</v>
      </c>
      <c r="H103" s="224" t="s">
        <v>133</v>
      </c>
      <c r="I103" s="223" t="s">
        <v>218</v>
      </c>
      <c r="J103" s="223" t="s">
        <v>611</v>
      </c>
      <c r="K103" s="94">
        <v>999</v>
      </c>
      <c r="L103" s="94">
        <v>999</v>
      </c>
      <c r="M103" s="97">
        <v>360</v>
      </c>
      <c r="N103" s="96">
        <v>110</v>
      </c>
      <c r="O103" s="93">
        <f t="shared" si="6"/>
        <v>579.05999999999995</v>
      </c>
      <c r="P103" s="61" t="s">
        <v>262</v>
      </c>
      <c r="Q103" s="119" t="s">
        <v>1342</v>
      </c>
      <c r="R103" s="117" t="s">
        <v>143</v>
      </c>
      <c r="S103" s="62" t="s">
        <v>465</v>
      </c>
      <c r="T103" s="221" t="s">
        <v>88</v>
      </c>
      <c r="U103" s="146" t="s">
        <v>433</v>
      </c>
      <c r="V103" s="224" t="s">
        <v>90</v>
      </c>
      <c r="W103" s="117"/>
      <c r="X103" s="117" t="s">
        <v>142</v>
      </c>
      <c r="Y103" s="224" t="s">
        <v>316</v>
      </c>
      <c r="Z103" s="52" t="s">
        <v>434</v>
      </c>
      <c r="AA103" s="221"/>
      <c r="AB103" s="52" t="s">
        <v>195</v>
      </c>
      <c r="AC103" s="63">
        <f t="shared" si="5"/>
        <v>1</v>
      </c>
      <c r="AD103" s="226" t="s">
        <v>217</v>
      </c>
      <c r="AE103" s="221" t="s">
        <v>218</v>
      </c>
      <c r="AF103" s="52"/>
      <c r="AG103" s="52" t="s">
        <v>142</v>
      </c>
      <c r="AH103" s="64"/>
      <c r="AI103" s="117" t="s">
        <v>184</v>
      </c>
      <c r="AJ103" s="117"/>
      <c r="AK103" s="225" t="s">
        <v>642</v>
      </c>
      <c r="AL103" s="117" t="s">
        <v>645</v>
      </c>
      <c r="AM103" s="221"/>
    </row>
    <row r="104" spans="1:39" ht="25.5" hidden="1" customHeight="1">
      <c r="A104" s="147">
        <v>103</v>
      </c>
      <c r="B104" s="171">
        <v>193003</v>
      </c>
      <c r="C104" s="117" t="s">
        <v>86</v>
      </c>
      <c r="D104" s="57">
        <v>42845</v>
      </c>
      <c r="E104" s="58" t="s">
        <v>473</v>
      </c>
      <c r="F104" s="118">
        <v>42862</v>
      </c>
      <c r="G104" s="117">
        <f t="shared" si="4"/>
        <v>17</v>
      </c>
      <c r="H104" s="224" t="s">
        <v>133</v>
      </c>
      <c r="I104" s="223" t="s">
        <v>218</v>
      </c>
      <c r="J104" s="223" t="s">
        <v>611</v>
      </c>
      <c r="K104" s="94">
        <v>1899</v>
      </c>
      <c r="L104" s="94">
        <v>1899</v>
      </c>
      <c r="M104" s="97">
        <v>490</v>
      </c>
      <c r="N104" s="96">
        <v>265</v>
      </c>
      <c r="O104" s="93">
        <f t="shared" si="6"/>
        <v>1295.06</v>
      </c>
      <c r="P104" s="119" t="s">
        <v>264</v>
      </c>
      <c r="Q104" s="119" t="s">
        <v>1342</v>
      </c>
      <c r="R104" s="117" t="s">
        <v>143</v>
      </c>
      <c r="S104" s="62" t="s">
        <v>465</v>
      </c>
      <c r="T104" s="221" t="s">
        <v>88</v>
      </c>
      <c r="U104" s="146" t="s">
        <v>89</v>
      </c>
      <c r="V104" s="224" t="s">
        <v>368</v>
      </c>
      <c r="W104" s="117"/>
      <c r="X104" s="117" t="s">
        <v>142</v>
      </c>
      <c r="Y104" s="224" t="s">
        <v>316</v>
      </c>
      <c r="Z104" s="117" t="s">
        <v>189</v>
      </c>
      <c r="AA104" s="221"/>
      <c r="AB104" s="117" t="s">
        <v>140</v>
      </c>
      <c r="AC104" s="63">
        <f t="shared" si="5"/>
        <v>1</v>
      </c>
      <c r="AD104" s="226" t="s">
        <v>217</v>
      </c>
      <c r="AE104" s="221" t="s">
        <v>218</v>
      </c>
      <c r="AF104" s="117"/>
      <c r="AG104" s="117"/>
      <c r="AH104" s="64" t="s">
        <v>443</v>
      </c>
      <c r="AI104" s="117" t="s">
        <v>184</v>
      </c>
      <c r="AJ104" s="221"/>
      <c r="AK104" s="225" t="s">
        <v>648</v>
      </c>
      <c r="AL104" s="117" t="s">
        <v>645</v>
      </c>
      <c r="AM104" s="221"/>
    </row>
    <row r="105" spans="1:39" ht="12.75" hidden="1" customHeight="1">
      <c r="A105" s="147">
        <v>104</v>
      </c>
      <c r="B105" s="223">
        <v>192380</v>
      </c>
      <c r="C105" s="117" t="s">
        <v>128</v>
      </c>
      <c r="D105" s="57">
        <v>42846</v>
      </c>
      <c r="E105" s="58" t="s">
        <v>473</v>
      </c>
      <c r="F105" s="118">
        <v>42853</v>
      </c>
      <c r="G105" s="117">
        <f t="shared" si="4"/>
        <v>7</v>
      </c>
      <c r="H105" s="224" t="s">
        <v>133</v>
      </c>
      <c r="I105" s="223" t="s">
        <v>608</v>
      </c>
      <c r="J105" s="223" t="s">
        <v>610</v>
      </c>
      <c r="K105" s="94">
        <v>3501</v>
      </c>
      <c r="L105" s="94">
        <v>3501</v>
      </c>
      <c r="M105" s="96">
        <v>0</v>
      </c>
      <c r="N105" s="96">
        <v>0</v>
      </c>
      <c r="O105" s="93">
        <f t="shared" si="6"/>
        <v>0</v>
      </c>
      <c r="P105" s="119" t="s">
        <v>264</v>
      </c>
      <c r="Q105" s="119" t="s">
        <v>1342</v>
      </c>
      <c r="R105" s="224" t="s">
        <v>254</v>
      </c>
      <c r="S105" s="225" t="s">
        <v>466</v>
      </c>
      <c r="T105" s="224" t="s">
        <v>302</v>
      </c>
      <c r="U105" s="224" t="s">
        <v>446</v>
      </c>
      <c r="V105" s="224" t="s">
        <v>222</v>
      </c>
      <c r="W105" s="117"/>
      <c r="X105" s="117" t="s">
        <v>142</v>
      </c>
      <c r="Y105" s="224"/>
      <c r="Z105" s="117" t="s">
        <v>304</v>
      </c>
      <c r="AA105" s="221"/>
      <c r="AB105" s="117"/>
      <c r="AC105" s="63">
        <f t="shared" si="5"/>
        <v>0</v>
      </c>
      <c r="AD105" s="226" t="s">
        <v>217</v>
      </c>
      <c r="AE105" s="221" t="s">
        <v>217</v>
      </c>
      <c r="AF105" s="117" t="s">
        <v>225</v>
      </c>
      <c r="AG105" s="117"/>
      <c r="AH105" s="64"/>
      <c r="AI105" s="117"/>
      <c r="AJ105" s="221"/>
      <c r="AK105" s="221"/>
      <c r="AL105" s="117"/>
      <c r="AM105" s="221"/>
    </row>
    <row r="106" spans="1:39" ht="12.75" hidden="1" customHeight="1">
      <c r="A106" s="147">
        <v>105</v>
      </c>
      <c r="B106" s="60">
        <v>192527</v>
      </c>
      <c r="C106" s="117" t="s">
        <v>86</v>
      </c>
      <c r="D106" s="57">
        <v>42846</v>
      </c>
      <c r="E106" s="58" t="s">
        <v>473</v>
      </c>
      <c r="F106" s="118">
        <v>42849</v>
      </c>
      <c r="G106" s="117">
        <f t="shared" si="4"/>
        <v>3</v>
      </c>
      <c r="H106" s="224" t="s">
        <v>133</v>
      </c>
      <c r="I106" s="223" t="s">
        <v>218</v>
      </c>
      <c r="J106" s="223" t="s">
        <v>611</v>
      </c>
      <c r="K106" s="94">
        <v>1099</v>
      </c>
      <c r="L106" s="94">
        <v>1099</v>
      </c>
      <c r="M106" s="97">
        <v>283</v>
      </c>
      <c r="N106" s="96">
        <v>170</v>
      </c>
      <c r="O106" s="93">
        <f t="shared" si="6"/>
        <v>750.06</v>
      </c>
      <c r="P106" s="119" t="s">
        <v>262</v>
      </c>
      <c r="Q106" s="119" t="s">
        <v>1342</v>
      </c>
      <c r="R106" s="117" t="s">
        <v>122</v>
      </c>
      <c r="S106" s="225" t="s">
        <v>469</v>
      </c>
      <c r="T106" s="146" t="s">
        <v>164</v>
      </c>
      <c r="U106" s="221" t="s">
        <v>441</v>
      </c>
      <c r="V106" s="224" t="s">
        <v>90</v>
      </c>
      <c r="W106" s="117"/>
      <c r="X106" s="117" t="s">
        <v>142</v>
      </c>
      <c r="Y106" s="224" t="s">
        <v>316</v>
      </c>
      <c r="Z106" s="117" t="s">
        <v>315</v>
      </c>
      <c r="AA106" s="146"/>
      <c r="AB106" s="117" t="s">
        <v>140</v>
      </c>
      <c r="AC106" s="63">
        <f t="shared" si="5"/>
        <v>1</v>
      </c>
      <c r="AD106" s="226" t="s">
        <v>217</v>
      </c>
      <c r="AE106" s="221" t="s">
        <v>218</v>
      </c>
      <c r="AF106" s="117"/>
      <c r="AG106" s="117"/>
      <c r="AH106" s="64"/>
      <c r="AI106" s="117" t="s">
        <v>184</v>
      </c>
      <c r="AJ106" s="146"/>
      <c r="AK106" s="225" t="s">
        <v>647</v>
      </c>
      <c r="AL106" s="117" t="s">
        <v>645</v>
      </c>
      <c r="AM106" s="221"/>
    </row>
    <row r="107" spans="1:39" ht="12.75" hidden="1" customHeight="1">
      <c r="A107" s="147">
        <v>106</v>
      </c>
      <c r="B107" s="60">
        <v>192707</v>
      </c>
      <c r="C107" s="221" t="s">
        <v>129</v>
      </c>
      <c r="D107" s="57">
        <v>42846</v>
      </c>
      <c r="E107" s="58" t="s">
        <v>473</v>
      </c>
      <c r="F107" s="222">
        <v>42853</v>
      </c>
      <c r="G107" s="221">
        <f t="shared" si="4"/>
        <v>7</v>
      </c>
      <c r="H107" s="224" t="s">
        <v>133</v>
      </c>
      <c r="I107" s="223" t="s">
        <v>218</v>
      </c>
      <c r="J107" s="223" t="s">
        <v>611</v>
      </c>
      <c r="K107" s="94">
        <v>1899</v>
      </c>
      <c r="L107" s="94">
        <v>1899</v>
      </c>
      <c r="M107" s="97">
        <v>290</v>
      </c>
      <c r="N107" s="96">
        <v>156.6</v>
      </c>
      <c r="O107" s="151">
        <f t="shared" si="6"/>
        <v>1495.06</v>
      </c>
      <c r="P107" s="224" t="s">
        <v>262</v>
      </c>
      <c r="Q107" s="224" t="s">
        <v>1342</v>
      </c>
      <c r="R107" s="221" t="s">
        <v>442</v>
      </c>
      <c r="S107" s="225" t="s">
        <v>466</v>
      </c>
      <c r="T107" s="221" t="s">
        <v>114</v>
      </c>
      <c r="U107" s="221" t="s">
        <v>457</v>
      </c>
      <c r="V107" s="221" t="s">
        <v>442</v>
      </c>
      <c r="W107" s="221"/>
      <c r="X107" s="221" t="s">
        <v>142</v>
      </c>
      <c r="Y107" s="221" t="s">
        <v>1942</v>
      </c>
      <c r="Z107" s="221" t="s">
        <v>259</v>
      </c>
      <c r="AA107" s="221"/>
      <c r="AB107" s="221" t="s">
        <v>127</v>
      </c>
      <c r="AC107" s="63">
        <f t="shared" si="5"/>
        <v>1</v>
      </c>
      <c r="AD107" s="226" t="s">
        <v>217</v>
      </c>
      <c r="AE107" s="221" t="s">
        <v>218</v>
      </c>
      <c r="AF107" s="221"/>
      <c r="AG107" s="221"/>
      <c r="AH107" s="64"/>
      <c r="AI107" s="221" t="s">
        <v>184</v>
      </c>
      <c r="AJ107" s="221"/>
      <c r="AK107" s="221" t="s">
        <v>931</v>
      </c>
      <c r="AL107" s="221" t="s">
        <v>645</v>
      </c>
      <c r="AM107" s="221"/>
    </row>
    <row r="108" spans="1:39" ht="12.75" hidden="1" customHeight="1">
      <c r="A108" s="147">
        <v>107</v>
      </c>
      <c r="B108" s="60">
        <v>192766</v>
      </c>
      <c r="C108" s="52" t="s">
        <v>86</v>
      </c>
      <c r="D108" s="57">
        <v>42846</v>
      </c>
      <c r="E108" s="58" t="s">
        <v>473</v>
      </c>
      <c r="F108" s="59">
        <v>42851</v>
      </c>
      <c r="G108" s="52">
        <f t="shared" si="4"/>
        <v>5</v>
      </c>
      <c r="H108" s="224" t="s">
        <v>133</v>
      </c>
      <c r="I108" s="223" t="s">
        <v>218</v>
      </c>
      <c r="J108" s="223" t="s">
        <v>611</v>
      </c>
      <c r="K108" s="94">
        <v>2199</v>
      </c>
      <c r="L108" s="94">
        <v>2199</v>
      </c>
      <c r="M108" s="97">
        <v>250</v>
      </c>
      <c r="N108" s="96">
        <v>180</v>
      </c>
      <c r="O108" s="93">
        <f t="shared" si="6"/>
        <v>1817.06</v>
      </c>
      <c r="P108" s="61" t="s">
        <v>264</v>
      </c>
      <c r="Q108" s="119" t="s">
        <v>1342</v>
      </c>
      <c r="R108" s="117" t="s">
        <v>122</v>
      </c>
      <c r="S108" s="225" t="s">
        <v>469</v>
      </c>
      <c r="T108" s="146" t="s">
        <v>114</v>
      </c>
      <c r="U108" s="224" t="s">
        <v>437</v>
      </c>
      <c r="V108" s="222" t="s">
        <v>169</v>
      </c>
      <c r="W108" s="117"/>
      <c r="X108" s="52" t="s">
        <v>142</v>
      </c>
      <c r="Y108" s="221" t="s">
        <v>292</v>
      </c>
      <c r="Z108" s="52" t="s">
        <v>170</v>
      </c>
      <c r="AA108" s="221"/>
      <c r="AB108" s="52" t="s">
        <v>140</v>
      </c>
      <c r="AC108" s="63">
        <f t="shared" si="5"/>
        <v>1</v>
      </c>
      <c r="AD108" s="226" t="s">
        <v>217</v>
      </c>
      <c r="AE108" s="221" t="s">
        <v>218</v>
      </c>
      <c r="AF108" s="52"/>
      <c r="AG108" s="52" t="s">
        <v>142</v>
      </c>
      <c r="AH108" s="64"/>
      <c r="AI108" s="117" t="s">
        <v>184</v>
      </c>
      <c r="AJ108" s="146"/>
      <c r="AK108" s="221"/>
      <c r="AL108" s="117"/>
      <c r="AM108" s="221"/>
    </row>
    <row r="109" spans="1:39" s="86" customFormat="1" ht="37.5" hidden="1" customHeight="1">
      <c r="A109" s="147">
        <v>108</v>
      </c>
      <c r="B109" s="223">
        <v>192791</v>
      </c>
      <c r="C109" s="117" t="s">
        <v>121</v>
      </c>
      <c r="D109" s="57">
        <v>42846</v>
      </c>
      <c r="E109" s="58" t="s">
        <v>473</v>
      </c>
      <c r="F109" s="118">
        <v>42848</v>
      </c>
      <c r="G109" s="117">
        <f t="shared" si="4"/>
        <v>2</v>
      </c>
      <c r="H109" s="117" t="s">
        <v>363</v>
      </c>
      <c r="I109" s="223" t="s">
        <v>608</v>
      </c>
      <c r="J109" s="223" t="s">
        <v>612</v>
      </c>
      <c r="K109" s="94">
        <v>10199.15</v>
      </c>
      <c r="L109" s="94">
        <v>10199.15</v>
      </c>
      <c r="M109" s="96">
        <v>0</v>
      </c>
      <c r="N109" s="96">
        <v>0</v>
      </c>
      <c r="O109" s="93">
        <f t="shared" si="6"/>
        <v>0</v>
      </c>
      <c r="P109" s="119" t="s">
        <v>264</v>
      </c>
      <c r="Q109" s="119" t="s">
        <v>1342</v>
      </c>
      <c r="R109" s="117" t="s">
        <v>134</v>
      </c>
      <c r="S109" s="62" t="s">
        <v>465</v>
      </c>
      <c r="T109" s="146" t="s">
        <v>114</v>
      </c>
      <c r="U109" s="146" t="s">
        <v>440</v>
      </c>
      <c r="V109" s="224" t="s">
        <v>90</v>
      </c>
      <c r="W109" s="117"/>
      <c r="X109" s="117" t="s">
        <v>142</v>
      </c>
      <c r="Y109" s="221"/>
      <c r="Z109" s="117" t="s">
        <v>124</v>
      </c>
      <c r="AA109" s="146"/>
      <c r="AB109" s="117"/>
      <c r="AC109" s="63">
        <f t="shared" si="5"/>
        <v>0</v>
      </c>
      <c r="AD109" s="226" t="s">
        <v>217</v>
      </c>
      <c r="AE109" s="221" t="s">
        <v>217</v>
      </c>
      <c r="AF109" s="117" t="s">
        <v>225</v>
      </c>
      <c r="AG109" s="117" t="s">
        <v>142</v>
      </c>
      <c r="AH109" s="64"/>
      <c r="AI109" s="117"/>
      <c r="AJ109" s="146"/>
      <c r="AK109" s="221"/>
      <c r="AL109" s="117"/>
      <c r="AM109" s="221"/>
    </row>
    <row r="110" spans="1:39" s="86" customFormat="1" ht="41.25" hidden="1" customHeight="1">
      <c r="A110" s="147">
        <v>109</v>
      </c>
      <c r="B110" s="170">
        <v>193153</v>
      </c>
      <c r="C110" s="117" t="s">
        <v>86</v>
      </c>
      <c r="D110" s="57">
        <v>42846</v>
      </c>
      <c r="E110" s="58" t="s">
        <v>473</v>
      </c>
      <c r="F110" s="118">
        <v>42851</v>
      </c>
      <c r="G110" s="117">
        <f t="shared" si="4"/>
        <v>5</v>
      </c>
      <c r="H110" s="224" t="s">
        <v>133</v>
      </c>
      <c r="I110" s="223" t="s">
        <v>218</v>
      </c>
      <c r="J110" s="223" t="s">
        <v>611</v>
      </c>
      <c r="K110" s="94">
        <v>1130</v>
      </c>
      <c r="L110" s="94">
        <v>1130</v>
      </c>
      <c r="M110" s="97">
        <v>358.44</v>
      </c>
      <c r="N110" s="96">
        <v>80</v>
      </c>
      <c r="O110" s="93">
        <f t="shared" si="6"/>
        <v>703.76</v>
      </c>
      <c r="P110" s="119" t="s">
        <v>264</v>
      </c>
      <c r="Q110" s="119" t="s">
        <v>1342</v>
      </c>
      <c r="R110" s="117" t="s">
        <v>143</v>
      </c>
      <c r="S110" s="62" t="s">
        <v>465</v>
      </c>
      <c r="T110" s="146" t="s">
        <v>114</v>
      </c>
      <c r="U110" s="146" t="s">
        <v>436</v>
      </c>
      <c r="V110" s="224" t="s">
        <v>90</v>
      </c>
      <c r="W110" s="117" t="s">
        <v>484</v>
      </c>
      <c r="X110" s="117" t="s">
        <v>142</v>
      </c>
      <c r="Y110" s="224" t="s">
        <v>91</v>
      </c>
      <c r="Z110" s="146" t="s">
        <v>170</v>
      </c>
      <c r="AA110" s="221"/>
      <c r="AB110" s="221" t="s">
        <v>140</v>
      </c>
      <c r="AC110" s="63">
        <f t="shared" si="5"/>
        <v>1</v>
      </c>
      <c r="AD110" s="226" t="s">
        <v>217</v>
      </c>
      <c r="AE110" s="221" t="s">
        <v>218</v>
      </c>
      <c r="AF110" s="117"/>
      <c r="AG110" s="117"/>
      <c r="AH110" s="64"/>
      <c r="AI110" s="117" t="s">
        <v>184</v>
      </c>
      <c r="AJ110" s="221"/>
      <c r="AK110" s="221" t="s">
        <v>675</v>
      </c>
      <c r="AL110" s="117" t="s">
        <v>645</v>
      </c>
      <c r="AM110" s="221"/>
    </row>
    <row r="111" spans="1:39" ht="12.75" hidden="1" customHeight="1">
      <c r="A111" s="147">
        <v>110</v>
      </c>
      <c r="B111" s="223">
        <v>193303</v>
      </c>
      <c r="C111" s="52" t="s">
        <v>86</v>
      </c>
      <c r="D111" s="57">
        <v>42846</v>
      </c>
      <c r="E111" s="58" t="s">
        <v>473</v>
      </c>
      <c r="F111" s="59">
        <v>42854</v>
      </c>
      <c r="G111" s="117">
        <f t="shared" si="4"/>
        <v>8</v>
      </c>
      <c r="H111" s="224" t="s">
        <v>133</v>
      </c>
      <c r="I111" s="223" t="s">
        <v>218</v>
      </c>
      <c r="J111" s="223" t="s">
        <v>611</v>
      </c>
      <c r="K111" s="94">
        <v>1399</v>
      </c>
      <c r="L111" s="94">
        <v>1399</v>
      </c>
      <c r="M111" s="97">
        <v>250</v>
      </c>
      <c r="N111" s="96">
        <v>180</v>
      </c>
      <c r="O111" s="93">
        <f t="shared" si="6"/>
        <v>1065.06</v>
      </c>
      <c r="P111" s="61" t="s">
        <v>262</v>
      </c>
      <c r="Q111" s="119" t="s">
        <v>1342</v>
      </c>
      <c r="R111" s="117" t="s">
        <v>122</v>
      </c>
      <c r="S111" s="225" t="s">
        <v>469</v>
      </c>
      <c r="T111" s="146" t="s">
        <v>114</v>
      </c>
      <c r="U111" s="224" t="s">
        <v>438</v>
      </c>
      <c r="V111" s="222" t="s">
        <v>169</v>
      </c>
      <c r="W111" s="52"/>
      <c r="X111" s="52" t="s">
        <v>142</v>
      </c>
      <c r="Y111" s="221" t="s">
        <v>292</v>
      </c>
      <c r="Z111" s="146" t="s">
        <v>170</v>
      </c>
      <c r="AA111" s="221"/>
      <c r="AB111" s="52" t="s">
        <v>140</v>
      </c>
      <c r="AC111" s="63">
        <f t="shared" si="5"/>
        <v>1</v>
      </c>
      <c r="AD111" s="226" t="s">
        <v>217</v>
      </c>
      <c r="AE111" s="221" t="s">
        <v>218</v>
      </c>
      <c r="AF111" s="52"/>
      <c r="AG111" s="52" t="s">
        <v>142</v>
      </c>
      <c r="AH111" s="64"/>
      <c r="AI111" s="221" t="s">
        <v>184</v>
      </c>
      <c r="AJ111" s="221"/>
      <c r="AK111" s="221"/>
      <c r="AL111" s="221"/>
      <c r="AM111" s="221"/>
    </row>
    <row r="112" spans="1:39" ht="12.75" hidden="1" customHeight="1">
      <c r="A112" s="147">
        <v>111</v>
      </c>
      <c r="B112" s="112">
        <v>193411</v>
      </c>
      <c r="C112" s="147" t="s">
        <v>86</v>
      </c>
      <c r="D112" s="79">
        <v>42846</v>
      </c>
      <c r="E112" s="80" t="s">
        <v>473</v>
      </c>
      <c r="F112" s="81">
        <v>42854</v>
      </c>
      <c r="G112" s="147">
        <f t="shared" si="4"/>
        <v>8</v>
      </c>
      <c r="H112" s="82" t="s">
        <v>133</v>
      </c>
      <c r="I112" s="112" t="s">
        <v>218</v>
      </c>
      <c r="J112" s="112" t="s">
        <v>611</v>
      </c>
      <c r="K112" s="108">
        <v>1999</v>
      </c>
      <c r="L112" s="94">
        <v>1999</v>
      </c>
      <c r="M112" s="99">
        <v>250</v>
      </c>
      <c r="N112" s="109">
        <v>550</v>
      </c>
      <c r="O112" s="152">
        <f t="shared" si="6"/>
        <v>1329.06</v>
      </c>
      <c r="P112" s="82" t="s">
        <v>264</v>
      </c>
      <c r="Q112" s="119" t="s">
        <v>1342</v>
      </c>
      <c r="R112" s="147" t="s">
        <v>122</v>
      </c>
      <c r="S112" s="225" t="s">
        <v>469</v>
      </c>
      <c r="T112" s="147" t="s">
        <v>114</v>
      </c>
      <c r="U112" s="82" t="s">
        <v>439</v>
      </c>
      <c r="V112" s="222" t="s">
        <v>169</v>
      </c>
      <c r="W112" s="147"/>
      <c r="X112" s="147" t="s">
        <v>142</v>
      </c>
      <c r="Y112" s="82" t="s">
        <v>316</v>
      </c>
      <c r="Z112" s="147" t="s">
        <v>170</v>
      </c>
      <c r="AA112" s="147"/>
      <c r="AB112" s="147" t="s">
        <v>140</v>
      </c>
      <c r="AC112" s="84">
        <f t="shared" si="5"/>
        <v>1</v>
      </c>
      <c r="AD112" s="84" t="s">
        <v>217</v>
      </c>
      <c r="AE112" s="221" t="s">
        <v>218</v>
      </c>
      <c r="AF112" s="147"/>
      <c r="AG112" s="147" t="s">
        <v>142</v>
      </c>
      <c r="AH112" s="147"/>
      <c r="AI112" s="147" t="s">
        <v>184</v>
      </c>
      <c r="AJ112" s="147"/>
      <c r="AK112" s="83" t="s">
        <v>649</v>
      </c>
      <c r="AL112" s="147" t="s">
        <v>645</v>
      </c>
      <c r="AM112" s="221"/>
    </row>
    <row r="113" spans="1:39" ht="12.75" hidden="1" customHeight="1">
      <c r="A113" s="147">
        <v>112</v>
      </c>
      <c r="B113" s="112">
        <v>193525</v>
      </c>
      <c r="C113" s="147" t="s">
        <v>86</v>
      </c>
      <c r="D113" s="79">
        <v>42846</v>
      </c>
      <c r="E113" s="80" t="s">
        <v>473</v>
      </c>
      <c r="F113" s="81">
        <v>42855</v>
      </c>
      <c r="G113" s="147">
        <f t="shared" si="4"/>
        <v>9</v>
      </c>
      <c r="H113" s="82" t="s">
        <v>133</v>
      </c>
      <c r="I113" s="223" t="s">
        <v>218</v>
      </c>
      <c r="J113" s="223" t="s">
        <v>611</v>
      </c>
      <c r="K113" s="94">
        <v>1899</v>
      </c>
      <c r="L113" s="94">
        <v>1899</v>
      </c>
      <c r="M113" s="99">
        <v>250</v>
      </c>
      <c r="N113" s="96">
        <v>560</v>
      </c>
      <c r="O113" s="93">
        <f t="shared" si="6"/>
        <v>1225.06</v>
      </c>
      <c r="P113" s="82" t="s">
        <v>264</v>
      </c>
      <c r="Q113" s="119" t="s">
        <v>1342</v>
      </c>
      <c r="R113" s="147" t="s">
        <v>122</v>
      </c>
      <c r="S113" s="225" t="s">
        <v>469</v>
      </c>
      <c r="T113" s="147" t="s">
        <v>114</v>
      </c>
      <c r="U113" s="82" t="s">
        <v>439</v>
      </c>
      <c r="V113" s="222" t="s">
        <v>169</v>
      </c>
      <c r="W113" s="147"/>
      <c r="X113" s="147" t="s">
        <v>142</v>
      </c>
      <c r="Y113" s="82" t="s">
        <v>316</v>
      </c>
      <c r="Z113" s="147" t="s">
        <v>170</v>
      </c>
      <c r="AA113" s="147"/>
      <c r="AB113" s="147" t="s">
        <v>140</v>
      </c>
      <c r="AC113" s="63">
        <f t="shared" si="5"/>
        <v>1</v>
      </c>
      <c r="AD113" s="84" t="s">
        <v>217</v>
      </c>
      <c r="AE113" s="221" t="s">
        <v>218</v>
      </c>
      <c r="AF113" s="147"/>
      <c r="AG113" s="147" t="s">
        <v>142</v>
      </c>
      <c r="AH113" s="85"/>
      <c r="AI113" s="147" t="s">
        <v>184</v>
      </c>
      <c r="AJ113" s="147"/>
      <c r="AK113" s="83" t="s">
        <v>650</v>
      </c>
      <c r="AL113" s="147" t="s">
        <v>645</v>
      </c>
      <c r="AM113" s="221"/>
    </row>
    <row r="114" spans="1:39" ht="12.75" hidden="1" customHeight="1">
      <c r="A114" s="147">
        <v>113</v>
      </c>
      <c r="B114" s="60">
        <v>192743</v>
      </c>
      <c r="C114" s="117" t="s">
        <v>128</v>
      </c>
      <c r="D114" s="57">
        <v>42849</v>
      </c>
      <c r="E114" s="58" t="s">
        <v>473</v>
      </c>
      <c r="F114" s="118">
        <v>42851</v>
      </c>
      <c r="G114" s="117">
        <f t="shared" ref="G114:G177" si="7">F114-D114</f>
        <v>2</v>
      </c>
      <c r="H114" s="221" t="s">
        <v>133</v>
      </c>
      <c r="I114" s="223" t="s">
        <v>608</v>
      </c>
      <c r="J114" s="223" t="s">
        <v>612</v>
      </c>
      <c r="K114" s="94">
        <v>1329</v>
      </c>
      <c r="L114" s="94">
        <v>1329</v>
      </c>
      <c r="M114" s="96">
        <v>0</v>
      </c>
      <c r="N114" s="96">
        <v>0</v>
      </c>
      <c r="O114" s="93">
        <f t="shared" si="6"/>
        <v>0</v>
      </c>
      <c r="P114" s="119" t="s">
        <v>264</v>
      </c>
      <c r="Q114" s="119" t="s">
        <v>1342</v>
      </c>
      <c r="R114" s="146" t="s">
        <v>134</v>
      </c>
      <c r="S114" s="62" t="s">
        <v>465</v>
      </c>
      <c r="T114" s="146" t="s">
        <v>144</v>
      </c>
      <c r="U114" s="221" t="s">
        <v>450</v>
      </c>
      <c r="V114" s="221" t="s">
        <v>451</v>
      </c>
      <c r="W114" s="117"/>
      <c r="X114" s="117" t="s">
        <v>142</v>
      </c>
      <c r="Y114" s="221"/>
      <c r="Z114" s="146" t="s">
        <v>137</v>
      </c>
      <c r="AA114" s="221"/>
      <c r="AB114" s="117"/>
      <c r="AC114" s="63">
        <f t="shared" si="5"/>
        <v>0</v>
      </c>
      <c r="AD114" s="226" t="s">
        <v>217</v>
      </c>
      <c r="AE114" s="221" t="s">
        <v>217</v>
      </c>
      <c r="AF114" s="117" t="s">
        <v>225</v>
      </c>
      <c r="AG114" s="117" t="s">
        <v>142</v>
      </c>
      <c r="AH114" s="64"/>
      <c r="AI114" s="146"/>
      <c r="AJ114" s="221"/>
      <c r="AK114" s="221"/>
      <c r="AL114" s="146"/>
      <c r="AM114" s="221"/>
    </row>
    <row r="115" spans="1:39" ht="12.75" hidden="1" customHeight="1">
      <c r="A115" s="147">
        <v>114</v>
      </c>
      <c r="B115" s="60">
        <v>193824</v>
      </c>
      <c r="C115" s="117" t="s">
        <v>86</v>
      </c>
      <c r="D115" s="57">
        <v>42849</v>
      </c>
      <c r="E115" s="58" t="s">
        <v>473</v>
      </c>
      <c r="F115" s="118">
        <v>42862</v>
      </c>
      <c r="G115" s="117">
        <f t="shared" si="7"/>
        <v>13</v>
      </c>
      <c r="H115" s="221" t="s">
        <v>133</v>
      </c>
      <c r="I115" s="223" t="s">
        <v>609</v>
      </c>
      <c r="J115" s="223" t="s">
        <v>611</v>
      </c>
      <c r="K115" s="94">
        <v>8799</v>
      </c>
      <c r="L115" s="94">
        <v>8799</v>
      </c>
      <c r="M115" s="97">
        <v>800</v>
      </c>
      <c r="N115" s="96">
        <v>0</v>
      </c>
      <c r="O115" s="93">
        <f t="shared" si="6"/>
        <v>7471.0599999999995</v>
      </c>
      <c r="P115" s="119" t="s">
        <v>264</v>
      </c>
      <c r="Q115" s="119" t="s">
        <v>1342</v>
      </c>
      <c r="R115" s="117" t="s">
        <v>122</v>
      </c>
      <c r="S115" s="225" t="s">
        <v>469</v>
      </c>
      <c r="T115" s="146" t="s">
        <v>114</v>
      </c>
      <c r="U115" s="221" t="s">
        <v>444</v>
      </c>
      <c r="V115" s="222" t="s">
        <v>169</v>
      </c>
      <c r="W115" s="117"/>
      <c r="X115" s="117" t="s">
        <v>142</v>
      </c>
      <c r="Y115" s="224" t="s">
        <v>316</v>
      </c>
      <c r="Z115" s="117" t="s">
        <v>170</v>
      </c>
      <c r="AA115" s="222">
        <v>42857</v>
      </c>
      <c r="AB115" s="117" t="s">
        <v>140</v>
      </c>
      <c r="AC115" s="63">
        <f t="shared" si="5"/>
        <v>1</v>
      </c>
      <c r="AD115" s="226" t="s">
        <v>217</v>
      </c>
      <c r="AE115" s="221" t="s">
        <v>218</v>
      </c>
      <c r="AF115" s="117"/>
      <c r="AG115" s="117"/>
      <c r="AH115" s="64" t="s">
        <v>939</v>
      </c>
      <c r="AI115" s="117" t="s">
        <v>184</v>
      </c>
      <c r="AJ115" s="222">
        <v>42927</v>
      </c>
      <c r="AK115" s="225" t="s">
        <v>940</v>
      </c>
      <c r="AL115" s="117" t="s">
        <v>645</v>
      </c>
      <c r="AM115" s="222">
        <v>42927</v>
      </c>
    </row>
    <row r="116" spans="1:39" ht="12.75" hidden="1" customHeight="1">
      <c r="A116" s="147">
        <v>115</v>
      </c>
      <c r="B116" s="60">
        <v>193253</v>
      </c>
      <c r="C116" s="52" t="s">
        <v>86</v>
      </c>
      <c r="D116" s="57">
        <v>42850</v>
      </c>
      <c r="E116" s="58" t="s">
        <v>473</v>
      </c>
      <c r="F116" s="59">
        <v>42854</v>
      </c>
      <c r="G116" s="52">
        <f t="shared" si="7"/>
        <v>4</v>
      </c>
      <c r="H116" s="117" t="s">
        <v>363</v>
      </c>
      <c r="I116" s="223" t="s">
        <v>218</v>
      </c>
      <c r="J116" s="223" t="s">
        <v>611</v>
      </c>
      <c r="K116" s="94">
        <v>2799</v>
      </c>
      <c r="L116" s="94">
        <v>2799</v>
      </c>
      <c r="M116" s="96">
        <v>0</v>
      </c>
      <c r="N116" s="96">
        <v>0</v>
      </c>
      <c r="O116" s="93">
        <f t="shared" si="6"/>
        <v>2631.06</v>
      </c>
      <c r="P116" s="61" t="s">
        <v>264</v>
      </c>
      <c r="Q116" s="119" t="s">
        <v>1342</v>
      </c>
      <c r="R116" s="146" t="s">
        <v>134</v>
      </c>
      <c r="S116" s="62" t="s">
        <v>465</v>
      </c>
      <c r="T116" s="221" t="s">
        <v>88</v>
      </c>
      <c r="U116" s="146" t="s">
        <v>449</v>
      </c>
      <c r="V116" s="221" t="s">
        <v>429</v>
      </c>
      <c r="W116" s="117"/>
      <c r="X116" s="117" t="s">
        <v>141</v>
      </c>
      <c r="Y116" s="117"/>
      <c r="Z116" s="52" t="s">
        <v>189</v>
      </c>
      <c r="AA116" s="221"/>
      <c r="AB116" s="52"/>
      <c r="AC116" s="63">
        <f t="shared" si="5"/>
        <v>1</v>
      </c>
      <c r="AD116" s="226" t="s">
        <v>217</v>
      </c>
      <c r="AE116" s="221" t="s">
        <v>218</v>
      </c>
      <c r="AF116" s="52"/>
      <c r="AG116" s="52" t="s">
        <v>142</v>
      </c>
      <c r="AH116" s="105" t="s">
        <v>443</v>
      </c>
      <c r="AI116" s="117"/>
      <c r="AJ116" s="221"/>
      <c r="AK116" s="221"/>
      <c r="AL116" s="117"/>
      <c r="AM116" s="221"/>
    </row>
    <row r="117" spans="1:39" ht="12.75" hidden="1" customHeight="1">
      <c r="A117" s="147">
        <v>116</v>
      </c>
      <c r="B117" s="223">
        <v>193271</v>
      </c>
      <c r="C117" s="117" t="s">
        <v>121</v>
      </c>
      <c r="D117" s="57">
        <v>42850</v>
      </c>
      <c r="E117" s="58" t="s">
        <v>473</v>
      </c>
      <c r="F117" s="118">
        <v>42854</v>
      </c>
      <c r="G117" s="117">
        <f t="shared" si="7"/>
        <v>4</v>
      </c>
      <c r="H117" s="221" t="s">
        <v>133</v>
      </c>
      <c r="I117" s="223" t="s">
        <v>609</v>
      </c>
      <c r="J117" s="223" t="s">
        <v>611</v>
      </c>
      <c r="K117" s="94">
        <v>3824.15</v>
      </c>
      <c r="L117" s="94">
        <v>3824.15</v>
      </c>
      <c r="M117" s="97">
        <v>235</v>
      </c>
      <c r="N117" s="96">
        <v>0</v>
      </c>
      <c r="O117" s="93">
        <f t="shared" si="6"/>
        <v>3359.701</v>
      </c>
      <c r="P117" s="119" t="s">
        <v>264</v>
      </c>
      <c r="Q117" s="119" t="s">
        <v>1342</v>
      </c>
      <c r="R117" s="146" t="s">
        <v>143</v>
      </c>
      <c r="S117" s="62" t="s">
        <v>465</v>
      </c>
      <c r="T117" s="146" t="s">
        <v>164</v>
      </c>
      <c r="U117" s="146" t="s">
        <v>447</v>
      </c>
      <c r="V117" s="221" t="s">
        <v>448</v>
      </c>
      <c r="W117" s="117" t="s">
        <v>456</v>
      </c>
      <c r="X117" s="117" t="s">
        <v>141</v>
      </c>
      <c r="Y117" s="221" t="s">
        <v>1942</v>
      </c>
      <c r="Z117" s="117" t="s">
        <v>202</v>
      </c>
      <c r="AA117" s="222">
        <v>42850</v>
      </c>
      <c r="AB117" s="117" t="s">
        <v>127</v>
      </c>
      <c r="AC117" s="63">
        <f t="shared" si="5"/>
        <v>1</v>
      </c>
      <c r="AD117" s="226" t="s">
        <v>217</v>
      </c>
      <c r="AE117" s="221" t="s">
        <v>218</v>
      </c>
      <c r="AF117" s="117"/>
      <c r="AG117" s="117" t="s">
        <v>142</v>
      </c>
      <c r="AH117" s="64"/>
      <c r="AI117" s="117" t="s">
        <v>184</v>
      </c>
      <c r="AJ117" s="221"/>
      <c r="AK117" s="221"/>
      <c r="AL117" s="117"/>
      <c r="AM117" s="221"/>
    </row>
    <row r="118" spans="1:39" ht="38.25" hidden="1" customHeight="1">
      <c r="A118" s="147">
        <v>117</v>
      </c>
      <c r="B118" s="60">
        <v>193659</v>
      </c>
      <c r="C118" s="117" t="s">
        <v>86</v>
      </c>
      <c r="D118" s="57">
        <v>42850</v>
      </c>
      <c r="E118" s="58" t="s">
        <v>473</v>
      </c>
      <c r="F118" s="118">
        <v>42861</v>
      </c>
      <c r="G118" s="117">
        <f t="shared" si="7"/>
        <v>11</v>
      </c>
      <c r="H118" s="221" t="s">
        <v>133</v>
      </c>
      <c r="I118" s="223" t="s">
        <v>609</v>
      </c>
      <c r="J118" s="223" t="s">
        <v>610</v>
      </c>
      <c r="K118" s="94">
        <v>1599</v>
      </c>
      <c r="L118" s="94">
        <v>1599</v>
      </c>
      <c r="M118" s="96">
        <v>120</v>
      </c>
      <c r="N118" s="96">
        <v>0</v>
      </c>
      <c r="O118" s="151">
        <f t="shared" si="6"/>
        <v>0</v>
      </c>
      <c r="P118" s="119" t="s">
        <v>262</v>
      </c>
      <c r="Q118" s="119" t="s">
        <v>1342</v>
      </c>
      <c r="R118" s="117" t="s">
        <v>143</v>
      </c>
      <c r="S118" s="62" t="s">
        <v>465</v>
      </c>
      <c r="T118" s="221" t="s">
        <v>88</v>
      </c>
      <c r="U118" s="224" t="s">
        <v>452</v>
      </c>
      <c r="V118" s="224" t="s">
        <v>453</v>
      </c>
      <c r="W118" s="117"/>
      <c r="X118" s="117" t="s">
        <v>141</v>
      </c>
      <c r="Y118" s="82" t="s">
        <v>316</v>
      </c>
      <c r="Z118" s="117" t="s">
        <v>189</v>
      </c>
      <c r="AA118" s="222">
        <v>42857</v>
      </c>
      <c r="AB118" s="117" t="s">
        <v>127</v>
      </c>
      <c r="AC118" s="63">
        <f t="shared" si="5"/>
        <v>0</v>
      </c>
      <c r="AD118" s="226"/>
      <c r="AE118" s="221" t="s">
        <v>217</v>
      </c>
      <c r="AF118" s="146" t="s">
        <v>941</v>
      </c>
      <c r="AG118" s="117"/>
      <c r="AH118" s="76" t="s">
        <v>581</v>
      </c>
      <c r="AI118" s="117" t="s">
        <v>184</v>
      </c>
      <c r="AJ118" s="221"/>
      <c r="AK118" s="225" t="s">
        <v>928</v>
      </c>
      <c r="AL118" s="221" t="s">
        <v>645</v>
      </c>
      <c r="AM118" s="221"/>
    </row>
    <row r="119" spans="1:39" ht="38.25" hidden="1" customHeight="1">
      <c r="A119" s="147">
        <v>118</v>
      </c>
      <c r="B119" s="223">
        <v>193859</v>
      </c>
      <c r="C119" s="221" t="s">
        <v>86</v>
      </c>
      <c r="D119" s="57">
        <v>42850</v>
      </c>
      <c r="E119" s="58" t="s">
        <v>473</v>
      </c>
      <c r="F119" s="222">
        <v>42861</v>
      </c>
      <c r="G119" s="221">
        <f t="shared" si="7"/>
        <v>11</v>
      </c>
      <c r="H119" s="224" t="s">
        <v>133</v>
      </c>
      <c r="I119" s="223" t="s">
        <v>609</v>
      </c>
      <c r="J119" s="223" t="s">
        <v>613</v>
      </c>
      <c r="K119" s="94">
        <v>2799</v>
      </c>
      <c r="L119" s="94">
        <v>2799</v>
      </c>
      <c r="M119" s="97">
        <v>350</v>
      </c>
      <c r="N119" s="96">
        <v>0</v>
      </c>
      <c r="O119" s="227">
        <f t="shared" si="6"/>
        <v>2281.06</v>
      </c>
      <c r="P119" s="224" t="s">
        <v>261</v>
      </c>
      <c r="Q119" s="119" t="s">
        <v>1341</v>
      </c>
      <c r="R119" s="224" t="s">
        <v>122</v>
      </c>
      <c r="S119" s="225" t="s">
        <v>469</v>
      </c>
      <c r="T119" s="224" t="s">
        <v>114</v>
      </c>
      <c r="U119" s="224" t="s">
        <v>454</v>
      </c>
      <c r="V119" s="224" t="s">
        <v>90</v>
      </c>
      <c r="W119" s="224"/>
      <c r="X119" s="224" t="s">
        <v>142</v>
      </c>
      <c r="Y119" s="224" t="s">
        <v>316</v>
      </c>
      <c r="Z119" s="221" t="s">
        <v>170</v>
      </c>
      <c r="AA119" s="222">
        <v>42851</v>
      </c>
      <c r="AB119" s="221" t="s">
        <v>140</v>
      </c>
      <c r="AC119" s="226">
        <f t="shared" si="5"/>
        <v>1</v>
      </c>
      <c r="AD119" s="226" t="s">
        <v>217</v>
      </c>
      <c r="AE119" s="221" t="s">
        <v>218</v>
      </c>
      <c r="AF119" s="221"/>
      <c r="AG119" s="221" t="s">
        <v>141</v>
      </c>
      <c r="AH119" s="76" t="s">
        <v>586</v>
      </c>
      <c r="AI119" s="221" t="s">
        <v>184</v>
      </c>
      <c r="AJ119" s="221"/>
      <c r="AK119" s="225" t="s">
        <v>927</v>
      </c>
      <c r="AL119" s="221" t="s">
        <v>645</v>
      </c>
      <c r="AM119" s="146"/>
    </row>
    <row r="120" spans="1:39" ht="12.75" hidden="1" customHeight="1">
      <c r="A120" s="147">
        <v>119</v>
      </c>
      <c r="B120" s="168">
        <v>194041</v>
      </c>
      <c r="C120" s="221" t="s">
        <v>86</v>
      </c>
      <c r="D120" s="57">
        <v>42850</v>
      </c>
      <c r="E120" s="58" t="s">
        <v>473</v>
      </c>
      <c r="F120" s="222">
        <v>42863</v>
      </c>
      <c r="G120" s="221">
        <f t="shared" si="7"/>
        <v>13</v>
      </c>
      <c r="H120" s="221" t="s">
        <v>133</v>
      </c>
      <c r="I120" s="223" t="s">
        <v>609</v>
      </c>
      <c r="J120" s="223" t="s">
        <v>611</v>
      </c>
      <c r="K120" s="94">
        <v>1299</v>
      </c>
      <c r="L120" s="94">
        <v>1299</v>
      </c>
      <c r="M120" s="97">
        <v>220</v>
      </c>
      <c r="N120" s="96">
        <v>0</v>
      </c>
      <c r="O120" s="93">
        <f t="shared" si="6"/>
        <v>1001.06</v>
      </c>
      <c r="P120" s="224" t="s">
        <v>264</v>
      </c>
      <c r="Q120" s="119" t="s">
        <v>1342</v>
      </c>
      <c r="R120" s="224" t="s">
        <v>122</v>
      </c>
      <c r="S120" s="225" t="s">
        <v>469</v>
      </c>
      <c r="T120" s="224" t="s">
        <v>114</v>
      </c>
      <c r="U120" s="224" t="s">
        <v>305</v>
      </c>
      <c r="V120" s="222" t="s">
        <v>169</v>
      </c>
      <c r="W120" s="224"/>
      <c r="X120" s="224" t="s">
        <v>142</v>
      </c>
      <c r="Y120" s="224" t="s">
        <v>316</v>
      </c>
      <c r="Z120" s="221" t="s">
        <v>170</v>
      </c>
      <c r="AA120" s="221"/>
      <c r="AB120" s="221" t="s">
        <v>127</v>
      </c>
      <c r="AC120" s="63">
        <f t="shared" si="5"/>
        <v>1</v>
      </c>
      <c r="AD120" s="226" t="s">
        <v>217</v>
      </c>
      <c r="AE120" s="221" t="s">
        <v>218</v>
      </c>
      <c r="AF120" s="221"/>
      <c r="AG120" s="221"/>
      <c r="AH120" s="64"/>
      <c r="AI120" s="221" t="s">
        <v>184</v>
      </c>
      <c r="AJ120" s="221"/>
      <c r="AK120" s="225" t="s">
        <v>652</v>
      </c>
      <c r="AL120" s="221" t="s">
        <v>645</v>
      </c>
      <c r="AM120" s="221"/>
    </row>
    <row r="121" spans="1:39" ht="12.75" hidden="1" customHeight="1">
      <c r="A121" s="147">
        <v>120</v>
      </c>
      <c r="B121" s="60">
        <v>194074</v>
      </c>
      <c r="C121" s="52" t="s">
        <v>86</v>
      </c>
      <c r="D121" s="57">
        <v>42850</v>
      </c>
      <c r="E121" s="58" t="s">
        <v>473</v>
      </c>
      <c r="F121" s="59">
        <v>42862</v>
      </c>
      <c r="G121" s="117">
        <f t="shared" si="7"/>
        <v>12</v>
      </c>
      <c r="H121" s="117" t="s">
        <v>363</v>
      </c>
      <c r="I121" s="223" t="s">
        <v>608</v>
      </c>
      <c r="J121" s="223" t="s">
        <v>610</v>
      </c>
      <c r="K121" s="94">
        <v>2297.1</v>
      </c>
      <c r="L121" s="94">
        <v>2297.1</v>
      </c>
      <c r="M121" s="96">
        <v>0</v>
      </c>
      <c r="N121" s="96">
        <v>0</v>
      </c>
      <c r="O121" s="151">
        <f t="shared" si="6"/>
        <v>0</v>
      </c>
      <c r="P121" s="61" t="s">
        <v>264</v>
      </c>
      <c r="Q121" s="119" t="s">
        <v>1342</v>
      </c>
      <c r="R121" s="224" t="s">
        <v>122</v>
      </c>
      <c r="S121" s="225" t="s">
        <v>469</v>
      </c>
      <c r="T121" s="224" t="s">
        <v>114</v>
      </c>
      <c r="U121" s="224" t="s">
        <v>455</v>
      </c>
      <c r="V121" s="224" t="s">
        <v>222</v>
      </c>
      <c r="W121" s="224"/>
      <c r="X121" s="224" t="s">
        <v>142</v>
      </c>
      <c r="Y121" s="117"/>
      <c r="Z121" s="146" t="s">
        <v>170</v>
      </c>
      <c r="AA121" s="221"/>
      <c r="AB121" s="52"/>
      <c r="AC121" s="63">
        <f t="shared" si="5"/>
        <v>0</v>
      </c>
      <c r="AD121" s="226" t="s">
        <v>217</v>
      </c>
      <c r="AE121" s="221" t="s">
        <v>217</v>
      </c>
      <c r="AF121" s="52" t="s">
        <v>225</v>
      </c>
      <c r="AG121" s="52" t="s">
        <v>142</v>
      </c>
      <c r="AH121" s="64"/>
      <c r="AI121" s="117"/>
      <c r="AJ121" s="221"/>
      <c r="AK121" s="146"/>
      <c r="AL121" s="117"/>
      <c r="AM121" s="221"/>
    </row>
    <row r="122" spans="1:39" ht="12.75" hidden="1" customHeight="1">
      <c r="A122" s="147">
        <v>121</v>
      </c>
      <c r="B122" s="60">
        <v>194188</v>
      </c>
      <c r="C122" s="52" t="s">
        <v>86</v>
      </c>
      <c r="D122" s="57">
        <v>42850</v>
      </c>
      <c r="E122" s="58" t="s">
        <v>473</v>
      </c>
      <c r="F122" s="59">
        <v>42865</v>
      </c>
      <c r="G122" s="117">
        <f t="shared" si="7"/>
        <v>15</v>
      </c>
      <c r="H122" s="117" t="s">
        <v>133</v>
      </c>
      <c r="I122" s="223" t="s">
        <v>609</v>
      </c>
      <c r="J122" s="223" t="s">
        <v>612</v>
      </c>
      <c r="K122" s="94">
        <v>2999</v>
      </c>
      <c r="L122" s="94">
        <v>2999</v>
      </c>
      <c r="M122" s="96">
        <v>0</v>
      </c>
      <c r="N122" s="96">
        <v>0</v>
      </c>
      <c r="O122" s="151">
        <f t="shared" si="6"/>
        <v>0</v>
      </c>
      <c r="P122" s="61" t="s">
        <v>264</v>
      </c>
      <c r="Q122" s="119" t="s">
        <v>1342</v>
      </c>
      <c r="R122" s="224" t="s">
        <v>122</v>
      </c>
      <c r="S122" s="225" t="s">
        <v>469</v>
      </c>
      <c r="T122" s="224" t="s">
        <v>114</v>
      </c>
      <c r="U122" s="224" t="s">
        <v>458</v>
      </c>
      <c r="V122" s="224" t="s">
        <v>222</v>
      </c>
      <c r="W122" s="146"/>
      <c r="X122" s="117" t="s">
        <v>142</v>
      </c>
      <c r="Y122" s="221"/>
      <c r="Z122" s="52" t="s">
        <v>170</v>
      </c>
      <c r="AA122" s="221"/>
      <c r="AB122" s="52"/>
      <c r="AC122" s="63">
        <f t="shared" si="5"/>
        <v>0</v>
      </c>
      <c r="AD122" s="226" t="s">
        <v>217</v>
      </c>
      <c r="AE122" s="221" t="s">
        <v>217</v>
      </c>
      <c r="AF122" s="52" t="s">
        <v>225</v>
      </c>
      <c r="AG122" s="52" t="s">
        <v>142</v>
      </c>
      <c r="AH122" s="64"/>
      <c r="AI122" s="117"/>
      <c r="AJ122" s="221"/>
      <c r="AK122" s="221"/>
      <c r="AL122" s="117"/>
      <c r="AM122" s="221"/>
    </row>
    <row r="123" spans="1:39" ht="12.75" hidden="1" customHeight="1">
      <c r="A123" s="147">
        <v>122</v>
      </c>
      <c r="B123" s="60">
        <v>194374</v>
      </c>
      <c r="C123" s="52" t="s">
        <v>86</v>
      </c>
      <c r="D123" s="57">
        <v>42850</v>
      </c>
      <c r="E123" s="58" t="s">
        <v>473</v>
      </c>
      <c r="F123" s="59">
        <v>42865</v>
      </c>
      <c r="G123" s="52">
        <f t="shared" si="7"/>
        <v>15</v>
      </c>
      <c r="H123" s="224" t="s">
        <v>133</v>
      </c>
      <c r="I123" s="223" t="s">
        <v>608</v>
      </c>
      <c r="J123" s="223" t="s">
        <v>610</v>
      </c>
      <c r="K123" s="94">
        <v>4099</v>
      </c>
      <c r="L123" s="94">
        <v>4099</v>
      </c>
      <c r="M123" s="96">
        <v>0</v>
      </c>
      <c r="N123" s="96">
        <v>0</v>
      </c>
      <c r="O123" s="151">
        <f t="shared" si="6"/>
        <v>0</v>
      </c>
      <c r="P123" s="61" t="s">
        <v>264</v>
      </c>
      <c r="Q123" s="119" t="s">
        <v>1342</v>
      </c>
      <c r="R123" s="224" t="s">
        <v>122</v>
      </c>
      <c r="S123" s="225" t="s">
        <v>469</v>
      </c>
      <c r="T123" s="224" t="s">
        <v>114</v>
      </c>
      <c r="U123" s="224" t="s">
        <v>459</v>
      </c>
      <c r="V123" s="224" t="s">
        <v>222</v>
      </c>
      <c r="W123" s="146"/>
      <c r="X123" s="117" t="s">
        <v>142</v>
      </c>
      <c r="Y123" s="146"/>
      <c r="Z123" s="52" t="s">
        <v>170</v>
      </c>
      <c r="AA123" s="221"/>
      <c r="AB123" s="52"/>
      <c r="AC123" s="63">
        <f t="shared" si="5"/>
        <v>0</v>
      </c>
      <c r="AD123" s="226" t="s">
        <v>217</v>
      </c>
      <c r="AE123" s="221" t="s">
        <v>217</v>
      </c>
      <c r="AF123" s="146" t="s">
        <v>1021</v>
      </c>
      <c r="AG123" s="52" t="s">
        <v>142</v>
      </c>
      <c r="AH123" s="64"/>
      <c r="AI123" s="117"/>
      <c r="AJ123" s="221"/>
      <c r="AK123" s="221"/>
      <c r="AL123" s="117"/>
      <c r="AM123" s="221"/>
    </row>
    <row r="124" spans="1:39" ht="12.75" hidden="1" customHeight="1">
      <c r="A124" s="147">
        <v>123</v>
      </c>
      <c r="B124" s="60">
        <v>193644</v>
      </c>
      <c r="C124" s="52" t="s">
        <v>121</v>
      </c>
      <c r="D124" s="57">
        <v>42851</v>
      </c>
      <c r="E124" s="58" t="s">
        <v>473</v>
      </c>
      <c r="F124" s="59">
        <v>42861</v>
      </c>
      <c r="G124" s="52">
        <f t="shared" si="7"/>
        <v>10</v>
      </c>
      <c r="H124" s="52" t="s">
        <v>133</v>
      </c>
      <c r="I124" s="223" t="s">
        <v>609</v>
      </c>
      <c r="J124" s="223" t="s">
        <v>612</v>
      </c>
      <c r="K124" s="94">
        <v>1449</v>
      </c>
      <c r="L124" s="94">
        <v>1449</v>
      </c>
      <c r="M124" s="96">
        <v>0</v>
      </c>
      <c r="N124" s="96">
        <v>0</v>
      </c>
      <c r="O124" s="151">
        <f t="shared" si="6"/>
        <v>0</v>
      </c>
      <c r="P124" s="61" t="s">
        <v>264</v>
      </c>
      <c r="Q124" s="119" t="s">
        <v>1342</v>
      </c>
      <c r="R124" s="224" t="s">
        <v>460</v>
      </c>
      <c r="S124" s="225" t="s">
        <v>469</v>
      </c>
      <c r="T124" s="224" t="s">
        <v>376</v>
      </c>
      <c r="U124" s="224" t="s">
        <v>461</v>
      </c>
      <c r="V124" s="224" t="s">
        <v>462</v>
      </c>
      <c r="W124" s="224"/>
      <c r="X124" s="117" t="s">
        <v>142</v>
      </c>
      <c r="Y124" s="224"/>
      <c r="Z124" s="117" t="s">
        <v>253</v>
      </c>
      <c r="AA124" s="221"/>
      <c r="AB124" s="52"/>
      <c r="AC124" s="63">
        <f t="shared" si="5"/>
        <v>0</v>
      </c>
      <c r="AD124" s="226" t="s">
        <v>217</v>
      </c>
      <c r="AE124" s="221" t="s">
        <v>217</v>
      </c>
      <c r="AF124" s="52" t="s">
        <v>225</v>
      </c>
      <c r="AG124" s="52" t="s">
        <v>142</v>
      </c>
      <c r="AH124" s="64"/>
      <c r="AI124" s="117"/>
      <c r="AJ124" s="117"/>
      <c r="AK124" s="145"/>
      <c r="AL124" s="117"/>
      <c r="AM124" s="117"/>
    </row>
    <row r="125" spans="1:39" ht="12.75" hidden="1" customHeight="1">
      <c r="A125" s="147">
        <v>124</v>
      </c>
      <c r="B125" s="223">
        <v>193995</v>
      </c>
      <c r="C125" s="52" t="s">
        <v>121</v>
      </c>
      <c r="D125" s="57">
        <v>42851</v>
      </c>
      <c r="E125" s="58" t="s">
        <v>473</v>
      </c>
      <c r="F125" s="59">
        <v>42862</v>
      </c>
      <c r="G125" s="52">
        <f t="shared" si="7"/>
        <v>11</v>
      </c>
      <c r="H125" s="117" t="s">
        <v>133</v>
      </c>
      <c r="I125" s="223" t="s">
        <v>609</v>
      </c>
      <c r="J125" s="223" t="s">
        <v>611</v>
      </c>
      <c r="K125" s="94">
        <v>1899</v>
      </c>
      <c r="L125" s="94">
        <v>1899</v>
      </c>
      <c r="M125" s="97">
        <v>489</v>
      </c>
      <c r="N125" s="96">
        <v>0</v>
      </c>
      <c r="O125" s="93">
        <f t="shared" si="6"/>
        <v>1296.06</v>
      </c>
      <c r="P125" s="224" t="s">
        <v>264</v>
      </c>
      <c r="Q125" s="224" t="s">
        <v>1342</v>
      </c>
      <c r="R125" s="224" t="s">
        <v>87</v>
      </c>
      <c r="S125" s="62" t="s">
        <v>465</v>
      </c>
      <c r="T125" s="224" t="s">
        <v>164</v>
      </c>
      <c r="U125" s="224" t="s">
        <v>475</v>
      </c>
      <c r="V125" s="224" t="s">
        <v>477</v>
      </c>
      <c r="W125" s="224" t="s">
        <v>476</v>
      </c>
      <c r="X125" s="117" t="s">
        <v>142</v>
      </c>
      <c r="Y125" s="221" t="s">
        <v>1942</v>
      </c>
      <c r="Z125" s="117" t="s">
        <v>202</v>
      </c>
      <c r="AA125" s="222">
        <v>42857</v>
      </c>
      <c r="AB125" s="52" t="s">
        <v>127</v>
      </c>
      <c r="AC125" s="63">
        <f t="shared" si="5"/>
        <v>1</v>
      </c>
      <c r="AD125" s="226" t="s">
        <v>217</v>
      </c>
      <c r="AE125" s="221" t="s">
        <v>218</v>
      </c>
      <c r="AF125" s="52"/>
      <c r="AG125" s="52" t="s">
        <v>142</v>
      </c>
      <c r="AH125" s="221"/>
      <c r="AI125" s="226" t="s">
        <v>184</v>
      </c>
      <c r="AJ125" s="226"/>
      <c r="AK125" s="226"/>
      <c r="AL125" s="226"/>
      <c r="AM125" s="117"/>
    </row>
    <row r="126" spans="1:39" ht="25.5" hidden="1" customHeight="1">
      <c r="A126" s="147">
        <v>125</v>
      </c>
      <c r="B126" s="223" t="s">
        <v>742</v>
      </c>
      <c r="C126" s="52" t="s">
        <v>121</v>
      </c>
      <c r="D126" s="57">
        <v>42851</v>
      </c>
      <c r="E126" s="58" t="s">
        <v>473</v>
      </c>
      <c r="F126" s="59">
        <v>42861</v>
      </c>
      <c r="G126" s="52">
        <f t="shared" si="7"/>
        <v>10</v>
      </c>
      <c r="H126" s="221" t="s">
        <v>133</v>
      </c>
      <c r="I126" s="223" t="s">
        <v>609</v>
      </c>
      <c r="J126" s="223" t="s">
        <v>610</v>
      </c>
      <c r="K126" s="94">
        <v>1000</v>
      </c>
      <c r="L126" s="94" t="e">
        <v>#N/A</v>
      </c>
      <c r="M126" s="96">
        <v>0</v>
      </c>
      <c r="N126" s="96">
        <v>0</v>
      </c>
      <c r="O126" s="151">
        <f t="shared" si="6"/>
        <v>0</v>
      </c>
      <c r="P126" s="61" t="s">
        <v>264</v>
      </c>
      <c r="Q126" s="119" t="s">
        <v>1342</v>
      </c>
      <c r="R126" s="224" t="s">
        <v>460</v>
      </c>
      <c r="S126" s="225" t="s">
        <v>469</v>
      </c>
      <c r="T126" s="224" t="s">
        <v>376</v>
      </c>
      <c r="U126" s="224" t="s">
        <v>461</v>
      </c>
      <c r="V126" s="224" t="s">
        <v>462</v>
      </c>
      <c r="W126" s="221"/>
      <c r="X126" s="221" t="s">
        <v>142</v>
      </c>
      <c r="Y126" s="224"/>
      <c r="Z126" s="117" t="s">
        <v>379</v>
      </c>
      <c r="AA126" s="222">
        <v>42857</v>
      </c>
      <c r="AB126" s="52"/>
      <c r="AC126" s="63">
        <f t="shared" si="5"/>
        <v>0</v>
      </c>
      <c r="AD126" s="226" t="s">
        <v>217</v>
      </c>
      <c r="AE126" s="221" t="s">
        <v>217</v>
      </c>
      <c r="AF126" s="52" t="s">
        <v>225</v>
      </c>
      <c r="AG126" s="52"/>
      <c r="AH126" s="76" t="s">
        <v>531</v>
      </c>
      <c r="AI126" s="117" t="s">
        <v>184</v>
      </c>
      <c r="AJ126" s="221"/>
      <c r="AK126" s="145"/>
      <c r="AL126" s="117"/>
      <c r="AM126" s="221"/>
    </row>
    <row r="127" spans="1:39" ht="12.75" hidden="1" customHeight="1">
      <c r="A127" s="147">
        <v>126</v>
      </c>
      <c r="B127" s="223">
        <v>193593</v>
      </c>
      <c r="C127" s="52" t="s">
        <v>121</v>
      </c>
      <c r="D127" s="57">
        <v>42852</v>
      </c>
      <c r="E127" s="58" t="s">
        <v>473</v>
      </c>
      <c r="F127" s="59">
        <v>42863</v>
      </c>
      <c r="G127" s="52">
        <f t="shared" si="7"/>
        <v>11</v>
      </c>
      <c r="H127" s="52" t="s">
        <v>133</v>
      </c>
      <c r="I127" s="223" t="s">
        <v>609</v>
      </c>
      <c r="J127" s="223" t="s">
        <v>612</v>
      </c>
      <c r="K127" s="94">
        <v>2999</v>
      </c>
      <c r="L127" s="94">
        <v>2999</v>
      </c>
      <c r="M127" s="96">
        <v>0</v>
      </c>
      <c r="N127" s="96">
        <v>0</v>
      </c>
      <c r="O127" s="151">
        <f t="shared" si="6"/>
        <v>0</v>
      </c>
      <c r="P127" s="61" t="s">
        <v>264</v>
      </c>
      <c r="Q127" s="119" t="s">
        <v>1342</v>
      </c>
      <c r="R127" s="221" t="s">
        <v>134</v>
      </c>
      <c r="S127" s="62" t="s">
        <v>465</v>
      </c>
      <c r="T127" s="221" t="s">
        <v>88</v>
      </c>
      <c r="U127" s="224" t="s">
        <v>482</v>
      </c>
      <c r="V127" s="224" t="s">
        <v>483</v>
      </c>
      <c r="W127" s="224"/>
      <c r="X127" s="224"/>
      <c r="Y127" s="224"/>
      <c r="Z127" s="224" t="s">
        <v>292</v>
      </c>
      <c r="AA127" s="221"/>
      <c r="AB127" s="52"/>
      <c r="AC127" s="63">
        <f t="shared" si="5"/>
        <v>0</v>
      </c>
      <c r="AD127" s="226" t="s">
        <v>217</v>
      </c>
      <c r="AE127" s="221" t="s">
        <v>217</v>
      </c>
      <c r="AF127" s="52" t="s">
        <v>225</v>
      </c>
      <c r="AG127" s="52" t="s">
        <v>142</v>
      </c>
      <c r="AH127" s="221"/>
      <c r="AI127" s="226"/>
      <c r="AJ127" s="226"/>
      <c r="AK127" s="226"/>
      <c r="AL127" s="226"/>
      <c r="AM127" s="221"/>
    </row>
    <row r="128" spans="1:39" ht="12.75" hidden="1" customHeight="1">
      <c r="A128" s="147">
        <v>127</v>
      </c>
      <c r="B128" s="223">
        <v>193851</v>
      </c>
      <c r="C128" s="52" t="s">
        <v>121</v>
      </c>
      <c r="D128" s="57">
        <v>42852</v>
      </c>
      <c r="E128" s="58" t="s">
        <v>473</v>
      </c>
      <c r="F128" s="59">
        <v>42861</v>
      </c>
      <c r="G128" s="52">
        <f t="shared" si="7"/>
        <v>9</v>
      </c>
      <c r="H128" s="146" t="s">
        <v>133</v>
      </c>
      <c r="I128" s="223" t="s">
        <v>609</v>
      </c>
      <c r="J128" s="223" t="s">
        <v>611</v>
      </c>
      <c r="K128" s="94">
        <v>2999</v>
      </c>
      <c r="L128" s="94">
        <v>2999</v>
      </c>
      <c r="M128" s="100">
        <v>172</v>
      </c>
      <c r="N128" s="96">
        <v>0</v>
      </c>
      <c r="O128" s="93">
        <f t="shared" si="6"/>
        <v>2647.06</v>
      </c>
      <c r="P128" s="61" t="s">
        <v>262</v>
      </c>
      <c r="Q128" s="119" t="s">
        <v>1342</v>
      </c>
      <c r="R128" s="221" t="s">
        <v>134</v>
      </c>
      <c r="S128" s="62" t="s">
        <v>465</v>
      </c>
      <c r="T128" s="224" t="s">
        <v>164</v>
      </c>
      <c r="U128" s="224" t="s">
        <v>479</v>
      </c>
      <c r="V128" s="224" t="s">
        <v>480</v>
      </c>
      <c r="W128" s="224" t="s">
        <v>481</v>
      </c>
      <c r="X128" s="224" t="s">
        <v>142</v>
      </c>
      <c r="Y128" s="221" t="s">
        <v>1942</v>
      </c>
      <c r="Z128" s="224" t="s">
        <v>202</v>
      </c>
      <c r="AA128" s="221"/>
      <c r="AB128" s="52" t="s">
        <v>140</v>
      </c>
      <c r="AC128" s="63">
        <f t="shared" si="5"/>
        <v>1</v>
      </c>
      <c r="AD128" s="226" t="s">
        <v>217</v>
      </c>
      <c r="AE128" s="221" t="s">
        <v>218</v>
      </c>
      <c r="AF128" s="52"/>
      <c r="AG128" s="52" t="s">
        <v>142</v>
      </c>
      <c r="AH128" s="221"/>
      <c r="AI128" s="117" t="s">
        <v>184</v>
      </c>
      <c r="AJ128" s="221"/>
      <c r="AK128" s="146"/>
      <c r="AL128" s="117"/>
      <c r="AM128" s="221"/>
    </row>
    <row r="129" spans="1:39" ht="12.75" hidden="1" customHeight="1">
      <c r="A129" s="147">
        <v>128</v>
      </c>
      <c r="B129" s="223">
        <v>193924</v>
      </c>
      <c r="C129" s="52" t="s">
        <v>86</v>
      </c>
      <c r="D129" s="57">
        <v>42852</v>
      </c>
      <c r="E129" s="58" t="s">
        <v>473</v>
      </c>
      <c r="F129" s="59">
        <v>42864</v>
      </c>
      <c r="G129" s="52">
        <f t="shared" si="7"/>
        <v>12</v>
      </c>
      <c r="H129" s="52" t="s">
        <v>363</v>
      </c>
      <c r="I129" s="223" t="s">
        <v>609</v>
      </c>
      <c r="J129" s="223" t="s">
        <v>611</v>
      </c>
      <c r="K129" s="94">
        <v>1539.15</v>
      </c>
      <c r="L129" s="94">
        <v>1539.15</v>
      </c>
      <c r="M129" s="96">
        <v>0</v>
      </c>
      <c r="N129" s="96">
        <v>0</v>
      </c>
      <c r="O129" s="93">
        <f t="shared" si="6"/>
        <v>1446.8010000000002</v>
      </c>
      <c r="P129" s="61" t="s">
        <v>264</v>
      </c>
      <c r="Q129" s="119" t="s">
        <v>1342</v>
      </c>
      <c r="R129" s="221" t="s">
        <v>143</v>
      </c>
      <c r="S129" s="62" t="s">
        <v>465</v>
      </c>
      <c r="T129" s="221" t="s">
        <v>88</v>
      </c>
      <c r="U129" s="224" t="s">
        <v>297</v>
      </c>
      <c r="V129" s="221" t="s">
        <v>478</v>
      </c>
      <c r="W129" s="224"/>
      <c r="X129" s="117" t="s">
        <v>142</v>
      </c>
      <c r="Y129" s="117"/>
      <c r="Z129" s="117" t="s">
        <v>189</v>
      </c>
      <c r="AA129" s="221"/>
      <c r="AB129" s="52"/>
      <c r="AC129" s="63">
        <f t="shared" si="5"/>
        <v>1</v>
      </c>
      <c r="AD129" s="226" t="s">
        <v>217</v>
      </c>
      <c r="AE129" s="52"/>
      <c r="AF129" s="52"/>
      <c r="AG129" s="52" t="s">
        <v>142</v>
      </c>
      <c r="AH129" s="105" t="s">
        <v>702</v>
      </c>
      <c r="AI129" s="226"/>
      <c r="AJ129" s="226"/>
      <c r="AK129" s="226"/>
      <c r="AL129" s="226"/>
      <c r="AM129" s="146"/>
    </row>
    <row r="130" spans="1:39" ht="12.75" hidden="1" customHeight="1">
      <c r="A130" s="147">
        <v>129</v>
      </c>
      <c r="B130" s="223">
        <v>194352</v>
      </c>
      <c r="C130" s="52" t="s">
        <v>86</v>
      </c>
      <c r="D130" s="57">
        <v>42852</v>
      </c>
      <c r="E130" s="58" t="s">
        <v>473</v>
      </c>
      <c r="F130" s="118">
        <v>42867</v>
      </c>
      <c r="G130" s="52">
        <f t="shared" si="7"/>
        <v>15</v>
      </c>
      <c r="H130" s="221" t="s">
        <v>363</v>
      </c>
      <c r="I130" s="223" t="s">
        <v>609</v>
      </c>
      <c r="J130" s="223" t="s">
        <v>611</v>
      </c>
      <c r="K130" s="94">
        <v>2899</v>
      </c>
      <c r="L130" s="94">
        <v>2899</v>
      </c>
      <c r="M130" s="96">
        <v>0</v>
      </c>
      <c r="N130" s="96">
        <v>0</v>
      </c>
      <c r="O130" s="93">
        <f t="shared" si="6"/>
        <v>2725.06</v>
      </c>
      <c r="P130" s="61" t="s">
        <v>264</v>
      </c>
      <c r="Q130" s="119" t="s">
        <v>1342</v>
      </c>
      <c r="R130" s="221" t="s">
        <v>134</v>
      </c>
      <c r="S130" s="62" t="s">
        <v>465</v>
      </c>
      <c r="T130" s="221" t="s">
        <v>88</v>
      </c>
      <c r="U130" s="221" t="s">
        <v>1460</v>
      </c>
      <c r="V130" s="221" t="s">
        <v>429</v>
      </c>
      <c r="W130" s="224"/>
      <c r="X130" s="117" t="s">
        <v>142</v>
      </c>
      <c r="Y130" s="117"/>
      <c r="Z130" s="117" t="s">
        <v>189</v>
      </c>
      <c r="AA130" s="146"/>
      <c r="AB130" s="52"/>
      <c r="AC130" s="63">
        <f t="shared" ref="AC130:AC193" si="8">+IF(O130&gt;0,1,0)</f>
        <v>1</v>
      </c>
      <c r="AD130" s="226" t="s">
        <v>217</v>
      </c>
      <c r="AE130" s="221" t="s">
        <v>218</v>
      </c>
      <c r="AF130" s="52"/>
      <c r="AG130" s="52" t="s">
        <v>142</v>
      </c>
      <c r="AH130" s="221"/>
      <c r="AI130" s="226"/>
      <c r="AJ130" s="226"/>
      <c r="AK130" s="226"/>
      <c r="AL130" s="226"/>
      <c r="AM130" s="117"/>
    </row>
    <row r="131" spans="1:39" ht="12.75" hidden="1" customHeight="1">
      <c r="A131" s="147">
        <v>130</v>
      </c>
      <c r="B131" s="223">
        <v>194356</v>
      </c>
      <c r="C131" s="52" t="s">
        <v>86</v>
      </c>
      <c r="D131" s="57">
        <v>42852</v>
      </c>
      <c r="E131" s="58" t="s">
        <v>473</v>
      </c>
      <c r="F131" s="59">
        <v>42866</v>
      </c>
      <c r="G131" s="52">
        <f t="shared" si="7"/>
        <v>14</v>
      </c>
      <c r="H131" s="117" t="s">
        <v>363</v>
      </c>
      <c r="I131" s="223" t="s">
        <v>609</v>
      </c>
      <c r="J131" s="223" t="s">
        <v>611</v>
      </c>
      <c r="K131" s="94">
        <v>2754</v>
      </c>
      <c r="L131" s="94">
        <v>2754</v>
      </c>
      <c r="M131" s="96">
        <v>0</v>
      </c>
      <c r="N131" s="96">
        <v>0</v>
      </c>
      <c r="O131" s="93">
        <f t="shared" si="6"/>
        <v>2588.7600000000002</v>
      </c>
      <c r="P131" s="61" t="s">
        <v>264</v>
      </c>
      <c r="Q131" s="119" t="s">
        <v>1342</v>
      </c>
      <c r="R131" s="221" t="s">
        <v>134</v>
      </c>
      <c r="S131" s="62" t="s">
        <v>465</v>
      </c>
      <c r="T131" s="221" t="s">
        <v>88</v>
      </c>
      <c r="U131" s="224" t="s">
        <v>1461</v>
      </c>
      <c r="V131" s="221" t="s">
        <v>429</v>
      </c>
      <c r="W131" s="224"/>
      <c r="X131" s="224"/>
      <c r="Y131" s="224"/>
      <c r="Z131" s="224" t="s">
        <v>189</v>
      </c>
      <c r="AA131" s="221"/>
      <c r="AB131" s="146"/>
      <c r="AC131" s="63">
        <f t="shared" si="8"/>
        <v>1</v>
      </c>
      <c r="AD131" s="226" t="s">
        <v>217</v>
      </c>
      <c r="AE131" s="221" t="s">
        <v>218</v>
      </c>
      <c r="AF131" s="146"/>
      <c r="AG131" s="146" t="s">
        <v>142</v>
      </c>
      <c r="AH131" s="221"/>
      <c r="AI131" s="226"/>
      <c r="AJ131" s="226"/>
      <c r="AK131" s="226"/>
      <c r="AL131" s="226"/>
      <c r="AM131" s="221"/>
    </row>
    <row r="132" spans="1:39" ht="12.75" hidden="1" customHeight="1">
      <c r="A132" s="147">
        <v>131</v>
      </c>
      <c r="B132" s="170">
        <v>193428</v>
      </c>
      <c r="C132" s="52" t="s">
        <v>86</v>
      </c>
      <c r="D132" s="57">
        <v>42853</v>
      </c>
      <c r="E132" s="58" t="s">
        <v>473</v>
      </c>
      <c r="F132" s="59">
        <v>42855</v>
      </c>
      <c r="G132" s="52">
        <f t="shared" si="7"/>
        <v>2</v>
      </c>
      <c r="H132" s="224" t="s">
        <v>133</v>
      </c>
      <c r="I132" s="223" t="s">
        <v>609</v>
      </c>
      <c r="J132" s="223" t="s">
        <v>611</v>
      </c>
      <c r="K132" s="94">
        <v>1899</v>
      </c>
      <c r="L132" s="94">
        <v>1899</v>
      </c>
      <c r="M132" s="100">
        <v>420</v>
      </c>
      <c r="N132" s="96">
        <v>0</v>
      </c>
      <c r="O132" s="93">
        <f t="shared" si="6"/>
        <v>1365.06</v>
      </c>
      <c r="P132" s="61" t="s">
        <v>264</v>
      </c>
      <c r="Q132" s="119" t="s">
        <v>1342</v>
      </c>
      <c r="R132" s="221" t="s">
        <v>143</v>
      </c>
      <c r="S132" s="62" t="s">
        <v>465</v>
      </c>
      <c r="T132" s="221" t="s">
        <v>88</v>
      </c>
      <c r="U132" s="224" t="s">
        <v>297</v>
      </c>
      <c r="V132" s="224" t="s">
        <v>90</v>
      </c>
      <c r="W132" s="224"/>
      <c r="X132" s="224" t="s">
        <v>142</v>
      </c>
      <c r="Y132" s="224" t="s">
        <v>316</v>
      </c>
      <c r="Z132" s="224" t="s">
        <v>189</v>
      </c>
      <c r="AA132" s="222">
        <v>42857</v>
      </c>
      <c r="AB132" s="52" t="s">
        <v>127</v>
      </c>
      <c r="AC132" s="63">
        <f t="shared" si="8"/>
        <v>1</v>
      </c>
      <c r="AD132" s="226" t="s">
        <v>217</v>
      </c>
      <c r="AE132" s="221" t="s">
        <v>218</v>
      </c>
      <c r="AF132" s="52"/>
      <c r="AG132" s="52" t="s">
        <v>142</v>
      </c>
      <c r="AH132" s="64"/>
      <c r="AI132" s="221" t="s">
        <v>184</v>
      </c>
      <c r="AJ132" s="221"/>
      <c r="AK132" s="225" t="s">
        <v>925</v>
      </c>
      <c r="AL132" s="221" t="s">
        <v>645</v>
      </c>
      <c r="AM132" s="221"/>
    </row>
    <row r="133" spans="1:39" ht="12.75" hidden="1" customHeight="1">
      <c r="A133" s="147">
        <v>132</v>
      </c>
      <c r="B133" s="223">
        <v>194152</v>
      </c>
      <c r="C133" s="52" t="s">
        <v>86</v>
      </c>
      <c r="D133" s="57">
        <v>42857</v>
      </c>
      <c r="E133" s="58" t="s">
        <v>487</v>
      </c>
      <c r="F133" s="59">
        <v>42866</v>
      </c>
      <c r="G133" s="52">
        <f t="shared" si="7"/>
        <v>9</v>
      </c>
      <c r="H133" s="224" t="s">
        <v>133</v>
      </c>
      <c r="I133" s="223" t="s">
        <v>609</v>
      </c>
      <c r="J133" s="223" t="s">
        <v>611</v>
      </c>
      <c r="K133" s="94">
        <v>1399</v>
      </c>
      <c r="L133" s="94">
        <v>1399</v>
      </c>
      <c r="M133" s="100">
        <v>100</v>
      </c>
      <c r="N133" s="96">
        <v>0</v>
      </c>
      <c r="O133" s="93">
        <f t="shared" si="6"/>
        <v>1215.06</v>
      </c>
      <c r="P133" s="61" t="s">
        <v>264</v>
      </c>
      <c r="Q133" s="119" t="s">
        <v>1342</v>
      </c>
      <c r="R133" s="221" t="s">
        <v>134</v>
      </c>
      <c r="S133" s="62" t="s">
        <v>465</v>
      </c>
      <c r="T133" s="221" t="s">
        <v>88</v>
      </c>
      <c r="U133" s="224" t="s">
        <v>490</v>
      </c>
      <c r="V133" s="224" t="s">
        <v>491</v>
      </c>
      <c r="W133" s="224"/>
      <c r="X133" s="224"/>
      <c r="Y133" s="224" t="s">
        <v>316</v>
      </c>
      <c r="Z133" s="224" t="s">
        <v>189</v>
      </c>
      <c r="AA133" s="222">
        <v>42859</v>
      </c>
      <c r="AB133" s="52" t="s">
        <v>127</v>
      </c>
      <c r="AC133" s="63">
        <f t="shared" si="8"/>
        <v>1</v>
      </c>
      <c r="AD133" s="226" t="s">
        <v>217</v>
      </c>
      <c r="AE133" s="221" t="s">
        <v>218</v>
      </c>
      <c r="AF133" s="52"/>
      <c r="AG133" s="52"/>
      <c r="AH133" s="64"/>
      <c r="AI133" s="117" t="s">
        <v>184</v>
      </c>
      <c r="AJ133" s="221"/>
      <c r="AK133" s="225" t="s">
        <v>920</v>
      </c>
      <c r="AL133" s="117" t="s">
        <v>645</v>
      </c>
      <c r="AM133" s="221"/>
    </row>
    <row r="134" spans="1:39" ht="12.75" hidden="1" customHeight="1">
      <c r="A134" s="147">
        <v>133</v>
      </c>
      <c r="B134" s="223">
        <v>194270</v>
      </c>
      <c r="C134" s="52" t="s">
        <v>121</v>
      </c>
      <c r="D134" s="57">
        <v>42857</v>
      </c>
      <c r="E134" s="58" t="s">
        <v>487</v>
      </c>
      <c r="F134" s="59">
        <v>42863</v>
      </c>
      <c r="G134" s="52">
        <f t="shared" si="7"/>
        <v>6</v>
      </c>
      <c r="H134" s="117" t="s">
        <v>363</v>
      </c>
      <c r="I134" s="223" t="s">
        <v>609</v>
      </c>
      <c r="J134" s="223" t="s">
        <v>612</v>
      </c>
      <c r="K134" s="94">
        <v>999</v>
      </c>
      <c r="L134" s="94">
        <v>999</v>
      </c>
      <c r="M134" s="96">
        <v>0</v>
      </c>
      <c r="N134" s="96">
        <v>0</v>
      </c>
      <c r="O134" s="93">
        <f t="shared" si="6"/>
        <v>939.06</v>
      </c>
      <c r="P134" s="61" t="s">
        <v>262</v>
      </c>
      <c r="Q134" s="119" t="s">
        <v>1342</v>
      </c>
      <c r="R134" s="146" t="s">
        <v>143</v>
      </c>
      <c r="S134" s="62" t="s">
        <v>465</v>
      </c>
      <c r="T134" s="221" t="s">
        <v>88</v>
      </c>
      <c r="U134" s="224" t="s">
        <v>488</v>
      </c>
      <c r="V134" s="224" t="s">
        <v>90</v>
      </c>
      <c r="W134" s="224"/>
      <c r="X134" s="224" t="s">
        <v>142</v>
      </c>
      <c r="Y134" s="224"/>
      <c r="Z134" s="224" t="s">
        <v>489</v>
      </c>
      <c r="AA134" s="221"/>
      <c r="AB134" s="52"/>
      <c r="AC134" s="63">
        <f t="shared" si="8"/>
        <v>1</v>
      </c>
      <c r="AD134" s="226"/>
      <c r="AE134" s="52"/>
      <c r="AF134" s="52"/>
      <c r="AG134" s="52" t="s">
        <v>142</v>
      </c>
      <c r="AH134" s="105" t="s">
        <v>443</v>
      </c>
      <c r="AI134" s="221"/>
      <c r="AJ134" s="221"/>
      <c r="AK134" s="221"/>
      <c r="AL134" s="221"/>
      <c r="AM134" s="221"/>
    </row>
    <row r="135" spans="1:39" ht="25.5" hidden="1" customHeight="1">
      <c r="A135" s="147">
        <v>134</v>
      </c>
      <c r="B135" s="223">
        <v>194556</v>
      </c>
      <c r="C135" s="52" t="s">
        <v>121</v>
      </c>
      <c r="D135" s="57">
        <v>42857</v>
      </c>
      <c r="E135" s="58" t="s">
        <v>487</v>
      </c>
      <c r="F135" s="59">
        <v>42867</v>
      </c>
      <c r="G135" s="146">
        <f t="shared" si="7"/>
        <v>10</v>
      </c>
      <c r="H135" s="52" t="s">
        <v>133</v>
      </c>
      <c r="I135" s="223" t="s">
        <v>609</v>
      </c>
      <c r="J135" s="223" t="s">
        <v>613</v>
      </c>
      <c r="K135" s="94">
        <v>4999</v>
      </c>
      <c r="L135" s="94">
        <v>4999</v>
      </c>
      <c r="M135" s="96">
        <v>0</v>
      </c>
      <c r="N135" s="96">
        <v>0</v>
      </c>
      <c r="O135" s="151">
        <f t="shared" si="6"/>
        <v>0</v>
      </c>
      <c r="P135" s="61" t="s">
        <v>263</v>
      </c>
      <c r="Q135" s="119" t="s">
        <v>1341</v>
      </c>
      <c r="R135" s="146" t="s">
        <v>134</v>
      </c>
      <c r="S135" s="62" t="s">
        <v>465</v>
      </c>
      <c r="T135" s="224" t="s">
        <v>164</v>
      </c>
      <c r="U135" s="224" t="s">
        <v>492</v>
      </c>
      <c r="V135" s="224" t="s">
        <v>494</v>
      </c>
      <c r="W135" s="224" t="s">
        <v>496</v>
      </c>
      <c r="X135" s="221"/>
      <c r="Y135" s="221"/>
      <c r="Z135" s="224" t="s">
        <v>202</v>
      </c>
      <c r="AA135" s="221"/>
      <c r="AB135" s="52"/>
      <c r="AC135" s="63">
        <f t="shared" si="8"/>
        <v>0</v>
      </c>
      <c r="AD135" s="226" t="s">
        <v>217</v>
      </c>
      <c r="AE135" s="221" t="s">
        <v>217</v>
      </c>
      <c r="AF135" s="52" t="s">
        <v>225</v>
      </c>
      <c r="AG135" s="52"/>
      <c r="AH135" s="64"/>
      <c r="AI135" s="117"/>
      <c r="AJ135" s="117"/>
      <c r="AK135" s="146"/>
      <c r="AL135" s="117"/>
      <c r="AM135" s="117"/>
    </row>
    <row r="136" spans="1:39" ht="12.75" hidden="1" customHeight="1">
      <c r="A136" s="147">
        <v>135</v>
      </c>
      <c r="B136" s="223">
        <v>194690</v>
      </c>
      <c r="C136" s="52" t="s">
        <v>121</v>
      </c>
      <c r="D136" s="57">
        <v>42857</v>
      </c>
      <c r="E136" s="58" t="s">
        <v>487</v>
      </c>
      <c r="F136" s="59">
        <v>42868</v>
      </c>
      <c r="G136" s="52">
        <f t="shared" si="7"/>
        <v>11</v>
      </c>
      <c r="H136" s="117" t="s">
        <v>363</v>
      </c>
      <c r="I136" s="223" t="s">
        <v>609</v>
      </c>
      <c r="J136" s="223" t="s">
        <v>611</v>
      </c>
      <c r="K136" s="94">
        <v>3499</v>
      </c>
      <c r="L136" s="94">
        <v>3499</v>
      </c>
      <c r="M136" s="96">
        <v>0</v>
      </c>
      <c r="N136" s="96">
        <v>0</v>
      </c>
      <c r="O136" s="93">
        <f t="shared" si="6"/>
        <v>3289.06</v>
      </c>
      <c r="P136" s="61" t="s">
        <v>264</v>
      </c>
      <c r="Q136" s="119" t="s">
        <v>1342</v>
      </c>
      <c r="R136" s="117" t="s">
        <v>134</v>
      </c>
      <c r="S136" s="62" t="s">
        <v>465</v>
      </c>
      <c r="T136" s="224" t="s">
        <v>164</v>
      </c>
      <c r="U136" s="224" t="s">
        <v>479</v>
      </c>
      <c r="V136" s="224" t="s">
        <v>90</v>
      </c>
      <c r="W136" s="224" t="s">
        <v>495</v>
      </c>
      <c r="X136" s="224"/>
      <c r="Y136" s="224"/>
      <c r="Z136" s="224" t="s">
        <v>202</v>
      </c>
      <c r="AA136" s="117"/>
      <c r="AB136" s="52"/>
      <c r="AC136" s="63">
        <f t="shared" si="8"/>
        <v>1</v>
      </c>
      <c r="AD136" s="226"/>
      <c r="AE136" s="52"/>
      <c r="AF136" s="52"/>
      <c r="AG136" s="52" t="s">
        <v>142</v>
      </c>
      <c r="AH136" s="105" t="s">
        <v>702</v>
      </c>
      <c r="AI136" s="221"/>
      <c r="AJ136" s="221"/>
      <c r="AK136" s="221"/>
      <c r="AL136" s="221"/>
      <c r="AM136" s="117"/>
    </row>
    <row r="137" spans="1:39" ht="12.75" hidden="1" customHeight="1">
      <c r="A137" s="147">
        <v>136</v>
      </c>
      <c r="B137" s="223">
        <v>192962</v>
      </c>
      <c r="C137" s="221" t="s">
        <v>121</v>
      </c>
      <c r="D137" s="57">
        <v>42858</v>
      </c>
      <c r="E137" s="58" t="s">
        <v>487</v>
      </c>
      <c r="F137" s="222">
        <v>42859</v>
      </c>
      <c r="G137" s="221">
        <f t="shared" si="7"/>
        <v>1</v>
      </c>
      <c r="H137" s="221" t="s">
        <v>133</v>
      </c>
      <c r="I137" s="223" t="s">
        <v>609</v>
      </c>
      <c r="J137" s="223" t="s">
        <v>611</v>
      </c>
      <c r="K137" s="94">
        <v>4249</v>
      </c>
      <c r="L137" s="94">
        <v>4249</v>
      </c>
      <c r="M137" s="97">
        <v>350</v>
      </c>
      <c r="N137" s="96">
        <v>0</v>
      </c>
      <c r="O137" s="227">
        <f t="shared" si="6"/>
        <v>3644.06</v>
      </c>
      <c r="P137" s="224" t="s">
        <v>264</v>
      </c>
      <c r="Q137" s="224" t="s">
        <v>1342</v>
      </c>
      <c r="R137" s="221" t="s">
        <v>134</v>
      </c>
      <c r="S137" s="225" t="s">
        <v>465</v>
      </c>
      <c r="T137" s="224" t="s">
        <v>164</v>
      </c>
      <c r="U137" s="224" t="s">
        <v>492</v>
      </c>
      <c r="V137" s="224" t="s">
        <v>90</v>
      </c>
      <c r="W137" s="224" t="s">
        <v>497</v>
      </c>
      <c r="X137" s="221"/>
      <c r="Y137" s="224" t="s">
        <v>316</v>
      </c>
      <c r="Z137" s="224" t="s">
        <v>202</v>
      </c>
      <c r="AA137" s="222">
        <v>42858</v>
      </c>
      <c r="AB137" s="221" t="s">
        <v>140</v>
      </c>
      <c r="AC137" s="63">
        <f t="shared" si="8"/>
        <v>1</v>
      </c>
      <c r="AD137" s="226" t="s">
        <v>217</v>
      </c>
      <c r="AE137" s="221" t="s">
        <v>218</v>
      </c>
      <c r="AF137" s="221"/>
      <c r="AG137" s="221" t="s">
        <v>142</v>
      </c>
      <c r="AH137" s="64"/>
      <c r="AI137" s="221" t="s">
        <v>184</v>
      </c>
      <c r="AJ137" s="221"/>
      <c r="AK137" s="225" t="s">
        <v>926</v>
      </c>
      <c r="AL137" s="221" t="s">
        <v>645</v>
      </c>
      <c r="AM137" s="221"/>
    </row>
    <row r="138" spans="1:39" ht="25.5" hidden="1" customHeight="1">
      <c r="A138" s="147">
        <v>137</v>
      </c>
      <c r="B138" s="223">
        <v>193914</v>
      </c>
      <c r="C138" s="52" t="s">
        <v>121</v>
      </c>
      <c r="D138" s="57">
        <v>42858</v>
      </c>
      <c r="E138" s="58" t="s">
        <v>487</v>
      </c>
      <c r="F138" s="59">
        <v>42860</v>
      </c>
      <c r="G138" s="52">
        <f t="shared" si="7"/>
        <v>2</v>
      </c>
      <c r="H138" s="224" t="s">
        <v>133</v>
      </c>
      <c r="I138" s="223" t="s">
        <v>609</v>
      </c>
      <c r="J138" s="223" t="s">
        <v>610</v>
      </c>
      <c r="K138" s="94">
        <v>1599</v>
      </c>
      <c r="L138" s="94">
        <v>1599</v>
      </c>
      <c r="M138" s="96">
        <v>0</v>
      </c>
      <c r="N138" s="96">
        <v>0</v>
      </c>
      <c r="O138" s="151">
        <f t="shared" si="6"/>
        <v>0</v>
      </c>
      <c r="P138" s="61" t="s">
        <v>264</v>
      </c>
      <c r="Q138" s="119" t="s">
        <v>1342</v>
      </c>
      <c r="R138" s="224" t="s">
        <v>122</v>
      </c>
      <c r="S138" s="225" t="s">
        <v>469</v>
      </c>
      <c r="T138" s="224" t="s">
        <v>164</v>
      </c>
      <c r="U138" s="224" t="s">
        <v>493</v>
      </c>
      <c r="V138" s="222" t="s">
        <v>169</v>
      </c>
      <c r="W138" s="224" t="s">
        <v>498</v>
      </c>
      <c r="X138" s="221"/>
      <c r="Y138" s="221"/>
      <c r="Z138" s="224" t="s">
        <v>202</v>
      </c>
      <c r="AA138" s="221"/>
      <c r="AB138" s="52"/>
      <c r="AC138" s="63">
        <f t="shared" si="8"/>
        <v>0</v>
      </c>
      <c r="AD138" s="226" t="s">
        <v>217</v>
      </c>
      <c r="AE138" s="221" t="s">
        <v>217</v>
      </c>
      <c r="AF138" s="148" t="s">
        <v>1625</v>
      </c>
      <c r="AG138" s="52"/>
      <c r="AH138" s="64"/>
      <c r="AI138" s="221"/>
      <c r="AJ138" s="221"/>
      <c r="AK138" s="221"/>
      <c r="AL138" s="221"/>
      <c r="AM138" s="221"/>
    </row>
    <row r="139" spans="1:39" ht="38.25" hidden="1" customHeight="1">
      <c r="A139" s="147">
        <v>138</v>
      </c>
      <c r="B139" s="170">
        <v>194148</v>
      </c>
      <c r="C139" s="146" t="s">
        <v>128</v>
      </c>
      <c r="D139" s="57">
        <v>42858</v>
      </c>
      <c r="E139" s="58" t="s">
        <v>487</v>
      </c>
      <c r="F139" s="59">
        <v>42865</v>
      </c>
      <c r="G139" s="52">
        <f t="shared" si="7"/>
        <v>7</v>
      </c>
      <c r="H139" s="224" t="s">
        <v>133</v>
      </c>
      <c r="I139" s="223" t="s">
        <v>609</v>
      </c>
      <c r="J139" s="223" t="s">
        <v>611</v>
      </c>
      <c r="K139" s="94">
        <v>1399</v>
      </c>
      <c r="L139" s="94">
        <v>1399</v>
      </c>
      <c r="M139" s="97">
        <v>550</v>
      </c>
      <c r="N139" s="96">
        <v>0</v>
      </c>
      <c r="O139" s="93">
        <f t="shared" si="6"/>
        <v>765.06</v>
      </c>
      <c r="P139" s="224" t="s">
        <v>264</v>
      </c>
      <c r="Q139" s="224" t="s">
        <v>1342</v>
      </c>
      <c r="R139" s="221" t="s">
        <v>335</v>
      </c>
      <c r="S139" s="225" t="s">
        <v>466</v>
      </c>
      <c r="T139" s="221" t="s">
        <v>405</v>
      </c>
      <c r="U139" s="224" t="s">
        <v>499</v>
      </c>
      <c r="V139" s="148" t="s">
        <v>257</v>
      </c>
      <c r="W139" s="224" t="s">
        <v>500</v>
      </c>
      <c r="X139" s="221" t="s">
        <v>141</v>
      </c>
      <c r="Y139" s="224" t="s">
        <v>316</v>
      </c>
      <c r="Z139" s="221" t="s">
        <v>259</v>
      </c>
      <c r="AA139" s="118">
        <v>42858</v>
      </c>
      <c r="AB139" s="52" t="s">
        <v>127</v>
      </c>
      <c r="AC139" s="63">
        <f t="shared" si="8"/>
        <v>1</v>
      </c>
      <c r="AD139" s="226" t="s">
        <v>217</v>
      </c>
      <c r="AE139" s="221" t="s">
        <v>218</v>
      </c>
      <c r="AF139" s="52"/>
      <c r="AG139" s="52"/>
      <c r="AH139" s="76" t="s">
        <v>585</v>
      </c>
      <c r="AI139" s="117" t="s">
        <v>184</v>
      </c>
      <c r="AJ139" s="221"/>
      <c r="AK139" s="225" t="s">
        <v>587</v>
      </c>
      <c r="AL139" s="117" t="s">
        <v>645</v>
      </c>
      <c r="AM139" s="146"/>
    </row>
    <row r="140" spans="1:39" ht="12.75" hidden="1" customHeight="1">
      <c r="A140" s="147">
        <v>139</v>
      </c>
      <c r="B140" s="223">
        <v>194246</v>
      </c>
      <c r="C140" s="52" t="s">
        <v>128</v>
      </c>
      <c r="D140" s="57">
        <v>42858</v>
      </c>
      <c r="E140" s="58" t="s">
        <v>487</v>
      </c>
      <c r="F140" s="59">
        <v>42864</v>
      </c>
      <c r="G140" s="52">
        <f t="shared" si="7"/>
        <v>6</v>
      </c>
      <c r="H140" s="221" t="s">
        <v>133</v>
      </c>
      <c r="I140" s="223" t="s">
        <v>609</v>
      </c>
      <c r="J140" s="223" t="s">
        <v>612</v>
      </c>
      <c r="K140" s="94">
        <v>1099</v>
      </c>
      <c r="L140" s="94">
        <v>1099</v>
      </c>
      <c r="M140" s="96">
        <v>0</v>
      </c>
      <c r="N140" s="96">
        <v>0</v>
      </c>
      <c r="O140" s="151">
        <f t="shared" si="6"/>
        <v>0</v>
      </c>
      <c r="P140" s="224" t="s">
        <v>264</v>
      </c>
      <c r="Q140" s="224" t="s">
        <v>1342</v>
      </c>
      <c r="R140" s="224" t="s">
        <v>254</v>
      </c>
      <c r="S140" s="225" t="s">
        <v>466</v>
      </c>
      <c r="T140" s="224" t="s">
        <v>338</v>
      </c>
      <c r="U140" s="224" t="s">
        <v>508</v>
      </c>
      <c r="V140" s="148" t="s">
        <v>257</v>
      </c>
      <c r="W140" s="224" t="s">
        <v>509</v>
      </c>
      <c r="X140" s="221" t="s">
        <v>141</v>
      </c>
      <c r="Y140" s="221"/>
      <c r="Z140" s="224" t="s">
        <v>510</v>
      </c>
      <c r="AA140" s="221"/>
      <c r="AB140" s="52"/>
      <c r="AC140" s="63">
        <f t="shared" si="8"/>
        <v>0</v>
      </c>
      <c r="AD140" s="226" t="s">
        <v>217</v>
      </c>
      <c r="AE140" s="221" t="s">
        <v>217</v>
      </c>
      <c r="AF140" s="148" t="s">
        <v>1625</v>
      </c>
      <c r="AG140" s="52" t="s">
        <v>142</v>
      </c>
      <c r="AH140" s="64"/>
      <c r="AI140" s="117"/>
      <c r="AJ140" s="221"/>
      <c r="AK140" s="221"/>
      <c r="AL140" s="117"/>
      <c r="AM140" s="221"/>
    </row>
    <row r="141" spans="1:39" ht="12.75" hidden="1" customHeight="1">
      <c r="A141" s="147">
        <v>140</v>
      </c>
      <c r="B141" s="223">
        <v>194430</v>
      </c>
      <c r="C141" s="52" t="s">
        <v>128</v>
      </c>
      <c r="D141" s="57">
        <v>42858</v>
      </c>
      <c r="E141" s="58" t="s">
        <v>487</v>
      </c>
      <c r="F141" s="59">
        <v>42874</v>
      </c>
      <c r="G141" s="52">
        <f t="shared" si="7"/>
        <v>16</v>
      </c>
      <c r="H141" s="224" t="s">
        <v>133</v>
      </c>
      <c r="I141" s="223" t="s">
        <v>609</v>
      </c>
      <c r="J141" s="223" t="s">
        <v>611</v>
      </c>
      <c r="K141" s="94">
        <v>1099</v>
      </c>
      <c r="L141" s="94">
        <v>1099</v>
      </c>
      <c r="M141" s="97">
        <v>575</v>
      </c>
      <c r="N141" s="96">
        <v>0</v>
      </c>
      <c r="O141" s="93">
        <f t="shared" si="6"/>
        <v>458.05999999999995</v>
      </c>
      <c r="P141" s="224" t="s">
        <v>262</v>
      </c>
      <c r="Q141" s="224" t="s">
        <v>1342</v>
      </c>
      <c r="R141" s="221" t="s">
        <v>335</v>
      </c>
      <c r="S141" s="225" t="s">
        <v>466</v>
      </c>
      <c r="T141" s="224" t="s">
        <v>338</v>
      </c>
      <c r="U141" s="224" t="s">
        <v>505</v>
      </c>
      <c r="V141" s="148" t="s">
        <v>257</v>
      </c>
      <c r="W141" s="224" t="s">
        <v>507</v>
      </c>
      <c r="X141" s="221"/>
      <c r="Y141" s="221" t="s">
        <v>316</v>
      </c>
      <c r="Z141" s="221" t="s">
        <v>1146</v>
      </c>
      <c r="AA141" s="222">
        <v>42859</v>
      </c>
      <c r="AB141" s="52" t="s">
        <v>140</v>
      </c>
      <c r="AC141" s="63">
        <f t="shared" si="8"/>
        <v>1</v>
      </c>
      <c r="AD141" s="226" t="s">
        <v>217</v>
      </c>
      <c r="AE141" s="221" t="s">
        <v>218</v>
      </c>
      <c r="AF141" s="52"/>
      <c r="AG141" s="52"/>
      <c r="AH141" s="64"/>
      <c r="AI141" s="117" t="s">
        <v>184</v>
      </c>
      <c r="AJ141" s="221"/>
      <c r="AK141" s="225" t="s">
        <v>588</v>
      </c>
      <c r="AL141" s="117" t="s">
        <v>645</v>
      </c>
      <c r="AM141" s="221"/>
    </row>
    <row r="142" spans="1:39" ht="12.75" hidden="1" customHeight="1">
      <c r="A142" s="147">
        <v>141</v>
      </c>
      <c r="B142" s="223">
        <v>194435</v>
      </c>
      <c r="C142" s="52" t="s">
        <v>86</v>
      </c>
      <c r="D142" s="57">
        <v>42858</v>
      </c>
      <c r="E142" s="58" t="s">
        <v>487</v>
      </c>
      <c r="F142" s="59">
        <v>42870</v>
      </c>
      <c r="G142" s="146">
        <f t="shared" si="7"/>
        <v>12</v>
      </c>
      <c r="H142" s="146" t="s">
        <v>363</v>
      </c>
      <c r="I142" s="223" t="s">
        <v>609</v>
      </c>
      <c r="J142" s="223" t="s">
        <v>611</v>
      </c>
      <c r="K142" s="94">
        <v>2999</v>
      </c>
      <c r="L142" s="94">
        <v>2999</v>
      </c>
      <c r="M142" s="96">
        <v>0</v>
      </c>
      <c r="N142" s="96">
        <v>0</v>
      </c>
      <c r="O142" s="93">
        <f t="shared" si="6"/>
        <v>2819.06</v>
      </c>
      <c r="P142" s="224" t="s">
        <v>264</v>
      </c>
      <c r="Q142" s="224" t="s">
        <v>1342</v>
      </c>
      <c r="R142" s="221" t="s">
        <v>134</v>
      </c>
      <c r="S142" s="62" t="s">
        <v>465</v>
      </c>
      <c r="T142" s="221" t="s">
        <v>88</v>
      </c>
      <c r="U142" s="224" t="s">
        <v>504</v>
      </c>
      <c r="V142" s="224" t="s">
        <v>506</v>
      </c>
      <c r="W142" s="224"/>
      <c r="X142" s="52"/>
      <c r="Y142" s="52"/>
      <c r="Z142" s="224" t="s">
        <v>189</v>
      </c>
      <c r="AA142" s="221"/>
      <c r="AB142" s="52"/>
      <c r="AC142" s="63">
        <f t="shared" si="8"/>
        <v>1</v>
      </c>
      <c r="AD142" s="226" t="s">
        <v>217</v>
      </c>
      <c r="AE142" s="221" t="s">
        <v>218</v>
      </c>
      <c r="AF142" s="52"/>
      <c r="AG142" s="52" t="s">
        <v>142</v>
      </c>
      <c r="AH142" s="64"/>
      <c r="AI142" s="117"/>
      <c r="AJ142" s="221"/>
      <c r="AK142" s="146"/>
      <c r="AL142" s="117"/>
      <c r="AM142" s="221"/>
    </row>
    <row r="143" spans="1:39" ht="12.75" hidden="1" customHeight="1">
      <c r="A143" s="147">
        <v>142</v>
      </c>
      <c r="B143" s="223">
        <v>194676</v>
      </c>
      <c r="C143" s="221" t="s">
        <v>128</v>
      </c>
      <c r="D143" s="57">
        <v>42858</v>
      </c>
      <c r="E143" s="58" t="s">
        <v>487</v>
      </c>
      <c r="F143" s="222">
        <v>42864</v>
      </c>
      <c r="G143" s="221">
        <f t="shared" si="7"/>
        <v>6</v>
      </c>
      <c r="H143" s="221" t="s">
        <v>133</v>
      </c>
      <c r="I143" s="223" t="s">
        <v>609</v>
      </c>
      <c r="J143" s="223" t="s">
        <v>610</v>
      </c>
      <c r="K143" s="94">
        <v>2184.0500000000002</v>
      </c>
      <c r="L143" s="94">
        <v>2184.0500000000002</v>
      </c>
      <c r="M143" s="96">
        <v>0</v>
      </c>
      <c r="N143" s="96">
        <v>0</v>
      </c>
      <c r="O143" s="151">
        <f t="shared" ref="O143:O206" si="9">IF(AE143="Reemplazo",0,K143-(K143*0.12*0.5)-(MAX(M143,N143)))</f>
        <v>0</v>
      </c>
      <c r="P143" s="224" t="s">
        <v>264</v>
      </c>
      <c r="Q143" s="224" t="s">
        <v>1342</v>
      </c>
      <c r="R143" s="224" t="s">
        <v>501</v>
      </c>
      <c r="S143" s="225" t="s">
        <v>466</v>
      </c>
      <c r="T143" s="221" t="s">
        <v>405</v>
      </c>
      <c r="U143" s="224" t="s">
        <v>502</v>
      </c>
      <c r="V143" s="224" t="s">
        <v>222</v>
      </c>
      <c r="W143" s="224" t="s">
        <v>503</v>
      </c>
      <c r="X143" s="221"/>
      <c r="Y143" s="221"/>
      <c r="Z143" s="221" t="s">
        <v>259</v>
      </c>
      <c r="AA143" s="221"/>
      <c r="AB143" s="221"/>
      <c r="AC143" s="63">
        <f t="shared" si="8"/>
        <v>0</v>
      </c>
      <c r="AD143" s="226" t="s">
        <v>217</v>
      </c>
      <c r="AE143" s="221" t="s">
        <v>217</v>
      </c>
      <c r="AF143" s="52" t="s">
        <v>225</v>
      </c>
      <c r="AG143" s="221" t="s">
        <v>142</v>
      </c>
      <c r="AH143" s="64"/>
      <c r="AI143" s="221"/>
      <c r="AJ143" s="221"/>
      <c r="AK143" s="221"/>
      <c r="AL143" s="221"/>
      <c r="AM143" s="221"/>
    </row>
    <row r="144" spans="1:39" ht="25.5" hidden="1" customHeight="1">
      <c r="A144" s="147">
        <v>143</v>
      </c>
      <c r="B144" s="223">
        <v>194725</v>
      </c>
      <c r="C144" s="52" t="s">
        <v>86</v>
      </c>
      <c r="D144" s="57">
        <v>42858</v>
      </c>
      <c r="E144" s="58" t="s">
        <v>487</v>
      </c>
      <c r="F144" s="59">
        <v>42870</v>
      </c>
      <c r="G144" s="146">
        <f t="shared" si="7"/>
        <v>12</v>
      </c>
      <c r="H144" s="52" t="s">
        <v>133</v>
      </c>
      <c r="I144" s="223" t="s">
        <v>609</v>
      </c>
      <c r="J144" s="223" t="s">
        <v>614</v>
      </c>
      <c r="K144" s="94">
        <v>9999</v>
      </c>
      <c r="L144" s="94">
        <v>9999</v>
      </c>
      <c r="M144" s="96">
        <v>0</v>
      </c>
      <c r="N144" s="96">
        <v>0</v>
      </c>
      <c r="O144" s="151">
        <f t="shared" si="9"/>
        <v>0</v>
      </c>
      <c r="P144" s="224" t="s">
        <v>263</v>
      </c>
      <c r="Q144" s="224" t="s">
        <v>1341</v>
      </c>
      <c r="R144" s="224" t="s">
        <v>122</v>
      </c>
      <c r="S144" s="225" t="s">
        <v>469</v>
      </c>
      <c r="T144" s="224" t="s">
        <v>114</v>
      </c>
      <c r="U144" s="224" t="s">
        <v>444</v>
      </c>
      <c r="V144" s="224" t="s">
        <v>222</v>
      </c>
      <c r="W144" s="224"/>
      <c r="X144" s="52"/>
      <c r="Y144" s="221"/>
      <c r="Z144" s="224" t="s">
        <v>170</v>
      </c>
      <c r="AA144" s="221"/>
      <c r="AB144" s="52"/>
      <c r="AC144" s="63">
        <f t="shared" si="8"/>
        <v>0</v>
      </c>
      <c r="AD144" s="226" t="s">
        <v>217</v>
      </c>
      <c r="AE144" s="221" t="s">
        <v>217</v>
      </c>
      <c r="AF144" s="52" t="s">
        <v>225</v>
      </c>
      <c r="AG144" s="52" t="s">
        <v>142</v>
      </c>
      <c r="AH144" s="106"/>
      <c r="AI144" s="117"/>
      <c r="AJ144" s="221"/>
      <c r="AK144" s="221"/>
      <c r="AL144" s="117"/>
      <c r="AM144" s="221"/>
    </row>
    <row r="145" spans="1:39" ht="12.75" hidden="1" customHeight="1">
      <c r="A145" s="147">
        <v>144</v>
      </c>
      <c r="B145" s="223">
        <v>194778</v>
      </c>
      <c r="C145" s="52" t="s">
        <v>86</v>
      </c>
      <c r="D145" s="57">
        <v>42858</v>
      </c>
      <c r="E145" s="58" t="s">
        <v>487</v>
      </c>
      <c r="F145" s="59">
        <v>42870</v>
      </c>
      <c r="G145" s="146">
        <f t="shared" si="7"/>
        <v>12</v>
      </c>
      <c r="H145" s="221" t="s">
        <v>363</v>
      </c>
      <c r="I145" s="223" t="s">
        <v>609</v>
      </c>
      <c r="J145" s="223" t="s">
        <v>611</v>
      </c>
      <c r="K145" s="94">
        <v>2840</v>
      </c>
      <c r="L145" s="94">
        <v>2840</v>
      </c>
      <c r="M145" s="96">
        <v>0</v>
      </c>
      <c r="N145" s="96">
        <v>0</v>
      </c>
      <c r="O145" s="93">
        <f t="shared" si="9"/>
        <v>2669.6</v>
      </c>
      <c r="P145" s="224" t="s">
        <v>264</v>
      </c>
      <c r="Q145" s="224" t="s">
        <v>1342</v>
      </c>
      <c r="R145" s="221" t="s">
        <v>134</v>
      </c>
      <c r="S145" s="62" t="s">
        <v>465</v>
      </c>
      <c r="T145" s="221" t="s">
        <v>88</v>
      </c>
      <c r="U145" s="224" t="s">
        <v>1461</v>
      </c>
      <c r="V145" s="221" t="s">
        <v>429</v>
      </c>
      <c r="W145" s="224"/>
      <c r="X145" s="117"/>
      <c r="Y145" s="117"/>
      <c r="Z145" s="224" t="s">
        <v>189</v>
      </c>
      <c r="AA145" s="221"/>
      <c r="AB145" s="52"/>
      <c r="AC145" s="63">
        <f t="shared" si="8"/>
        <v>1</v>
      </c>
      <c r="AD145" s="226" t="s">
        <v>217</v>
      </c>
      <c r="AE145" s="221" t="s">
        <v>218</v>
      </c>
      <c r="AF145" s="52"/>
      <c r="AG145" s="52" t="s">
        <v>142</v>
      </c>
      <c r="AH145" s="64"/>
      <c r="AI145" s="117"/>
      <c r="AJ145" s="221"/>
      <c r="AK145" s="146"/>
      <c r="AL145" s="117"/>
      <c r="AM145" s="221"/>
    </row>
    <row r="146" spans="1:39" ht="12.75" hidden="1" customHeight="1">
      <c r="A146" s="147">
        <v>145</v>
      </c>
      <c r="B146" s="223">
        <v>194865</v>
      </c>
      <c r="C146" s="52" t="s">
        <v>86</v>
      </c>
      <c r="D146" s="57">
        <v>42858</v>
      </c>
      <c r="E146" s="58" t="s">
        <v>487</v>
      </c>
      <c r="F146" s="59">
        <v>42870</v>
      </c>
      <c r="G146" s="52">
        <f t="shared" si="7"/>
        <v>12</v>
      </c>
      <c r="H146" s="221" t="s">
        <v>133</v>
      </c>
      <c r="I146" s="223" t="s">
        <v>609</v>
      </c>
      <c r="J146" s="223" t="s">
        <v>612</v>
      </c>
      <c r="K146" s="94">
        <v>2199</v>
      </c>
      <c r="L146" s="94">
        <v>2199</v>
      </c>
      <c r="M146" s="96">
        <v>0</v>
      </c>
      <c r="N146" s="96">
        <v>0</v>
      </c>
      <c r="O146" s="151">
        <f t="shared" si="9"/>
        <v>0</v>
      </c>
      <c r="P146" s="224" t="s">
        <v>264</v>
      </c>
      <c r="Q146" s="224" t="s">
        <v>1342</v>
      </c>
      <c r="R146" s="224" t="s">
        <v>122</v>
      </c>
      <c r="S146" s="225" t="s">
        <v>469</v>
      </c>
      <c r="T146" s="224" t="s">
        <v>114</v>
      </c>
      <c r="U146" s="224" t="s">
        <v>458</v>
      </c>
      <c r="V146" s="224" t="s">
        <v>222</v>
      </c>
      <c r="W146" s="224"/>
      <c r="X146" s="117"/>
      <c r="Y146" s="221"/>
      <c r="Z146" s="224" t="s">
        <v>170</v>
      </c>
      <c r="AA146" s="221"/>
      <c r="AB146" s="52"/>
      <c r="AC146" s="63">
        <f t="shared" si="8"/>
        <v>0</v>
      </c>
      <c r="AD146" s="226" t="s">
        <v>217</v>
      </c>
      <c r="AE146" s="221" t="s">
        <v>217</v>
      </c>
      <c r="AF146" s="52" t="s">
        <v>225</v>
      </c>
      <c r="AG146" s="52" t="s">
        <v>142</v>
      </c>
      <c r="AH146" s="64"/>
      <c r="AI146" s="117"/>
      <c r="AJ146" s="221"/>
      <c r="AK146" s="221"/>
      <c r="AL146" s="117"/>
      <c r="AM146" s="221"/>
    </row>
    <row r="147" spans="1:39" ht="12.75" hidden="1" customHeight="1">
      <c r="A147" s="147">
        <v>146</v>
      </c>
      <c r="B147" s="223">
        <v>194292</v>
      </c>
      <c r="C147" s="52" t="s">
        <v>128</v>
      </c>
      <c r="D147" s="57">
        <v>42859</v>
      </c>
      <c r="E147" s="58" t="s">
        <v>487</v>
      </c>
      <c r="F147" s="59">
        <v>42880</v>
      </c>
      <c r="G147" s="52">
        <f t="shared" si="7"/>
        <v>21</v>
      </c>
      <c r="H147" s="224" t="s">
        <v>133</v>
      </c>
      <c r="I147" s="223" t="s">
        <v>609</v>
      </c>
      <c r="J147" s="223" t="s">
        <v>611</v>
      </c>
      <c r="K147" s="94">
        <v>1799</v>
      </c>
      <c r="L147" s="94">
        <v>1799</v>
      </c>
      <c r="M147" s="97">
        <v>470</v>
      </c>
      <c r="N147" s="96">
        <v>0</v>
      </c>
      <c r="O147" s="93">
        <f t="shared" si="9"/>
        <v>1221.06</v>
      </c>
      <c r="P147" s="61" t="s">
        <v>261</v>
      </c>
      <c r="Q147" s="119" t="s">
        <v>1341</v>
      </c>
      <c r="R147" s="221" t="s">
        <v>335</v>
      </c>
      <c r="S147" s="225" t="s">
        <v>466</v>
      </c>
      <c r="T147" s="224" t="s">
        <v>338</v>
      </c>
      <c r="U147" s="224" t="s">
        <v>512</v>
      </c>
      <c r="V147" s="224" t="s">
        <v>222</v>
      </c>
      <c r="W147" s="224" t="s">
        <v>513</v>
      </c>
      <c r="X147" s="117"/>
      <c r="Y147" s="117" t="s">
        <v>316</v>
      </c>
      <c r="Z147" s="224" t="s">
        <v>339</v>
      </c>
      <c r="AA147" s="222">
        <v>42859</v>
      </c>
      <c r="AB147" s="52" t="s">
        <v>195</v>
      </c>
      <c r="AC147" s="63">
        <f t="shared" si="8"/>
        <v>1</v>
      </c>
      <c r="AD147" s="226" t="s">
        <v>217</v>
      </c>
      <c r="AE147" s="221" t="s">
        <v>218</v>
      </c>
      <c r="AF147" s="52"/>
      <c r="AG147" s="52"/>
      <c r="AH147" s="64"/>
      <c r="AI147" s="117" t="s">
        <v>184</v>
      </c>
      <c r="AJ147" s="117"/>
      <c r="AK147" s="225" t="s">
        <v>923</v>
      </c>
      <c r="AL147" s="117" t="s">
        <v>645</v>
      </c>
      <c r="AM147" s="117"/>
    </row>
    <row r="148" spans="1:39" ht="12.75" hidden="1" customHeight="1">
      <c r="A148" s="147">
        <v>147</v>
      </c>
      <c r="B148" s="223">
        <v>194465</v>
      </c>
      <c r="C148" s="52" t="s">
        <v>121</v>
      </c>
      <c r="D148" s="57">
        <v>42859</v>
      </c>
      <c r="E148" s="58" t="s">
        <v>487</v>
      </c>
      <c r="F148" s="59">
        <v>42868</v>
      </c>
      <c r="G148" s="52">
        <f t="shared" si="7"/>
        <v>9</v>
      </c>
      <c r="H148" s="221" t="s">
        <v>133</v>
      </c>
      <c r="I148" s="223" t="s">
        <v>609</v>
      </c>
      <c r="J148" s="223" t="s">
        <v>612</v>
      </c>
      <c r="K148" s="94">
        <v>1899</v>
      </c>
      <c r="L148" s="94">
        <v>1899</v>
      </c>
      <c r="M148" s="96">
        <v>0</v>
      </c>
      <c r="N148" s="96">
        <v>0</v>
      </c>
      <c r="O148" s="151">
        <f t="shared" si="9"/>
        <v>0</v>
      </c>
      <c r="P148" s="61" t="s">
        <v>262</v>
      </c>
      <c r="Q148" s="119" t="s">
        <v>1342</v>
      </c>
      <c r="R148" s="117" t="s">
        <v>143</v>
      </c>
      <c r="S148" s="62" t="s">
        <v>465</v>
      </c>
      <c r="T148" s="224" t="s">
        <v>164</v>
      </c>
      <c r="U148" s="224" t="s">
        <v>518</v>
      </c>
      <c r="V148" s="224" t="s">
        <v>519</v>
      </c>
      <c r="W148" s="224" t="s">
        <v>520</v>
      </c>
      <c r="X148" s="117"/>
      <c r="Y148" s="117"/>
      <c r="Z148" s="117" t="s">
        <v>202</v>
      </c>
      <c r="AA148" s="221"/>
      <c r="AB148" s="52"/>
      <c r="AC148" s="63">
        <f t="shared" si="8"/>
        <v>0</v>
      </c>
      <c r="AD148" s="226" t="s">
        <v>217</v>
      </c>
      <c r="AE148" s="221" t="s">
        <v>217</v>
      </c>
      <c r="AF148" s="52" t="s">
        <v>225</v>
      </c>
      <c r="AG148" s="52" t="s">
        <v>343</v>
      </c>
      <c r="AH148" s="64"/>
      <c r="AI148" s="117"/>
      <c r="AJ148" s="221"/>
      <c r="AK148" s="221"/>
      <c r="AL148" s="117"/>
      <c r="AM148" s="221"/>
    </row>
    <row r="149" spans="1:39" ht="12.75" hidden="1" customHeight="1">
      <c r="A149" s="147">
        <v>148</v>
      </c>
      <c r="B149" s="223">
        <v>194594</v>
      </c>
      <c r="C149" s="52" t="s">
        <v>86</v>
      </c>
      <c r="D149" s="57">
        <v>42859</v>
      </c>
      <c r="E149" s="58" t="s">
        <v>487</v>
      </c>
      <c r="F149" s="59">
        <v>42867</v>
      </c>
      <c r="G149" s="52">
        <f t="shared" si="7"/>
        <v>8</v>
      </c>
      <c r="H149" s="52" t="s">
        <v>363</v>
      </c>
      <c r="I149" s="223" t="s">
        <v>609</v>
      </c>
      <c r="J149" s="223" t="s">
        <v>611</v>
      </c>
      <c r="K149" s="94">
        <v>1499</v>
      </c>
      <c r="L149" s="94">
        <v>1499</v>
      </c>
      <c r="M149" s="96">
        <v>170</v>
      </c>
      <c r="N149" s="231">
        <v>17.5</v>
      </c>
      <c r="O149" s="93">
        <f t="shared" si="9"/>
        <v>1239.06</v>
      </c>
      <c r="P149" s="224" t="s">
        <v>264</v>
      </c>
      <c r="Q149" s="224" t="s">
        <v>1342</v>
      </c>
      <c r="R149" s="222" t="s">
        <v>293</v>
      </c>
      <c r="S149" s="225" t="s">
        <v>469</v>
      </c>
      <c r="T149" s="224" t="s">
        <v>114</v>
      </c>
      <c r="U149" s="224" t="s">
        <v>515</v>
      </c>
      <c r="V149" s="224" t="s">
        <v>293</v>
      </c>
      <c r="W149" s="224" t="s">
        <v>516</v>
      </c>
      <c r="X149" s="117" t="s">
        <v>141</v>
      </c>
      <c r="Y149" s="146" t="s">
        <v>316</v>
      </c>
      <c r="Z149" s="221" t="s">
        <v>170</v>
      </c>
      <c r="AA149" s="222">
        <v>42859</v>
      </c>
      <c r="AB149" s="52" t="s">
        <v>127</v>
      </c>
      <c r="AC149" s="63">
        <f t="shared" si="8"/>
        <v>1</v>
      </c>
      <c r="AD149" s="226" t="s">
        <v>32</v>
      </c>
      <c r="AE149" s="221" t="s">
        <v>218</v>
      </c>
      <c r="AF149" s="52"/>
      <c r="AG149" s="52" t="s">
        <v>142</v>
      </c>
      <c r="AH149" s="64"/>
      <c r="AI149" s="146" t="s">
        <v>184</v>
      </c>
      <c r="AJ149" s="221"/>
      <c r="AK149" s="225" t="s">
        <v>930</v>
      </c>
      <c r="AL149" s="146" t="s">
        <v>645</v>
      </c>
      <c r="AM149" s="221"/>
    </row>
    <row r="150" spans="1:39" ht="25.5" hidden="1" customHeight="1">
      <c r="A150" s="147">
        <v>149</v>
      </c>
      <c r="B150" s="223">
        <v>194610</v>
      </c>
      <c r="C150" s="52" t="s">
        <v>128</v>
      </c>
      <c r="D150" s="57">
        <v>42859</v>
      </c>
      <c r="E150" s="58" t="s">
        <v>487</v>
      </c>
      <c r="F150" s="59">
        <v>42884</v>
      </c>
      <c r="G150" s="52">
        <f t="shared" si="7"/>
        <v>25</v>
      </c>
      <c r="H150" s="52" t="s">
        <v>133</v>
      </c>
      <c r="I150" s="223" t="s">
        <v>609</v>
      </c>
      <c r="J150" s="223" t="s">
        <v>614</v>
      </c>
      <c r="K150" s="94">
        <v>2499</v>
      </c>
      <c r="L150" s="94">
        <v>2499</v>
      </c>
      <c r="M150" s="96">
        <v>0</v>
      </c>
      <c r="N150" s="96">
        <v>0</v>
      </c>
      <c r="O150" s="151">
        <f t="shared" si="9"/>
        <v>0</v>
      </c>
      <c r="P150" s="224" t="s">
        <v>263</v>
      </c>
      <c r="Q150" s="224" t="s">
        <v>1341</v>
      </c>
      <c r="R150" s="224" t="s">
        <v>254</v>
      </c>
      <c r="S150" s="225" t="s">
        <v>466</v>
      </c>
      <c r="T150" s="148" t="s">
        <v>255</v>
      </c>
      <c r="U150" s="224" t="s">
        <v>511</v>
      </c>
      <c r="V150" s="224" t="s">
        <v>222</v>
      </c>
      <c r="W150" s="224"/>
      <c r="X150" s="117"/>
      <c r="Y150" s="117"/>
      <c r="Z150" s="117" t="s">
        <v>304</v>
      </c>
      <c r="AA150" s="146"/>
      <c r="AB150" s="52"/>
      <c r="AC150" s="63">
        <f t="shared" si="8"/>
        <v>0</v>
      </c>
      <c r="AD150" s="226" t="s">
        <v>217</v>
      </c>
      <c r="AE150" s="221" t="s">
        <v>217</v>
      </c>
      <c r="AF150" s="52" t="s">
        <v>225</v>
      </c>
      <c r="AG150" s="52"/>
      <c r="AH150" s="64"/>
      <c r="AI150" s="117"/>
      <c r="AJ150" s="146"/>
      <c r="AK150" s="146"/>
      <c r="AL150" s="117"/>
      <c r="AM150" s="146"/>
    </row>
    <row r="151" spans="1:39" ht="12.75" hidden="1" customHeight="1">
      <c r="A151" s="147">
        <v>150</v>
      </c>
      <c r="B151" s="223">
        <v>194715</v>
      </c>
      <c r="C151" s="52" t="s">
        <v>128</v>
      </c>
      <c r="D151" s="57">
        <v>42859</v>
      </c>
      <c r="E151" s="58" t="s">
        <v>487</v>
      </c>
      <c r="F151" s="59">
        <v>42867</v>
      </c>
      <c r="G151" s="52">
        <f t="shared" si="7"/>
        <v>8</v>
      </c>
      <c r="H151" s="117" t="s">
        <v>133</v>
      </c>
      <c r="I151" s="223" t="s">
        <v>609</v>
      </c>
      <c r="J151" s="223" t="s">
        <v>610</v>
      </c>
      <c r="K151" s="94">
        <v>3248.05</v>
      </c>
      <c r="L151" s="94">
        <v>3248.05</v>
      </c>
      <c r="M151" s="96">
        <v>0</v>
      </c>
      <c r="N151" s="96">
        <v>0</v>
      </c>
      <c r="O151" s="151">
        <f t="shared" si="9"/>
        <v>0</v>
      </c>
      <c r="P151" s="224" t="s">
        <v>264</v>
      </c>
      <c r="Q151" s="224" t="s">
        <v>1342</v>
      </c>
      <c r="R151" s="221" t="s">
        <v>143</v>
      </c>
      <c r="S151" s="62" t="s">
        <v>465</v>
      </c>
      <c r="T151" s="224" t="s">
        <v>144</v>
      </c>
      <c r="U151" s="224" t="s">
        <v>521</v>
      </c>
      <c r="V151" s="224" t="s">
        <v>522</v>
      </c>
      <c r="W151" s="224"/>
      <c r="X151" s="117"/>
      <c r="Y151" s="117"/>
      <c r="Z151" s="221" t="s">
        <v>137</v>
      </c>
      <c r="AA151" s="146"/>
      <c r="AB151" s="52"/>
      <c r="AC151" s="63">
        <f t="shared" si="8"/>
        <v>0</v>
      </c>
      <c r="AD151" s="226" t="s">
        <v>217</v>
      </c>
      <c r="AE151" s="221" t="s">
        <v>217</v>
      </c>
      <c r="AF151" s="52" t="s">
        <v>225</v>
      </c>
      <c r="AG151" s="52" t="s">
        <v>142</v>
      </c>
      <c r="AH151" s="64"/>
      <c r="AI151" s="117"/>
      <c r="AJ151" s="146"/>
      <c r="AK151" s="146"/>
      <c r="AL151" s="117"/>
      <c r="AM151" s="146"/>
    </row>
    <row r="152" spans="1:39" ht="12.75" hidden="1" customHeight="1">
      <c r="A152" s="147">
        <v>151</v>
      </c>
      <c r="B152" s="223">
        <v>194730</v>
      </c>
      <c r="C152" s="52" t="s">
        <v>86</v>
      </c>
      <c r="D152" s="57">
        <v>42859</v>
      </c>
      <c r="E152" s="58" t="s">
        <v>487</v>
      </c>
      <c r="F152" s="59">
        <v>42869</v>
      </c>
      <c r="G152" s="52">
        <f t="shared" si="7"/>
        <v>10</v>
      </c>
      <c r="H152" s="52" t="s">
        <v>133</v>
      </c>
      <c r="I152" s="223" t="s">
        <v>609</v>
      </c>
      <c r="J152" s="223" t="s">
        <v>611</v>
      </c>
      <c r="K152" s="94">
        <v>899</v>
      </c>
      <c r="L152" s="94">
        <v>899</v>
      </c>
      <c r="M152" s="97">
        <v>320</v>
      </c>
      <c r="N152" s="96">
        <v>0</v>
      </c>
      <c r="O152" s="93">
        <f t="shared" si="9"/>
        <v>525.05999999999995</v>
      </c>
      <c r="P152" s="224" t="s">
        <v>264</v>
      </c>
      <c r="Q152" s="224" t="s">
        <v>1342</v>
      </c>
      <c r="R152" s="224" t="s">
        <v>122</v>
      </c>
      <c r="S152" s="225" t="s">
        <v>469</v>
      </c>
      <c r="T152" s="224" t="s">
        <v>114</v>
      </c>
      <c r="U152" s="224" t="s">
        <v>517</v>
      </c>
      <c r="V152" s="222" t="s">
        <v>169</v>
      </c>
      <c r="W152" s="224"/>
      <c r="X152" s="52"/>
      <c r="Y152" s="52" t="s">
        <v>316</v>
      </c>
      <c r="Z152" s="221" t="s">
        <v>170</v>
      </c>
      <c r="AA152" s="222">
        <v>42859</v>
      </c>
      <c r="AB152" s="221" t="s">
        <v>127</v>
      </c>
      <c r="AC152" s="63">
        <f t="shared" si="8"/>
        <v>1</v>
      </c>
      <c r="AD152" s="226" t="s">
        <v>217</v>
      </c>
      <c r="AE152" s="221" t="s">
        <v>218</v>
      </c>
      <c r="AF152" s="52"/>
      <c r="AG152" s="52"/>
      <c r="AH152" s="64"/>
      <c r="AI152" s="117" t="s">
        <v>184</v>
      </c>
      <c r="AJ152" s="146"/>
      <c r="AK152" s="225" t="s">
        <v>933</v>
      </c>
      <c r="AL152" s="117" t="s">
        <v>645</v>
      </c>
      <c r="AM152" s="146"/>
    </row>
    <row r="153" spans="1:39" ht="25.5" hidden="1" customHeight="1">
      <c r="A153" s="147">
        <v>152</v>
      </c>
      <c r="B153" s="170">
        <v>195125</v>
      </c>
      <c r="C153" s="52" t="s">
        <v>86</v>
      </c>
      <c r="D153" s="57">
        <v>42859</v>
      </c>
      <c r="E153" s="58" t="s">
        <v>487</v>
      </c>
      <c r="F153" s="59">
        <v>42871</v>
      </c>
      <c r="G153" s="52">
        <f t="shared" si="7"/>
        <v>12</v>
      </c>
      <c r="H153" s="117" t="s">
        <v>133</v>
      </c>
      <c r="I153" s="223" t="e">
        <v>#N/A</v>
      </c>
      <c r="J153" s="223" t="s">
        <v>611</v>
      </c>
      <c r="K153" s="94">
        <v>1599</v>
      </c>
      <c r="L153" s="94">
        <v>1599</v>
      </c>
      <c r="M153" s="97">
        <v>300</v>
      </c>
      <c r="N153" s="96">
        <v>0</v>
      </c>
      <c r="O153" s="93">
        <f t="shared" si="9"/>
        <v>1203.06</v>
      </c>
      <c r="P153" s="224" t="s">
        <v>263</v>
      </c>
      <c r="Q153" s="224" t="s">
        <v>1341</v>
      </c>
      <c r="R153" s="224" t="s">
        <v>122</v>
      </c>
      <c r="S153" s="225" t="s">
        <v>469</v>
      </c>
      <c r="T153" s="224" t="s">
        <v>114</v>
      </c>
      <c r="U153" s="224" t="s">
        <v>168</v>
      </c>
      <c r="V153" s="222" t="s">
        <v>169</v>
      </c>
      <c r="W153" s="224"/>
      <c r="X153" s="52"/>
      <c r="Y153" s="52" t="s">
        <v>316</v>
      </c>
      <c r="Z153" s="221" t="s">
        <v>170</v>
      </c>
      <c r="AA153" s="222">
        <v>42859</v>
      </c>
      <c r="AB153" s="52" t="s">
        <v>127</v>
      </c>
      <c r="AC153" s="63">
        <f t="shared" si="8"/>
        <v>1</v>
      </c>
      <c r="AD153" s="226" t="s">
        <v>32</v>
      </c>
      <c r="AE153" s="221" t="s">
        <v>218</v>
      </c>
      <c r="AF153" s="52"/>
      <c r="AG153" s="52" t="s">
        <v>142</v>
      </c>
      <c r="AH153" s="64"/>
      <c r="AI153" s="117" t="s">
        <v>184</v>
      </c>
      <c r="AJ153" s="146"/>
      <c r="AK153" s="225" t="s">
        <v>932</v>
      </c>
      <c r="AL153" s="117" t="s">
        <v>645</v>
      </c>
      <c r="AM153" s="146"/>
    </row>
    <row r="154" spans="1:39" ht="12.75" hidden="1" customHeight="1">
      <c r="A154" s="147">
        <v>153</v>
      </c>
      <c r="B154" s="223">
        <v>194466</v>
      </c>
      <c r="C154" s="52" t="s">
        <v>86</v>
      </c>
      <c r="D154" s="57">
        <v>42860</v>
      </c>
      <c r="E154" s="58" t="s">
        <v>487</v>
      </c>
      <c r="F154" s="59">
        <v>42871</v>
      </c>
      <c r="G154" s="52">
        <f t="shared" si="7"/>
        <v>11</v>
      </c>
      <c r="H154" s="224" t="s">
        <v>363</v>
      </c>
      <c r="I154" s="223" t="s">
        <v>609</v>
      </c>
      <c r="J154" s="223" t="s">
        <v>611</v>
      </c>
      <c r="K154" s="94">
        <v>2999</v>
      </c>
      <c r="L154" s="94">
        <v>2999</v>
      </c>
      <c r="M154" s="96">
        <v>0</v>
      </c>
      <c r="N154" s="96">
        <v>0</v>
      </c>
      <c r="O154" s="151">
        <f t="shared" si="9"/>
        <v>0</v>
      </c>
      <c r="P154" s="61" t="s">
        <v>264</v>
      </c>
      <c r="Q154" s="119" t="s">
        <v>1342</v>
      </c>
      <c r="R154" s="224" t="s">
        <v>122</v>
      </c>
      <c r="S154" s="225" t="s">
        <v>469</v>
      </c>
      <c r="T154" s="224" t="s">
        <v>114</v>
      </c>
      <c r="U154" s="224" t="s">
        <v>525</v>
      </c>
      <c r="V154" s="224" t="s">
        <v>222</v>
      </c>
      <c r="W154" s="224"/>
      <c r="X154" s="117"/>
      <c r="Y154" s="117"/>
      <c r="Z154" s="221" t="s">
        <v>170</v>
      </c>
      <c r="AA154" s="221"/>
      <c r="AB154" s="52"/>
      <c r="AC154" s="63">
        <f t="shared" si="8"/>
        <v>0</v>
      </c>
      <c r="AD154" s="226" t="s">
        <v>217</v>
      </c>
      <c r="AE154" s="221" t="s">
        <v>217</v>
      </c>
      <c r="AF154" s="146" t="s">
        <v>1021</v>
      </c>
      <c r="AG154" s="52" t="s">
        <v>142</v>
      </c>
      <c r="AH154" s="64"/>
      <c r="AI154" s="117"/>
      <c r="AJ154" s="117"/>
      <c r="AK154" s="221"/>
      <c r="AL154" s="117"/>
      <c r="AM154" s="146"/>
    </row>
    <row r="155" spans="1:39" ht="12.75" hidden="1" customHeight="1">
      <c r="A155" s="147">
        <v>154</v>
      </c>
      <c r="B155" s="223">
        <v>194782</v>
      </c>
      <c r="C155" s="52" t="s">
        <v>86</v>
      </c>
      <c r="D155" s="57">
        <v>42860</v>
      </c>
      <c r="E155" s="58" t="s">
        <v>487</v>
      </c>
      <c r="F155" s="59">
        <v>42887</v>
      </c>
      <c r="G155" s="52">
        <f t="shared" si="7"/>
        <v>27</v>
      </c>
      <c r="H155" s="117" t="s">
        <v>133</v>
      </c>
      <c r="I155" s="223" t="s">
        <v>609</v>
      </c>
      <c r="J155" s="223" t="s">
        <v>615</v>
      </c>
      <c r="K155" s="94">
        <v>1299</v>
      </c>
      <c r="L155" s="94">
        <v>1299</v>
      </c>
      <c r="M155" s="97">
        <v>110</v>
      </c>
      <c r="N155" s="96">
        <v>0</v>
      </c>
      <c r="O155" s="93">
        <f t="shared" si="9"/>
        <v>1111.06</v>
      </c>
      <c r="P155" s="61" t="s">
        <v>261</v>
      </c>
      <c r="Q155" s="224" t="s">
        <v>1341</v>
      </c>
      <c r="R155" s="221" t="s">
        <v>143</v>
      </c>
      <c r="S155" s="62" t="s">
        <v>465</v>
      </c>
      <c r="T155" s="221" t="s">
        <v>88</v>
      </c>
      <c r="U155" s="224" t="s">
        <v>526</v>
      </c>
      <c r="V155" s="221" t="s">
        <v>432</v>
      </c>
      <c r="W155" s="224"/>
      <c r="X155" s="146"/>
      <c r="Y155" s="224" t="s">
        <v>316</v>
      </c>
      <c r="Z155" s="52" t="s">
        <v>315</v>
      </c>
      <c r="AA155" s="222">
        <v>42871</v>
      </c>
      <c r="AB155" s="146" t="s">
        <v>195</v>
      </c>
      <c r="AC155" s="63">
        <f t="shared" si="8"/>
        <v>1</v>
      </c>
      <c r="AD155" s="226" t="s">
        <v>217</v>
      </c>
      <c r="AE155" s="221" t="s">
        <v>218</v>
      </c>
      <c r="AF155" s="146"/>
      <c r="AG155" s="146" t="s">
        <v>142</v>
      </c>
      <c r="AH155" s="64" t="s">
        <v>580</v>
      </c>
      <c r="AI155" s="146" t="s">
        <v>184</v>
      </c>
      <c r="AJ155" s="221"/>
      <c r="AK155" s="225" t="s">
        <v>665</v>
      </c>
      <c r="AL155" s="146" t="s">
        <v>645</v>
      </c>
      <c r="AM155" s="221"/>
    </row>
    <row r="156" spans="1:39" ht="25.5" hidden="1" customHeight="1">
      <c r="A156" s="147">
        <v>155</v>
      </c>
      <c r="B156" s="223">
        <v>194232</v>
      </c>
      <c r="C156" s="52" t="s">
        <v>121</v>
      </c>
      <c r="D156" s="57">
        <v>42863</v>
      </c>
      <c r="E156" s="58" t="s">
        <v>487</v>
      </c>
      <c r="F156" s="59">
        <v>42866</v>
      </c>
      <c r="G156" s="146">
        <f t="shared" si="7"/>
        <v>3</v>
      </c>
      <c r="H156" s="52" t="s">
        <v>363</v>
      </c>
      <c r="I156" s="223" t="s">
        <v>609</v>
      </c>
      <c r="J156" s="223" t="s">
        <v>610</v>
      </c>
      <c r="K156" s="94">
        <v>1499</v>
      </c>
      <c r="L156" s="94">
        <v>1499</v>
      </c>
      <c r="M156" s="96">
        <v>0</v>
      </c>
      <c r="N156" s="96">
        <v>0</v>
      </c>
      <c r="O156" s="93">
        <f t="shared" si="9"/>
        <v>1409.06</v>
      </c>
      <c r="P156" s="61" t="s">
        <v>264</v>
      </c>
      <c r="Q156" s="119" t="s">
        <v>1342</v>
      </c>
      <c r="R156" s="221" t="s">
        <v>134</v>
      </c>
      <c r="S156" s="62" t="s">
        <v>465</v>
      </c>
      <c r="T156" s="224" t="s">
        <v>164</v>
      </c>
      <c r="U156" s="224" t="s">
        <v>528</v>
      </c>
      <c r="V156" s="224" t="s">
        <v>90</v>
      </c>
      <c r="W156" s="224" t="s">
        <v>529</v>
      </c>
      <c r="X156" s="52"/>
      <c r="Y156" s="117"/>
      <c r="Z156" s="117" t="s">
        <v>379</v>
      </c>
      <c r="AA156" s="221"/>
      <c r="AB156" s="52"/>
      <c r="AC156" s="63">
        <f t="shared" si="8"/>
        <v>1</v>
      </c>
      <c r="AD156" s="226"/>
      <c r="AE156" s="52"/>
      <c r="AF156" s="52"/>
      <c r="AG156" s="52" t="s">
        <v>142</v>
      </c>
      <c r="AH156" s="106" t="s">
        <v>530</v>
      </c>
      <c r="AI156" s="117"/>
      <c r="AJ156" s="146"/>
      <c r="AK156" s="221"/>
      <c r="AL156" s="117"/>
      <c r="AM156" s="146"/>
    </row>
    <row r="157" spans="1:39" ht="12.75" hidden="1" customHeight="1">
      <c r="A157" s="147">
        <v>156</v>
      </c>
      <c r="B157" s="223">
        <v>194545</v>
      </c>
      <c r="C157" s="52" t="s">
        <v>128</v>
      </c>
      <c r="D157" s="57">
        <v>42863</v>
      </c>
      <c r="E157" s="58" t="s">
        <v>487</v>
      </c>
      <c r="F157" s="59">
        <v>42867</v>
      </c>
      <c r="G157" s="52">
        <f t="shared" si="7"/>
        <v>4</v>
      </c>
      <c r="H157" s="117" t="s">
        <v>133</v>
      </c>
      <c r="I157" s="223" t="s">
        <v>609</v>
      </c>
      <c r="J157" s="223" t="s">
        <v>610</v>
      </c>
      <c r="K157" s="94">
        <v>1199.92</v>
      </c>
      <c r="L157" s="94">
        <v>1199.92</v>
      </c>
      <c r="M157" s="96">
        <v>0</v>
      </c>
      <c r="N157" s="96">
        <v>0</v>
      </c>
      <c r="O157" s="151">
        <f t="shared" si="9"/>
        <v>0</v>
      </c>
      <c r="P157" s="61" t="s">
        <v>264</v>
      </c>
      <c r="Q157" s="224" t="s">
        <v>1342</v>
      </c>
      <c r="R157" s="224" t="s">
        <v>237</v>
      </c>
      <c r="S157" s="62" t="s">
        <v>465</v>
      </c>
      <c r="T157" s="224" t="s">
        <v>238</v>
      </c>
      <c r="U157" s="224" t="s">
        <v>537</v>
      </c>
      <c r="V157" s="224" t="s">
        <v>538</v>
      </c>
      <c r="W157" s="221"/>
      <c r="X157" s="52"/>
      <c r="Y157" s="117"/>
      <c r="Z157" s="52" t="s">
        <v>147</v>
      </c>
      <c r="AA157" s="221"/>
      <c r="AB157" s="52"/>
      <c r="AC157" s="63">
        <f t="shared" si="8"/>
        <v>0</v>
      </c>
      <c r="AD157" s="226" t="s">
        <v>217</v>
      </c>
      <c r="AE157" s="221" t="s">
        <v>217</v>
      </c>
      <c r="AF157" s="52" t="s">
        <v>225</v>
      </c>
      <c r="AG157" s="52"/>
      <c r="AH157" s="64"/>
      <c r="AI157" s="117"/>
      <c r="AJ157" s="221"/>
      <c r="AK157" s="146"/>
      <c r="AL157" s="117"/>
      <c r="AM157" s="221"/>
    </row>
    <row r="158" spans="1:39" ht="12.75" hidden="1" customHeight="1">
      <c r="A158" s="147">
        <v>157</v>
      </c>
      <c r="B158" s="223">
        <v>194551</v>
      </c>
      <c r="C158" s="117" t="s">
        <v>128</v>
      </c>
      <c r="D158" s="57">
        <v>42863</v>
      </c>
      <c r="E158" s="58" t="s">
        <v>487</v>
      </c>
      <c r="F158" s="59">
        <v>42867</v>
      </c>
      <c r="G158" s="146">
        <f t="shared" si="7"/>
        <v>4</v>
      </c>
      <c r="H158" s="146" t="s">
        <v>363</v>
      </c>
      <c r="I158" s="223" t="s">
        <v>609</v>
      </c>
      <c r="J158" s="223" t="s">
        <v>610</v>
      </c>
      <c r="K158" s="94">
        <v>1930.2</v>
      </c>
      <c r="L158" s="94">
        <v>1930.2</v>
      </c>
      <c r="M158" s="96">
        <v>0</v>
      </c>
      <c r="N158" s="96">
        <v>0</v>
      </c>
      <c r="O158" s="151">
        <f t="shared" si="9"/>
        <v>0</v>
      </c>
      <c r="P158" s="61" t="s">
        <v>264</v>
      </c>
      <c r="Q158" s="119" t="s">
        <v>1342</v>
      </c>
      <c r="R158" s="224" t="s">
        <v>87</v>
      </c>
      <c r="S158" s="62" t="s">
        <v>465</v>
      </c>
      <c r="T158" s="224" t="s">
        <v>120</v>
      </c>
      <c r="U158" s="224" t="s">
        <v>369</v>
      </c>
      <c r="V158" s="224" t="s">
        <v>527</v>
      </c>
      <c r="W158" s="224">
        <v>70201936</v>
      </c>
      <c r="X158" s="117"/>
      <c r="Y158" s="146"/>
      <c r="Z158" s="52" t="s">
        <v>137</v>
      </c>
      <c r="AA158" s="221"/>
      <c r="AB158" s="52"/>
      <c r="AC158" s="63">
        <f t="shared" si="8"/>
        <v>0</v>
      </c>
      <c r="AD158" s="226" t="s">
        <v>217</v>
      </c>
      <c r="AE158" s="221" t="s">
        <v>217</v>
      </c>
      <c r="AF158" s="52" t="s">
        <v>225</v>
      </c>
      <c r="AG158" s="52" t="s">
        <v>142</v>
      </c>
      <c r="AH158" s="64"/>
      <c r="AI158" s="117"/>
      <c r="AJ158" s="117"/>
      <c r="AK158" s="146"/>
      <c r="AL158" s="117"/>
      <c r="AM158" s="117"/>
    </row>
    <row r="159" spans="1:39" ht="25.5" hidden="1" customHeight="1">
      <c r="A159" s="147">
        <v>158</v>
      </c>
      <c r="B159" s="223">
        <v>194725</v>
      </c>
      <c r="C159" s="52" t="s">
        <v>86</v>
      </c>
      <c r="D159" s="57">
        <v>42863</v>
      </c>
      <c r="E159" s="58" t="s">
        <v>487</v>
      </c>
      <c r="F159" s="59">
        <v>42871</v>
      </c>
      <c r="G159" s="146">
        <f t="shared" si="7"/>
        <v>8</v>
      </c>
      <c r="H159" s="117" t="s">
        <v>133</v>
      </c>
      <c r="I159" s="223" t="s">
        <v>609</v>
      </c>
      <c r="J159" s="223" t="s">
        <v>614</v>
      </c>
      <c r="K159" s="94">
        <v>9999</v>
      </c>
      <c r="L159" s="94">
        <v>9999</v>
      </c>
      <c r="M159" s="96">
        <v>130</v>
      </c>
      <c r="N159" s="96">
        <v>0</v>
      </c>
      <c r="O159" s="151">
        <f t="shared" si="9"/>
        <v>0</v>
      </c>
      <c r="P159" s="224" t="s">
        <v>263</v>
      </c>
      <c r="Q159" s="224" t="s">
        <v>1341</v>
      </c>
      <c r="R159" s="224" t="s">
        <v>122</v>
      </c>
      <c r="S159" s="225" t="s">
        <v>469</v>
      </c>
      <c r="T159" s="224" t="s">
        <v>114</v>
      </c>
      <c r="U159" s="224" t="s">
        <v>444</v>
      </c>
      <c r="V159" s="222" t="s">
        <v>169</v>
      </c>
      <c r="W159" s="221"/>
      <c r="X159" s="117" t="s">
        <v>142</v>
      </c>
      <c r="Y159" s="224" t="s">
        <v>316</v>
      </c>
      <c r="Z159" s="117" t="s">
        <v>170</v>
      </c>
      <c r="AA159" s="118"/>
      <c r="AB159" s="221"/>
      <c r="AC159" s="63">
        <f t="shared" si="8"/>
        <v>0</v>
      </c>
      <c r="AD159" s="226"/>
      <c r="AE159" s="221" t="s">
        <v>217</v>
      </c>
      <c r="AF159" s="52" t="s">
        <v>737</v>
      </c>
      <c r="AG159" s="52"/>
      <c r="AH159" s="76" t="s">
        <v>578</v>
      </c>
      <c r="AI159" s="117" t="s">
        <v>184</v>
      </c>
      <c r="AJ159" s="221"/>
      <c r="AK159" s="225" t="s">
        <v>621</v>
      </c>
      <c r="AL159" s="117" t="s">
        <v>645</v>
      </c>
      <c r="AM159" s="221"/>
    </row>
    <row r="160" spans="1:39" ht="12.75" hidden="1" customHeight="1">
      <c r="A160" s="147">
        <v>159</v>
      </c>
      <c r="B160" s="223">
        <v>195136</v>
      </c>
      <c r="C160" s="221" t="s">
        <v>86</v>
      </c>
      <c r="D160" s="57">
        <v>42863</v>
      </c>
      <c r="E160" s="58" t="s">
        <v>487</v>
      </c>
      <c r="F160" s="222">
        <v>42877</v>
      </c>
      <c r="G160" s="221">
        <f t="shared" si="7"/>
        <v>14</v>
      </c>
      <c r="H160" s="221" t="s">
        <v>133</v>
      </c>
      <c r="I160" s="223" t="e">
        <v>#N/A</v>
      </c>
      <c r="J160" s="223" t="s">
        <v>615</v>
      </c>
      <c r="K160" s="95">
        <v>1599</v>
      </c>
      <c r="L160" s="94">
        <v>1599</v>
      </c>
      <c r="M160" s="97">
        <v>420</v>
      </c>
      <c r="N160" s="96">
        <v>0</v>
      </c>
      <c r="O160" s="227">
        <f t="shared" si="9"/>
        <v>1083.06</v>
      </c>
      <c r="P160" s="224" t="s">
        <v>264</v>
      </c>
      <c r="Q160" s="224" t="s">
        <v>1342</v>
      </c>
      <c r="R160" s="221" t="s">
        <v>143</v>
      </c>
      <c r="S160" s="62" t="s">
        <v>465</v>
      </c>
      <c r="T160" s="221" t="s">
        <v>88</v>
      </c>
      <c r="U160" s="224" t="s">
        <v>352</v>
      </c>
      <c r="V160" s="224" t="s">
        <v>90</v>
      </c>
      <c r="W160" s="221"/>
      <c r="X160" s="221"/>
      <c r="Y160" s="221" t="s">
        <v>316</v>
      </c>
      <c r="Z160" s="221" t="s">
        <v>189</v>
      </c>
      <c r="AA160" s="222">
        <v>42864</v>
      </c>
      <c r="AB160" s="221" t="s">
        <v>127</v>
      </c>
      <c r="AC160" s="226">
        <f t="shared" si="8"/>
        <v>1</v>
      </c>
      <c r="AD160" s="226" t="s">
        <v>217</v>
      </c>
      <c r="AE160" s="221" t="s">
        <v>218</v>
      </c>
      <c r="AF160" s="221"/>
      <c r="AG160" s="221"/>
      <c r="AH160" s="64" t="s">
        <v>659</v>
      </c>
      <c r="AI160" s="221" t="s">
        <v>184</v>
      </c>
      <c r="AJ160" s="221"/>
      <c r="AK160" s="225" t="s">
        <v>655</v>
      </c>
      <c r="AL160" s="221" t="s">
        <v>645</v>
      </c>
      <c r="AM160" s="221"/>
    </row>
    <row r="161" spans="1:39" ht="12.75" hidden="1" customHeight="1">
      <c r="A161" s="147">
        <v>160</v>
      </c>
      <c r="B161" s="223">
        <v>195192</v>
      </c>
      <c r="C161" s="52" t="s">
        <v>121</v>
      </c>
      <c r="D161" s="57">
        <v>42863</v>
      </c>
      <c r="E161" s="58" t="s">
        <v>487</v>
      </c>
      <c r="F161" s="59">
        <v>42874</v>
      </c>
      <c r="G161" s="146">
        <f t="shared" si="7"/>
        <v>11</v>
      </c>
      <c r="H161" s="221" t="s">
        <v>363</v>
      </c>
      <c r="I161" s="223" t="s">
        <v>609</v>
      </c>
      <c r="J161" s="223" t="s">
        <v>613</v>
      </c>
      <c r="K161" s="94">
        <v>729</v>
      </c>
      <c r="L161" s="94">
        <v>729</v>
      </c>
      <c r="M161" s="96">
        <v>0</v>
      </c>
      <c r="N161" s="96">
        <v>0</v>
      </c>
      <c r="O161" s="93">
        <f t="shared" si="9"/>
        <v>685.26</v>
      </c>
      <c r="P161" s="224" t="s">
        <v>264</v>
      </c>
      <c r="Q161" s="224" t="s">
        <v>1342</v>
      </c>
      <c r="R161" s="224" t="s">
        <v>532</v>
      </c>
      <c r="S161" s="62" t="s">
        <v>465</v>
      </c>
      <c r="T161" s="224" t="s">
        <v>533</v>
      </c>
      <c r="U161" s="224" t="s">
        <v>534</v>
      </c>
      <c r="V161" s="224" t="s">
        <v>90</v>
      </c>
      <c r="W161" s="221"/>
      <c r="X161" s="117"/>
      <c r="Y161" s="221"/>
      <c r="Z161" s="117" t="s">
        <v>404</v>
      </c>
      <c r="AA161" s="221"/>
      <c r="AB161" s="52"/>
      <c r="AC161" s="63">
        <f t="shared" si="8"/>
        <v>1</v>
      </c>
      <c r="AD161" s="226"/>
      <c r="AE161" s="52"/>
      <c r="AF161" s="52"/>
      <c r="AG161" s="52" t="s">
        <v>142</v>
      </c>
      <c r="AH161" s="105" t="s">
        <v>701</v>
      </c>
      <c r="AI161" s="117"/>
      <c r="AJ161" s="221"/>
      <c r="AK161" s="146"/>
      <c r="AL161" s="117"/>
      <c r="AM161" s="221"/>
    </row>
    <row r="162" spans="1:39" ht="12.75" hidden="1" customHeight="1">
      <c r="A162" s="147">
        <v>161</v>
      </c>
      <c r="B162" s="223">
        <v>195310</v>
      </c>
      <c r="C162" s="52" t="s">
        <v>86</v>
      </c>
      <c r="D162" s="57">
        <v>42863</v>
      </c>
      <c r="E162" s="58" t="s">
        <v>487</v>
      </c>
      <c r="F162" s="59">
        <v>42877</v>
      </c>
      <c r="G162" s="146">
        <f t="shared" si="7"/>
        <v>14</v>
      </c>
      <c r="H162" s="52" t="s">
        <v>133</v>
      </c>
      <c r="I162" s="223" t="e">
        <v>#N/A</v>
      </c>
      <c r="J162" s="223" t="s">
        <v>611</v>
      </c>
      <c r="K162" s="95">
        <v>1899</v>
      </c>
      <c r="L162" s="94">
        <v>1899</v>
      </c>
      <c r="M162" s="96">
        <v>550</v>
      </c>
      <c r="N162" s="96">
        <v>195</v>
      </c>
      <c r="O162" s="93">
        <f t="shared" si="9"/>
        <v>1235.06</v>
      </c>
      <c r="P162" s="224" t="s">
        <v>264</v>
      </c>
      <c r="Q162" s="224" t="s">
        <v>1342</v>
      </c>
      <c r="R162" s="221" t="s">
        <v>143</v>
      </c>
      <c r="S162" s="62" t="s">
        <v>465</v>
      </c>
      <c r="T162" s="221" t="s">
        <v>88</v>
      </c>
      <c r="U162" s="224" t="s">
        <v>297</v>
      </c>
      <c r="V162" s="224" t="s">
        <v>535</v>
      </c>
      <c r="W162" s="221">
        <v>420</v>
      </c>
      <c r="X162" s="52"/>
      <c r="Y162" s="221" t="s">
        <v>316</v>
      </c>
      <c r="Z162" s="52" t="s">
        <v>189</v>
      </c>
      <c r="AA162" s="222">
        <v>42864</v>
      </c>
      <c r="AB162" s="52" t="s">
        <v>140</v>
      </c>
      <c r="AC162" s="63">
        <f t="shared" si="8"/>
        <v>1</v>
      </c>
      <c r="AD162" s="226" t="s">
        <v>217</v>
      </c>
      <c r="AE162" s="221" t="s">
        <v>218</v>
      </c>
      <c r="AF162" s="52"/>
      <c r="AG162" s="52" t="s">
        <v>142</v>
      </c>
      <c r="AH162" s="64"/>
      <c r="AI162" s="117" t="s">
        <v>184</v>
      </c>
      <c r="AJ162" s="146"/>
      <c r="AK162" s="225" t="s">
        <v>618</v>
      </c>
      <c r="AL162" s="117" t="s">
        <v>645</v>
      </c>
      <c r="AM162" s="146"/>
    </row>
    <row r="163" spans="1:39" ht="25.5" hidden="1" customHeight="1">
      <c r="A163" s="147">
        <v>162</v>
      </c>
      <c r="B163" s="223">
        <v>194646</v>
      </c>
      <c r="C163" s="52" t="s">
        <v>540</v>
      </c>
      <c r="D163" s="57">
        <v>42864</v>
      </c>
      <c r="E163" s="58" t="s">
        <v>487</v>
      </c>
      <c r="F163" s="59">
        <v>42869</v>
      </c>
      <c r="G163" s="146">
        <f t="shared" si="7"/>
        <v>5</v>
      </c>
      <c r="H163" s="146" t="s">
        <v>133</v>
      </c>
      <c r="I163" s="223" t="s">
        <v>609</v>
      </c>
      <c r="J163" s="223" t="s">
        <v>610</v>
      </c>
      <c r="K163" s="94">
        <v>2099</v>
      </c>
      <c r="L163" s="94">
        <v>2099</v>
      </c>
      <c r="M163" s="96">
        <v>0</v>
      </c>
      <c r="N163" s="96">
        <v>0</v>
      </c>
      <c r="O163" s="151">
        <f t="shared" si="9"/>
        <v>0</v>
      </c>
      <c r="P163" s="224" t="s">
        <v>264</v>
      </c>
      <c r="Q163" s="224" t="s">
        <v>1342</v>
      </c>
      <c r="R163" s="221" t="s">
        <v>143</v>
      </c>
      <c r="S163" s="62" t="s">
        <v>465</v>
      </c>
      <c r="T163" s="224" t="s">
        <v>144</v>
      </c>
      <c r="U163" s="224" t="s">
        <v>545</v>
      </c>
      <c r="V163" s="224" t="s">
        <v>546</v>
      </c>
      <c r="W163" s="221" t="s">
        <v>547</v>
      </c>
      <c r="X163" s="117"/>
      <c r="Y163" s="117"/>
      <c r="Z163" s="117" t="s">
        <v>274</v>
      </c>
      <c r="AA163" s="221"/>
      <c r="AB163" s="52"/>
      <c r="AC163" s="63">
        <f t="shared" si="8"/>
        <v>0</v>
      </c>
      <c r="AD163" s="226" t="s">
        <v>217</v>
      </c>
      <c r="AE163" s="221" t="s">
        <v>217</v>
      </c>
      <c r="AF163" s="148" t="s">
        <v>1625</v>
      </c>
      <c r="AG163" s="52" t="s">
        <v>142</v>
      </c>
      <c r="AH163" s="64"/>
      <c r="AI163" s="117"/>
      <c r="AJ163" s="117"/>
      <c r="AK163" s="146"/>
      <c r="AL163" s="117"/>
      <c r="AM163" s="117"/>
    </row>
    <row r="164" spans="1:39" ht="12.75" hidden="1" customHeight="1">
      <c r="A164" s="147">
        <v>163</v>
      </c>
      <c r="B164" s="223">
        <v>194874</v>
      </c>
      <c r="C164" s="52" t="s">
        <v>540</v>
      </c>
      <c r="D164" s="57">
        <v>42864</v>
      </c>
      <c r="E164" s="58" t="s">
        <v>487</v>
      </c>
      <c r="F164" s="59">
        <v>42873</v>
      </c>
      <c r="G164" s="146">
        <f t="shared" si="7"/>
        <v>9</v>
      </c>
      <c r="H164" s="52" t="s">
        <v>133</v>
      </c>
      <c r="I164" s="223" t="s">
        <v>609</v>
      </c>
      <c r="J164" s="223" t="s">
        <v>610</v>
      </c>
      <c r="K164" s="94">
        <v>1169.0999999999999</v>
      </c>
      <c r="L164" s="94">
        <v>1169.0999999999999</v>
      </c>
      <c r="M164" s="96">
        <v>0</v>
      </c>
      <c r="N164" s="96">
        <v>0</v>
      </c>
      <c r="O164" s="151">
        <f t="shared" si="9"/>
        <v>0</v>
      </c>
      <c r="P164" s="61" t="s">
        <v>264</v>
      </c>
      <c r="Q164" s="224" t="s">
        <v>1342</v>
      </c>
      <c r="R164" s="221" t="s">
        <v>335</v>
      </c>
      <c r="S164" s="225" t="s">
        <v>466</v>
      </c>
      <c r="T164" s="148" t="s">
        <v>255</v>
      </c>
      <c r="U164" s="224" t="s">
        <v>541</v>
      </c>
      <c r="V164" s="148" t="s">
        <v>257</v>
      </c>
      <c r="W164" s="117" t="s">
        <v>542</v>
      </c>
      <c r="X164" s="117"/>
      <c r="Y164" s="146"/>
      <c r="Z164" s="117" t="s">
        <v>259</v>
      </c>
      <c r="AA164" s="221"/>
      <c r="AB164" s="52"/>
      <c r="AC164" s="63">
        <f t="shared" si="8"/>
        <v>0</v>
      </c>
      <c r="AD164" s="226" t="s">
        <v>217</v>
      </c>
      <c r="AE164" s="221" t="s">
        <v>217</v>
      </c>
      <c r="AF164" s="52" t="s">
        <v>225</v>
      </c>
      <c r="AG164" s="52"/>
      <c r="AH164" s="64" t="s">
        <v>550</v>
      </c>
      <c r="AI164" s="117"/>
      <c r="AJ164" s="221"/>
      <c r="AK164" s="146"/>
      <c r="AL164" s="117"/>
      <c r="AM164" s="221"/>
    </row>
    <row r="165" spans="1:39" ht="12.75" hidden="1" customHeight="1">
      <c r="A165" s="147">
        <v>164</v>
      </c>
      <c r="B165" s="223">
        <v>195240</v>
      </c>
      <c r="C165" s="52" t="s">
        <v>86</v>
      </c>
      <c r="D165" s="57">
        <v>42864</v>
      </c>
      <c r="E165" s="58" t="s">
        <v>487</v>
      </c>
      <c r="F165" s="59">
        <v>42877</v>
      </c>
      <c r="G165" s="146">
        <f t="shared" si="7"/>
        <v>13</v>
      </c>
      <c r="H165" s="117" t="s">
        <v>133</v>
      </c>
      <c r="I165" s="223" t="s">
        <v>609</v>
      </c>
      <c r="J165" s="223" t="s">
        <v>612</v>
      </c>
      <c r="K165" s="95">
        <v>3299</v>
      </c>
      <c r="L165" s="94">
        <v>3299</v>
      </c>
      <c r="M165" s="96">
        <v>0</v>
      </c>
      <c r="N165" s="96">
        <v>0</v>
      </c>
      <c r="O165" s="151">
        <f t="shared" si="9"/>
        <v>0</v>
      </c>
      <c r="P165" s="61" t="s">
        <v>264</v>
      </c>
      <c r="Q165" s="224" t="s">
        <v>1342</v>
      </c>
      <c r="R165" s="224" t="s">
        <v>122</v>
      </c>
      <c r="S165" s="225" t="s">
        <v>469</v>
      </c>
      <c r="T165" s="224" t="s">
        <v>376</v>
      </c>
      <c r="U165" s="224" t="s">
        <v>539</v>
      </c>
      <c r="V165" s="224" t="s">
        <v>222</v>
      </c>
      <c r="W165" s="221"/>
      <c r="X165" s="117"/>
      <c r="Y165" s="117"/>
      <c r="Z165" s="117" t="s">
        <v>170</v>
      </c>
      <c r="AA165" s="146"/>
      <c r="AB165" s="52"/>
      <c r="AC165" s="63">
        <f t="shared" si="8"/>
        <v>0</v>
      </c>
      <c r="AD165" s="226" t="s">
        <v>217</v>
      </c>
      <c r="AE165" s="221" t="s">
        <v>217</v>
      </c>
      <c r="AF165" s="52" t="s">
        <v>225</v>
      </c>
      <c r="AG165" s="52"/>
      <c r="AH165" s="64" t="s">
        <v>549</v>
      </c>
      <c r="AI165" s="117"/>
      <c r="AJ165" s="146"/>
      <c r="AK165" s="146"/>
      <c r="AL165" s="117"/>
      <c r="AM165" s="146"/>
    </row>
    <row r="166" spans="1:39" ht="51" hidden="1" customHeight="1">
      <c r="A166" s="147">
        <v>165</v>
      </c>
      <c r="B166" s="223">
        <v>195480</v>
      </c>
      <c r="C166" s="146" t="s">
        <v>540</v>
      </c>
      <c r="D166" s="57">
        <v>42864</v>
      </c>
      <c r="E166" s="58" t="s">
        <v>487</v>
      </c>
      <c r="F166" s="118">
        <v>42903</v>
      </c>
      <c r="G166" s="146">
        <f t="shared" si="7"/>
        <v>39</v>
      </c>
      <c r="H166" s="146" t="s">
        <v>133</v>
      </c>
      <c r="I166" s="223" t="s">
        <v>609</v>
      </c>
      <c r="J166" s="223" t="s">
        <v>615</v>
      </c>
      <c r="K166" s="94">
        <v>1499</v>
      </c>
      <c r="L166" s="94">
        <v>1499</v>
      </c>
      <c r="M166" s="97">
        <v>0</v>
      </c>
      <c r="N166" s="96">
        <v>0</v>
      </c>
      <c r="O166" s="151">
        <f t="shared" si="9"/>
        <v>0</v>
      </c>
      <c r="P166" s="224" t="s">
        <v>263</v>
      </c>
      <c r="Q166" s="224" t="s">
        <v>1341</v>
      </c>
      <c r="R166" s="221" t="s">
        <v>335</v>
      </c>
      <c r="S166" s="225" t="s">
        <v>466</v>
      </c>
      <c r="T166" s="221" t="s">
        <v>405</v>
      </c>
      <c r="U166" s="224" t="s">
        <v>543</v>
      </c>
      <c r="V166" s="148" t="s">
        <v>257</v>
      </c>
      <c r="W166" s="146">
        <v>45103412010</v>
      </c>
      <c r="X166" s="146"/>
      <c r="Y166" s="221"/>
      <c r="Z166" s="146" t="s">
        <v>1146</v>
      </c>
      <c r="AA166" s="222">
        <v>42873</v>
      </c>
      <c r="AB166" s="146" t="s">
        <v>591</v>
      </c>
      <c r="AC166" s="63">
        <f t="shared" si="8"/>
        <v>0</v>
      </c>
      <c r="AD166" s="226" t="s">
        <v>217</v>
      </c>
      <c r="AE166" s="221" t="s">
        <v>217</v>
      </c>
      <c r="AF166" s="146" t="s">
        <v>225</v>
      </c>
      <c r="AG166" s="146"/>
      <c r="AH166" s="76" t="s">
        <v>592</v>
      </c>
      <c r="AI166" s="146" t="s">
        <v>184</v>
      </c>
      <c r="AJ166" s="221"/>
      <c r="AK166" s="145"/>
      <c r="AL166" s="146"/>
      <c r="AM166" s="221"/>
    </row>
    <row r="167" spans="1:39" ht="12.75" hidden="1" customHeight="1">
      <c r="A167" s="147">
        <v>166</v>
      </c>
      <c r="B167" s="223">
        <v>195376</v>
      </c>
      <c r="C167" s="150" t="s">
        <v>86</v>
      </c>
      <c r="D167" s="57">
        <v>42865</v>
      </c>
      <c r="E167" s="58" t="s">
        <v>487</v>
      </c>
      <c r="F167" s="118">
        <v>42879</v>
      </c>
      <c r="G167" s="146">
        <f t="shared" si="7"/>
        <v>14</v>
      </c>
      <c r="H167" s="146" t="s">
        <v>133</v>
      </c>
      <c r="I167" s="223" t="e">
        <v>#N/A</v>
      </c>
      <c r="J167" s="223" t="s">
        <v>611</v>
      </c>
      <c r="K167" s="95">
        <v>699</v>
      </c>
      <c r="L167" s="94">
        <v>699</v>
      </c>
      <c r="M167" s="97">
        <v>190</v>
      </c>
      <c r="N167" s="96">
        <v>0</v>
      </c>
      <c r="O167" s="93">
        <f t="shared" si="9"/>
        <v>467.05999999999995</v>
      </c>
      <c r="P167" s="119" t="s">
        <v>264</v>
      </c>
      <c r="Q167" s="224" t="s">
        <v>1342</v>
      </c>
      <c r="R167" s="221" t="s">
        <v>143</v>
      </c>
      <c r="S167" s="62" t="s">
        <v>465</v>
      </c>
      <c r="T167" s="221" t="s">
        <v>88</v>
      </c>
      <c r="U167" s="224" t="s">
        <v>548</v>
      </c>
      <c r="V167" s="221" t="s">
        <v>432</v>
      </c>
      <c r="W167" s="146"/>
      <c r="X167" s="146"/>
      <c r="Y167" s="146" t="s">
        <v>316</v>
      </c>
      <c r="Z167" s="146" t="s">
        <v>189</v>
      </c>
      <c r="AA167" s="222">
        <v>42866</v>
      </c>
      <c r="AB167" s="146" t="s">
        <v>571</v>
      </c>
      <c r="AC167" s="63">
        <f t="shared" si="8"/>
        <v>1</v>
      </c>
      <c r="AD167" s="226" t="s">
        <v>217</v>
      </c>
      <c r="AE167" s="221" t="s">
        <v>218</v>
      </c>
      <c r="AF167" s="146"/>
      <c r="AG167" s="146" t="s">
        <v>142</v>
      </c>
      <c r="AH167" s="64"/>
      <c r="AI167" s="146" t="s">
        <v>184</v>
      </c>
      <c r="AJ167" s="146"/>
      <c r="AK167" s="225" t="s">
        <v>899</v>
      </c>
      <c r="AL167" s="146" t="s">
        <v>645</v>
      </c>
      <c r="AM167" s="146"/>
    </row>
    <row r="168" spans="1:39" ht="25.5" hidden="1" customHeight="1">
      <c r="A168" s="147">
        <v>167</v>
      </c>
      <c r="B168" s="223">
        <v>194160</v>
      </c>
      <c r="C168" s="146" t="s">
        <v>121</v>
      </c>
      <c r="D168" s="57">
        <v>42866</v>
      </c>
      <c r="E168" s="58" t="s">
        <v>487</v>
      </c>
      <c r="F168" s="118">
        <v>42880</v>
      </c>
      <c r="G168" s="146">
        <f t="shared" si="7"/>
        <v>14</v>
      </c>
      <c r="H168" s="146" t="s">
        <v>363</v>
      </c>
      <c r="I168" s="223" t="s">
        <v>609</v>
      </c>
      <c r="J168" s="223" t="s">
        <v>615</v>
      </c>
      <c r="K168" s="94">
        <v>5999</v>
      </c>
      <c r="L168" s="94">
        <v>5999</v>
      </c>
      <c r="M168" s="96">
        <v>0</v>
      </c>
      <c r="N168" s="96">
        <v>0</v>
      </c>
      <c r="O168" s="93">
        <f t="shared" si="9"/>
        <v>5639.06</v>
      </c>
      <c r="P168" s="119" t="s">
        <v>263</v>
      </c>
      <c r="Q168" s="224" t="s">
        <v>1341</v>
      </c>
      <c r="R168" s="221" t="s">
        <v>134</v>
      </c>
      <c r="S168" s="62" t="s">
        <v>465</v>
      </c>
      <c r="T168" s="221" t="s">
        <v>88</v>
      </c>
      <c r="U168" s="224" t="s">
        <v>554</v>
      </c>
      <c r="V168" s="224" t="s">
        <v>483</v>
      </c>
      <c r="W168" s="146"/>
      <c r="X168" s="146"/>
      <c r="Y168" s="146"/>
      <c r="Z168" s="146" t="s">
        <v>252</v>
      </c>
      <c r="AA168" s="221"/>
      <c r="AB168" s="146"/>
      <c r="AC168" s="63">
        <f t="shared" si="8"/>
        <v>1</v>
      </c>
      <c r="AD168" s="226" t="s">
        <v>217</v>
      </c>
      <c r="AE168" s="221" t="s">
        <v>218</v>
      </c>
      <c r="AF168" s="146"/>
      <c r="AG168" s="146"/>
      <c r="AH168" s="64" t="s">
        <v>443</v>
      </c>
      <c r="AI168" s="146"/>
      <c r="AJ168" s="146"/>
      <c r="AK168" s="146"/>
      <c r="AL168" s="146"/>
      <c r="AM168" s="117"/>
    </row>
    <row r="169" spans="1:39" ht="12.75" hidden="1" customHeight="1">
      <c r="A169" s="147">
        <v>168</v>
      </c>
      <c r="B169" s="223">
        <v>195210</v>
      </c>
      <c r="C169" s="146" t="s">
        <v>540</v>
      </c>
      <c r="D169" s="57">
        <v>42866</v>
      </c>
      <c r="E169" s="58" t="s">
        <v>487</v>
      </c>
      <c r="F169" s="118">
        <v>42876</v>
      </c>
      <c r="G169" s="146">
        <f t="shared" si="7"/>
        <v>10</v>
      </c>
      <c r="H169" s="146" t="s">
        <v>133</v>
      </c>
      <c r="I169" s="223" t="s">
        <v>609</v>
      </c>
      <c r="J169" s="223" t="s">
        <v>610</v>
      </c>
      <c r="K169" s="94">
        <v>6649</v>
      </c>
      <c r="L169" s="94">
        <v>6649.05</v>
      </c>
      <c r="M169" s="96">
        <v>0</v>
      </c>
      <c r="N169" s="96">
        <v>0</v>
      </c>
      <c r="O169" s="151">
        <f t="shared" si="9"/>
        <v>0</v>
      </c>
      <c r="P169" s="119" t="s">
        <v>264</v>
      </c>
      <c r="Q169" s="119" t="s">
        <v>1342</v>
      </c>
      <c r="R169" s="224" t="s">
        <v>514</v>
      </c>
      <c r="S169" s="225" t="s">
        <v>469</v>
      </c>
      <c r="T169" s="224" t="s">
        <v>164</v>
      </c>
      <c r="U169" s="224" t="s">
        <v>553</v>
      </c>
      <c r="V169" s="224" t="s">
        <v>222</v>
      </c>
      <c r="W169" s="146" t="s">
        <v>561</v>
      </c>
      <c r="X169" s="146" t="s">
        <v>141</v>
      </c>
      <c r="Y169" s="146"/>
      <c r="Z169" s="146" t="s">
        <v>565</v>
      </c>
      <c r="AA169" s="221"/>
      <c r="AB169" s="146"/>
      <c r="AC169" s="63">
        <f t="shared" si="8"/>
        <v>0</v>
      </c>
      <c r="AD169" s="226" t="s">
        <v>217</v>
      </c>
      <c r="AE169" s="221" t="s">
        <v>217</v>
      </c>
      <c r="AF169" s="146" t="s">
        <v>225</v>
      </c>
      <c r="AG169" s="146" t="s">
        <v>142</v>
      </c>
      <c r="AH169" s="64"/>
      <c r="AI169" s="146"/>
      <c r="AJ169" s="146"/>
      <c r="AK169" s="221"/>
      <c r="AL169" s="146"/>
      <c r="AM169" s="146"/>
    </row>
    <row r="170" spans="1:39" ht="12.75" hidden="1" customHeight="1">
      <c r="A170" s="147">
        <v>169</v>
      </c>
      <c r="B170" s="223">
        <v>194995</v>
      </c>
      <c r="C170" s="146" t="s">
        <v>540</v>
      </c>
      <c r="D170" s="57">
        <v>42867</v>
      </c>
      <c r="E170" s="58" t="s">
        <v>487</v>
      </c>
      <c r="F170" s="118">
        <v>42880</v>
      </c>
      <c r="G170" s="146">
        <f t="shared" si="7"/>
        <v>13</v>
      </c>
      <c r="H170" s="146" t="s">
        <v>363</v>
      </c>
      <c r="I170" s="223" t="s">
        <v>609</v>
      </c>
      <c r="J170" s="223" t="s">
        <v>610</v>
      </c>
      <c r="K170" s="94">
        <v>832.3</v>
      </c>
      <c r="L170" s="94">
        <v>832.3</v>
      </c>
      <c r="M170" s="96">
        <v>0</v>
      </c>
      <c r="N170" s="96">
        <v>0</v>
      </c>
      <c r="O170" s="93">
        <f t="shared" si="9"/>
        <v>782.36199999999997</v>
      </c>
      <c r="P170" s="119" t="s">
        <v>264</v>
      </c>
      <c r="Q170" s="224" t="s">
        <v>1342</v>
      </c>
      <c r="R170" s="224" t="s">
        <v>254</v>
      </c>
      <c r="S170" s="225" t="s">
        <v>466</v>
      </c>
      <c r="T170" s="148" t="s">
        <v>255</v>
      </c>
      <c r="U170" s="224" t="s">
        <v>555</v>
      </c>
      <c r="V170" s="148" t="s">
        <v>257</v>
      </c>
      <c r="W170" s="221" t="s">
        <v>564</v>
      </c>
      <c r="X170" s="221"/>
      <c r="Y170" s="221"/>
      <c r="Z170" s="146" t="s">
        <v>259</v>
      </c>
      <c r="AA170" s="221"/>
      <c r="AB170" s="146"/>
      <c r="AC170" s="63">
        <f t="shared" si="8"/>
        <v>1</v>
      </c>
      <c r="AD170" s="226"/>
      <c r="AE170" s="146"/>
      <c r="AF170" s="146"/>
      <c r="AG170" s="146" t="s">
        <v>142</v>
      </c>
      <c r="AH170" s="105" t="s">
        <v>701</v>
      </c>
      <c r="AI170" s="146"/>
      <c r="AJ170" s="221"/>
      <c r="AK170" s="146"/>
      <c r="AL170" s="146"/>
      <c r="AM170" s="221"/>
    </row>
    <row r="171" spans="1:39" ht="12.75" hidden="1" customHeight="1">
      <c r="A171" s="147">
        <v>170</v>
      </c>
      <c r="B171" s="223">
        <v>195065</v>
      </c>
      <c r="C171" s="146" t="s">
        <v>121</v>
      </c>
      <c r="D171" s="57">
        <v>42867</v>
      </c>
      <c r="E171" s="58" t="s">
        <v>487</v>
      </c>
      <c r="F171" s="118">
        <v>42871</v>
      </c>
      <c r="G171" s="146">
        <f t="shared" si="7"/>
        <v>4</v>
      </c>
      <c r="H171" s="146" t="s">
        <v>363</v>
      </c>
      <c r="I171" s="223" t="s">
        <v>609</v>
      </c>
      <c r="J171" s="223" t="s">
        <v>611</v>
      </c>
      <c r="K171" s="94">
        <v>1234.05</v>
      </c>
      <c r="L171" s="94">
        <v>1234.05</v>
      </c>
      <c r="M171" s="96">
        <v>0</v>
      </c>
      <c r="N171" s="96">
        <v>0</v>
      </c>
      <c r="O171" s="93">
        <f t="shared" si="9"/>
        <v>1160.0070000000001</v>
      </c>
      <c r="P171" s="119" t="s">
        <v>264</v>
      </c>
      <c r="Q171" s="119" t="s">
        <v>1342</v>
      </c>
      <c r="R171" s="224" t="s">
        <v>220</v>
      </c>
      <c r="S171" s="225" t="s">
        <v>469</v>
      </c>
      <c r="T171" s="224" t="s">
        <v>376</v>
      </c>
      <c r="U171" s="224" t="s">
        <v>558</v>
      </c>
      <c r="V171" s="224" t="s">
        <v>560</v>
      </c>
      <c r="W171" s="224"/>
      <c r="X171" s="146"/>
      <c r="Y171" s="146"/>
      <c r="Z171" s="146" t="s">
        <v>253</v>
      </c>
      <c r="AA171" s="221"/>
      <c r="AB171" s="146"/>
      <c r="AC171" s="63">
        <f t="shared" si="8"/>
        <v>1</v>
      </c>
      <c r="AD171" s="221"/>
      <c r="AE171" s="146"/>
      <c r="AF171" s="146"/>
      <c r="AG171" s="146" t="s">
        <v>142</v>
      </c>
      <c r="AH171" s="105" t="s">
        <v>443</v>
      </c>
      <c r="AI171" s="146"/>
      <c r="AJ171" s="221"/>
      <c r="AK171" s="146"/>
      <c r="AL171" s="146"/>
      <c r="AM171" s="221"/>
    </row>
    <row r="172" spans="1:39" ht="12.75" hidden="1" customHeight="1">
      <c r="A172" s="147">
        <v>171</v>
      </c>
      <c r="B172" s="223">
        <v>195122</v>
      </c>
      <c r="C172" s="146" t="s">
        <v>128</v>
      </c>
      <c r="D172" s="57">
        <v>42867</v>
      </c>
      <c r="E172" s="58" t="s">
        <v>487</v>
      </c>
      <c r="F172" s="118">
        <v>42876</v>
      </c>
      <c r="G172" s="146">
        <f t="shared" si="7"/>
        <v>9</v>
      </c>
      <c r="H172" s="224" t="s">
        <v>363</v>
      </c>
      <c r="I172" s="223" t="e">
        <v>#N/A</v>
      </c>
      <c r="J172" s="223" t="s">
        <v>615</v>
      </c>
      <c r="K172" s="94">
        <v>2699</v>
      </c>
      <c r="L172" s="94">
        <v>2699</v>
      </c>
      <c r="M172" s="96">
        <v>0</v>
      </c>
      <c r="N172" s="96">
        <v>0</v>
      </c>
      <c r="O172" s="93">
        <f t="shared" si="9"/>
        <v>2537.06</v>
      </c>
      <c r="P172" s="224" t="s">
        <v>264</v>
      </c>
      <c r="Q172" s="224" t="s">
        <v>1342</v>
      </c>
      <c r="R172" s="224" t="s">
        <v>254</v>
      </c>
      <c r="S172" s="225" t="s">
        <v>466</v>
      </c>
      <c r="T172" s="224" t="s">
        <v>338</v>
      </c>
      <c r="U172" s="224" t="s">
        <v>556</v>
      </c>
      <c r="V172" s="224" t="s">
        <v>559</v>
      </c>
      <c r="W172" s="146" t="s">
        <v>563</v>
      </c>
      <c r="X172" s="146" t="s">
        <v>141</v>
      </c>
      <c r="Y172" s="146"/>
      <c r="Z172" s="146" t="s">
        <v>259</v>
      </c>
      <c r="AA172" s="221"/>
      <c r="AB172" s="146"/>
      <c r="AC172" s="63">
        <f t="shared" si="8"/>
        <v>1</v>
      </c>
      <c r="AD172" s="226" t="s">
        <v>217</v>
      </c>
      <c r="AE172" s="221" t="s">
        <v>218</v>
      </c>
      <c r="AF172" s="146"/>
      <c r="AG172" s="146" t="s">
        <v>142</v>
      </c>
      <c r="AH172" s="105" t="s">
        <v>576</v>
      </c>
      <c r="AI172" s="146" t="s">
        <v>184</v>
      </c>
      <c r="AJ172" s="221"/>
      <c r="AK172" s="145"/>
      <c r="AL172" s="146"/>
      <c r="AM172" s="221"/>
    </row>
    <row r="173" spans="1:39" ht="25.5" hidden="1" customHeight="1">
      <c r="A173" s="147">
        <v>172</v>
      </c>
      <c r="B173" s="223">
        <v>195767</v>
      </c>
      <c r="C173" s="117" t="s">
        <v>128</v>
      </c>
      <c r="D173" s="57">
        <v>42867</v>
      </c>
      <c r="E173" s="58" t="s">
        <v>487</v>
      </c>
      <c r="F173" s="59">
        <v>42885</v>
      </c>
      <c r="G173" s="146">
        <f t="shared" si="7"/>
        <v>18</v>
      </c>
      <c r="H173" s="117" t="s">
        <v>363</v>
      </c>
      <c r="I173" s="223" t="e">
        <v>#N/A</v>
      </c>
      <c r="J173" s="223" t="s">
        <v>611</v>
      </c>
      <c r="K173" s="94">
        <v>1234</v>
      </c>
      <c r="L173" s="94">
        <v>1234.05</v>
      </c>
      <c r="M173" s="96">
        <v>0</v>
      </c>
      <c r="N173" s="96">
        <v>0</v>
      </c>
      <c r="O173" s="93">
        <f t="shared" si="9"/>
        <v>1159.96</v>
      </c>
      <c r="P173" s="61" t="s">
        <v>262</v>
      </c>
      <c r="Q173" s="224" t="s">
        <v>1342</v>
      </c>
      <c r="R173" s="224" t="s">
        <v>551</v>
      </c>
      <c r="S173" s="225" t="s">
        <v>466</v>
      </c>
      <c r="T173" s="224" t="s">
        <v>552</v>
      </c>
      <c r="U173" s="224" t="s">
        <v>557</v>
      </c>
      <c r="V173" s="224" t="s">
        <v>566</v>
      </c>
      <c r="W173" s="224" t="s">
        <v>562</v>
      </c>
      <c r="X173" s="117"/>
      <c r="Y173" s="52"/>
      <c r="Z173" s="117" t="s">
        <v>259</v>
      </c>
      <c r="AA173" s="221"/>
      <c r="AB173" s="52"/>
      <c r="AC173" s="63">
        <f t="shared" si="8"/>
        <v>1</v>
      </c>
      <c r="AD173" s="226"/>
      <c r="AE173" s="52" t="s">
        <v>1553</v>
      </c>
      <c r="AF173" s="52"/>
      <c r="AG173" s="52" t="s">
        <v>142</v>
      </c>
      <c r="AH173" s="105" t="s">
        <v>689</v>
      </c>
      <c r="AI173" s="117"/>
      <c r="AJ173" s="221"/>
      <c r="AK173" s="221"/>
      <c r="AL173" s="117"/>
      <c r="AM173" s="221"/>
    </row>
    <row r="174" spans="1:39" ht="12.75" hidden="1" customHeight="1">
      <c r="A174" s="147">
        <v>173</v>
      </c>
      <c r="B174" s="223">
        <v>193707</v>
      </c>
      <c r="C174" s="221" t="s">
        <v>128</v>
      </c>
      <c r="D174" s="57">
        <v>42870</v>
      </c>
      <c r="E174" s="58" t="s">
        <v>487</v>
      </c>
      <c r="F174" s="118">
        <v>42877</v>
      </c>
      <c r="G174" s="146">
        <f t="shared" si="7"/>
        <v>7</v>
      </c>
      <c r="H174" s="221" t="s">
        <v>363</v>
      </c>
      <c r="I174" s="223" t="s">
        <v>609</v>
      </c>
      <c r="J174" s="223" t="s">
        <v>610</v>
      </c>
      <c r="K174" s="94">
        <v>2700</v>
      </c>
      <c r="L174" s="94">
        <v>2700</v>
      </c>
      <c r="M174" s="96">
        <v>0</v>
      </c>
      <c r="N174" s="96">
        <v>0</v>
      </c>
      <c r="O174" s="151">
        <f t="shared" si="9"/>
        <v>0</v>
      </c>
      <c r="P174" s="119" t="s">
        <v>264</v>
      </c>
      <c r="Q174" s="119" t="s">
        <v>1342</v>
      </c>
      <c r="R174" s="117" t="s">
        <v>134</v>
      </c>
      <c r="S174" s="62" t="s">
        <v>465</v>
      </c>
      <c r="T174" s="221" t="s">
        <v>88</v>
      </c>
      <c r="U174" s="67" t="s">
        <v>741</v>
      </c>
      <c r="V174" s="224" t="s">
        <v>574</v>
      </c>
      <c r="W174" s="87"/>
      <c r="X174" s="88"/>
      <c r="Y174" s="146"/>
      <c r="Z174" s="146" t="s">
        <v>269</v>
      </c>
      <c r="AA174" s="221"/>
      <c r="AB174" s="146"/>
      <c r="AC174" s="63">
        <f t="shared" si="8"/>
        <v>0</v>
      </c>
      <c r="AD174" s="221"/>
      <c r="AE174" s="221" t="s">
        <v>217</v>
      </c>
      <c r="AF174" s="148" t="s">
        <v>1625</v>
      </c>
      <c r="AG174" s="146" t="s">
        <v>142</v>
      </c>
      <c r="AH174" s="105" t="s">
        <v>422</v>
      </c>
      <c r="AI174" s="146"/>
      <c r="AJ174" s="221"/>
      <c r="AK174" s="221"/>
      <c r="AL174" s="146"/>
      <c r="AM174" s="221"/>
    </row>
    <row r="175" spans="1:39" ht="25.5" hidden="1" customHeight="1">
      <c r="A175" s="147">
        <v>174</v>
      </c>
      <c r="B175" s="223">
        <v>195420</v>
      </c>
      <c r="C175" s="146" t="s">
        <v>128</v>
      </c>
      <c r="D175" s="57">
        <v>42870</v>
      </c>
      <c r="E175" s="58" t="s">
        <v>487</v>
      </c>
      <c r="F175" s="118">
        <v>42880</v>
      </c>
      <c r="G175" s="146">
        <f t="shared" si="7"/>
        <v>10</v>
      </c>
      <c r="H175" s="221" t="s">
        <v>133</v>
      </c>
      <c r="I175" s="223" t="e">
        <v>#N/A</v>
      </c>
      <c r="J175" s="223" t="s">
        <v>615</v>
      </c>
      <c r="K175" s="94">
        <v>1124</v>
      </c>
      <c r="L175" s="94">
        <v>1124.25</v>
      </c>
      <c r="M175" s="100">
        <v>330</v>
      </c>
      <c r="N175" s="96">
        <v>0</v>
      </c>
      <c r="O175" s="93">
        <f t="shared" si="9"/>
        <v>726.56</v>
      </c>
      <c r="P175" s="224" t="s">
        <v>264</v>
      </c>
      <c r="Q175" s="224" t="s">
        <v>1342</v>
      </c>
      <c r="R175" s="221" t="s">
        <v>143</v>
      </c>
      <c r="S175" s="62" t="s">
        <v>465</v>
      </c>
      <c r="T175" s="224" t="s">
        <v>120</v>
      </c>
      <c r="U175" s="224" t="s">
        <v>572</v>
      </c>
      <c r="V175" s="224" t="s">
        <v>573</v>
      </c>
      <c r="W175" s="224"/>
      <c r="X175" s="224" t="s">
        <v>142</v>
      </c>
      <c r="Y175" s="146" t="s">
        <v>316</v>
      </c>
      <c r="Z175" s="146" t="s">
        <v>510</v>
      </c>
      <c r="AA175" s="222">
        <v>42873</v>
      </c>
      <c r="AB175" s="146" t="s">
        <v>195</v>
      </c>
      <c r="AC175" s="63">
        <f t="shared" si="8"/>
        <v>1</v>
      </c>
      <c r="AD175" s="221" t="s">
        <v>217</v>
      </c>
      <c r="AE175" s="221" t="s">
        <v>218</v>
      </c>
      <c r="AF175" s="146"/>
      <c r="AG175" s="146"/>
      <c r="AH175" s="64" t="s">
        <v>625</v>
      </c>
      <c r="AI175" s="146" t="s">
        <v>184</v>
      </c>
      <c r="AJ175" s="146"/>
      <c r="AK175" s="225" t="s">
        <v>666</v>
      </c>
      <c r="AL175" s="146" t="s">
        <v>645</v>
      </c>
      <c r="AM175" s="146"/>
    </row>
    <row r="176" spans="1:39" ht="12.75" hidden="1" customHeight="1">
      <c r="A176" s="147">
        <v>175</v>
      </c>
      <c r="B176" s="223">
        <v>195495</v>
      </c>
      <c r="C176" s="146" t="s">
        <v>121</v>
      </c>
      <c r="D176" s="57">
        <v>42870</v>
      </c>
      <c r="E176" s="58" t="s">
        <v>487</v>
      </c>
      <c r="F176" s="118">
        <v>42877</v>
      </c>
      <c r="G176" s="146">
        <f t="shared" si="7"/>
        <v>7</v>
      </c>
      <c r="H176" s="146" t="s">
        <v>133</v>
      </c>
      <c r="I176" s="223" t="s">
        <v>609</v>
      </c>
      <c r="J176" s="223" t="s">
        <v>610</v>
      </c>
      <c r="K176" s="94">
        <v>6719</v>
      </c>
      <c r="L176" s="94">
        <v>6719.04</v>
      </c>
      <c r="M176" s="96">
        <v>0</v>
      </c>
      <c r="N176" s="96">
        <v>0</v>
      </c>
      <c r="O176" s="151">
        <f t="shared" si="9"/>
        <v>0</v>
      </c>
      <c r="P176" s="119" t="s">
        <v>264</v>
      </c>
      <c r="Q176" s="119" t="s">
        <v>1342</v>
      </c>
      <c r="R176" s="224" t="s">
        <v>514</v>
      </c>
      <c r="S176" s="225" t="s">
        <v>469</v>
      </c>
      <c r="T176" s="224" t="s">
        <v>164</v>
      </c>
      <c r="U176" s="224" t="s">
        <v>569</v>
      </c>
      <c r="V176" s="224" t="s">
        <v>222</v>
      </c>
      <c r="W176" s="224" t="s">
        <v>570</v>
      </c>
      <c r="X176" s="224"/>
      <c r="Y176" s="146"/>
      <c r="Z176" s="146" t="s">
        <v>379</v>
      </c>
      <c r="AA176" s="221"/>
      <c r="AB176" s="146"/>
      <c r="AC176" s="63">
        <f t="shared" si="8"/>
        <v>0</v>
      </c>
      <c r="AD176" s="150" t="s">
        <v>217</v>
      </c>
      <c r="AE176" s="221" t="s">
        <v>217</v>
      </c>
      <c r="AF176" s="146" t="s">
        <v>1021</v>
      </c>
      <c r="AG176" s="146" t="s">
        <v>142</v>
      </c>
      <c r="AH176" s="64"/>
      <c r="AI176" s="146"/>
      <c r="AJ176" s="146"/>
      <c r="AK176" s="146"/>
      <c r="AL176" s="146"/>
      <c r="AM176" s="146"/>
    </row>
    <row r="177" spans="1:39" ht="12.75" hidden="1" customHeight="1">
      <c r="A177" s="147">
        <v>176</v>
      </c>
      <c r="B177" s="223">
        <v>195515</v>
      </c>
      <c r="C177" s="146" t="s">
        <v>128</v>
      </c>
      <c r="D177" s="57">
        <v>42870</v>
      </c>
      <c r="E177" s="58" t="s">
        <v>487</v>
      </c>
      <c r="F177" s="118">
        <v>42877</v>
      </c>
      <c r="G177" s="146">
        <f t="shared" si="7"/>
        <v>7</v>
      </c>
      <c r="H177" s="146" t="s">
        <v>133</v>
      </c>
      <c r="I177" s="223" t="s">
        <v>609</v>
      </c>
      <c r="J177" s="223" t="s">
        <v>610</v>
      </c>
      <c r="K177" s="94">
        <v>1199</v>
      </c>
      <c r="L177" s="94">
        <v>1199</v>
      </c>
      <c r="M177" s="96">
        <v>0</v>
      </c>
      <c r="N177" s="96">
        <v>0</v>
      </c>
      <c r="O177" s="151">
        <f t="shared" si="9"/>
        <v>0</v>
      </c>
      <c r="P177" s="224" t="s">
        <v>264</v>
      </c>
      <c r="Q177" s="224" t="s">
        <v>1342</v>
      </c>
      <c r="R177" s="221" t="s">
        <v>143</v>
      </c>
      <c r="S177" s="62" t="s">
        <v>465</v>
      </c>
      <c r="T177" s="224" t="s">
        <v>120</v>
      </c>
      <c r="U177" s="224" t="s">
        <v>567</v>
      </c>
      <c r="V177" s="224" t="s">
        <v>568</v>
      </c>
      <c r="W177" s="224">
        <v>240060183</v>
      </c>
      <c r="X177" s="127"/>
      <c r="Y177" s="146"/>
      <c r="Z177" s="146" t="s">
        <v>137</v>
      </c>
      <c r="AA177" s="222">
        <v>42873</v>
      </c>
      <c r="AB177" s="146"/>
      <c r="AC177" s="63">
        <f t="shared" si="8"/>
        <v>0</v>
      </c>
      <c r="AD177" s="150" t="s">
        <v>217</v>
      </c>
      <c r="AE177" s="221" t="s">
        <v>217</v>
      </c>
      <c r="AF177" s="146" t="s">
        <v>225</v>
      </c>
      <c r="AG177" s="146"/>
      <c r="AH177" s="64"/>
      <c r="AI177" s="146"/>
      <c r="AJ177" s="146"/>
      <c r="AK177" s="146"/>
      <c r="AL177" s="146"/>
      <c r="AM177" s="117"/>
    </row>
    <row r="178" spans="1:39" ht="25.5" hidden="1" customHeight="1">
      <c r="A178" s="147">
        <v>177</v>
      </c>
      <c r="B178" s="223">
        <v>195808</v>
      </c>
      <c r="C178" s="146" t="s">
        <v>128</v>
      </c>
      <c r="D178" s="57">
        <v>42870</v>
      </c>
      <c r="E178" s="58" t="s">
        <v>487</v>
      </c>
      <c r="F178" s="118">
        <v>42908</v>
      </c>
      <c r="G178" s="146">
        <f t="shared" ref="G178:G241" si="10">F178-D178</f>
        <v>38</v>
      </c>
      <c r="H178" s="146" t="s">
        <v>133</v>
      </c>
      <c r="I178" s="223" t="s">
        <v>609</v>
      </c>
      <c r="J178" s="223" t="s">
        <v>615</v>
      </c>
      <c r="K178" s="94">
        <v>1899</v>
      </c>
      <c r="L178" s="94">
        <v>1899</v>
      </c>
      <c r="M178" s="96">
        <v>0</v>
      </c>
      <c r="N178" s="96"/>
      <c r="O178" s="151">
        <f t="shared" si="9"/>
        <v>0</v>
      </c>
      <c r="P178" s="224" t="s">
        <v>263</v>
      </c>
      <c r="Q178" s="224" t="s">
        <v>1341</v>
      </c>
      <c r="R178" s="224" t="s">
        <v>501</v>
      </c>
      <c r="S178" s="225" t="s">
        <v>466</v>
      </c>
      <c r="T178" s="221" t="s">
        <v>405</v>
      </c>
      <c r="U178" s="224" t="s">
        <v>502</v>
      </c>
      <c r="V178" s="224" t="s">
        <v>222</v>
      </c>
      <c r="W178" s="224">
        <v>18200168</v>
      </c>
      <c r="X178" s="87"/>
      <c r="Y178" s="146"/>
      <c r="Z178" s="146" t="s">
        <v>1146</v>
      </c>
      <c r="AA178" s="222">
        <v>42877</v>
      </c>
      <c r="AB178" s="146" t="s">
        <v>140</v>
      </c>
      <c r="AC178" s="63">
        <f t="shared" si="8"/>
        <v>0</v>
      </c>
      <c r="AD178" s="146" t="s">
        <v>217</v>
      </c>
      <c r="AE178" s="221" t="s">
        <v>217</v>
      </c>
      <c r="AF178" s="146" t="s">
        <v>225</v>
      </c>
      <c r="AG178" s="146" t="s">
        <v>142</v>
      </c>
      <c r="AH178" s="76" t="s">
        <v>579</v>
      </c>
      <c r="AI178" s="146"/>
      <c r="AJ178" s="221"/>
      <c r="AK178" s="145"/>
      <c r="AL178" s="146"/>
      <c r="AM178" s="221"/>
    </row>
    <row r="179" spans="1:39" ht="12.75" hidden="1" customHeight="1">
      <c r="A179" s="147">
        <v>178</v>
      </c>
      <c r="B179" s="223">
        <v>195814</v>
      </c>
      <c r="C179" s="150" t="s">
        <v>128</v>
      </c>
      <c r="D179" s="57">
        <v>42870</v>
      </c>
      <c r="E179" s="58" t="s">
        <v>487</v>
      </c>
      <c r="F179" s="118">
        <v>42884</v>
      </c>
      <c r="G179" s="146">
        <f t="shared" si="10"/>
        <v>14</v>
      </c>
      <c r="H179" s="221" t="s">
        <v>133</v>
      </c>
      <c r="I179" s="223" t="e">
        <v>#N/A</v>
      </c>
      <c r="J179" s="223" t="s">
        <v>615</v>
      </c>
      <c r="K179" s="94">
        <v>999</v>
      </c>
      <c r="L179" s="94">
        <v>999</v>
      </c>
      <c r="M179" s="97">
        <v>230</v>
      </c>
      <c r="N179" s="96">
        <v>0</v>
      </c>
      <c r="O179" s="93">
        <f t="shared" si="9"/>
        <v>709.06</v>
      </c>
      <c r="P179" s="119" t="s">
        <v>262</v>
      </c>
      <c r="Q179" s="224" t="s">
        <v>1342</v>
      </c>
      <c r="R179" s="221" t="s">
        <v>143</v>
      </c>
      <c r="S179" s="62" t="s">
        <v>465</v>
      </c>
      <c r="T179" s="221" t="s">
        <v>88</v>
      </c>
      <c r="U179" s="221" t="s">
        <v>431</v>
      </c>
      <c r="V179" s="224" t="s">
        <v>519</v>
      </c>
      <c r="W179" s="224"/>
      <c r="X179" s="146"/>
      <c r="Y179" s="146" t="s">
        <v>316</v>
      </c>
      <c r="Z179" s="146" t="s">
        <v>510</v>
      </c>
      <c r="AA179" s="222">
        <v>42873</v>
      </c>
      <c r="AB179" s="146" t="s">
        <v>195</v>
      </c>
      <c r="AC179" s="63">
        <f t="shared" si="8"/>
        <v>1</v>
      </c>
      <c r="AD179" s="221" t="s">
        <v>217</v>
      </c>
      <c r="AE179" s="221" t="s">
        <v>218</v>
      </c>
      <c r="AF179" s="52"/>
      <c r="AG179" s="146" t="s">
        <v>142</v>
      </c>
      <c r="AH179" s="64"/>
      <c r="AI179" s="146" t="s">
        <v>184</v>
      </c>
      <c r="AJ179" s="221"/>
      <c r="AK179" s="225" t="s">
        <v>654</v>
      </c>
      <c r="AL179" s="146" t="s">
        <v>645</v>
      </c>
      <c r="AM179" s="221"/>
    </row>
    <row r="180" spans="1:39" ht="38.25" hidden="1" customHeight="1">
      <c r="A180" s="147">
        <v>179</v>
      </c>
      <c r="B180" s="223">
        <v>195697</v>
      </c>
      <c r="C180" s="146" t="s">
        <v>86</v>
      </c>
      <c r="D180" s="57">
        <v>42871</v>
      </c>
      <c r="E180" s="58" t="s">
        <v>487</v>
      </c>
      <c r="F180" s="118">
        <v>42881</v>
      </c>
      <c r="G180" s="146">
        <f t="shared" si="10"/>
        <v>10</v>
      </c>
      <c r="H180" s="146" t="s">
        <v>133</v>
      </c>
      <c r="I180" s="223" t="s">
        <v>609</v>
      </c>
      <c r="J180" s="223" t="s">
        <v>614</v>
      </c>
      <c r="K180" s="94">
        <v>1699</v>
      </c>
      <c r="L180" s="94">
        <v>1699</v>
      </c>
      <c r="M180" s="96">
        <v>0</v>
      </c>
      <c r="N180" s="96">
        <v>0</v>
      </c>
      <c r="O180" s="151">
        <f t="shared" si="9"/>
        <v>0</v>
      </c>
      <c r="P180" s="119" t="s">
        <v>264</v>
      </c>
      <c r="Q180" s="224" t="s">
        <v>1342</v>
      </c>
      <c r="R180" s="221" t="s">
        <v>143</v>
      </c>
      <c r="S180" s="62" t="s">
        <v>465</v>
      </c>
      <c r="T180" s="221" t="s">
        <v>88</v>
      </c>
      <c r="U180" s="147" t="s">
        <v>89</v>
      </c>
      <c r="V180" s="224" t="s">
        <v>577</v>
      </c>
      <c r="W180" s="221"/>
      <c r="X180" s="146"/>
      <c r="Y180" s="146"/>
      <c r="Z180" s="146" t="s">
        <v>189</v>
      </c>
      <c r="AA180" s="221"/>
      <c r="AB180" s="146"/>
      <c r="AC180" s="63">
        <f t="shared" si="8"/>
        <v>0</v>
      </c>
      <c r="AD180" s="221" t="s">
        <v>217</v>
      </c>
      <c r="AE180" s="221" t="s">
        <v>217</v>
      </c>
      <c r="AF180" s="146" t="s">
        <v>225</v>
      </c>
      <c r="AG180" s="146"/>
      <c r="AH180" s="64"/>
      <c r="AI180" s="146"/>
      <c r="AJ180" s="221"/>
      <c r="AK180" s="146"/>
      <c r="AL180" s="146"/>
      <c r="AM180" s="221"/>
    </row>
    <row r="181" spans="1:39" ht="12.75" hidden="1" customHeight="1">
      <c r="A181" s="147">
        <v>180</v>
      </c>
      <c r="B181" s="223">
        <v>195746</v>
      </c>
      <c r="C181" s="146" t="s">
        <v>86</v>
      </c>
      <c r="D181" s="57">
        <v>42871</v>
      </c>
      <c r="E181" s="58" t="s">
        <v>487</v>
      </c>
      <c r="F181" s="118">
        <v>42881</v>
      </c>
      <c r="G181" s="146">
        <f t="shared" si="10"/>
        <v>10</v>
      </c>
      <c r="H181" s="146" t="s">
        <v>133</v>
      </c>
      <c r="I181" s="223" t="e">
        <v>#N/A</v>
      </c>
      <c r="J181" s="223" t="s">
        <v>614</v>
      </c>
      <c r="K181" s="94">
        <v>1899</v>
      </c>
      <c r="L181" s="94">
        <v>1899</v>
      </c>
      <c r="M181" s="96">
        <v>480</v>
      </c>
      <c r="N181" s="96">
        <v>330</v>
      </c>
      <c r="O181" s="93">
        <f t="shared" si="9"/>
        <v>1305.06</v>
      </c>
      <c r="P181" s="119" t="s">
        <v>264</v>
      </c>
      <c r="Q181" s="224" t="s">
        <v>1342</v>
      </c>
      <c r="R181" s="221" t="s">
        <v>143</v>
      </c>
      <c r="S181" s="62" t="s">
        <v>465</v>
      </c>
      <c r="T181" s="221" t="s">
        <v>88</v>
      </c>
      <c r="U181" s="91" t="s">
        <v>89</v>
      </c>
      <c r="V181" s="224" t="s">
        <v>90</v>
      </c>
      <c r="W181" s="221"/>
      <c r="X181" s="221"/>
      <c r="Y181" s="146" t="s">
        <v>316</v>
      </c>
      <c r="Z181" s="146" t="s">
        <v>189</v>
      </c>
      <c r="AA181" s="222">
        <v>42878</v>
      </c>
      <c r="AB181" s="146" t="s">
        <v>127</v>
      </c>
      <c r="AC181" s="63">
        <f t="shared" si="8"/>
        <v>1</v>
      </c>
      <c r="AD181" s="226" t="s">
        <v>217</v>
      </c>
      <c r="AE181" s="221" t="s">
        <v>218</v>
      </c>
      <c r="AF181" s="146"/>
      <c r="AG181" s="146"/>
      <c r="AH181" s="64"/>
      <c r="AI181" s="146" t="s">
        <v>184</v>
      </c>
      <c r="AJ181" s="221"/>
      <c r="AK181" s="225" t="s">
        <v>709</v>
      </c>
      <c r="AL181" s="146" t="s">
        <v>645</v>
      </c>
      <c r="AM181" s="221"/>
    </row>
    <row r="182" spans="1:39" ht="12.75" hidden="1" customHeight="1">
      <c r="A182" s="147">
        <v>181</v>
      </c>
      <c r="B182" s="223">
        <v>195749</v>
      </c>
      <c r="C182" s="146" t="s">
        <v>86</v>
      </c>
      <c r="D182" s="57">
        <v>42871</v>
      </c>
      <c r="E182" s="58" t="s">
        <v>487</v>
      </c>
      <c r="F182" s="118">
        <v>42881</v>
      </c>
      <c r="G182" s="146">
        <f t="shared" si="10"/>
        <v>10</v>
      </c>
      <c r="H182" s="146" t="s">
        <v>133</v>
      </c>
      <c r="I182" s="223" t="e">
        <v>#N/A</v>
      </c>
      <c r="J182" s="223" t="s">
        <v>615</v>
      </c>
      <c r="K182" s="94">
        <v>1899</v>
      </c>
      <c r="L182" s="94">
        <v>1899</v>
      </c>
      <c r="M182" s="96">
        <v>480</v>
      </c>
      <c r="N182" s="96">
        <v>95</v>
      </c>
      <c r="O182" s="93">
        <f t="shared" si="9"/>
        <v>1305.06</v>
      </c>
      <c r="P182" s="119" t="s">
        <v>264</v>
      </c>
      <c r="Q182" s="224" t="s">
        <v>1342</v>
      </c>
      <c r="R182" s="221" t="s">
        <v>143</v>
      </c>
      <c r="S182" s="62" t="s">
        <v>465</v>
      </c>
      <c r="T182" s="221" t="s">
        <v>88</v>
      </c>
      <c r="U182" s="224" t="s">
        <v>297</v>
      </c>
      <c r="V182" s="224" t="s">
        <v>90</v>
      </c>
      <c r="W182" s="221"/>
      <c r="X182" s="221"/>
      <c r="Y182" s="146" t="s">
        <v>316</v>
      </c>
      <c r="Z182" s="146" t="s">
        <v>189</v>
      </c>
      <c r="AA182" s="222">
        <v>42878</v>
      </c>
      <c r="AB182" s="146" t="s">
        <v>127</v>
      </c>
      <c r="AC182" s="63">
        <f t="shared" si="8"/>
        <v>1</v>
      </c>
      <c r="AD182" s="226" t="s">
        <v>217</v>
      </c>
      <c r="AE182" s="221" t="s">
        <v>218</v>
      </c>
      <c r="AF182" s="146"/>
      <c r="AG182" s="146" t="s">
        <v>142</v>
      </c>
      <c r="AH182" s="64"/>
      <c r="AI182" s="146" t="s">
        <v>184</v>
      </c>
      <c r="AJ182" s="221"/>
      <c r="AK182" s="225" t="s">
        <v>708</v>
      </c>
      <c r="AL182" s="146" t="s">
        <v>645</v>
      </c>
      <c r="AM182" s="221"/>
    </row>
    <row r="183" spans="1:39" ht="12.75" hidden="1" customHeight="1">
      <c r="A183" s="147">
        <v>182</v>
      </c>
      <c r="B183" s="223">
        <v>195872</v>
      </c>
      <c r="C183" s="146" t="s">
        <v>86</v>
      </c>
      <c r="D183" s="57">
        <v>42871</v>
      </c>
      <c r="E183" s="58" t="s">
        <v>487</v>
      </c>
      <c r="F183" s="118">
        <v>42882</v>
      </c>
      <c r="G183" s="146">
        <f t="shared" si="10"/>
        <v>11</v>
      </c>
      <c r="H183" s="146" t="s">
        <v>363</v>
      </c>
      <c r="I183" s="223" t="e">
        <v>#N/A</v>
      </c>
      <c r="J183" s="223" t="s">
        <v>615</v>
      </c>
      <c r="K183" s="94">
        <v>2999</v>
      </c>
      <c r="L183" s="94">
        <v>2999</v>
      </c>
      <c r="M183" s="96">
        <v>0</v>
      </c>
      <c r="N183" s="96">
        <v>0</v>
      </c>
      <c r="O183" s="93">
        <f t="shared" si="9"/>
        <v>2819.06</v>
      </c>
      <c r="P183" s="119" t="s">
        <v>264</v>
      </c>
      <c r="Q183" s="224" t="s">
        <v>1342</v>
      </c>
      <c r="R183" s="221" t="s">
        <v>134</v>
      </c>
      <c r="S183" s="62" t="s">
        <v>465</v>
      </c>
      <c r="T183" s="221" t="s">
        <v>88</v>
      </c>
      <c r="U183" s="221" t="s">
        <v>1460</v>
      </c>
      <c r="V183" s="221" t="s">
        <v>429</v>
      </c>
      <c r="W183" s="221"/>
      <c r="X183" s="221"/>
      <c r="Y183" s="146"/>
      <c r="Z183" s="146" t="s">
        <v>189</v>
      </c>
      <c r="AA183" s="221"/>
      <c r="AB183" s="146"/>
      <c r="AC183" s="63">
        <f t="shared" si="8"/>
        <v>1</v>
      </c>
      <c r="AD183" s="150" t="s">
        <v>217</v>
      </c>
      <c r="AE183" s="221" t="s">
        <v>218</v>
      </c>
      <c r="AF183" s="52"/>
      <c r="AG183" s="146" t="s">
        <v>142</v>
      </c>
      <c r="AH183" s="105" t="s">
        <v>443</v>
      </c>
      <c r="AI183" s="146"/>
      <c r="AJ183" s="221"/>
      <c r="AK183" s="146"/>
      <c r="AL183" s="146"/>
      <c r="AM183" s="221"/>
    </row>
    <row r="184" spans="1:39" ht="12.75" hidden="1" customHeight="1">
      <c r="A184" s="147">
        <v>183</v>
      </c>
      <c r="B184" s="223">
        <v>195244</v>
      </c>
      <c r="C184" s="146" t="s">
        <v>86</v>
      </c>
      <c r="D184" s="57">
        <v>42872</v>
      </c>
      <c r="E184" s="58" t="s">
        <v>487</v>
      </c>
      <c r="F184" s="118">
        <v>42877</v>
      </c>
      <c r="G184" s="146">
        <f t="shared" si="10"/>
        <v>5</v>
      </c>
      <c r="H184" s="146" t="s">
        <v>133</v>
      </c>
      <c r="I184" s="223" t="e">
        <v>#N/A</v>
      </c>
      <c r="J184" s="223" t="s">
        <v>615</v>
      </c>
      <c r="K184" s="94">
        <v>3499</v>
      </c>
      <c r="L184" s="94">
        <v>3499</v>
      </c>
      <c r="M184" s="97">
        <v>804.52</v>
      </c>
      <c r="N184" s="96">
        <v>0</v>
      </c>
      <c r="O184" s="93">
        <f t="shared" si="9"/>
        <v>2484.54</v>
      </c>
      <c r="P184" s="119" t="s">
        <v>261</v>
      </c>
      <c r="Q184" s="119" t="s">
        <v>1341</v>
      </c>
      <c r="R184" s="117" t="s">
        <v>134</v>
      </c>
      <c r="S184" s="62" t="s">
        <v>465</v>
      </c>
      <c r="T184" s="224" t="s">
        <v>114</v>
      </c>
      <c r="U184" s="224" t="s">
        <v>583</v>
      </c>
      <c r="V184" s="224" t="s">
        <v>584</v>
      </c>
      <c r="W184" s="221" t="s">
        <v>598</v>
      </c>
      <c r="X184" s="221"/>
      <c r="Y184" s="146" t="s">
        <v>91</v>
      </c>
      <c r="Z184" s="146" t="s">
        <v>170</v>
      </c>
      <c r="AA184" s="222">
        <v>42874</v>
      </c>
      <c r="AB184" s="146" t="s">
        <v>195</v>
      </c>
      <c r="AC184" s="63">
        <f t="shared" si="8"/>
        <v>1</v>
      </c>
      <c r="AD184" s="221" t="s">
        <v>217</v>
      </c>
      <c r="AE184" s="221" t="s">
        <v>218</v>
      </c>
      <c r="AF184" s="146"/>
      <c r="AG184" s="146"/>
      <c r="AH184" s="64"/>
      <c r="AI184" s="146"/>
      <c r="AJ184" s="146"/>
      <c r="AK184" s="221" t="s">
        <v>684</v>
      </c>
      <c r="AL184" s="146" t="s">
        <v>645</v>
      </c>
      <c r="AM184" s="117"/>
    </row>
    <row r="185" spans="1:39" ht="25.5" hidden="1" customHeight="1">
      <c r="A185" s="147">
        <v>184</v>
      </c>
      <c r="B185" s="223">
        <v>195450</v>
      </c>
      <c r="C185" s="146" t="s">
        <v>128</v>
      </c>
      <c r="D185" s="57">
        <v>42872</v>
      </c>
      <c r="E185" s="58" t="s">
        <v>487</v>
      </c>
      <c r="F185" s="118">
        <v>42882</v>
      </c>
      <c r="G185" s="146">
        <f t="shared" si="10"/>
        <v>10</v>
      </c>
      <c r="H185" s="146" t="s">
        <v>133</v>
      </c>
      <c r="I185" s="223" t="s">
        <v>609</v>
      </c>
      <c r="J185" s="223" t="s">
        <v>614</v>
      </c>
      <c r="K185" s="94">
        <v>2429</v>
      </c>
      <c r="L185" s="94">
        <v>2429.1</v>
      </c>
      <c r="M185" s="96">
        <v>0</v>
      </c>
      <c r="N185" s="96">
        <v>0</v>
      </c>
      <c r="O185" s="151">
        <f t="shared" si="9"/>
        <v>0</v>
      </c>
      <c r="P185" s="119" t="s">
        <v>263</v>
      </c>
      <c r="Q185" s="119" t="s">
        <v>1341</v>
      </c>
      <c r="R185" s="221" t="s">
        <v>134</v>
      </c>
      <c r="S185" s="62" t="s">
        <v>465</v>
      </c>
      <c r="T185" s="221" t="s">
        <v>88</v>
      </c>
      <c r="U185" s="224" t="s">
        <v>1461</v>
      </c>
      <c r="V185" s="224" t="s">
        <v>560</v>
      </c>
      <c r="W185" s="224"/>
      <c r="X185" s="221"/>
      <c r="Y185" s="146"/>
      <c r="Z185" s="146" t="s">
        <v>417</v>
      </c>
      <c r="AA185" s="221"/>
      <c r="AB185" s="146"/>
      <c r="AC185" s="63">
        <f t="shared" si="8"/>
        <v>0</v>
      </c>
      <c r="AD185" s="146" t="s">
        <v>217</v>
      </c>
      <c r="AE185" s="221" t="s">
        <v>217</v>
      </c>
      <c r="AF185" s="146" t="s">
        <v>225</v>
      </c>
      <c r="AG185" s="146"/>
      <c r="AH185" s="64"/>
      <c r="AI185" s="146"/>
      <c r="AJ185" s="146"/>
      <c r="AK185" s="221"/>
      <c r="AL185" s="146"/>
      <c r="AM185" s="102"/>
    </row>
    <row r="186" spans="1:39" ht="25.5" hidden="1" customHeight="1">
      <c r="A186" s="147">
        <v>185</v>
      </c>
      <c r="B186" s="223">
        <v>195562</v>
      </c>
      <c r="C186" s="221" t="s">
        <v>86</v>
      </c>
      <c r="D186" s="57">
        <v>42872</v>
      </c>
      <c r="E186" s="58" t="s">
        <v>487</v>
      </c>
      <c r="F186" s="222">
        <v>42881</v>
      </c>
      <c r="G186" s="221">
        <f t="shared" si="10"/>
        <v>9</v>
      </c>
      <c r="H186" s="221" t="s">
        <v>133</v>
      </c>
      <c r="I186" s="223" t="e">
        <v>#N/A</v>
      </c>
      <c r="J186" s="223" t="s">
        <v>615</v>
      </c>
      <c r="K186" s="94">
        <v>2899</v>
      </c>
      <c r="L186" s="94">
        <v>2899</v>
      </c>
      <c r="M186" s="97">
        <v>380</v>
      </c>
      <c r="N186" s="96">
        <v>0</v>
      </c>
      <c r="O186" s="93">
        <f t="shared" si="9"/>
        <v>2345.06</v>
      </c>
      <c r="P186" s="224" t="s">
        <v>263</v>
      </c>
      <c r="Q186" s="224" t="s">
        <v>1341</v>
      </c>
      <c r="R186" s="224" t="s">
        <v>122</v>
      </c>
      <c r="S186" s="225" t="s">
        <v>469</v>
      </c>
      <c r="T186" s="224" t="s">
        <v>164</v>
      </c>
      <c r="U186" s="224" t="s">
        <v>582</v>
      </c>
      <c r="V186" s="222" t="s">
        <v>169</v>
      </c>
      <c r="W186" s="221"/>
      <c r="X186" s="52"/>
      <c r="Y186" s="221" t="s">
        <v>316</v>
      </c>
      <c r="Z186" s="221" t="s">
        <v>315</v>
      </c>
      <c r="AA186" s="222">
        <v>42873</v>
      </c>
      <c r="AB186" s="221" t="s">
        <v>195</v>
      </c>
      <c r="AC186" s="226">
        <f t="shared" si="8"/>
        <v>1</v>
      </c>
      <c r="AD186" s="226" t="s">
        <v>217</v>
      </c>
      <c r="AE186" s="221" t="s">
        <v>218</v>
      </c>
      <c r="AF186" s="221"/>
      <c r="AG186" s="221" t="s">
        <v>142</v>
      </c>
      <c r="AH186" s="64"/>
      <c r="AI186" s="221" t="s">
        <v>184</v>
      </c>
      <c r="AJ186" s="221"/>
      <c r="AK186" s="225" t="s">
        <v>656</v>
      </c>
      <c r="AL186" s="221" t="s">
        <v>645</v>
      </c>
      <c r="AM186" s="221"/>
    </row>
    <row r="187" spans="1:39" ht="12.75" hidden="1" customHeight="1">
      <c r="A187" s="147">
        <v>186</v>
      </c>
      <c r="B187" s="223">
        <v>195619</v>
      </c>
      <c r="C187" s="52" t="s">
        <v>128</v>
      </c>
      <c r="D187" s="57">
        <v>42873</v>
      </c>
      <c r="E187" s="58" t="s">
        <v>487</v>
      </c>
      <c r="F187" s="59">
        <v>42881</v>
      </c>
      <c r="G187" s="146">
        <f t="shared" si="10"/>
        <v>8</v>
      </c>
      <c r="H187" s="52" t="s">
        <v>133</v>
      </c>
      <c r="I187" s="223" t="e">
        <v>#N/A</v>
      </c>
      <c r="J187" s="223" t="s">
        <v>615</v>
      </c>
      <c r="K187" s="94">
        <v>1499</v>
      </c>
      <c r="L187" s="94">
        <v>1499</v>
      </c>
      <c r="M187" s="96">
        <v>560</v>
      </c>
      <c r="N187" s="96">
        <v>107.1</v>
      </c>
      <c r="O187" s="93">
        <f t="shared" si="9"/>
        <v>849.06</v>
      </c>
      <c r="P187" s="61" t="s">
        <v>264</v>
      </c>
      <c r="Q187" s="119" t="s">
        <v>1342</v>
      </c>
      <c r="R187" s="117" t="s">
        <v>335</v>
      </c>
      <c r="S187" s="225" t="s">
        <v>466</v>
      </c>
      <c r="T187" s="221" t="s">
        <v>405</v>
      </c>
      <c r="U187" s="224" t="s">
        <v>499</v>
      </c>
      <c r="V187" s="148" t="s">
        <v>257</v>
      </c>
      <c r="W187" s="224" t="s">
        <v>500</v>
      </c>
      <c r="X187" s="52"/>
      <c r="Y187" s="117" t="s">
        <v>316</v>
      </c>
      <c r="Z187" s="52" t="s">
        <v>339</v>
      </c>
      <c r="AA187" s="222">
        <v>42878</v>
      </c>
      <c r="AB187" s="52" t="s">
        <v>127</v>
      </c>
      <c r="AC187" s="63">
        <f t="shared" si="8"/>
        <v>1</v>
      </c>
      <c r="AD187" s="226" t="s">
        <v>217</v>
      </c>
      <c r="AE187" s="221" t="s">
        <v>218</v>
      </c>
      <c r="AF187" s="52"/>
      <c r="AG187" s="52"/>
      <c r="AH187" s="64"/>
      <c r="AI187" s="117" t="s">
        <v>184</v>
      </c>
      <c r="AJ187" s="222">
        <v>42927</v>
      </c>
      <c r="AK187" s="145" t="s">
        <v>938</v>
      </c>
      <c r="AL187" s="117" t="s">
        <v>645</v>
      </c>
      <c r="AM187" s="222">
        <v>42927</v>
      </c>
    </row>
    <row r="188" spans="1:39" ht="12.75" hidden="1" customHeight="1">
      <c r="A188" s="147">
        <v>187</v>
      </c>
      <c r="B188" s="223">
        <v>195689</v>
      </c>
      <c r="C188" s="52" t="s">
        <v>128</v>
      </c>
      <c r="D188" s="57">
        <v>42873</v>
      </c>
      <c r="E188" s="58" t="s">
        <v>487</v>
      </c>
      <c r="F188" s="59">
        <v>42884</v>
      </c>
      <c r="G188" s="146">
        <f t="shared" si="10"/>
        <v>11</v>
      </c>
      <c r="H188" s="52" t="s">
        <v>133</v>
      </c>
      <c r="I188" s="223" t="s">
        <v>609</v>
      </c>
      <c r="J188" s="223" t="s">
        <v>614</v>
      </c>
      <c r="K188" s="94">
        <v>999</v>
      </c>
      <c r="L188" s="94">
        <v>999</v>
      </c>
      <c r="M188" s="96">
        <v>0</v>
      </c>
      <c r="N188" s="96">
        <v>0</v>
      </c>
      <c r="O188" s="151">
        <f t="shared" si="9"/>
        <v>0</v>
      </c>
      <c r="P188" s="61" t="s">
        <v>262</v>
      </c>
      <c r="Q188" s="224" t="s">
        <v>1342</v>
      </c>
      <c r="R188" s="146" t="s">
        <v>335</v>
      </c>
      <c r="S188" s="225" t="s">
        <v>466</v>
      </c>
      <c r="T188" s="224" t="s">
        <v>593</v>
      </c>
      <c r="U188" s="224" t="s">
        <v>594</v>
      </c>
      <c r="V188" s="224" t="s">
        <v>595</v>
      </c>
      <c r="W188" s="224"/>
      <c r="X188" s="117"/>
      <c r="Y188" s="117"/>
      <c r="Z188" s="117" t="s">
        <v>1146</v>
      </c>
      <c r="AA188" s="221"/>
      <c r="AB188" s="52"/>
      <c r="AC188" s="63">
        <f t="shared" si="8"/>
        <v>0</v>
      </c>
      <c r="AD188" s="221" t="s">
        <v>217</v>
      </c>
      <c r="AE188" s="221" t="s">
        <v>217</v>
      </c>
      <c r="AF188" s="52" t="s">
        <v>225</v>
      </c>
      <c r="AG188" s="52" t="s">
        <v>142</v>
      </c>
      <c r="AH188" s="64"/>
      <c r="AI188" s="117"/>
      <c r="AJ188" s="221"/>
      <c r="AK188" s="221"/>
      <c r="AL188" s="117"/>
      <c r="AM188" s="221"/>
    </row>
    <row r="189" spans="1:39" ht="12.75" hidden="1" customHeight="1">
      <c r="A189" s="147">
        <v>188</v>
      </c>
      <c r="B189" s="172">
        <v>196019</v>
      </c>
      <c r="C189" s="117" t="s">
        <v>128</v>
      </c>
      <c r="D189" s="57">
        <v>42873</v>
      </c>
      <c r="E189" s="58" t="s">
        <v>487</v>
      </c>
      <c r="F189" s="59">
        <v>42883</v>
      </c>
      <c r="G189" s="146">
        <f t="shared" si="10"/>
        <v>10</v>
      </c>
      <c r="H189" s="117" t="s">
        <v>133</v>
      </c>
      <c r="I189" s="223" t="e">
        <v>#N/A</v>
      </c>
      <c r="J189" s="223" t="s">
        <v>615</v>
      </c>
      <c r="K189" s="94">
        <v>1299</v>
      </c>
      <c r="L189" s="94">
        <v>1299</v>
      </c>
      <c r="M189" s="97">
        <v>700</v>
      </c>
      <c r="N189" s="96">
        <v>107.1</v>
      </c>
      <c r="O189" s="93">
        <f t="shared" si="9"/>
        <v>521.05999999999995</v>
      </c>
      <c r="P189" s="61" t="s">
        <v>264</v>
      </c>
      <c r="Q189" s="119" t="s">
        <v>1342</v>
      </c>
      <c r="R189" s="146" t="s">
        <v>335</v>
      </c>
      <c r="S189" s="225" t="s">
        <v>466</v>
      </c>
      <c r="T189" s="224" t="s">
        <v>338</v>
      </c>
      <c r="U189" s="224" t="s">
        <v>596</v>
      </c>
      <c r="V189" s="148" t="s">
        <v>257</v>
      </c>
      <c r="W189" s="224" t="s">
        <v>597</v>
      </c>
      <c r="X189" s="128"/>
      <c r="Y189" s="221" t="s">
        <v>316</v>
      </c>
      <c r="Z189" s="221" t="s">
        <v>339</v>
      </c>
      <c r="AA189" s="118">
        <v>42877</v>
      </c>
      <c r="AB189" s="52" t="s">
        <v>127</v>
      </c>
      <c r="AC189" s="63">
        <f t="shared" si="8"/>
        <v>1</v>
      </c>
      <c r="AD189" s="226" t="s">
        <v>217</v>
      </c>
      <c r="AE189" s="221" t="s">
        <v>218</v>
      </c>
      <c r="AF189" s="52"/>
      <c r="AG189" s="52" t="s">
        <v>142</v>
      </c>
      <c r="AH189" s="64" t="s">
        <v>807</v>
      </c>
      <c r="AI189" s="221" t="s">
        <v>184</v>
      </c>
      <c r="AJ189" s="222">
        <v>42898</v>
      </c>
      <c r="AK189" s="225" t="s">
        <v>806</v>
      </c>
      <c r="AL189" s="221" t="s">
        <v>645</v>
      </c>
      <c r="AM189" s="222">
        <v>42906</v>
      </c>
    </row>
    <row r="190" spans="1:39" ht="12.75" hidden="1" customHeight="1">
      <c r="A190" s="147">
        <v>189</v>
      </c>
      <c r="B190" s="223">
        <v>195896</v>
      </c>
      <c r="C190" s="146" t="s">
        <v>86</v>
      </c>
      <c r="D190" s="57">
        <v>42874</v>
      </c>
      <c r="E190" s="58" t="s">
        <v>487</v>
      </c>
      <c r="F190" s="118">
        <v>42889</v>
      </c>
      <c r="G190" s="146">
        <f t="shared" si="10"/>
        <v>15</v>
      </c>
      <c r="H190" s="146" t="s">
        <v>133</v>
      </c>
      <c r="I190" s="223" t="e">
        <v>#N/A</v>
      </c>
      <c r="J190" s="223" t="s">
        <v>615</v>
      </c>
      <c r="K190" s="94">
        <v>2999</v>
      </c>
      <c r="L190" s="94">
        <v>2999</v>
      </c>
      <c r="M190" s="96">
        <v>290</v>
      </c>
      <c r="N190" s="96">
        <v>0</v>
      </c>
      <c r="O190" s="93">
        <f t="shared" si="9"/>
        <v>2529.06</v>
      </c>
      <c r="P190" s="119" t="s">
        <v>261</v>
      </c>
      <c r="Q190" s="119" t="s">
        <v>1341</v>
      </c>
      <c r="R190" s="146" t="s">
        <v>134</v>
      </c>
      <c r="S190" s="62" t="s">
        <v>465</v>
      </c>
      <c r="T190" s="221" t="s">
        <v>88</v>
      </c>
      <c r="U190" s="67" t="s">
        <v>741</v>
      </c>
      <c r="V190" s="146" t="s">
        <v>429</v>
      </c>
      <c r="W190" s="146"/>
      <c r="X190" s="146"/>
      <c r="Y190" s="146" t="s">
        <v>316</v>
      </c>
      <c r="Z190" s="146" t="s">
        <v>189</v>
      </c>
      <c r="AA190" s="222">
        <v>42879</v>
      </c>
      <c r="AB190" s="146" t="s">
        <v>127</v>
      </c>
      <c r="AC190" s="63">
        <f t="shared" si="8"/>
        <v>1</v>
      </c>
      <c r="AD190" s="221" t="s">
        <v>217</v>
      </c>
      <c r="AE190" s="221" t="s">
        <v>218</v>
      </c>
      <c r="AF190" s="52"/>
      <c r="AG190" s="146" t="s">
        <v>142</v>
      </c>
      <c r="AH190" s="64"/>
      <c r="AI190" s="146" t="s">
        <v>184</v>
      </c>
      <c r="AJ190" s="221"/>
      <c r="AK190" s="225" t="s">
        <v>710</v>
      </c>
      <c r="AL190" s="146" t="s">
        <v>645</v>
      </c>
      <c r="AM190" s="221"/>
    </row>
    <row r="191" spans="1:39" ht="12.75" hidden="1" customHeight="1">
      <c r="A191" s="147">
        <v>190</v>
      </c>
      <c r="B191" s="223">
        <v>195928</v>
      </c>
      <c r="C191" s="221" t="s">
        <v>121</v>
      </c>
      <c r="D191" s="57">
        <v>42874</v>
      </c>
      <c r="E191" s="58" t="s">
        <v>487</v>
      </c>
      <c r="F191" s="59">
        <v>42883</v>
      </c>
      <c r="G191" s="146">
        <f t="shared" si="10"/>
        <v>9</v>
      </c>
      <c r="H191" s="117" t="s">
        <v>363</v>
      </c>
      <c r="I191" s="223" t="e">
        <v>#N/A</v>
      </c>
      <c r="J191" s="223" t="s">
        <v>614</v>
      </c>
      <c r="K191" s="94">
        <v>2499</v>
      </c>
      <c r="L191" s="94">
        <v>2499</v>
      </c>
      <c r="M191" s="96">
        <v>0</v>
      </c>
      <c r="N191" s="96">
        <v>0</v>
      </c>
      <c r="O191" s="151">
        <f t="shared" si="9"/>
        <v>0</v>
      </c>
      <c r="P191" s="61" t="s">
        <v>264</v>
      </c>
      <c r="Q191" s="119" t="s">
        <v>1342</v>
      </c>
      <c r="R191" s="224" t="s">
        <v>210</v>
      </c>
      <c r="S191" s="225" t="s">
        <v>469</v>
      </c>
      <c r="T191" s="224" t="s">
        <v>114</v>
      </c>
      <c r="U191" s="224" t="s">
        <v>599</v>
      </c>
      <c r="V191" s="224" t="s">
        <v>90</v>
      </c>
      <c r="W191" s="224"/>
      <c r="X191" s="146"/>
      <c r="Y191" s="146"/>
      <c r="Z191" s="117" t="s">
        <v>379</v>
      </c>
      <c r="AA191" s="221"/>
      <c r="AB191" s="146"/>
      <c r="AC191" s="63">
        <f t="shared" si="8"/>
        <v>0</v>
      </c>
      <c r="AD191" s="146" t="s">
        <v>217</v>
      </c>
      <c r="AE191" s="221" t="s">
        <v>217</v>
      </c>
      <c r="AF191" s="148" t="s">
        <v>1625</v>
      </c>
      <c r="AG191" s="146" t="s">
        <v>142</v>
      </c>
      <c r="AH191" s="105" t="s">
        <v>422</v>
      </c>
      <c r="AI191" s="146"/>
      <c r="AJ191" s="146"/>
      <c r="AK191" s="221"/>
      <c r="AL191" s="146"/>
      <c r="AM191" s="146"/>
    </row>
    <row r="192" spans="1:39" ht="12.75" hidden="1" customHeight="1">
      <c r="A192" s="147">
        <v>191</v>
      </c>
      <c r="B192" s="223">
        <v>195985</v>
      </c>
      <c r="C192" s="52" t="s">
        <v>86</v>
      </c>
      <c r="D192" s="57">
        <v>42874</v>
      </c>
      <c r="E192" s="58" t="s">
        <v>487</v>
      </c>
      <c r="F192" s="222">
        <v>42886</v>
      </c>
      <c r="G192" s="146">
        <f t="shared" si="10"/>
        <v>12</v>
      </c>
      <c r="H192" s="52" t="s">
        <v>133</v>
      </c>
      <c r="I192" s="223" t="e">
        <v>#N/A</v>
      </c>
      <c r="J192" s="223" t="s">
        <v>615</v>
      </c>
      <c r="K192" s="94">
        <v>1899</v>
      </c>
      <c r="L192" s="94">
        <v>1899</v>
      </c>
      <c r="M192" s="97">
        <v>350</v>
      </c>
      <c r="N192" s="96">
        <v>370</v>
      </c>
      <c r="O192" s="227">
        <f t="shared" si="9"/>
        <v>1415.06</v>
      </c>
      <c r="P192" s="224" t="s">
        <v>262</v>
      </c>
      <c r="Q192" s="224" t="s">
        <v>1342</v>
      </c>
      <c r="R192" s="221" t="s">
        <v>134</v>
      </c>
      <c r="S192" s="225" t="s">
        <v>465</v>
      </c>
      <c r="T192" s="221" t="s">
        <v>88</v>
      </c>
      <c r="U192" s="224" t="s">
        <v>600</v>
      </c>
      <c r="V192" s="224" t="s">
        <v>139</v>
      </c>
      <c r="W192" s="224"/>
      <c r="X192" s="221"/>
      <c r="Y192" s="221" t="s">
        <v>316</v>
      </c>
      <c r="Z192" s="221" t="s">
        <v>189</v>
      </c>
      <c r="AA192" s="222">
        <v>42877</v>
      </c>
      <c r="AB192" s="221" t="s">
        <v>140</v>
      </c>
      <c r="AC192" s="226">
        <f t="shared" si="8"/>
        <v>1</v>
      </c>
      <c r="AD192" s="226" t="s">
        <v>217</v>
      </c>
      <c r="AE192" s="221" t="s">
        <v>218</v>
      </c>
      <c r="AF192" s="221"/>
      <c r="AG192" s="221"/>
      <c r="AH192" s="64"/>
      <c r="AI192" s="221" t="s">
        <v>184</v>
      </c>
      <c r="AJ192" s="221"/>
      <c r="AK192" s="225" t="s">
        <v>657</v>
      </c>
      <c r="AL192" s="221" t="s">
        <v>645</v>
      </c>
      <c r="AM192" s="221"/>
    </row>
    <row r="193" spans="1:16384" ht="12.75" hidden="1" customHeight="1">
      <c r="A193" s="147">
        <v>192</v>
      </c>
      <c r="B193" s="223">
        <v>196402</v>
      </c>
      <c r="C193" s="117" t="s">
        <v>86</v>
      </c>
      <c r="D193" s="57">
        <v>42874</v>
      </c>
      <c r="E193" s="58" t="s">
        <v>487</v>
      </c>
      <c r="F193" s="59">
        <v>42886</v>
      </c>
      <c r="G193" s="221">
        <f t="shared" si="10"/>
        <v>12</v>
      </c>
      <c r="H193" s="52" t="s">
        <v>133</v>
      </c>
      <c r="I193" s="223" t="s">
        <v>609</v>
      </c>
      <c r="J193" s="223" t="s">
        <v>614</v>
      </c>
      <c r="K193" s="94">
        <v>3999</v>
      </c>
      <c r="L193" s="94">
        <v>3999</v>
      </c>
      <c r="M193" s="96">
        <v>0</v>
      </c>
      <c r="N193" s="96">
        <v>0</v>
      </c>
      <c r="O193" s="151">
        <f t="shared" si="9"/>
        <v>0</v>
      </c>
      <c r="P193" s="61" t="s">
        <v>264</v>
      </c>
      <c r="Q193" s="119" t="s">
        <v>1342</v>
      </c>
      <c r="R193" s="224" t="s">
        <v>122</v>
      </c>
      <c r="S193" s="225" t="s">
        <v>469</v>
      </c>
      <c r="T193" s="224" t="s">
        <v>114</v>
      </c>
      <c r="U193" s="224" t="s">
        <v>604</v>
      </c>
      <c r="V193" s="119" t="s">
        <v>222</v>
      </c>
      <c r="W193" s="224"/>
      <c r="X193" s="117"/>
      <c r="Y193" s="221"/>
      <c r="Z193" s="52" t="s">
        <v>170</v>
      </c>
      <c r="AA193" s="221"/>
      <c r="AB193" s="52"/>
      <c r="AC193" s="63">
        <f t="shared" si="8"/>
        <v>0</v>
      </c>
      <c r="AD193" s="221" t="s">
        <v>217</v>
      </c>
      <c r="AE193" s="221" t="s">
        <v>217</v>
      </c>
      <c r="AF193" s="52" t="s">
        <v>225</v>
      </c>
      <c r="AG193" s="52"/>
      <c r="AH193" s="64"/>
      <c r="AI193" s="117"/>
      <c r="AJ193" s="146"/>
      <c r="AK193" s="221"/>
      <c r="AL193" s="117"/>
      <c r="AM193" s="146"/>
    </row>
    <row r="194" spans="1:16384" ht="12.75" hidden="1" customHeight="1">
      <c r="A194" s="147">
        <v>193</v>
      </c>
      <c r="B194" s="223">
        <v>196559</v>
      </c>
      <c r="C194" s="52" t="s">
        <v>129</v>
      </c>
      <c r="D194" s="57">
        <v>42874</v>
      </c>
      <c r="E194" s="58" t="s">
        <v>487</v>
      </c>
      <c r="F194" s="59">
        <v>42883</v>
      </c>
      <c r="G194" s="221">
        <f t="shared" si="10"/>
        <v>9</v>
      </c>
      <c r="H194" s="52" t="s">
        <v>133</v>
      </c>
      <c r="I194" s="223" t="e">
        <v>#N/A</v>
      </c>
      <c r="J194" s="60" t="s">
        <v>613</v>
      </c>
      <c r="K194" s="94">
        <v>1519</v>
      </c>
      <c r="L194" s="94">
        <v>1519.05</v>
      </c>
      <c r="M194" s="97">
        <v>449.44</v>
      </c>
      <c r="N194" s="96">
        <v>0</v>
      </c>
      <c r="O194" s="93">
        <f t="shared" si="9"/>
        <v>978.41999999999985</v>
      </c>
      <c r="P194" s="61" t="s">
        <v>264</v>
      </c>
      <c r="Q194" s="119" t="s">
        <v>1342</v>
      </c>
      <c r="R194" s="224" t="s">
        <v>122</v>
      </c>
      <c r="S194" s="225" t="s">
        <v>469</v>
      </c>
      <c r="T194" s="224" t="s">
        <v>114</v>
      </c>
      <c r="U194" s="224" t="s">
        <v>601</v>
      </c>
      <c r="V194" s="222" t="s">
        <v>169</v>
      </c>
      <c r="W194" s="221"/>
      <c r="X194" s="117"/>
      <c r="Y194" s="52" t="s">
        <v>91</v>
      </c>
      <c r="Z194" s="146" t="s">
        <v>602</v>
      </c>
      <c r="AA194" s="221"/>
      <c r="AB194" s="52"/>
      <c r="AC194" s="63">
        <f t="shared" ref="AC194:AC257" si="11">+IF(O194&gt;0,1,0)</f>
        <v>1</v>
      </c>
      <c r="AD194" s="221" t="s">
        <v>217</v>
      </c>
      <c r="AE194" s="221" t="s">
        <v>218</v>
      </c>
      <c r="AF194" s="52"/>
      <c r="AG194" s="52"/>
      <c r="AH194" s="92" t="s">
        <v>603</v>
      </c>
      <c r="AI194" s="117" t="s">
        <v>82</v>
      </c>
      <c r="AJ194" s="221"/>
      <c r="AK194" s="221" t="s">
        <v>674</v>
      </c>
      <c r="AL194" s="117" t="s">
        <v>645</v>
      </c>
      <c r="AM194" s="221"/>
    </row>
    <row r="195" spans="1:16384" ht="12.75" hidden="1" customHeight="1">
      <c r="A195" s="147">
        <v>194</v>
      </c>
      <c r="B195" s="223">
        <v>195763</v>
      </c>
      <c r="C195" s="52" t="s">
        <v>86</v>
      </c>
      <c r="D195" s="57">
        <v>42877</v>
      </c>
      <c r="E195" s="58" t="s">
        <v>487</v>
      </c>
      <c r="F195" s="59">
        <v>42888</v>
      </c>
      <c r="G195" s="221">
        <f t="shared" si="10"/>
        <v>11</v>
      </c>
      <c r="H195" s="117" t="s">
        <v>133</v>
      </c>
      <c r="I195" s="223" t="e">
        <v>#N/A</v>
      </c>
      <c r="J195" s="60" t="s">
        <v>615</v>
      </c>
      <c r="K195" s="94">
        <v>1299</v>
      </c>
      <c r="L195" s="94">
        <v>1299</v>
      </c>
      <c r="M195" s="97">
        <v>350</v>
      </c>
      <c r="N195" s="96">
        <v>330</v>
      </c>
      <c r="O195" s="93">
        <f t="shared" si="9"/>
        <v>871.06</v>
      </c>
      <c r="P195" s="61" t="s">
        <v>262</v>
      </c>
      <c r="Q195" s="119" t="s">
        <v>1342</v>
      </c>
      <c r="R195" s="221" t="s">
        <v>134</v>
      </c>
      <c r="S195" s="62" t="s">
        <v>465</v>
      </c>
      <c r="T195" s="221" t="s">
        <v>88</v>
      </c>
      <c r="U195" s="224" t="s">
        <v>605</v>
      </c>
      <c r="V195" s="224" t="s">
        <v>139</v>
      </c>
      <c r="W195" s="224"/>
      <c r="X195" s="117"/>
      <c r="Y195" s="146" t="s">
        <v>316</v>
      </c>
      <c r="Z195" s="52" t="s">
        <v>189</v>
      </c>
      <c r="AA195" s="222">
        <v>42877</v>
      </c>
      <c r="AB195" s="52" t="s">
        <v>140</v>
      </c>
      <c r="AC195" s="63">
        <f t="shared" si="11"/>
        <v>1</v>
      </c>
      <c r="AD195" s="226" t="s">
        <v>217</v>
      </c>
      <c r="AE195" s="221" t="s">
        <v>218</v>
      </c>
      <c r="AF195" s="52"/>
      <c r="AG195" s="52"/>
      <c r="AH195" s="64"/>
      <c r="AI195" s="117" t="s">
        <v>184</v>
      </c>
      <c r="AJ195" s="146"/>
      <c r="AK195" s="225" t="s">
        <v>658</v>
      </c>
      <c r="AL195" s="117" t="s">
        <v>645</v>
      </c>
      <c r="AM195" s="117"/>
    </row>
    <row r="196" spans="1:16384" ht="12.75" hidden="1" customHeight="1">
      <c r="A196" s="147">
        <v>195</v>
      </c>
      <c r="B196" s="223">
        <v>195804</v>
      </c>
      <c r="C196" s="146" t="s">
        <v>121</v>
      </c>
      <c r="D196" s="57">
        <v>42878</v>
      </c>
      <c r="E196" s="58" t="s">
        <v>487</v>
      </c>
      <c r="F196" s="59">
        <v>42881</v>
      </c>
      <c r="G196" s="221">
        <f t="shared" si="10"/>
        <v>3</v>
      </c>
      <c r="H196" s="52" t="s">
        <v>133</v>
      </c>
      <c r="I196" s="221"/>
      <c r="J196" s="60" t="s">
        <v>615</v>
      </c>
      <c r="K196" s="94">
        <v>1599</v>
      </c>
      <c r="L196" s="94">
        <v>1599</v>
      </c>
      <c r="M196" s="96">
        <v>320</v>
      </c>
      <c r="N196" s="97">
        <v>135</v>
      </c>
      <c r="O196" s="93">
        <f t="shared" si="9"/>
        <v>1183.06</v>
      </c>
      <c r="P196" s="61" t="s">
        <v>264</v>
      </c>
      <c r="Q196" s="119" t="s">
        <v>1342</v>
      </c>
      <c r="R196" s="117" t="s">
        <v>134</v>
      </c>
      <c r="S196" s="62" t="s">
        <v>465</v>
      </c>
      <c r="T196" s="224" t="s">
        <v>164</v>
      </c>
      <c r="U196" s="224" t="s">
        <v>619</v>
      </c>
      <c r="V196" s="224" t="s">
        <v>90</v>
      </c>
      <c r="W196" s="224" t="s">
        <v>620</v>
      </c>
      <c r="X196" s="221"/>
      <c r="Y196" s="221" t="s">
        <v>1942</v>
      </c>
      <c r="Z196" s="52" t="s">
        <v>202</v>
      </c>
      <c r="AA196" s="222">
        <v>42879</v>
      </c>
      <c r="AB196" s="117" t="s">
        <v>127</v>
      </c>
      <c r="AC196" s="63">
        <f t="shared" si="11"/>
        <v>1</v>
      </c>
      <c r="AD196" s="221" t="s">
        <v>217</v>
      </c>
      <c r="AE196" s="221" t="s">
        <v>218</v>
      </c>
      <c r="AF196" s="117"/>
      <c r="AG196" s="117" t="s">
        <v>142</v>
      </c>
      <c r="AH196" s="64"/>
      <c r="AI196" s="117" t="s">
        <v>184</v>
      </c>
      <c r="AJ196" s="221"/>
      <c r="AK196" s="221" t="s">
        <v>730</v>
      </c>
      <c r="AL196" s="117" t="s">
        <v>645</v>
      </c>
      <c r="AM196" s="221"/>
    </row>
    <row r="197" spans="1:16384" ht="12.75" hidden="1" customHeight="1">
      <c r="A197" s="147">
        <v>196</v>
      </c>
      <c r="B197" s="223">
        <v>196039</v>
      </c>
      <c r="C197" s="146" t="s">
        <v>121</v>
      </c>
      <c r="D197" s="57">
        <v>42878</v>
      </c>
      <c r="E197" s="58" t="s">
        <v>487</v>
      </c>
      <c r="F197" s="59">
        <v>42881</v>
      </c>
      <c r="G197" s="221">
        <f t="shared" si="10"/>
        <v>3</v>
      </c>
      <c r="H197" s="52" t="s">
        <v>133</v>
      </c>
      <c r="I197" s="221"/>
      <c r="J197" s="60" t="s">
        <v>614</v>
      </c>
      <c r="K197" s="94">
        <v>1321.3</v>
      </c>
      <c r="L197" s="94">
        <v>1321.3</v>
      </c>
      <c r="M197" s="96">
        <v>0</v>
      </c>
      <c r="N197" s="97">
        <v>0</v>
      </c>
      <c r="O197" s="151">
        <f t="shared" si="9"/>
        <v>0</v>
      </c>
      <c r="P197" s="61" t="s">
        <v>264</v>
      </c>
      <c r="Q197" s="119" t="s">
        <v>1342</v>
      </c>
      <c r="R197" s="224" t="s">
        <v>210</v>
      </c>
      <c r="S197" s="225" t="s">
        <v>469</v>
      </c>
      <c r="T197" s="224" t="s">
        <v>380</v>
      </c>
      <c r="U197" s="224" t="s">
        <v>622</v>
      </c>
      <c r="V197" s="224" t="s">
        <v>90</v>
      </c>
      <c r="W197" s="224"/>
      <c r="X197" s="52"/>
      <c r="Y197" s="221"/>
      <c r="Z197" s="52" t="s">
        <v>253</v>
      </c>
      <c r="AA197" s="221"/>
      <c r="AB197" s="52"/>
      <c r="AC197" s="63">
        <f t="shared" si="11"/>
        <v>0</v>
      </c>
      <c r="AD197" s="221" t="s">
        <v>217</v>
      </c>
      <c r="AE197" s="221" t="s">
        <v>217</v>
      </c>
      <c r="AF197" s="52" t="s">
        <v>225</v>
      </c>
      <c r="AG197" s="52"/>
      <c r="AH197" s="64"/>
      <c r="AI197" s="117"/>
      <c r="AJ197" s="146"/>
      <c r="AK197" s="221"/>
      <c r="AL197" s="117"/>
      <c r="AM197" s="146"/>
    </row>
    <row r="198" spans="1:16384" ht="12.75" hidden="1" customHeight="1">
      <c r="A198" s="147">
        <v>197</v>
      </c>
      <c r="B198" s="223">
        <v>196197</v>
      </c>
      <c r="C198" s="146" t="s">
        <v>128</v>
      </c>
      <c r="D198" s="57">
        <v>42878</v>
      </c>
      <c r="E198" s="58" t="s">
        <v>487</v>
      </c>
      <c r="F198" s="59">
        <v>42891</v>
      </c>
      <c r="G198" s="221">
        <f t="shared" si="10"/>
        <v>13</v>
      </c>
      <c r="H198" s="117" t="s">
        <v>133</v>
      </c>
      <c r="I198" s="102"/>
      <c r="J198" s="60" t="s">
        <v>614</v>
      </c>
      <c r="K198" s="94">
        <v>3376.54</v>
      </c>
      <c r="L198" s="94">
        <v>3376.54</v>
      </c>
      <c r="M198" s="102"/>
      <c r="N198" s="102"/>
      <c r="O198" s="151">
        <f t="shared" si="9"/>
        <v>0</v>
      </c>
      <c r="P198" s="61" t="s">
        <v>264</v>
      </c>
      <c r="Q198" s="119" t="s">
        <v>1342</v>
      </c>
      <c r="R198" s="224" t="s">
        <v>501</v>
      </c>
      <c r="S198" s="225" t="s">
        <v>466</v>
      </c>
      <c r="T198" s="221" t="s">
        <v>405</v>
      </c>
      <c r="U198" s="224" t="s">
        <v>661</v>
      </c>
      <c r="V198" s="224" t="s">
        <v>1219</v>
      </c>
      <c r="W198" s="102"/>
      <c r="X198" s="102"/>
      <c r="Y198" s="102"/>
      <c r="Z198" s="52" t="s">
        <v>259</v>
      </c>
      <c r="AA198" s="102"/>
      <c r="AB198" s="102"/>
      <c r="AC198" s="63">
        <f t="shared" si="11"/>
        <v>0</v>
      </c>
      <c r="AD198" s="221"/>
      <c r="AE198" s="221" t="s">
        <v>217</v>
      </c>
      <c r="AF198" s="221" t="s">
        <v>225</v>
      </c>
      <c r="AG198" s="102" t="s">
        <v>142</v>
      </c>
      <c r="AH198" s="102"/>
      <c r="AI198" s="102"/>
      <c r="AJ198" s="102"/>
      <c r="AK198" s="102"/>
      <c r="AL198" s="102"/>
      <c r="AM198" s="221"/>
    </row>
    <row r="199" spans="1:16384" ht="12.75" hidden="1" customHeight="1">
      <c r="A199" s="147">
        <v>198</v>
      </c>
      <c r="B199" s="223">
        <v>196425</v>
      </c>
      <c r="C199" s="146" t="s">
        <v>121</v>
      </c>
      <c r="D199" s="57">
        <v>42878</v>
      </c>
      <c r="E199" s="58" t="s">
        <v>487</v>
      </c>
      <c r="F199" s="118">
        <v>42889</v>
      </c>
      <c r="G199" s="221">
        <f t="shared" si="10"/>
        <v>11</v>
      </c>
      <c r="H199" s="146" t="s">
        <v>133</v>
      </c>
      <c r="I199" s="156"/>
      <c r="J199" s="103" t="s">
        <v>615</v>
      </c>
      <c r="K199" s="94">
        <v>1420</v>
      </c>
      <c r="L199" s="94">
        <v>1420</v>
      </c>
      <c r="M199" s="96">
        <v>320</v>
      </c>
      <c r="N199" s="97">
        <v>80</v>
      </c>
      <c r="O199" s="151">
        <f t="shared" si="9"/>
        <v>1014.8</v>
      </c>
      <c r="P199" s="119" t="s">
        <v>264</v>
      </c>
      <c r="Q199" s="119" t="s">
        <v>1342</v>
      </c>
      <c r="R199" s="221" t="s">
        <v>134</v>
      </c>
      <c r="S199" s="62" t="s">
        <v>465</v>
      </c>
      <c r="T199" s="224" t="s">
        <v>164</v>
      </c>
      <c r="U199" s="224" t="s">
        <v>619</v>
      </c>
      <c r="V199" s="224" t="s">
        <v>90</v>
      </c>
      <c r="W199" s="224" t="s">
        <v>620</v>
      </c>
      <c r="X199" s="146"/>
      <c r="Y199" s="221" t="s">
        <v>1942</v>
      </c>
      <c r="Z199" s="146" t="s">
        <v>202</v>
      </c>
      <c r="AA199" s="222">
        <v>42879</v>
      </c>
      <c r="AB199" s="146" t="s">
        <v>127</v>
      </c>
      <c r="AC199" s="63">
        <f t="shared" si="11"/>
        <v>1</v>
      </c>
      <c r="AD199" s="221" t="s">
        <v>217</v>
      </c>
      <c r="AE199" s="221" t="s">
        <v>218</v>
      </c>
      <c r="AF199" s="146"/>
      <c r="AG199" s="146"/>
      <c r="AH199" s="64"/>
      <c r="AI199" s="146" t="s">
        <v>184</v>
      </c>
      <c r="AJ199" s="146"/>
      <c r="AK199" s="221" t="s">
        <v>688</v>
      </c>
      <c r="AL199" s="146" t="s">
        <v>645</v>
      </c>
      <c r="AM199" s="146"/>
    </row>
    <row r="200" spans="1:16384" s="65" customFormat="1" ht="25.5" hidden="1" customHeight="1">
      <c r="A200" s="147">
        <v>199</v>
      </c>
      <c r="B200" s="223">
        <v>196566</v>
      </c>
      <c r="C200" s="52" t="s">
        <v>128</v>
      </c>
      <c r="D200" s="57">
        <v>42878</v>
      </c>
      <c r="E200" s="58" t="s">
        <v>487</v>
      </c>
      <c r="F200" s="59">
        <v>42910</v>
      </c>
      <c r="G200" s="221">
        <f t="shared" si="10"/>
        <v>32</v>
      </c>
      <c r="H200" s="52" t="s">
        <v>363</v>
      </c>
      <c r="I200" s="221"/>
      <c r="J200" s="60" t="s">
        <v>614</v>
      </c>
      <c r="K200" s="94">
        <v>1639.1</v>
      </c>
      <c r="L200" s="94">
        <v>1639.1</v>
      </c>
      <c r="M200" s="96">
        <v>0</v>
      </c>
      <c r="N200" s="97">
        <v>0</v>
      </c>
      <c r="O200" s="93">
        <f t="shared" si="9"/>
        <v>1540.7539999999999</v>
      </c>
      <c r="P200" s="61" t="s">
        <v>263</v>
      </c>
      <c r="Q200" s="119" t="s">
        <v>1341</v>
      </c>
      <c r="R200" s="221" t="s">
        <v>335</v>
      </c>
      <c r="S200" s="225" t="s">
        <v>466</v>
      </c>
      <c r="T200" s="148" t="s">
        <v>255</v>
      </c>
      <c r="U200" s="224" t="s">
        <v>623</v>
      </c>
      <c r="V200" s="224" t="s">
        <v>222</v>
      </c>
      <c r="W200" s="224" t="s">
        <v>624</v>
      </c>
      <c r="X200" s="117"/>
      <c r="Y200" s="146"/>
      <c r="Z200" s="52" t="s">
        <v>296</v>
      </c>
      <c r="AA200" s="146"/>
      <c r="AB200" s="117"/>
      <c r="AC200" s="63">
        <f t="shared" si="11"/>
        <v>1</v>
      </c>
      <c r="AD200" s="156" t="s">
        <v>217</v>
      </c>
      <c r="AE200" s="221" t="s">
        <v>218</v>
      </c>
      <c r="AF200" s="117"/>
      <c r="AG200" s="117" t="s">
        <v>142</v>
      </c>
      <c r="AH200" s="105" t="s">
        <v>576</v>
      </c>
      <c r="AI200" s="117"/>
      <c r="AJ200" s="146"/>
      <c r="AK200" s="146"/>
      <c r="AL200" s="117"/>
      <c r="AM200" s="146"/>
      <c r="AN200" s="104"/>
      <c r="AO200" s="104"/>
      <c r="AP200" s="104"/>
      <c r="AQ200" s="104"/>
      <c r="AR200" s="104"/>
      <c r="AS200" s="104"/>
      <c r="AT200" s="104"/>
      <c r="AU200" s="104"/>
      <c r="AV200" s="104"/>
      <c r="AW200" s="104"/>
      <c r="AX200" s="104"/>
      <c r="AY200" s="104"/>
      <c r="AZ200" s="104"/>
      <c r="BA200" s="104"/>
      <c r="BB200" s="104"/>
      <c r="BC200" s="104"/>
      <c r="BD200" s="104"/>
      <c r="BE200" s="104"/>
      <c r="BF200" s="104"/>
      <c r="BG200" s="104"/>
      <c r="BH200" s="104"/>
      <c r="BI200" s="104"/>
      <c r="BJ200" s="104"/>
      <c r="BK200" s="104"/>
      <c r="BL200" s="104"/>
      <c r="BM200" s="104"/>
      <c r="BN200" s="104"/>
      <c r="BO200" s="104"/>
      <c r="BP200" s="104"/>
      <c r="BQ200" s="104"/>
      <c r="BR200" s="104"/>
      <c r="BS200" s="104"/>
      <c r="BT200" s="104"/>
      <c r="BU200" s="104"/>
      <c r="BV200" s="104"/>
      <c r="BW200" s="104"/>
      <c r="BX200" s="104"/>
      <c r="BY200" s="104"/>
      <c r="BZ200" s="104"/>
      <c r="CA200" s="104"/>
      <c r="CB200" s="104"/>
      <c r="CC200" s="104"/>
      <c r="CD200" s="104"/>
      <c r="CE200" s="104"/>
      <c r="CF200" s="104"/>
      <c r="CG200" s="104"/>
      <c r="CH200" s="104"/>
      <c r="CI200" s="104"/>
      <c r="CJ200" s="104"/>
      <c r="CK200" s="104"/>
      <c r="CL200" s="104"/>
      <c r="CM200" s="104"/>
      <c r="CN200" s="104"/>
      <c r="CO200" s="104"/>
      <c r="CP200" s="104"/>
      <c r="CQ200" s="104"/>
      <c r="CR200" s="104"/>
      <c r="CS200" s="104"/>
      <c r="CT200" s="104"/>
      <c r="CU200" s="104"/>
      <c r="CV200" s="104"/>
      <c r="CW200" s="104"/>
      <c r="CX200" s="104"/>
      <c r="CY200" s="104"/>
      <c r="CZ200" s="104"/>
      <c r="DA200" s="104"/>
      <c r="DB200" s="104"/>
      <c r="DC200" s="104"/>
      <c r="DD200" s="104"/>
      <c r="DE200" s="104"/>
      <c r="DF200" s="104"/>
      <c r="DG200" s="104"/>
      <c r="DH200" s="104"/>
      <c r="DI200" s="104"/>
      <c r="DJ200" s="104"/>
      <c r="DK200" s="104"/>
      <c r="DL200" s="104"/>
      <c r="DM200" s="104"/>
      <c r="DN200" s="104"/>
      <c r="DO200" s="104"/>
      <c r="DP200" s="104"/>
      <c r="DQ200" s="104"/>
      <c r="DR200" s="104"/>
      <c r="DS200" s="104"/>
      <c r="DT200" s="104"/>
      <c r="DU200" s="104"/>
      <c r="DV200" s="104"/>
      <c r="DW200" s="104"/>
      <c r="DX200" s="104"/>
      <c r="DY200" s="104"/>
      <c r="DZ200" s="104"/>
      <c r="EA200" s="104"/>
      <c r="EB200" s="104"/>
      <c r="EC200" s="104"/>
      <c r="ED200" s="104"/>
      <c r="EE200" s="104"/>
      <c r="EF200" s="104"/>
      <c r="EG200" s="104"/>
      <c r="EH200" s="104"/>
      <c r="EI200" s="104"/>
      <c r="EJ200" s="104"/>
      <c r="EK200" s="104"/>
      <c r="EL200" s="104"/>
      <c r="EM200" s="104"/>
      <c r="EN200" s="104"/>
      <c r="EO200" s="104"/>
      <c r="EP200" s="104"/>
      <c r="EQ200" s="104"/>
      <c r="ER200" s="104"/>
      <c r="ES200" s="104"/>
      <c r="ET200" s="104"/>
      <c r="EU200" s="104"/>
      <c r="EV200" s="104"/>
      <c r="EW200" s="104"/>
      <c r="EX200" s="104"/>
      <c r="EY200" s="104"/>
      <c r="EZ200" s="104"/>
      <c r="FA200" s="104"/>
      <c r="FB200" s="104"/>
      <c r="FC200" s="104"/>
      <c r="FD200" s="104"/>
      <c r="FE200" s="104"/>
      <c r="FF200" s="104"/>
      <c r="FG200" s="104"/>
      <c r="FH200" s="104"/>
      <c r="FI200" s="104"/>
      <c r="FJ200" s="104"/>
      <c r="FK200" s="104"/>
      <c r="FL200" s="104"/>
      <c r="FM200" s="104"/>
      <c r="FN200" s="104"/>
      <c r="FO200" s="104"/>
      <c r="FP200" s="104"/>
      <c r="FQ200" s="104"/>
      <c r="FR200" s="104"/>
      <c r="FS200" s="104"/>
      <c r="FT200" s="104"/>
      <c r="FU200" s="104"/>
      <c r="FV200" s="104"/>
      <c r="FW200" s="104"/>
      <c r="FX200" s="104"/>
      <c r="FY200" s="104"/>
      <c r="FZ200" s="104"/>
      <c r="GA200" s="104"/>
      <c r="GB200" s="104"/>
      <c r="GC200" s="104"/>
      <c r="GD200" s="104"/>
      <c r="GE200" s="104"/>
      <c r="GF200" s="104"/>
      <c r="GG200" s="104"/>
      <c r="GH200" s="104"/>
      <c r="GI200" s="104"/>
      <c r="GJ200" s="104"/>
      <c r="GK200" s="104"/>
      <c r="GL200" s="104"/>
      <c r="GM200" s="104"/>
      <c r="GN200" s="104"/>
      <c r="GO200" s="104"/>
      <c r="GP200" s="104"/>
      <c r="GQ200" s="104"/>
      <c r="GR200" s="104"/>
      <c r="GS200" s="104"/>
      <c r="GT200" s="104"/>
      <c r="GU200" s="104"/>
      <c r="GV200" s="104"/>
      <c r="GW200" s="104"/>
      <c r="GX200" s="104"/>
      <c r="GY200" s="104"/>
      <c r="GZ200" s="104"/>
      <c r="HA200" s="104"/>
      <c r="HB200" s="104"/>
      <c r="HC200" s="104"/>
      <c r="HD200" s="104"/>
      <c r="HE200" s="104"/>
      <c r="HF200" s="104"/>
      <c r="HG200" s="104"/>
      <c r="HH200" s="104"/>
      <c r="HI200" s="104"/>
      <c r="HJ200" s="104"/>
      <c r="HK200" s="104"/>
      <c r="HL200" s="104"/>
      <c r="HM200" s="104"/>
      <c r="HN200" s="104"/>
      <c r="HO200" s="104"/>
      <c r="HP200" s="104"/>
      <c r="HQ200" s="104"/>
      <c r="HR200" s="104"/>
      <c r="HS200" s="104"/>
      <c r="HT200" s="104"/>
      <c r="HU200" s="104"/>
      <c r="HV200" s="104"/>
      <c r="HW200" s="104"/>
      <c r="HX200" s="104"/>
      <c r="HY200" s="104"/>
      <c r="HZ200" s="104"/>
      <c r="IA200" s="104"/>
      <c r="IB200" s="104"/>
      <c r="IC200" s="104"/>
      <c r="ID200" s="104"/>
      <c r="IE200" s="104"/>
      <c r="IF200" s="104"/>
      <c r="IG200" s="104"/>
      <c r="IH200" s="104"/>
      <c r="II200" s="104"/>
      <c r="IJ200" s="104"/>
      <c r="IK200" s="104"/>
      <c r="IL200" s="104"/>
      <c r="IM200" s="104"/>
      <c r="IN200" s="104"/>
      <c r="IO200" s="104"/>
      <c r="IP200" s="104"/>
      <c r="IQ200" s="104"/>
      <c r="IR200" s="104"/>
      <c r="IS200" s="104"/>
      <c r="IT200" s="104"/>
      <c r="IU200" s="104"/>
      <c r="IV200" s="104"/>
      <c r="IW200" s="104"/>
      <c r="IX200" s="104"/>
      <c r="IY200" s="104"/>
      <c r="IZ200" s="104"/>
      <c r="JA200" s="104"/>
      <c r="JB200" s="104"/>
      <c r="JC200" s="104"/>
      <c r="JD200" s="104"/>
      <c r="JE200" s="104"/>
      <c r="JF200" s="104"/>
      <c r="JG200" s="104"/>
      <c r="JH200" s="104"/>
      <c r="JI200" s="104"/>
      <c r="JJ200" s="104"/>
      <c r="JK200" s="104"/>
      <c r="JL200" s="104"/>
      <c r="JM200" s="104"/>
      <c r="JN200" s="104"/>
      <c r="JO200" s="104"/>
      <c r="JP200" s="104"/>
      <c r="JQ200" s="104"/>
      <c r="JR200" s="104"/>
      <c r="JS200" s="104"/>
      <c r="JT200" s="104"/>
      <c r="JU200" s="104"/>
      <c r="JV200" s="104"/>
      <c r="JW200" s="104"/>
      <c r="JX200" s="104"/>
      <c r="JY200" s="104"/>
      <c r="JZ200" s="104"/>
      <c r="KA200" s="104"/>
      <c r="KB200" s="104"/>
      <c r="KC200" s="104"/>
      <c r="KD200" s="104"/>
      <c r="KE200" s="104"/>
      <c r="KF200" s="104"/>
      <c r="KG200" s="104"/>
      <c r="KH200" s="104"/>
      <c r="KI200" s="104"/>
      <c r="KJ200" s="104"/>
      <c r="KK200" s="104"/>
      <c r="KL200" s="104"/>
      <c r="KM200" s="104"/>
      <c r="KN200" s="104"/>
      <c r="KO200" s="104"/>
      <c r="KP200" s="104"/>
      <c r="KQ200" s="104"/>
      <c r="KR200" s="104"/>
      <c r="KS200" s="104"/>
      <c r="KT200" s="104"/>
      <c r="KU200" s="104"/>
      <c r="KV200" s="104"/>
      <c r="KW200" s="104"/>
      <c r="KX200" s="104"/>
      <c r="KY200" s="104"/>
      <c r="KZ200" s="104"/>
      <c r="LA200" s="104"/>
      <c r="LB200" s="104"/>
      <c r="LC200" s="104"/>
      <c r="LD200" s="104"/>
      <c r="LE200" s="104"/>
      <c r="LF200" s="104"/>
      <c r="LG200" s="104"/>
      <c r="LH200" s="104"/>
      <c r="LI200" s="104"/>
      <c r="LJ200" s="104"/>
      <c r="LK200" s="104"/>
      <c r="LL200" s="104"/>
      <c r="LM200" s="104"/>
      <c r="LN200" s="104"/>
      <c r="LO200" s="104"/>
      <c r="LP200" s="104"/>
      <c r="LQ200" s="104"/>
      <c r="LR200" s="104"/>
      <c r="LS200" s="104"/>
      <c r="LT200" s="104"/>
      <c r="LU200" s="104"/>
      <c r="LV200" s="104"/>
      <c r="LW200" s="104"/>
      <c r="LX200" s="104"/>
      <c r="LY200" s="104"/>
      <c r="LZ200" s="104"/>
      <c r="MA200" s="104"/>
      <c r="MB200" s="104"/>
      <c r="MC200" s="104"/>
      <c r="MD200" s="104"/>
      <c r="ME200" s="104"/>
      <c r="MF200" s="104"/>
      <c r="MG200" s="104"/>
      <c r="MH200" s="104"/>
      <c r="MI200" s="104"/>
      <c r="MJ200" s="104"/>
      <c r="MK200" s="104"/>
      <c r="ML200" s="104"/>
      <c r="MM200" s="104"/>
      <c r="MN200" s="104"/>
      <c r="MO200" s="104"/>
      <c r="MP200" s="104"/>
      <c r="MQ200" s="104"/>
      <c r="MR200" s="104"/>
      <c r="MS200" s="104"/>
      <c r="MT200" s="104"/>
      <c r="MU200" s="104"/>
      <c r="MV200" s="104"/>
      <c r="MW200" s="104"/>
      <c r="MX200" s="104"/>
      <c r="MY200" s="104"/>
      <c r="MZ200" s="104"/>
      <c r="NA200" s="104"/>
      <c r="NB200" s="104"/>
      <c r="NC200" s="104"/>
      <c r="ND200" s="104"/>
      <c r="NE200" s="104"/>
      <c r="NF200" s="104"/>
      <c r="NG200" s="104"/>
      <c r="NH200" s="104"/>
      <c r="NI200" s="104"/>
      <c r="NJ200" s="104"/>
      <c r="NK200" s="104"/>
      <c r="NL200" s="104"/>
      <c r="NM200" s="104"/>
      <c r="NN200" s="104"/>
      <c r="NO200" s="104"/>
      <c r="NP200" s="104"/>
      <c r="NQ200" s="104"/>
      <c r="NR200" s="104"/>
      <c r="NS200" s="104"/>
      <c r="NT200" s="104"/>
      <c r="NU200" s="104"/>
      <c r="NV200" s="104"/>
      <c r="NW200" s="104"/>
      <c r="NX200" s="104"/>
      <c r="NY200" s="104"/>
      <c r="NZ200" s="104"/>
      <c r="OA200" s="104"/>
      <c r="OB200" s="104"/>
      <c r="OC200" s="104"/>
      <c r="OD200" s="104"/>
      <c r="OE200" s="104"/>
      <c r="OF200" s="104"/>
      <c r="OG200" s="104"/>
      <c r="OH200" s="104"/>
      <c r="OI200" s="104"/>
      <c r="OJ200" s="104"/>
      <c r="OK200" s="104"/>
      <c r="OL200" s="104"/>
      <c r="OM200" s="104"/>
      <c r="ON200" s="104"/>
      <c r="OO200" s="104"/>
      <c r="OP200" s="104"/>
      <c r="OQ200" s="104"/>
      <c r="OR200" s="104"/>
      <c r="OS200" s="104"/>
      <c r="OT200" s="104"/>
      <c r="OU200" s="104"/>
      <c r="OV200" s="104"/>
      <c r="OW200" s="104"/>
      <c r="OX200" s="104"/>
      <c r="OY200" s="104"/>
      <c r="OZ200" s="104"/>
      <c r="PA200" s="104"/>
      <c r="PB200" s="104"/>
      <c r="PC200" s="104"/>
      <c r="PD200" s="104"/>
      <c r="PE200" s="104"/>
      <c r="PF200" s="104"/>
      <c r="PG200" s="104"/>
      <c r="PH200" s="104"/>
      <c r="PI200" s="104"/>
      <c r="PJ200" s="104"/>
      <c r="PK200" s="104"/>
      <c r="PL200" s="104"/>
      <c r="PM200" s="104"/>
      <c r="PN200" s="104"/>
      <c r="PO200" s="104"/>
      <c r="PP200" s="104"/>
      <c r="PQ200" s="104"/>
      <c r="PR200" s="104"/>
      <c r="PS200" s="104"/>
      <c r="PT200" s="104"/>
      <c r="PU200" s="104"/>
      <c r="PV200" s="104"/>
      <c r="PW200" s="104"/>
      <c r="PX200" s="104"/>
      <c r="PY200" s="104"/>
      <c r="PZ200" s="104"/>
      <c r="QA200" s="104"/>
      <c r="QB200" s="104"/>
      <c r="QC200" s="104"/>
      <c r="QD200" s="104"/>
      <c r="QE200" s="104"/>
      <c r="QF200" s="104"/>
      <c r="QG200" s="104"/>
      <c r="QH200" s="104"/>
      <c r="QI200" s="104"/>
      <c r="QJ200" s="104"/>
      <c r="QK200" s="104"/>
      <c r="QL200" s="104"/>
      <c r="QM200" s="104"/>
      <c r="QN200" s="104"/>
      <c r="QO200" s="104"/>
      <c r="QP200" s="104"/>
      <c r="QQ200" s="104"/>
      <c r="QR200" s="104"/>
      <c r="QS200" s="104"/>
      <c r="QT200" s="104"/>
      <c r="QU200" s="104"/>
      <c r="QV200" s="104"/>
      <c r="QW200" s="104"/>
      <c r="QX200" s="104"/>
      <c r="QY200" s="104"/>
      <c r="QZ200" s="104"/>
      <c r="RA200" s="104"/>
      <c r="RB200" s="104"/>
      <c r="RC200" s="104"/>
      <c r="RD200" s="104"/>
      <c r="RE200" s="104"/>
      <c r="RF200" s="104"/>
      <c r="RG200" s="104"/>
      <c r="RH200" s="104"/>
      <c r="RI200" s="104"/>
      <c r="RJ200" s="104"/>
      <c r="RK200" s="104"/>
      <c r="RL200" s="104"/>
      <c r="RM200" s="104"/>
      <c r="RN200" s="104"/>
      <c r="RO200" s="104"/>
      <c r="RP200" s="104"/>
      <c r="RQ200" s="104"/>
      <c r="RR200" s="104"/>
      <c r="RS200" s="104"/>
      <c r="RT200" s="104"/>
      <c r="RU200" s="104"/>
      <c r="RV200" s="104"/>
      <c r="RW200" s="104"/>
      <c r="RX200" s="104"/>
      <c r="RY200" s="104"/>
      <c r="RZ200" s="104"/>
      <c r="SA200" s="104"/>
      <c r="SB200" s="104"/>
      <c r="SC200" s="104"/>
      <c r="SD200" s="104"/>
      <c r="SE200" s="104"/>
      <c r="SF200" s="104"/>
      <c r="SG200" s="104"/>
      <c r="SH200" s="104"/>
      <c r="SI200" s="104"/>
      <c r="SJ200" s="104"/>
      <c r="SK200" s="104"/>
      <c r="SL200" s="104"/>
      <c r="SM200" s="104"/>
      <c r="SN200" s="104"/>
      <c r="SO200" s="104"/>
      <c r="SP200" s="104"/>
      <c r="SQ200" s="104"/>
      <c r="SR200" s="104"/>
      <c r="SS200" s="104"/>
      <c r="ST200" s="104"/>
      <c r="SU200" s="104"/>
      <c r="SV200" s="104"/>
      <c r="SW200" s="104"/>
      <c r="SX200" s="104"/>
      <c r="SY200" s="104"/>
      <c r="SZ200" s="104"/>
      <c r="TA200" s="104"/>
      <c r="TB200" s="104"/>
      <c r="TC200" s="104"/>
      <c r="TD200" s="104"/>
      <c r="TE200" s="104"/>
      <c r="TF200" s="104"/>
      <c r="TG200" s="104"/>
      <c r="TH200" s="104"/>
      <c r="TI200" s="104"/>
      <c r="TJ200" s="104"/>
      <c r="TK200" s="104"/>
      <c r="TL200" s="104"/>
      <c r="TM200" s="104"/>
      <c r="TN200" s="104"/>
      <c r="TO200" s="104"/>
      <c r="TP200" s="104"/>
      <c r="TQ200" s="104"/>
      <c r="TR200" s="104"/>
      <c r="TS200" s="104"/>
      <c r="TT200" s="104"/>
      <c r="TU200" s="104"/>
      <c r="TV200" s="104"/>
      <c r="TW200" s="104"/>
      <c r="TX200" s="104"/>
      <c r="TY200" s="104"/>
      <c r="TZ200" s="104"/>
      <c r="UA200" s="104"/>
      <c r="UB200" s="104"/>
      <c r="UC200" s="104"/>
      <c r="UD200" s="104"/>
      <c r="UE200" s="104"/>
      <c r="UF200" s="104"/>
      <c r="UG200" s="104"/>
      <c r="UH200" s="104"/>
      <c r="UI200" s="104"/>
      <c r="UJ200" s="104"/>
      <c r="UK200" s="104"/>
      <c r="UL200" s="104"/>
      <c r="UM200" s="104"/>
      <c r="UN200" s="104"/>
      <c r="UO200" s="104"/>
      <c r="UP200" s="104"/>
      <c r="UQ200" s="104"/>
      <c r="UR200" s="104"/>
      <c r="US200" s="104"/>
      <c r="UT200" s="104"/>
      <c r="UU200" s="104"/>
      <c r="UV200" s="104"/>
      <c r="UW200" s="104"/>
      <c r="UX200" s="104"/>
      <c r="UY200" s="104"/>
      <c r="UZ200" s="104"/>
      <c r="VA200" s="104"/>
      <c r="VB200" s="104"/>
      <c r="VC200" s="104"/>
      <c r="VD200" s="104"/>
      <c r="VE200" s="104"/>
      <c r="VF200" s="104"/>
      <c r="VG200" s="104"/>
      <c r="VH200" s="104"/>
      <c r="VI200" s="104"/>
      <c r="VJ200" s="104"/>
      <c r="VK200" s="104"/>
      <c r="VL200" s="104"/>
      <c r="VM200" s="104"/>
      <c r="VN200" s="104"/>
      <c r="VO200" s="104"/>
      <c r="VP200" s="104"/>
      <c r="VQ200" s="104"/>
      <c r="VR200" s="104"/>
      <c r="VS200" s="104"/>
      <c r="VT200" s="104"/>
      <c r="VU200" s="104"/>
      <c r="VV200" s="104"/>
      <c r="VW200" s="104"/>
      <c r="VX200" s="104"/>
      <c r="VY200" s="104"/>
      <c r="VZ200" s="104"/>
      <c r="WA200" s="104"/>
      <c r="WB200" s="104"/>
      <c r="WC200" s="104"/>
      <c r="WD200" s="104"/>
      <c r="WE200" s="104"/>
      <c r="WF200" s="104"/>
      <c r="WG200" s="104"/>
      <c r="WH200" s="104"/>
      <c r="WI200" s="104"/>
      <c r="WJ200" s="104"/>
      <c r="WK200" s="104"/>
      <c r="WL200" s="104"/>
      <c r="WM200" s="104"/>
      <c r="WN200" s="104"/>
      <c r="WO200" s="104"/>
      <c r="WP200" s="104"/>
      <c r="WQ200" s="104"/>
      <c r="WR200" s="104"/>
      <c r="WS200" s="104"/>
      <c r="WT200" s="104"/>
      <c r="WU200" s="104"/>
      <c r="WV200" s="104"/>
      <c r="WW200" s="104"/>
      <c r="WX200" s="104"/>
      <c r="WY200" s="104"/>
      <c r="WZ200" s="104"/>
      <c r="XA200" s="104"/>
      <c r="XB200" s="104"/>
      <c r="XC200" s="104"/>
      <c r="XD200" s="104"/>
      <c r="XE200" s="104"/>
      <c r="XF200" s="104"/>
      <c r="XG200" s="104"/>
      <c r="XH200" s="104"/>
      <c r="XI200" s="104"/>
      <c r="XJ200" s="104"/>
      <c r="XK200" s="104"/>
      <c r="XL200" s="104"/>
      <c r="XM200" s="104"/>
      <c r="XN200" s="104"/>
      <c r="XO200" s="104"/>
      <c r="XP200" s="104"/>
      <c r="XQ200" s="104"/>
      <c r="XR200" s="104"/>
      <c r="XS200" s="104"/>
      <c r="XT200" s="104"/>
      <c r="XU200" s="104"/>
      <c r="XV200" s="104"/>
      <c r="XW200" s="104"/>
      <c r="XX200" s="104"/>
      <c r="XY200" s="104"/>
      <c r="XZ200" s="104"/>
      <c r="YA200" s="104"/>
      <c r="YB200" s="104"/>
      <c r="YC200" s="104"/>
      <c r="YD200" s="104"/>
      <c r="YE200" s="104"/>
      <c r="YF200" s="104"/>
      <c r="YG200" s="104"/>
      <c r="YH200" s="104"/>
      <c r="YI200" s="104"/>
      <c r="YJ200" s="104"/>
      <c r="YK200" s="104"/>
      <c r="YL200" s="104"/>
      <c r="YM200" s="104"/>
      <c r="YN200" s="104"/>
      <c r="YO200" s="104"/>
      <c r="YP200" s="104"/>
      <c r="YQ200" s="104"/>
      <c r="YR200" s="104"/>
      <c r="YS200" s="104"/>
      <c r="YT200" s="104"/>
      <c r="YU200" s="104"/>
      <c r="YV200" s="104"/>
      <c r="YW200" s="104"/>
      <c r="YX200" s="104"/>
      <c r="YY200" s="104"/>
      <c r="YZ200" s="104"/>
      <c r="ZA200" s="104"/>
      <c r="ZB200" s="104"/>
      <c r="ZC200" s="104"/>
      <c r="ZD200" s="104"/>
      <c r="ZE200" s="104"/>
      <c r="ZF200" s="104"/>
      <c r="ZG200" s="104"/>
      <c r="ZH200" s="104"/>
      <c r="ZI200" s="104"/>
      <c r="ZJ200" s="104"/>
      <c r="ZK200" s="104"/>
      <c r="ZL200" s="104"/>
      <c r="ZM200" s="104"/>
      <c r="ZN200" s="104"/>
      <c r="ZO200" s="104"/>
      <c r="ZP200" s="104"/>
      <c r="ZQ200" s="104"/>
      <c r="ZR200" s="104"/>
      <c r="ZS200" s="104"/>
      <c r="ZT200" s="104"/>
      <c r="ZU200" s="104"/>
      <c r="ZV200" s="104"/>
      <c r="ZW200" s="104"/>
      <c r="ZX200" s="104"/>
      <c r="ZY200" s="104"/>
      <c r="ZZ200" s="104"/>
      <c r="AAA200" s="104"/>
      <c r="AAB200" s="104"/>
      <c r="AAC200" s="104"/>
      <c r="AAD200" s="104"/>
      <c r="AAE200" s="104"/>
      <c r="AAF200" s="104"/>
      <c r="AAG200" s="104"/>
      <c r="AAH200" s="104"/>
      <c r="AAI200" s="104"/>
      <c r="AAJ200" s="104"/>
      <c r="AAK200" s="104"/>
      <c r="AAL200" s="104"/>
      <c r="AAM200" s="104"/>
      <c r="AAN200" s="104"/>
      <c r="AAO200" s="104"/>
      <c r="AAP200" s="104"/>
      <c r="AAQ200" s="104"/>
      <c r="AAR200" s="104"/>
      <c r="AAS200" s="104"/>
      <c r="AAT200" s="104"/>
      <c r="AAU200" s="104"/>
      <c r="AAV200" s="104"/>
      <c r="AAW200" s="104"/>
      <c r="AAX200" s="104"/>
      <c r="AAY200" s="104"/>
      <c r="AAZ200" s="104"/>
      <c r="ABA200" s="104"/>
      <c r="ABB200" s="104"/>
      <c r="ABC200" s="104"/>
      <c r="ABD200" s="104"/>
      <c r="ABE200" s="104"/>
      <c r="ABF200" s="104"/>
      <c r="ABG200" s="104"/>
      <c r="ABH200" s="104"/>
      <c r="ABI200" s="104"/>
      <c r="ABJ200" s="104"/>
      <c r="ABK200" s="104"/>
      <c r="ABL200" s="104"/>
      <c r="ABM200" s="104"/>
      <c r="ABN200" s="104"/>
      <c r="ABO200" s="104"/>
      <c r="ABP200" s="104"/>
      <c r="ABQ200" s="104"/>
      <c r="ABR200" s="104"/>
      <c r="ABS200" s="104"/>
      <c r="ABT200" s="104"/>
      <c r="ABU200" s="104"/>
      <c r="ABV200" s="104"/>
      <c r="ABW200" s="104"/>
      <c r="ABX200" s="104"/>
      <c r="ABY200" s="104"/>
      <c r="ABZ200" s="104"/>
      <c r="ACA200" s="104"/>
      <c r="ACB200" s="104"/>
      <c r="ACC200" s="104"/>
      <c r="ACD200" s="104"/>
      <c r="ACE200" s="104"/>
      <c r="ACF200" s="104"/>
      <c r="ACG200" s="104"/>
      <c r="ACH200" s="104"/>
      <c r="ACI200" s="104"/>
      <c r="ACJ200" s="104"/>
      <c r="ACK200" s="104"/>
      <c r="ACL200" s="104"/>
      <c r="ACM200" s="104"/>
      <c r="ACN200" s="104"/>
      <c r="ACO200" s="104"/>
      <c r="ACP200" s="104"/>
      <c r="ACQ200" s="104"/>
      <c r="ACR200" s="104"/>
      <c r="ACS200" s="104"/>
      <c r="ACT200" s="104"/>
      <c r="ACU200" s="104"/>
      <c r="ACV200" s="104"/>
      <c r="ACW200" s="104"/>
      <c r="ACX200" s="104"/>
      <c r="ACY200" s="104"/>
      <c r="ACZ200" s="104"/>
      <c r="ADA200" s="104"/>
      <c r="ADB200" s="104"/>
      <c r="ADC200" s="104"/>
      <c r="ADD200" s="104"/>
      <c r="ADE200" s="104"/>
      <c r="ADF200" s="104"/>
      <c r="ADG200" s="104"/>
      <c r="ADH200" s="104"/>
      <c r="ADI200" s="104"/>
      <c r="ADJ200" s="104"/>
      <c r="ADK200" s="104"/>
      <c r="ADL200" s="104"/>
      <c r="ADM200" s="104"/>
      <c r="ADN200" s="104"/>
      <c r="ADO200" s="104"/>
      <c r="ADP200" s="104"/>
      <c r="ADQ200" s="104"/>
      <c r="ADR200" s="104"/>
      <c r="ADS200" s="104"/>
      <c r="ADT200" s="104"/>
      <c r="ADU200" s="104"/>
      <c r="ADV200" s="104"/>
      <c r="ADW200" s="104"/>
      <c r="ADX200" s="104"/>
      <c r="ADY200" s="104"/>
      <c r="ADZ200" s="104"/>
      <c r="AEA200" s="104"/>
      <c r="AEB200" s="104"/>
      <c r="AEC200" s="104"/>
      <c r="AED200" s="104"/>
      <c r="AEE200" s="104"/>
      <c r="AEF200" s="104"/>
      <c r="AEG200" s="104"/>
      <c r="AEH200" s="104"/>
      <c r="AEI200" s="104"/>
      <c r="AEJ200" s="104"/>
      <c r="AEK200" s="104"/>
      <c r="AEL200" s="104"/>
      <c r="AEM200" s="104"/>
      <c r="AEN200" s="104"/>
      <c r="AEO200" s="104"/>
      <c r="AEP200" s="104"/>
      <c r="AEQ200" s="104"/>
      <c r="AER200" s="104"/>
      <c r="AES200" s="104"/>
      <c r="AET200" s="104"/>
      <c r="AEU200" s="104"/>
      <c r="AEV200" s="104"/>
      <c r="AEW200" s="104"/>
      <c r="AEX200" s="104"/>
      <c r="AEY200" s="104"/>
      <c r="AEZ200" s="104"/>
      <c r="AFA200" s="104"/>
      <c r="AFB200" s="104"/>
      <c r="AFC200" s="104"/>
      <c r="AFD200" s="104"/>
      <c r="AFE200" s="104"/>
      <c r="AFF200" s="104"/>
      <c r="AFG200" s="104"/>
      <c r="AFH200" s="104"/>
      <c r="AFI200" s="104"/>
      <c r="AFJ200" s="104"/>
      <c r="AFK200" s="104"/>
      <c r="AFL200" s="104"/>
      <c r="AFM200" s="104"/>
      <c r="AFN200" s="104"/>
      <c r="AFO200" s="104"/>
      <c r="AFP200" s="104"/>
      <c r="AFQ200" s="104"/>
      <c r="AFR200" s="104"/>
      <c r="AFS200" s="104"/>
      <c r="AFT200" s="104"/>
      <c r="AFU200" s="104"/>
      <c r="AFV200" s="104"/>
      <c r="AFW200" s="104"/>
      <c r="AFX200" s="104"/>
      <c r="AFY200" s="104"/>
      <c r="AFZ200" s="104"/>
      <c r="AGA200" s="104"/>
      <c r="AGB200" s="104"/>
      <c r="AGC200" s="104"/>
      <c r="AGD200" s="104"/>
      <c r="AGE200" s="104"/>
      <c r="AGF200" s="104"/>
      <c r="AGG200" s="104"/>
      <c r="AGH200" s="104"/>
      <c r="AGI200" s="104"/>
      <c r="AGJ200" s="104"/>
      <c r="AGK200" s="104"/>
      <c r="AGL200" s="104"/>
      <c r="AGM200" s="104"/>
      <c r="AGN200" s="104"/>
      <c r="AGO200" s="104"/>
      <c r="AGP200" s="104"/>
      <c r="AGQ200" s="104"/>
      <c r="AGR200" s="104"/>
      <c r="AGS200" s="104"/>
      <c r="AGT200" s="104"/>
      <c r="AGU200" s="104"/>
      <c r="AGV200" s="104"/>
      <c r="AGW200" s="104"/>
      <c r="AGX200" s="104"/>
      <c r="AGY200" s="104"/>
      <c r="AGZ200" s="104"/>
      <c r="AHA200" s="104"/>
      <c r="AHB200" s="104"/>
      <c r="AHC200" s="104"/>
      <c r="AHD200" s="104"/>
      <c r="AHE200" s="104"/>
      <c r="AHF200" s="104"/>
      <c r="AHG200" s="104"/>
      <c r="AHH200" s="104"/>
      <c r="AHI200" s="104"/>
      <c r="AHJ200" s="104"/>
      <c r="AHK200" s="104"/>
      <c r="AHL200" s="104"/>
      <c r="AHM200" s="104"/>
      <c r="AHN200" s="104"/>
      <c r="AHO200" s="104"/>
      <c r="AHP200" s="104"/>
      <c r="AHQ200" s="104"/>
      <c r="AHR200" s="104"/>
      <c r="AHS200" s="104"/>
      <c r="AHT200" s="104"/>
      <c r="AHU200" s="104"/>
      <c r="AHV200" s="104"/>
      <c r="AHW200" s="104"/>
      <c r="AHX200" s="104"/>
      <c r="AHY200" s="104"/>
      <c r="AHZ200" s="104"/>
      <c r="AIA200" s="104"/>
      <c r="AIB200" s="104"/>
      <c r="AIC200" s="104"/>
      <c r="AID200" s="104"/>
      <c r="AIE200" s="104"/>
      <c r="AIF200" s="104"/>
      <c r="AIG200" s="104"/>
      <c r="AIH200" s="104"/>
      <c r="AII200" s="104"/>
      <c r="AIJ200" s="104"/>
      <c r="AIK200" s="104"/>
      <c r="AIL200" s="104"/>
      <c r="AIM200" s="104"/>
      <c r="AIN200" s="104"/>
      <c r="AIO200" s="104"/>
      <c r="AIP200" s="104"/>
      <c r="AIQ200" s="104"/>
      <c r="AIR200" s="104"/>
      <c r="AIS200" s="104"/>
      <c r="AIT200" s="104"/>
      <c r="AIU200" s="104"/>
      <c r="AIV200" s="104"/>
      <c r="AIW200" s="104"/>
      <c r="AIX200" s="104"/>
      <c r="AIY200" s="104"/>
      <c r="AIZ200" s="104"/>
      <c r="AJA200" s="104"/>
      <c r="AJB200" s="104"/>
      <c r="AJC200" s="104"/>
      <c r="AJD200" s="104"/>
      <c r="AJE200" s="104"/>
      <c r="AJF200" s="104"/>
      <c r="AJG200" s="104"/>
      <c r="AJH200" s="104"/>
      <c r="AJI200" s="104"/>
      <c r="AJJ200" s="104"/>
      <c r="AJK200" s="104"/>
      <c r="AJL200" s="104"/>
      <c r="AJM200" s="104"/>
      <c r="AJN200" s="104"/>
      <c r="AJO200" s="104"/>
      <c r="AJP200" s="104"/>
      <c r="AJQ200" s="104"/>
      <c r="AJR200" s="104"/>
      <c r="AJS200" s="104"/>
      <c r="AJT200" s="104"/>
      <c r="AJU200" s="104"/>
      <c r="AJV200" s="104"/>
      <c r="AJW200" s="104"/>
      <c r="AJX200" s="104"/>
      <c r="AJY200" s="104"/>
      <c r="AJZ200" s="104"/>
      <c r="AKA200" s="104"/>
      <c r="AKB200" s="104"/>
      <c r="AKC200" s="104"/>
      <c r="AKD200" s="104"/>
      <c r="AKE200" s="104"/>
      <c r="AKF200" s="104"/>
      <c r="AKG200" s="104"/>
      <c r="AKH200" s="104"/>
      <c r="AKI200" s="104"/>
      <c r="AKJ200" s="104"/>
      <c r="AKK200" s="104"/>
      <c r="AKL200" s="104"/>
      <c r="AKM200" s="104"/>
      <c r="AKN200" s="104"/>
      <c r="AKO200" s="104"/>
      <c r="AKP200" s="104"/>
      <c r="AKQ200" s="104"/>
      <c r="AKR200" s="104"/>
      <c r="AKS200" s="104"/>
      <c r="AKT200" s="104"/>
      <c r="AKU200" s="104"/>
      <c r="AKV200" s="104"/>
      <c r="AKW200" s="104"/>
      <c r="AKX200" s="104"/>
      <c r="AKY200" s="104"/>
      <c r="AKZ200" s="104"/>
      <c r="ALA200" s="104"/>
      <c r="ALB200" s="104"/>
      <c r="ALC200" s="104"/>
      <c r="ALD200" s="104"/>
      <c r="ALE200" s="104"/>
      <c r="ALF200" s="104"/>
      <c r="ALG200" s="104"/>
      <c r="ALH200" s="104"/>
      <c r="ALI200" s="104"/>
      <c r="ALJ200" s="104"/>
      <c r="ALK200" s="104"/>
      <c r="ALL200" s="104"/>
      <c r="ALM200" s="104"/>
      <c r="ALN200" s="104"/>
      <c r="ALO200" s="104"/>
      <c r="ALP200" s="104"/>
      <c r="ALQ200" s="104"/>
      <c r="ALR200" s="104"/>
      <c r="ALS200" s="104"/>
      <c r="ALT200" s="104"/>
      <c r="ALU200" s="104"/>
      <c r="ALV200" s="104"/>
      <c r="ALW200" s="104"/>
      <c r="ALX200" s="104"/>
      <c r="ALY200" s="104"/>
      <c r="ALZ200" s="104"/>
      <c r="AMA200" s="104"/>
      <c r="AMB200" s="104"/>
      <c r="AMC200" s="104"/>
      <c r="AMD200" s="104"/>
      <c r="AME200" s="104"/>
      <c r="AMF200" s="104"/>
      <c r="AMG200" s="104"/>
      <c r="AMH200" s="104"/>
      <c r="AMI200" s="104"/>
      <c r="AMJ200" s="104"/>
      <c r="AMK200" s="104"/>
      <c r="AML200" s="104"/>
      <c r="AMM200" s="104"/>
      <c r="AMN200" s="104"/>
      <c r="AMO200" s="104"/>
      <c r="AMP200" s="104"/>
      <c r="AMQ200" s="104"/>
      <c r="AMR200" s="104"/>
      <c r="AMS200" s="104"/>
      <c r="AMT200" s="104"/>
      <c r="AMU200" s="104"/>
      <c r="AMV200" s="104"/>
      <c r="AMW200" s="104"/>
      <c r="AMX200" s="104"/>
      <c r="AMY200" s="104"/>
      <c r="AMZ200" s="104"/>
      <c r="ANA200" s="104"/>
      <c r="ANB200" s="104"/>
      <c r="ANC200" s="104"/>
      <c r="AND200" s="104"/>
      <c r="ANE200" s="104"/>
      <c r="ANF200" s="104"/>
      <c r="ANG200" s="104"/>
      <c r="ANH200" s="104"/>
      <c r="ANI200" s="104"/>
      <c r="ANJ200" s="104"/>
      <c r="ANK200" s="104"/>
      <c r="ANL200" s="104"/>
      <c r="ANM200" s="104"/>
      <c r="ANN200" s="104"/>
      <c r="ANO200" s="104"/>
      <c r="ANP200" s="104"/>
      <c r="ANQ200" s="104"/>
      <c r="ANR200" s="104"/>
      <c r="ANS200" s="104"/>
      <c r="ANT200" s="104"/>
      <c r="ANU200" s="104"/>
      <c r="ANV200" s="104"/>
      <c r="ANW200" s="104"/>
      <c r="ANX200" s="104"/>
      <c r="ANY200" s="104"/>
      <c r="ANZ200" s="104"/>
      <c r="AOA200" s="104"/>
      <c r="AOB200" s="104"/>
      <c r="AOC200" s="104"/>
      <c r="AOD200" s="104"/>
      <c r="AOE200" s="104"/>
      <c r="AOF200" s="104"/>
      <c r="AOG200" s="104"/>
      <c r="AOH200" s="104"/>
      <c r="AOI200" s="104"/>
      <c r="AOJ200" s="104"/>
      <c r="AOK200" s="104"/>
      <c r="AOL200" s="104"/>
      <c r="AOM200" s="104"/>
      <c r="AON200" s="104"/>
      <c r="AOO200" s="104"/>
      <c r="AOP200" s="104"/>
      <c r="AOQ200" s="104"/>
      <c r="AOR200" s="104"/>
      <c r="AOS200" s="104"/>
      <c r="AOT200" s="104"/>
      <c r="AOU200" s="104"/>
      <c r="AOV200" s="104"/>
      <c r="AOW200" s="104"/>
      <c r="AOX200" s="104"/>
      <c r="AOY200" s="104"/>
      <c r="AOZ200" s="104"/>
      <c r="APA200" s="104"/>
      <c r="APB200" s="104"/>
      <c r="APC200" s="104"/>
      <c r="APD200" s="104"/>
      <c r="APE200" s="104"/>
      <c r="APF200" s="104"/>
      <c r="APG200" s="104"/>
      <c r="APH200" s="104"/>
      <c r="API200" s="104"/>
      <c r="APJ200" s="104"/>
      <c r="APK200" s="104"/>
      <c r="APL200" s="104"/>
      <c r="APM200" s="104"/>
      <c r="APN200" s="104"/>
      <c r="APO200" s="104"/>
      <c r="APP200" s="104"/>
      <c r="APQ200" s="104"/>
      <c r="APR200" s="104"/>
      <c r="APS200" s="104"/>
      <c r="APT200" s="104"/>
      <c r="APU200" s="104"/>
      <c r="APV200" s="104"/>
      <c r="APW200" s="104"/>
      <c r="APX200" s="104"/>
      <c r="APY200" s="104"/>
      <c r="APZ200" s="104"/>
      <c r="AQA200" s="104"/>
      <c r="AQB200" s="104"/>
      <c r="AQC200" s="104"/>
      <c r="AQD200" s="104"/>
      <c r="AQE200" s="104"/>
      <c r="AQF200" s="104"/>
      <c r="AQG200" s="104"/>
      <c r="AQH200" s="104"/>
      <c r="AQI200" s="104"/>
      <c r="AQJ200" s="104"/>
      <c r="AQK200" s="104"/>
      <c r="AQL200" s="104"/>
      <c r="AQM200" s="104"/>
      <c r="AQN200" s="104"/>
      <c r="AQO200" s="104"/>
      <c r="AQP200" s="104"/>
      <c r="AQQ200" s="104"/>
      <c r="AQR200" s="104"/>
      <c r="AQS200" s="104"/>
      <c r="AQT200" s="104"/>
      <c r="AQU200" s="104"/>
      <c r="AQV200" s="104"/>
      <c r="AQW200" s="104"/>
      <c r="AQX200" s="104"/>
      <c r="AQY200" s="104"/>
      <c r="AQZ200" s="104"/>
      <c r="ARA200" s="104"/>
      <c r="ARB200" s="104"/>
      <c r="ARC200" s="104"/>
      <c r="ARD200" s="104"/>
      <c r="ARE200" s="104"/>
      <c r="ARF200" s="104"/>
      <c r="ARG200" s="104"/>
      <c r="ARH200" s="104"/>
      <c r="ARI200" s="104"/>
      <c r="ARJ200" s="104"/>
      <c r="ARK200" s="104"/>
      <c r="ARL200" s="104"/>
      <c r="ARM200" s="104"/>
      <c r="ARN200" s="104"/>
      <c r="ARO200" s="104"/>
      <c r="ARP200" s="104"/>
      <c r="ARQ200" s="104"/>
      <c r="ARR200" s="104"/>
      <c r="ARS200" s="104"/>
      <c r="ART200" s="104"/>
      <c r="ARU200" s="104"/>
      <c r="ARV200" s="104"/>
      <c r="ARW200" s="104"/>
      <c r="ARX200" s="104"/>
      <c r="ARY200" s="104"/>
      <c r="ARZ200" s="104"/>
      <c r="ASA200" s="104"/>
      <c r="ASB200" s="104"/>
      <c r="ASC200" s="104"/>
      <c r="ASD200" s="104"/>
      <c r="ASE200" s="104"/>
      <c r="ASF200" s="104"/>
      <c r="ASG200" s="104"/>
      <c r="ASH200" s="104"/>
      <c r="ASI200" s="104"/>
      <c r="ASJ200" s="104"/>
      <c r="ASK200" s="104"/>
      <c r="ASL200" s="104"/>
      <c r="ASM200" s="104"/>
      <c r="ASN200" s="104"/>
      <c r="ASO200" s="104"/>
      <c r="ASP200" s="104"/>
      <c r="ASQ200" s="104"/>
      <c r="ASR200" s="104"/>
      <c r="ASS200" s="104"/>
      <c r="AST200" s="104"/>
      <c r="ASU200" s="104"/>
      <c r="ASV200" s="104"/>
      <c r="ASW200" s="104"/>
      <c r="ASX200" s="104"/>
      <c r="ASY200" s="104"/>
      <c r="ASZ200" s="104"/>
      <c r="ATA200" s="104"/>
      <c r="ATB200" s="104"/>
      <c r="ATC200" s="104"/>
      <c r="ATD200" s="104"/>
      <c r="ATE200" s="104"/>
      <c r="ATF200" s="104"/>
      <c r="ATG200" s="104"/>
      <c r="ATH200" s="104"/>
      <c r="ATI200" s="104"/>
      <c r="ATJ200" s="104"/>
      <c r="ATK200" s="104"/>
      <c r="ATL200" s="104"/>
      <c r="ATM200" s="104"/>
      <c r="ATN200" s="104"/>
      <c r="ATO200" s="104"/>
      <c r="ATP200" s="104"/>
      <c r="ATQ200" s="104"/>
      <c r="ATR200" s="104"/>
      <c r="ATS200" s="104"/>
      <c r="ATT200" s="104"/>
      <c r="ATU200" s="104"/>
      <c r="ATV200" s="104"/>
      <c r="ATW200" s="104"/>
      <c r="ATX200" s="104"/>
      <c r="ATY200" s="104"/>
      <c r="ATZ200" s="104"/>
      <c r="AUA200" s="104"/>
      <c r="AUB200" s="104"/>
      <c r="AUC200" s="104"/>
      <c r="AUD200" s="104"/>
      <c r="AUE200" s="104"/>
      <c r="AUF200" s="104"/>
      <c r="AUG200" s="104"/>
      <c r="AUH200" s="104"/>
      <c r="AUI200" s="104"/>
      <c r="AUJ200" s="104"/>
      <c r="AUK200" s="104"/>
      <c r="AUL200" s="104"/>
      <c r="AUM200" s="104"/>
      <c r="AUN200" s="104"/>
      <c r="AUO200" s="104"/>
      <c r="AUP200" s="104"/>
      <c r="AUQ200" s="104"/>
      <c r="AUR200" s="104"/>
      <c r="AUS200" s="104"/>
      <c r="AUT200" s="104"/>
      <c r="AUU200" s="104"/>
      <c r="AUV200" s="104"/>
      <c r="AUW200" s="104"/>
      <c r="AUX200" s="104"/>
      <c r="AUY200" s="104"/>
      <c r="AUZ200" s="104"/>
      <c r="AVA200" s="104"/>
      <c r="AVB200" s="104"/>
      <c r="AVC200" s="104"/>
      <c r="AVD200" s="104"/>
      <c r="AVE200" s="104"/>
      <c r="AVF200" s="104"/>
      <c r="AVG200" s="104"/>
      <c r="AVH200" s="104"/>
      <c r="AVI200" s="104"/>
      <c r="AVJ200" s="104"/>
      <c r="AVK200" s="104"/>
      <c r="AVL200" s="104"/>
      <c r="AVM200" s="104"/>
      <c r="AVN200" s="104"/>
      <c r="AVO200" s="104"/>
      <c r="AVP200" s="104"/>
      <c r="AVQ200" s="104"/>
      <c r="AVR200" s="104"/>
      <c r="AVS200" s="104"/>
      <c r="AVT200" s="104"/>
      <c r="AVU200" s="104"/>
      <c r="AVV200" s="104"/>
      <c r="AVW200" s="104"/>
      <c r="AVX200" s="104"/>
      <c r="AVY200" s="104"/>
      <c r="AVZ200" s="104"/>
      <c r="AWA200" s="104"/>
      <c r="AWB200" s="104"/>
      <c r="AWC200" s="104"/>
      <c r="AWD200" s="104"/>
      <c r="AWE200" s="104"/>
      <c r="AWF200" s="104"/>
      <c r="AWG200" s="104"/>
      <c r="AWH200" s="104"/>
      <c r="AWI200" s="104"/>
      <c r="AWJ200" s="104"/>
      <c r="AWK200" s="104"/>
      <c r="AWL200" s="104"/>
      <c r="AWM200" s="104"/>
      <c r="AWN200" s="104"/>
      <c r="AWO200" s="104"/>
      <c r="AWP200" s="104"/>
      <c r="AWQ200" s="104"/>
      <c r="AWR200" s="104"/>
      <c r="AWS200" s="104"/>
      <c r="AWT200" s="104"/>
      <c r="AWU200" s="104"/>
      <c r="AWV200" s="104"/>
      <c r="AWW200" s="104"/>
      <c r="AWX200" s="104"/>
      <c r="AWY200" s="104"/>
      <c r="AWZ200" s="104"/>
      <c r="AXA200" s="104"/>
      <c r="AXB200" s="104"/>
      <c r="AXC200" s="104"/>
      <c r="AXD200" s="104"/>
      <c r="AXE200" s="104"/>
      <c r="AXF200" s="104"/>
      <c r="AXG200" s="104"/>
      <c r="AXH200" s="104"/>
      <c r="AXI200" s="104"/>
      <c r="AXJ200" s="104"/>
      <c r="AXK200" s="104"/>
      <c r="AXL200" s="104"/>
      <c r="AXM200" s="104"/>
      <c r="AXN200" s="104"/>
      <c r="AXO200" s="104"/>
      <c r="AXP200" s="104"/>
      <c r="AXQ200" s="104"/>
      <c r="AXR200" s="104"/>
      <c r="AXS200" s="104"/>
      <c r="AXT200" s="104"/>
      <c r="AXU200" s="104"/>
      <c r="AXV200" s="104"/>
      <c r="AXW200" s="104"/>
      <c r="AXX200" s="104"/>
      <c r="AXY200" s="104"/>
      <c r="AXZ200" s="104"/>
      <c r="AYA200" s="104"/>
      <c r="AYB200" s="104"/>
      <c r="AYC200" s="104"/>
      <c r="AYD200" s="104"/>
      <c r="AYE200" s="104"/>
      <c r="AYF200" s="104"/>
      <c r="AYG200" s="104"/>
      <c r="AYH200" s="104"/>
      <c r="AYI200" s="104"/>
      <c r="AYJ200" s="104"/>
      <c r="AYK200" s="104"/>
      <c r="AYL200" s="104"/>
      <c r="AYM200" s="104"/>
      <c r="AYN200" s="104"/>
      <c r="AYO200" s="104"/>
      <c r="AYP200" s="104"/>
      <c r="AYQ200" s="104"/>
      <c r="AYR200" s="104"/>
      <c r="AYS200" s="104"/>
      <c r="AYT200" s="104"/>
      <c r="AYU200" s="104"/>
      <c r="AYV200" s="104"/>
      <c r="AYW200" s="104"/>
      <c r="AYX200" s="104"/>
      <c r="AYY200" s="104"/>
      <c r="AYZ200" s="104"/>
      <c r="AZA200" s="104"/>
      <c r="AZB200" s="104"/>
      <c r="AZC200" s="104"/>
      <c r="AZD200" s="104"/>
      <c r="AZE200" s="104"/>
      <c r="AZF200" s="104"/>
      <c r="AZG200" s="104"/>
      <c r="AZH200" s="104"/>
      <c r="AZI200" s="104"/>
      <c r="AZJ200" s="104"/>
      <c r="AZK200" s="104"/>
      <c r="AZL200" s="104"/>
      <c r="AZM200" s="104"/>
      <c r="AZN200" s="104"/>
      <c r="AZO200" s="104"/>
      <c r="AZP200" s="104"/>
      <c r="AZQ200" s="104"/>
      <c r="AZR200" s="104"/>
      <c r="AZS200" s="104"/>
      <c r="AZT200" s="104"/>
      <c r="AZU200" s="104"/>
      <c r="AZV200" s="104"/>
      <c r="AZW200" s="104"/>
      <c r="AZX200" s="104"/>
      <c r="AZY200" s="104"/>
      <c r="AZZ200" s="104"/>
      <c r="BAA200" s="104"/>
      <c r="BAB200" s="104"/>
      <c r="BAC200" s="104"/>
      <c r="BAD200" s="104"/>
      <c r="BAE200" s="104"/>
      <c r="BAF200" s="104"/>
      <c r="BAG200" s="104"/>
      <c r="BAH200" s="104"/>
      <c r="BAI200" s="104"/>
      <c r="BAJ200" s="104"/>
      <c r="BAK200" s="104"/>
      <c r="BAL200" s="104"/>
      <c r="BAM200" s="104"/>
      <c r="BAN200" s="104"/>
      <c r="BAO200" s="104"/>
      <c r="BAP200" s="104"/>
      <c r="BAQ200" s="104"/>
      <c r="BAR200" s="104"/>
      <c r="BAS200" s="104"/>
      <c r="BAT200" s="104"/>
      <c r="BAU200" s="104"/>
      <c r="BAV200" s="104"/>
      <c r="BAW200" s="104"/>
      <c r="BAX200" s="104"/>
      <c r="BAY200" s="104"/>
      <c r="BAZ200" s="104"/>
      <c r="BBA200" s="104"/>
      <c r="BBB200" s="104"/>
      <c r="BBC200" s="104"/>
      <c r="BBD200" s="104"/>
      <c r="BBE200" s="104"/>
      <c r="BBF200" s="104"/>
      <c r="BBG200" s="104"/>
      <c r="BBH200" s="104"/>
      <c r="BBI200" s="104"/>
      <c r="BBJ200" s="104"/>
      <c r="BBK200" s="104"/>
      <c r="BBL200" s="104"/>
      <c r="BBM200" s="104"/>
      <c r="BBN200" s="104"/>
      <c r="BBO200" s="104"/>
      <c r="BBP200" s="104"/>
      <c r="BBQ200" s="104"/>
      <c r="BBR200" s="104"/>
      <c r="BBS200" s="104"/>
      <c r="BBT200" s="104"/>
      <c r="BBU200" s="104"/>
      <c r="BBV200" s="104"/>
      <c r="BBW200" s="104"/>
      <c r="BBX200" s="104"/>
      <c r="BBY200" s="104"/>
      <c r="BBZ200" s="104"/>
      <c r="BCA200" s="104"/>
      <c r="BCB200" s="104"/>
      <c r="BCC200" s="104"/>
      <c r="BCD200" s="104"/>
      <c r="BCE200" s="104"/>
      <c r="BCF200" s="104"/>
      <c r="BCG200" s="104"/>
      <c r="BCH200" s="104"/>
      <c r="BCI200" s="104"/>
      <c r="BCJ200" s="104"/>
      <c r="BCK200" s="104"/>
      <c r="BCL200" s="104"/>
      <c r="BCM200" s="104"/>
      <c r="BCN200" s="104"/>
      <c r="BCO200" s="104"/>
      <c r="BCP200" s="104"/>
      <c r="BCQ200" s="104"/>
      <c r="BCR200" s="104"/>
      <c r="BCS200" s="104"/>
      <c r="BCT200" s="104"/>
      <c r="BCU200" s="104"/>
      <c r="BCV200" s="104"/>
      <c r="BCW200" s="104"/>
      <c r="BCX200" s="104"/>
      <c r="BCY200" s="104"/>
      <c r="BCZ200" s="104"/>
      <c r="BDA200" s="104"/>
      <c r="BDB200" s="104"/>
      <c r="BDC200" s="104"/>
      <c r="BDD200" s="104"/>
      <c r="BDE200" s="104"/>
      <c r="BDF200" s="104"/>
      <c r="BDG200" s="104"/>
      <c r="BDH200" s="104"/>
      <c r="BDI200" s="104"/>
      <c r="BDJ200" s="104"/>
      <c r="BDK200" s="104"/>
      <c r="BDL200" s="104"/>
      <c r="BDM200" s="104"/>
      <c r="BDN200" s="104"/>
      <c r="BDO200" s="104"/>
      <c r="BDP200" s="104"/>
      <c r="BDQ200" s="104"/>
      <c r="BDR200" s="104"/>
      <c r="BDS200" s="104"/>
      <c r="BDT200" s="104"/>
      <c r="BDU200" s="104"/>
      <c r="BDV200" s="104"/>
      <c r="BDW200" s="104"/>
      <c r="BDX200" s="104"/>
      <c r="BDY200" s="104"/>
      <c r="BDZ200" s="104"/>
      <c r="BEA200" s="104"/>
      <c r="BEB200" s="104"/>
      <c r="BEC200" s="104"/>
      <c r="BED200" s="104"/>
      <c r="BEE200" s="104"/>
      <c r="BEF200" s="104"/>
      <c r="BEG200" s="104"/>
      <c r="BEH200" s="104"/>
      <c r="BEI200" s="104"/>
      <c r="BEJ200" s="104"/>
      <c r="BEK200" s="104"/>
      <c r="BEL200" s="104"/>
      <c r="BEM200" s="104"/>
      <c r="BEN200" s="104"/>
      <c r="BEO200" s="104"/>
      <c r="BEP200" s="104"/>
      <c r="BEQ200" s="104"/>
      <c r="BER200" s="104"/>
      <c r="BES200" s="104"/>
      <c r="BET200" s="104"/>
      <c r="BEU200" s="104"/>
      <c r="BEV200" s="104"/>
      <c r="BEW200" s="104"/>
      <c r="BEX200" s="104"/>
      <c r="BEY200" s="104"/>
      <c r="BEZ200" s="104"/>
      <c r="BFA200" s="104"/>
      <c r="BFB200" s="104"/>
      <c r="BFC200" s="104"/>
      <c r="BFD200" s="104"/>
      <c r="BFE200" s="104"/>
      <c r="BFF200" s="104"/>
      <c r="BFG200" s="104"/>
      <c r="BFH200" s="104"/>
      <c r="BFI200" s="104"/>
      <c r="BFJ200" s="104"/>
      <c r="BFK200" s="104"/>
      <c r="BFL200" s="104"/>
      <c r="BFM200" s="104"/>
      <c r="BFN200" s="104"/>
      <c r="BFO200" s="104"/>
      <c r="BFP200" s="104"/>
      <c r="BFQ200" s="104"/>
      <c r="BFR200" s="104"/>
      <c r="BFS200" s="104"/>
      <c r="BFT200" s="104"/>
      <c r="BFU200" s="104"/>
      <c r="BFV200" s="104"/>
      <c r="BFW200" s="104"/>
      <c r="BFX200" s="104"/>
      <c r="BFY200" s="104"/>
      <c r="BFZ200" s="104"/>
      <c r="BGA200" s="104"/>
      <c r="BGB200" s="104"/>
      <c r="BGC200" s="104"/>
      <c r="BGD200" s="104"/>
      <c r="BGE200" s="104"/>
      <c r="BGF200" s="104"/>
      <c r="BGG200" s="104"/>
      <c r="BGH200" s="104"/>
      <c r="BGI200" s="104"/>
      <c r="BGJ200" s="104"/>
      <c r="BGK200" s="104"/>
      <c r="BGL200" s="104"/>
      <c r="BGM200" s="104"/>
      <c r="BGN200" s="104"/>
      <c r="BGO200" s="104"/>
      <c r="BGP200" s="104"/>
      <c r="BGQ200" s="104"/>
      <c r="BGR200" s="104"/>
      <c r="BGS200" s="104"/>
      <c r="BGT200" s="104"/>
      <c r="BGU200" s="104"/>
      <c r="BGV200" s="104"/>
      <c r="BGW200" s="104"/>
      <c r="BGX200" s="104"/>
      <c r="BGY200" s="104"/>
      <c r="BGZ200" s="104"/>
      <c r="BHA200" s="104"/>
      <c r="BHB200" s="104"/>
      <c r="BHC200" s="104"/>
      <c r="BHD200" s="104"/>
      <c r="BHE200" s="104"/>
      <c r="BHF200" s="104"/>
      <c r="BHG200" s="104"/>
      <c r="BHH200" s="104"/>
      <c r="BHI200" s="104"/>
      <c r="BHJ200" s="104"/>
      <c r="BHK200" s="104"/>
      <c r="BHL200" s="104"/>
      <c r="BHM200" s="104"/>
      <c r="BHN200" s="104"/>
      <c r="BHO200" s="104"/>
      <c r="BHP200" s="104"/>
      <c r="BHQ200" s="104"/>
      <c r="BHR200" s="104"/>
      <c r="BHS200" s="104"/>
      <c r="BHT200" s="104"/>
      <c r="BHU200" s="104"/>
      <c r="BHV200" s="104"/>
      <c r="BHW200" s="104"/>
      <c r="BHX200" s="104"/>
      <c r="BHY200" s="104"/>
      <c r="BHZ200" s="104"/>
      <c r="BIA200" s="104"/>
      <c r="BIB200" s="104"/>
      <c r="BIC200" s="104"/>
      <c r="BID200" s="104"/>
      <c r="BIE200" s="104"/>
      <c r="BIF200" s="104"/>
      <c r="BIG200" s="104"/>
      <c r="BIH200" s="104"/>
      <c r="BII200" s="104"/>
      <c r="BIJ200" s="104"/>
      <c r="BIK200" s="104"/>
      <c r="BIL200" s="104"/>
      <c r="BIM200" s="104"/>
      <c r="BIN200" s="104"/>
      <c r="BIO200" s="104"/>
      <c r="BIP200" s="104"/>
      <c r="BIQ200" s="104"/>
      <c r="BIR200" s="104"/>
      <c r="BIS200" s="104"/>
      <c r="BIT200" s="104"/>
      <c r="BIU200" s="104"/>
      <c r="BIV200" s="104"/>
      <c r="BIW200" s="104"/>
      <c r="BIX200" s="104"/>
      <c r="BIY200" s="104"/>
      <c r="BIZ200" s="104"/>
      <c r="BJA200" s="104"/>
      <c r="BJB200" s="104"/>
      <c r="BJC200" s="104"/>
      <c r="BJD200" s="104"/>
      <c r="BJE200" s="104"/>
      <c r="BJF200" s="104"/>
      <c r="BJG200" s="104"/>
      <c r="BJH200" s="104"/>
      <c r="BJI200" s="104"/>
      <c r="BJJ200" s="104"/>
      <c r="BJK200" s="104"/>
      <c r="BJL200" s="104"/>
      <c r="BJM200" s="104"/>
      <c r="BJN200" s="104"/>
      <c r="BJO200" s="104"/>
      <c r="BJP200" s="104"/>
      <c r="BJQ200" s="104"/>
      <c r="BJR200" s="104"/>
      <c r="BJS200" s="104"/>
      <c r="BJT200" s="104"/>
      <c r="BJU200" s="104"/>
      <c r="BJV200" s="104"/>
      <c r="BJW200" s="104"/>
      <c r="BJX200" s="104"/>
      <c r="BJY200" s="104"/>
      <c r="BJZ200" s="104"/>
      <c r="BKA200" s="104"/>
      <c r="BKB200" s="104"/>
      <c r="BKC200" s="104"/>
      <c r="BKD200" s="104"/>
      <c r="BKE200" s="104"/>
      <c r="BKF200" s="104"/>
      <c r="BKG200" s="104"/>
      <c r="BKH200" s="104"/>
      <c r="BKI200" s="104"/>
      <c r="BKJ200" s="104"/>
      <c r="BKK200" s="104"/>
      <c r="BKL200" s="104"/>
      <c r="BKM200" s="104"/>
      <c r="BKN200" s="104"/>
      <c r="BKO200" s="104"/>
      <c r="BKP200" s="104"/>
      <c r="BKQ200" s="104"/>
      <c r="BKR200" s="104"/>
      <c r="BKS200" s="104"/>
      <c r="BKT200" s="104"/>
      <c r="BKU200" s="104"/>
      <c r="BKV200" s="104"/>
      <c r="BKW200" s="104"/>
      <c r="BKX200" s="104"/>
      <c r="BKY200" s="104"/>
      <c r="BKZ200" s="104"/>
      <c r="BLA200" s="104"/>
      <c r="BLB200" s="104"/>
      <c r="BLC200" s="104"/>
      <c r="BLD200" s="104"/>
      <c r="BLE200" s="104"/>
      <c r="BLF200" s="104"/>
      <c r="BLG200" s="104"/>
      <c r="BLH200" s="104"/>
      <c r="BLI200" s="104"/>
      <c r="BLJ200" s="104"/>
      <c r="BLK200" s="104"/>
      <c r="BLL200" s="104"/>
      <c r="BLM200" s="104"/>
      <c r="BLN200" s="104"/>
      <c r="BLO200" s="104"/>
      <c r="BLP200" s="104"/>
      <c r="BLQ200" s="104"/>
      <c r="BLR200" s="104"/>
      <c r="BLS200" s="104"/>
      <c r="BLT200" s="104"/>
      <c r="BLU200" s="104"/>
      <c r="BLV200" s="104"/>
      <c r="BLW200" s="104"/>
      <c r="BLX200" s="104"/>
      <c r="BLY200" s="104"/>
      <c r="BLZ200" s="104"/>
      <c r="BMA200" s="104"/>
      <c r="BMB200" s="104"/>
      <c r="BMC200" s="104"/>
      <c r="BMD200" s="104"/>
      <c r="BME200" s="104"/>
      <c r="BMF200" s="104"/>
      <c r="BMG200" s="104"/>
      <c r="BMH200" s="104"/>
      <c r="BMI200" s="104"/>
      <c r="BMJ200" s="104"/>
      <c r="BMK200" s="104"/>
      <c r="BML200" s="104"/>
      <c r="BMM200" s="104"/>
      <c r="BMN200" s="104"/>
      <c r="BMO200" s="104"/>
      <c r="BMP200" s="104"/>
      <c r="BMQ200" s="104"/>
      <c r="BMR200" s="104"/>
      <c r="BMS200" s="104"/>
      <c r="BMT200" s="104"/>
      <c r="BMU200" s="104"/>
      <c r="BMV200" s="104"/>
      <c r="BMW200" s="104"/>
      <c r="BMX200" s="104"/>
      <c r="BMY200" s="104"/>
      <c r="BMZ200" s="104"/>
      <c r="BNA200" s="104"/>
      <c r="BNB200" s="104"/>
      <c r="BNC200" s="104"/>
      <c r="BND200" s="104"/>
      <c r="BNE200" s="104"/>
      <c r="BNF200" s="104"/>
      <c r="BNG200" s="104"/>
      <c r="BNH200" s="104"/>
      <c r="BNI200" s="104"/>
      <c r="BNJ200" s="104"/>
      <c r="BNK200" s="104"/>
      <c r="BNL200" s="104"/>
      <c r="BNM200" s="104"/>
      <c r="BNN200" s="104"/>
      <c r="BNO200" s="104"/>
      <c r="BNP200" s="104"/>
      <c r="BNQ200" s="104"/>
      <c r="BNR200" s="104"/>
      <c r="BNS200" s="104"/>
      <c r="BNT200" s="104"/>
      <c r="BNU200" s="104"/>
      <c r="BNV200" s="104"/>
      <c r="BNW200" s="104"/>
      <c r="BNX200" s="104"/>
      <c r="BNY200" s="104"/>
      <c r="BNZ200" s="104"/>
      <c r="BOA200" s="104"/>
      <c r="BOB200" s="104"/>
      <c r="BOC200" s="104"/>
      <c r="BOD200" s="104"/>
      <c r="BOE200" s="104"/>
      <c r="BOF200" s="104"/>
      <c r="BOG200" s="104"/>
      <c r="BOH200" s="104"/>
      <c r="BOI200" s="104"/>
      <c r="BOJ200" s="104"/>
      <c r="BOK200" s="104"/>
      <c r="BOL200" s="104"/>
      <c r="BOM200" s="104"/>
      <c r="BON200" s="104"/>
      <c r="BOO200" s="104"/>
      <c r="BOP200" s="104"/>
      <c r="BOQ200" s="104"/>
      <c r="BOR200" s="104"/>
      <c r="BOS200" s="104"/>
      <c r="BOT200" s="104"/>
      <c r="BOU200" s="104"/>
      <c r="BOV200" s="104"/>
      <c r="BOW200" s="104"/>
      <c r="BOX200" s="104"/>
      <c r="BOY200" s="104"/>
      <c r="BOZ200" s="104"/>
      <c r="BPA200" s="104"/>
      <c r="BPB200" s="104"/>
      <c r="BPC200" s="104"/>
      <c r="BPD200" s="104"/>
      <c r="BPE200" s="104"/>
      <c r="BPF200" s="104"/>
      <c r="BPG200" s="104"/>
      <c r="BPH200" s="104"/>
      <c r="BPI200" s="104"/>
      <c r="BPJ200" s="104"/>
      <c r="BPK200" s="104"/>
      <c r="BPL200" s="104"/>
      <c r="BPM200" s="104"/>
      <c r="BPN200" s="104"/>
      <c r="BPO200" s="104"/>
      <c r="BPP200" s="104"/>
      <c r="BPQ200" s="104"/>
      <c r="BPR200" s="104"/>
      <c r="BPS200" s="104"/>
      <c r="BPT200" s="104"/>
      <c r="BPU200" s="104"/>
      <c r="BPV200" s="104"/>
      <c r="BPW200" s="104"/>
      <c r="BPX200" s="104"/>
      <c r="BPY200" s="104"/>
      <c r="BPZ200" s="104"/>
      <c r="BQA200" s="104"/>
      <c r="BQB200" s="104"/>
      <c r="BQC200" s="104"/>
      <c r="BQD200" s="104"/>
      <c r="BQE200" s="104"/>
      <c r="BQF200" s="104"/>
      <c r="BQG200" s="104"/>
      <c r="BQH200" s="104"/>
      <c r="BQI200" s="104"/>
      <c r="BQJ200" s="104"/>
      <c r="BQK200" s="104"/>
      <c r="BQL200" s="104"/>
      <c r="BQM200" s="104"/>
      <c r="BQN200" s="104"/>
      <c r="BQO200" s="104"/>
      <c r="BQP200" s="104"/>
      <c r="BQQ200" s="104"/>
      <c r="BQR200" s="104"/>
      <c r="BQS200" s="104"/>
      <c r="BQT200" s="104"/>
      <c r="BQU200" s="104"/>
      <c r="BQV200" s="104"/>
      <c r="BQW200" s="104"/>
      <c r="BQX200" s="104"/>
      <c r="BQY200" s="104"/>
      <c r="BQZ200" s="104"/>
      <c r="BRA200" s="104"/>
      <c r="BRB200" s="104"/>
      <c r="BRC200" s="104"/>
      <c r="BRD200" s="104"/>
      <c r="BRE200" s="104"/>
      <c r="BRF200" s="104"/>
      <c r="BRG200" s="104"/>
      <c r="BRH200" s="104"/>
      <c r="BRI200" s="104"/>
      <c r="BRJ200" s="104"/>
      <c r="BRK200" s="104"/>
      <c r="BRL200" s="104"/>
      <c r="BRM200" s="104"/>
      <c r="BRN200" s="104"/>
      <c r="BRO200" s="104"/>
      <c r="BRP200" s="104"/>
      <c r="BRQ200" s="104"/>
      <c r="BRR200" s="104"/>
      <c r="BRS200" s="104"/>
      <c r="BRT200" s="104"/>
      <c r="BRU200" s="104"/>
      <c r="BRV200" s="104"/>
      <c r="BRW200" s="104"/>
      <c r="BRX200" s="104"/>
      <c r="BRY200" s="104"/>
      <c r="BRZ200" s="104"/>
      <c r="BSA200" s="104"/>
      <c r="BSB200" s="104"/>
      <c r="BSC200" s="104"/>
      <c r="BSD200" s="104"/>
      <c r="BSE200" s="104"/>
      <c r="BSF200" s="104"/>
      <c r="BSG200" s="104"/>
      <c r="BSH200" s="104"/>
      <c r="BSI200" s="104"/>
      <c r="BSJ200" s="104"/>
      <c r="BSK200" s="104"/>
      <c r="BSL200" s="104"/>
      <c r="BSM200" s="104"/>
      <c r="BSN200" s="104"/>
      <c r="BSO200" s="104"/>
      <c r="BSP200" s="104"/>
      <c r="BSQ200" s="104"/>
      <c r="BSR200" s="104"/>
      <c r="BSS200" s="104"/>
      <c r="BST200" s="104"/>
      <c r="BSU200" s="104"/>
      <c r="BSV200" s="104"/>
      <c r="BSW200" s="104"/>
      <c r="BSX200" s="104"/>
      <c r="BSY200" s="104"/>
      <c r="BSZ200" s="104"/>
      <c r="BTA200" s="104"/>
      <c r="BTB200" s="104"/>
      <c r="BTC200" s="104"/>
      <c r="BTD200" s="104"/>
      <c r="BTE200" s="104"/>
      <c r="BTF200" s="104"/>
      <c r="BTG200" s="104"/>
      <c r="BTH200" s="104"/>
      <c r="BTI200" s="104"/>
      <c r="BTJ200" s="104"/>
      <c r="BTK200" s="104"/>
      <c r="BTL200" s="104"/>
      <c r="BTM200" s="104"/>
      <c r="BTN200" s="104"/>
      <c r="BTO200" s="104"/>
      <c r="BTP200" s="104"/>
      <c r="BTQ200" s="104"/>
      <c r="BTR200" s="104"/>
      <c r="BTS200" s="104"/>
      <c r="BTT200" s="104"/>
      <c r="BTU200" s="104"/>
      <c r="BTV200" s="104"/>
      <c r="BTW200" s="104"/>
      <c r="BTX200" s="104"/>
      <c r="BTY200" s="104"/>
      <c r="BTZ200" s="104"/>
      <c r="BUA200" s="104"/>
      <c r="BUB200" s="104"/>
      <c r="BUC200" s="104"/>
      <c r="BUD200" s="104"/>
      <c r="BUE200" s="104"/>
      <c r="BUF200" s="104"/>
      <c r="BUG200" s="104"/>
      <c r="BUH200" s="104"/>
      <c r="BUI200" s="104"/>
      <c r="BUJ200" s="104"/>
      <c r="BUK200" s="104"/>
      <c r="BUL200" s="104"/>
      <c r="BUM200" s="104"/>
      <c r="BUN200" s="104"/>
      <c r="BUO200" s="104"/>
      <c r="BUP200" s="104"/>
      <c r="BUQ200" s="104"/>
      <c r="BUR200" s="104"/>
      <c r="BUS200" s="104"/>
      <c r="BUT200" s="104"/>
      <c r="BUU200" s="104"/>
      <c r="BUV200" s="104"/>
      <c r="BUW200" s="104"/>
      <c r="BUX200" s="104"/>
      <c r="BUY200" s="104"/>
      <c r="BUZ200" s="104"/>
      <c r="BVA200" s="104"/>
      <c r="BVB200" s="104"/>
      <c r="BVC200" s="104"/>
      <c r="BVD200" s="104"/>
      <c r="BVE200" s="104"/>
      <c r="BVF200" s="104"/>
      <c r="BVG200" s="104"/>
      <c r="BVH200" s="104"/>
      <c r="BVI200" s="104"/>
      <c r="BVJ200" s="104"/>
      <c r="BVK200" s="104"/>
      <c r="BVL200" s="104"/>
      <c r="BVM200" s="104"/>
      <c r="BVN200" s="104"/>
      <c r="BVO200" s="104"/>
      <c r="BVP200" s="104"/>
      <c r="BVQ200" s="104"/>
      <c r="BVR200" s="104"/>
      <c r="BVS200" s="104"/>
      <c r="BVT200" s="104"/>
      <c r="BVU200" s="104"/>
      <c r="BVV200" s="104"/>
      <c r="BVW200" s="104"/>
      <c r="BVX200" s="104"/>
      <c r="BVY200" s="104"/>
      <c r="BVZ200" s="104"/>
      <c r="BWA200" s="104"/>
      <c r="BWB200" s="104"/>
      <c r="BWC200" s="104"/>
      <c r="BWD200" s="104"/>
      <c r="BWE200" s="104"/>
      <c r="BWF200" s="104"/>
      <c r="BWG200" s="104"/>
      <c r="BWH200" s="104"/>
      <c r="BWI200" s="104"/>
      <c r="BWJ200" s="104"/>
      <c r="BWK200" s="104"/>
      <c r="BWL200" s="104"/>
      <c r="BWM200" s="104"/>
      <c r="BWN200" s="104"/>
      <c r="BWO200" s="104"/>
      <c r="BWP200" s="104"/>
      <c r="BWQ200" s="104"/>
      <c r="BWR200" s="104"/>
      <c r="BWS200" s="104"/>
      <c r="BWT200" s="104"/>
      <c r="BWU200" s="104"/>
      <c r="BWV200" s="104"/>
      <c r="BWW200" s="104"/>
      <c r="BWX200" s="104"/>
      <c r="BWY200" s="104"/>
      <c r="BWZ200" s="104"/>
      <c r="BXA200" s="104"/>
      <c r="BXB200" s="104"/>
      <c r="BXC200" s="104"/>
      <c r="BXD200" s="104"/>
      <c r="BXE200" s="104"/>
      <c r="BXF200" s="104"/>
      <c r="BXG200" s="104"/>
      <c r="BXH200" s="104"/>
      <c r="BXI200" s="104"/>
      <c r="BXJ200" s="104"/>
      <c r="BXK200" s="104"/>
      <c r="BXL200" s="104"/>
      <c r="BXM200" s="104"/>
      <c r="BXN200" s="104"/>
      <c r="BXO200" s="104"/>
      <c r="BXP200" s="104"/>
      <c r="BXQ200" s="104"/>
      <c r="BXR200" s="104"/>
      <c r="BXS200" s="104"/>
      <c r="BXT200" s="104"/>
      <c r="BXU200" s="104"/>
      <c r="BXV200" s="104"/>
      <c r="BXW200" s="104"/>
      <c r="BXX200" s="104"/>
      <c r="BXY200" s="104"/>
      <c r="BXZ200" s="104"/>
      <c r="BYA200" s="104"/>
      <c r="BYB200" s="104"/>
      <c r="BYC200" s="104"/>
      <c r="BYD200" s="104"/>
      <c r="BYE200" s="104"/>
      <c r="BYF200" s="104"/>
      <c r="BYG200" s="104"/>
      <c r="BYH200" s="104"/>
      <c r="BYI200" s="104"/>
      <c r="BYJ200" s="104"/>
      <c r="BYK200" s="104"/>
      <c r="BYL200" s="104"/>
      <c r="BYM200" s="104"/>
      <c r="BYN200" s="104"/>
      <c r="BYO200" s="104"/>
      <c r="BYP200" s="104"/>
      <c r="BYQ200" s="104"/>
      <c r="BYR200" s="104"/>
      <c r="BYS200" s="104"/>
      <c r="BYT200" s="104"/>
      <c r="BYU200" s="104"/>
      <c r="BYV200" s="104"/>
      <c r="BYW200" s="104"/>
      <c r="BYX200" s="104"/>
      <c r="BYY200" s="104"/>
      <c r="BYZ200" s="104"/>
      <c r="BZA200" s="104"/>
      <c r="BZB200" s="104"/>
      <c r="BZC200" s="104"/>
      <c r="BZD200" s="104"/>
      <c r="BZE200" s="104"/>
      <c r="BZF200" s="104"/>
      <c r="BZG200" s="104"/>
      <c r="BZH200" s="104"/>
      <c r="BZI200" s="104"/>
      <c r="BZJ200" s="104"/>
      <c r="BZK200" s="104"/>
      <c r="BZL200" s="104"/>
      <c r="BZM200" s="104"/>
      <c r="BZN200" s="104"/>
      <c r="BZO200" s="104"/>
      <c r="BZP200" s="104"/>
      <c r="BZQ200" s="104"/>
      <c r="BZR200" s="104"/>
      <c r="BZS200" s="104"/>
      <c r="BZT200" s="104"/>
      <c r="BZU200" s="104"/>
      <c r="BZV200" s="104"/>
      <c r="BZW200" s="104"/>
      <c r="BZX200" s="104"/>
      <c r="BZY200" s="104"/>
      <c r="BZZ200" s="104"/>
      <c r="CAA200" s="104"/>
      <c r="CAB200" s="104"/>
      <c r="CAC200" s="104"/>
      <c r="CAD200" s="104"/>
      <c r="CAE200" s="104"/>
      <c r="CAF200" s="104"/>
      <c r="CAG200" s="104"/>
      <c r="CAH200" s="104"/>
      <c r="CAI200" s="104"/>
      <c r="CAJ200" s="104"/>
      <c r="CAK200" s="104"/>
      <c r="CAL200" s="104"/>
      <c r="CAM200" s="104"/>
      <c r="CAN200" s="104"/>
      <c r="CAO200" s="104"/>
      <c r="CAP200" s="104"/>
      <c r="CAQ200" s="104"/>
      <c r="CAR200" s="104"/>
      <c r="CAS200" s="104"/>
      <c r="CAT200" s="104"/>
      <c r="CAU200" s="104"/>
      <c r="CAV200" s="104"/>
      <c r="CAW200" s="104"/>
      <c r="CAX200" s="104"/>
      <c r="CAY200" s="104"/>
      <c r="CAZ200" s="104"/>
      <c r="CBA200" s="104"/>
      <c r="CBB200" s="104"/>
      <c r="CBC200" s="104"/>
      <c r="CBD200" s="104"/>
      <c r="CBE200" s="104"/>
      <c r="CBF200" s="104"/>
      <c r="CBG200" s="104"/>
      <c r="CBH200" s="104"/>
      <c r="CBI200" s="104"/>
      <c r="CBJ200" s="104"/>
      <c r="CBK200" s="104"/>
      <c r="CBL200" s="104"/>
      <c r="CBM200" s="104"/>
      <c r="CBN200" s="104"/>
      <c r="CBO200" s="104"/>
      <c r="CBP200" s="104"/>
      <c r="CBQ200" s="104"/>
      <c r="CBR200" s="104"/>
      <c r="CBS200" s="104"/>
      <c r="CBT200" s="104"/>
      <c r="CBU200" s="104"/>
      <c r="CBV200" s="104"/>
      <c r="CBW200" s="104"/>
      <c r="CBX200" s="104"/>
      <c r="CBY200" s="104"/>
      <c r="CBZ200" s="104"/>
      <c r="CCA200" s="104"/>
      <c r="CCB200" s="104"/>
      <c r="CCC200" s="104"/>
      <c r="CCD200" s="104"/>
      <c r="CCE200" s="104"/>
      <c r="CCF200" s="104"/>
      <c r="CCG200" s="104"/>
      <c r="CCH200" s="104"/>
      <c r="CCI200" s="104"/>
      <c r="CCJ200" s="104"/>
      <c r="CCK200" s="104"/>
      <c r="CCL200" s="104"/>
      <c r="CCM200" s="104"/>
      <c r="CCN200" s="104"/>
      <c r="CCO200" s="104"/>
      <c r="CCP200" s="104"/>
      <c r="CCQ200" s="104"/>
      <c r="CCR200" s="104"/>
      <c r="CCS200" s="104"/>
      <c r="CCT200" s="104"/>
      <c r="CCU200" s="104"/>
      <c r="CCV200" s="104"/>
      <c r="CCW200" s="104"/>
      <c r="CCX200" s="104"/>
      <c r="CCY200" s="104"/>
      <c r="CCZ200" s="104"/>
      <c r="CDA200" s="104"/>
      <c r="CDB200" s="104"/>
      <c r="CDC200" s="104"/>
      <c r="CDD200" s="104"/>
      <c r="CDE200" s="104"/>
      <c r="CDF200" s="104"/>
      <c r="CDG200" s="104"/>
      <c r="CDH200" s="104"/>
      <c r="CDI200" s="104"/>
      <c r="CDJ200" s="104"/>
      <c r="CDK200" s="104"/>
      <c r="CDL200" s="104"/>
      <c r="CDM200" s="104"/>
      <c r="CDN200" s="104"/>
      <c r="CDO200" s="104"/>
      <c r="CDP200" s="104"/>
      <c r="CDQ200" s="104"/>
      <c r="CDR200" s="104"/>
      <c r="CDS200" s="104"/>
      <c r="CDT200" s="104"/>
      <c r="CDU200" s="104"/>
      <c r="CDV200" s="104"/>
      <c r="CDW200" s="104"/>
      <c r="CDX200" s="104"/>
      <c r="CDY200" s="104"/>
      <c r="CDZ200" s="104"/>
      <c r="CEA200" s="104"/>
      <c r="CEB200" s="104"/>
      <c r="CEC200" s="104"/>
      <c r="CED200" s="104"/>
      <c r="CEE200" s="104"/>
      <c r="CEF200" s="104"/>
      <c r="CEG200" s="104"/>
      <c r="CEH200" s="104"/>
      <c r="CEI200" s="104"/>
      <c r="CEJ200" s="104"/>
      <c r="CEK200" s="104"/>
      <c r="CEL200" s="104"/>
      <c r="CEM200" s="104"/>
      <c r="CEN200" s="104"/>
      <c r="CEO200" s="104"/>
      <c r="CEP200" s="104"/>
      <c r="CEQ200" s="104"/>
      <c r="CER200" s="104"/>
      <c r="CES200" s="104"/>
      <c r="CET200" s="104"/>
      <c r="CEU200" s="104"/>
      <c r="CEV200" s="104"/>
      <c r="CEW200" s="104"/>
      <c r="CEX200" s="104"/>
      <c r="CEY200" s="104"/>
      <c r="CEZ200" s="104"/>
      <c r="CFA200" s="104"/>
      <c r="CFB200" s="104"/>
      <c r="CFC200" s="104"/>
      <c r="CFD200" s="104"/>
      <c r="CFE200" s="104"/>
      <c r="CFF200" s="104"/>
      <c r="CFG200" s="104"/>
      <c r="CFH200" s="104"/>
      <c r="CFI200" s="104"/>
      <c r="CFJ200" s="104"/>
      <c r="CFK200" s="104"/>
      <c r="CFL200" s="104"/>
      <c r="CFM200" s="104"/>
      <c r="CFN200" s="104"/>
      <c r="CFO200" s="104"/>
      <c r="CFP200" s="104"/>
      <c r="CFQ200" s="104"/>
      <c r="CFR200" s="104"/>
      <c r="CFS200" s="104"/>
      <c r="CFT200" s="104"/>
      <c r="CFU200" s="104"/>
      <c r="CFV200" s="104"/>
      <c r="CFW200" s="104"/>
      <c r="CFX200" s="104"/>
      <c r="CFY200" s="104"/>
      <c r="CFZ200" s="104"/>
      <c r="CGA200" s="104"/>
      <c r="CGB200" s="104"/>
      <c r="CGC200" s="104"/>
      <c r="CGD200" s="104"/>
      <c r="CGE200" s="104"/>
      <c r="CGF200" s="104"/>
      <c r="CGG200" s="104"/>
      <c r="CGH200" s="104"/>
      <c r="CGI200" s="104"/>
      <c r="CGJ200" s="104"/>
      <c r="CGK200" s="104"/>
      <c r="CGL200" s="104"/>
      <c r="CGM200" s="104"/>
      <c r="CGN200" s="104"/>
      <c r="CGO200" s="104"/>
      <c r="CGP200" s="104"/>
      <c r="CGQ200" s="104"/>
      <c r="CGR200" s="104"/>
      <c r="CGS200" s="104"/>
      <c r="CGT200" s="104"/>
      <c r="CGU200" s="104"/>
      <c r="CGV200" s="104"/>
      <c r="CGW200" s="104"/>
      <c r="CGX200" s="104"/>
      <c r="CGY200" s="104"/>
      <c r="CGZ200" s="104"/>
      <c r="CHA200" s="104"/>
      <c r="CHB200" s="104"/>
      <c r="CHC200" s="104"/>
      <c r="CHD200" s="104"/>
      <c r="CHE200" s="104"/>
      <c r="CHF200" s="104"/>
      <c r="CHG200" s="104"/>
      <c r="CHH200" s="104"/>
      <c r="CHI200" s="104"/>
      <c r="CHJ200" s="104"/>
      <c r="CHK200" s="104"/>
      <c r="CHL200" s="104"/>
      <c r="CHM200" s="104"/>
      <c r="CHN200" s="104"/>
      <c r="CHO200" s="104"/>
      <c r="CHP200" s="104"/>
      <c r="CHQ200" s="104"/>
      <c r="CHR200" s="104"/>
      <c r="CHS200" s="104"/>
      <c r="CHT200" s="104"/>
      <c r="CHU200" s="104"/>
      <c r="CHV200" s="104"/>
      <c r="CHW200" s="104"/>
      <c r="CHX200" s="104"/>
      <c r="CHY200" s="104"/>
      <c r="CHZ200" s="104"/>
      <c r="CIA200" s="104"/>
      <c r="CIB200" s="104"/>
      <c r="CIC200" s="104"/>
      <c r="CID200" s="104"/>
      <c r="CIE200" s="104"/>
      <c r="CIF200" s="104"/>
      <c r="CIG200" s="104"/>
      <c r="CIH200" s="104"/>
      <c r="CII200" s="104"/>
      <c r="CIJ200" s="104"/>
      <c r="CIK200" s="104"/>
      <c r="CIL200" s="104"/>
      <c r="CIM200" s="104"/>
      <c r="CIN200" s="104"/>
      <c r="CIO200" s="104"/>
      <c r="CIP200" s="104"/>
      <c r="CIQ200" s="104"/>
      <c r="CIR200" s="104"/>
      <c r="CIS200" s="104"/>
      <c r="CIT200" s="104"/>
      <c r="CIU200" s="104"/>
      <c r="CIV200" s="104"/>
      <c r="CIW200" s="104"/>
      <c r="CIX200" s="104"/>
      <c r="CIY200" s="104"/>
      <c r="CIZ200" s="104"/>
      <c r="CJA200" s="104"/>
      <c r="CJB200" s="104"/>
      <c r="CJC200" s="104"/>
      <c r="CJD200" s="104"/>
      <c r="CJE200" s="104"/>
      <c r="CJF200" s="104"/>
      <c r="CJG200" s="104"/>
      <c r="CJH200" s="104"/>
      <c r="CJI200" s="104"/>
      <c r="CJJ200" s="104"/>
      <c r="CJK200" s="104"/>
      <c r="CJL200" s="104"/>
      <c r="CJM200" s="104"/>
      <c r="CJN200" s="104"/>
      <c r="CJO200" s="104"/>
      <c r="CJP200" s="104"/>
      <c r="CJQ200" s="104"/>
      <c r="CJR200" s="104"/>
      <c r="CJS200" s="104"/>
      <c r="CJT200" s="104"/>
      <c r="CJU200" s="104"/>
      <c r="CJV200" s="104"/>
      <c r="CJW200" s="104"/>
      <c r="CJX200" s="104"/>
      <c r="CJY200" s="104"/>
      <c r="CJZ200" s="104"/>
      <c r="CKA200" s="104"/>
      <c r="CKB200" s="104"/>
      <c r="CKC200" s="104"/>
      <c r="CKD200" s="104"/>
      <c r="CKE200" s="104"/>
      <c r="CKF200" s="104"/>
      <c r="CKG200" s="104"/>
      <c r="CKH200" s="104"/>
      <c r="CKI200" s="104"/>
      <c r="CKJ200" s="104"/>
      <c r="CKK200" s="104"/>
      <c r="CKL200" s="104"/>
      <c r="CKM200" s="104"/>
      <c r="CKN200" s="104"/>
      <c r="CKO200" s="104"/>
      <c r="CKP200" s="104"/>
      <c r="CKQ200" s="104"/>
      <c r="CKR200" s="104"/>
      <c r="CKS200" s="104"/>
      <c r="CKT200" s="104"/>
      <c r="CKU200" s="104"/>
      <c r="CKV200" s="104"/>
      <c r="CKW200" s="104"/>
      <c r="CKX200" s="104"/>
      <c r="CKY200" s="104"/>
      <c r="CKZ200" s="104"/>
      <c r="CLA200" s="104"/>
      <c r="CLB200" s="104"/>
      <c r="CLC200" s="104"/>
      <c r="CLD200" s="104"/>
      <c r="CLE200" s="104"/>
      <c r="CLF200" s="104"/>
      <c r="CLG200" s="104"/>
      <c r="CLH200" s="104"/>
      <c r="CLI200" s="104"/>
      <c r="CLJ200" s="104"/>
      <c r="CLK200" s="104"/>
      <c r="CLL200" s="104"/>
      <c r="CLM200" s="104"/>
      <c r="CLN200" s="104"/>
      <c r="CLO200" s="104"/>
      <c r="CLP200" s="104"/>
      <c r="CLQ200" s="104"/>
      <c r="CLR200" s="104"/>
      <c r="CLS200" s="104"/>
      <c r="CLT200" s="104"/>
      <c r="CLU200" s="104"/>
      <c r="CLV200" s="104"/>
      <c r="CLW200" s="104"/>
      <c r="CLX200" s="104"/>
      <c r="CLY200" s="104"/>
      <c r="CLZ200" s="104"/>
      <c r="CMA200" s="104"/>
      <c r="CMB200" s="104"/>
      <c r="CMC200" s="104"/>
      <c r="CMD200" s="104"/>
      <c r="CME200" s="104"/>
      <c r="CMF200" s="104"/>
      <c r="CMG200" s="104"/>
      <c r="CMH200" s="104"/>
      <c r="CMI200" s="104"/>
      <c r="CMJ200" s="104"/>
      <c r="CMK200" s="104"/>
      <c r="CML200" s="104"/>
      <c r="CMM200" s="104"/>
      <c r="CMN200" s="104"/>
      <c r="CMO200" s="104"/>
      <c r="CMP200" s="104"/>
      <c r="CMQ200" s="104"/>
      <c r="CMR200" s="104"/>
      <c r="CMS200" s="104"/>
      <c r="CMT200" s="104"/>
      <c r="CMU200" s="104"/>
      <c r="CMV200" s="104"/>
      <c r="CMW200" s="104"/>
      <c r="CMX200" s="104"/>
      <c r="CMY200" s="104"/>
      <c r="CMZ200" s="104"/>
      <c r="CNA200" s="104"/>
      <c r="CNB200" s="104"/>
      <c r="CNC200" s="104"/>
      <c r="CND200" s="104"/>
      <c r="CNE200" s="104"/>
      <c r="CNF200" s="104"/>
      <c r="CNG200" s="104"/>
      <c r="CNH200" s="104"/>
      <c r="CNI200" s="104"/>
      <c r="CNJ200" s="104"/>
      <c r="CNK200" s="104"/>
      <c r="CNL200" s="104"/>
      <c r="CNM200" s="104"/>
      <c r="CNN200" s="104"/>
      <c r="CNO200" s="104"/>
      <c r="CNP200" s="104"/>
      <c r="CNQ200" s="104"/>
      <c r="CNR200" s="104"/>
      <c r="CNS200" s="104"/>
      <c r="CNT200" s="104"/>
      <c r="CNU200" s="104"/>
      <c r="CNV200" s="104"/>
      <c r="CNW200" s="104"/>
      <c r="CNX200" s="104"/>
      <c r="CNY200" s="104"/>
      <c r="CNZ200" s="104"/>
      <c r="COA200" s="104"/>
      <c r="COB200" s="104"/>
      <c r="COC200" s="104"/>
      <c r="COD200" s="104"/>
      <c r="COE200" s="104"/>
      <c r="COF200" s="104"/>
      <c r="COG200" s="104"/>
      <c r="COH200" s="104"/>
      <c r="COI200" s="104"/>
      <c r="COJ200" s="104"/>
      <c r="COK200" s="104"/>
      <c r="COL200" s="104"/>
      <c r="COM200" s="104"/>
      <c r="CON200" s="104"/>
      <c r="COO200" s="104"/>
      <c r="COP200" s="104"/>
      <c r="COQ200" s="104"/>
      <c r="COR200" s="104"/>
      <c r="COS200" s="104"/>
      <c r="COT200" s="104"/>
      <c r="COU200" s="104"/>
      <c r="COV200" s="104"/>
      <c r="COW200" s="104"/>
      <c r="COX200" s="104"/>
      <c r="COY200" s="104"/>
      <c r="COZ200" s="104"/>
      <c r="CPA200" s="104"/>
      <c r="CPB200" s="104"/>
      <c r="CPC200" s="104"/>
      <c r="CPD200" s="104"/>
      <c r="CPE200" s="104"/>
      <c r="CPF200" s="104"/>
      <c r="CPG200" s="104"/>
      <c r="CPH200" s="104"/>
      <c r="CPI200" s="104"/>
      <c r="CPJ200" s="104"/>
      <c r="CPK200" s="104"/>
      <c r="CPL200" s="104"/>
      <c r="CPM200" s="104"/>
      <c r="CPN200" s="104"/>
      <c r="CPO200" s="104"/>
      <c r="CPP200" s="104"/>
      <c r="CPQ200" s="104"/>
      <c r="CPR200" s="104"/>
      <c r="CPS200" s="104"/>
      <c r="CPT200" s="104"/>
      <c r="CPU200" s="104"/>
      <c r="CPV200" s="104"/>
      <c r="CPW200" s="104"/>
      <c r="CPX200" s="104"/>
      <c r="CPY200" s="104"/>
      <c r="CPZ200" s="104"/>
      <c r="CQA200" s="104"/>
      <c r="CQB200" s="104"/>
      <c r="CQC200" s="104"/>
      <c r="CQD200" s="104"/>
      <c r="CQE200" s="104"/>
      <c r="CQF200" s="104"/>
      <c r="CQG200" s="104"/>
      <c r="CQH200" s="104"/>
      <c r="CQI200" s="104"/>
      <c r="CQJ200" s="104"/>
      <c r="CQK200" s="104"/>
      <c r="CQL200" s="104"/>
      <c r="CQM200" s="104"/>
      <c r="CQN200" s="104"/>
      <c r="CQO200" s="104"/>
      <c r="CQP200" s="104"/>
      <c r="CQQ200" s="104"/>
      <c r="CQR200" s="104"/>
      <c r="CQS200" s="104"/>
      <c r="CQT200" s="104"/>
      <c r="CQU200" s="104"/>
      <c r="CQV200" s="104"/>
      <c r="CQW200" s="104"/>
      <c r="CQX200" s="104"/>
      <c r="CQY200" s="104"/>
      <c r="CQZ200" s="104"/>
      <c r="CRA200" s="104"/>
      <c r="CRB200" s="104"/>
      <c r="CRC200" s="104"/>
      <c r="CRD200" s="104"/>
      <c r="CRE200" s="104"/>
      <c r="CRF200" s="104"/>
      <c r="CRG200" s="104"/>
      <c r="CRH200" s="104"/>
      <c r="CRI200" s="104"/>
      <c r="CRJ200" s="104"/>
      <c r="CRK200" s="104"/>
      <c r="CRL200" s="104"/>
      <c r="CRM200" s="104"/>
      <c r="CRN200" s="104"/>
      <c r="CRO200" s="104"/>
      <c r="CRP200" s="104"/>
      <c r="CRQ200" s="104"/>
      <c r="CRR200" s="104"/>
      <c r="CRS200" s="104"/>
      <c r="CRT200" s="104"/>
      <c r="CRU200" s="104"/>
      <c r="CRV200" s="104"/>
      <c r="CRW200" s="104"/>
      <c r="CRX200" s="104"/>
      <c r="CRY200" s="104"/>
      <c r="CRZ200" s="104"/>
      <c r="CSA200" s="104"/>
      <c r="CSB200" s="104"/>
      <c r="CSC200" s="104"/>
      <c r="CSD200" s="104"/>
      <c r="CSE200" s="104"/>
      <c r="CSF200" s="104"/>
      <c r="CSG200" s="104"/>
      <c r="CSH200" s="104"/>
      <c r="CSI200" s="104"/>
      <c r="CSJ200" s="104"/>
      <c r="CSK200" s="104"/>
      <c r="CSL200" s="104"/>
      <c r="CSM200" s="104"/>
      <c r="CSN200" s="104"/>
      <c r="CSO200" s="104"/>
      <c r="CSP200" s="104"/>
      <c r="CSQ200" s="104"/>
      <c r="CSR200" s="104"/>
      <c r="CSS200" s="104"/>
      <c r="CST200" s="104"/>
      <c r="CSU200" s="104"/>
      <c r="CSV200" s="104"/>
      <c r="CSW200" s="104"/>
      <c r="CSX200" s="104"/>
      <c r="CSY200" s="104"/>
      <c r="CSZ200" s="104"/>
      <c r="CTA200" s="104"/>
      <c r="CTB200" s="104"/>
      <c r="CTC200" s="104"/>
      <c r="CTD200" s="104"/>
      <c r="CTE200" s="104"/>
      <c r="CTF200" s="104"/>
      <c r="CTG200" s="104"/>
      <c r="CTH200" s="104"/>
      <c r="CTI200" s="104"/>
      <c r="CTJ200" s="104"/>
      <c r="CTK200" s="104"/>
      <c r="CTL200" s="104"/>
      <c r="CTM200" s="104"/>
      <c r="CTN200" s="104"/>
      <c r="CTO200" s="104"/>
      <c r="CTP200" s="104"/>
      <c r="CTQ200" s="104"/>
      <c r="CTR200" s="104"/>
      <c r="CTS200" s="104"/>
      <c r="CTT200" s="104"/>
      <c r="CTU200" s="104"/>
      <c r="CTV200" s="104"/>
      <c r="CTW200" s="104"/>
      <c r="CTX200" s="104"/>
      <c r="CTY200" s="104"/>
      <c r="CTZ200" s="104"/>
      <c r="CUA200" s="104"/>
      <c r="CUB200" s="104"/>
      <c r="CUC200" s="104"/>
      <c r="CUD200" s="104"/>
      <c r="CUE200" s="104"/>
      <c r="CUF200" s="104"/>
      <c r="CUG200" s="104"/>
      <c r="CUH200" s="104"/>
      <c r="CUI200" s="104"/>
      <c r="CUJ200" s="104"/>
      <c r="CUK200" s="104"/>
      <c r="CUL200" s="104"/>
      <c r="CUM200" s="104"/>
      <c r="CUN200" s="104"/>
      <c r="CUO200" s="104"/>
      <c r="CUP200" s="104"/>
      <c r="CUQ200" s="104"/>
      <c r="CUR200" s="104"/>
      <c r="CUS200" s="104"/>
      <c r="CUT200" s="104"/>
      <c r="CUU200" s="104"/>
      <c r="CUV200" s="104"/>
      <c r="CUW200" s="104"/>
      <c r="CUX200" s="104"/>
      <c r="CUY200" s="104"/>
      <c r="CUZ200" s="104"/>
      <c r="CVA200" s="104"/>
      <c r="CVB200" s="104"/>
      <c r="CVC200" s="104"/>
      <c r="CVD200" s="104"/>
      <c r="CVE200" s="104"/>
      <c r="CVF200" s="104"/>
      <c r="CVG200" s="104"/>
      <c r="CVH200" s="104"/>
      <c r="CVI200" s="104"/>
      <c r="CVJ200" s="104"/>
      <c r="CVK200" s="104"/>
      <c r="CVL200" s="104"/>
      <c r="CVM200" s="104"/>
      <c r="CVN200" s="104"/>
      <c r="CVO200" s="104"/>
      <c r="CVP200" s="104"/>
      <c r="CVQ200" s="104"/>
      <c r="CVR200" s="104"/>
      <c r="CVS200" s="104"/>
      <c r="CVT200" s="104"/>
      <c r="CVU200" s="104"/>
      <c r="CVV200" s="104"/>
      <c r="CVW200" s="104"/>
      <c r="CVX200" s="104"/>
      <c r="CVY200" s="104"/>
      <c r="CVZ200" s="104"/>
      <c r="CWA200" s="104"/>
      <c r="CWB200" s="104"/>
      <c r="CWC200" s="104"/>
      <c r="CWD200" s="104"/>
      <c r="CWE200" s="104"/>
      <c r="CWF200" s="104"/>
      <c r="CWG200" s="104"/>
      <c r="CWH200" s="104"/>
      <c r="CWI200" s="104"/>
      <c r="CWJ200" s="104"/>
      <c r="CWK200" s="104"/>
      <c r="CWL200" s="104"/>
      <c r="CWM200" s="104"/>
      <c r="CWN200" s="104"/>
      <c r="CWO200" s="104"/>
      <c r="CWP200" s="104"/>
      <c r="CWQ200" s="104"/>
      <c r="CWR200" s="104"/>
      <c r="CWS200" s="104"/>
      <c r="CWT200" s="104"/>
      <c r="CWU200" s="104"/>
      <c r="CWV200" s="104"/>
      <c r="CWW200" s="104"/>
      <c r="CWX200" s="104"/>
      <c r="CWY200" s="104"/>
      <c r="CWZ200" s="104"/>
      <c r="CXA200" s="104"/>
      <c r="CXB200" s="104"/>
      <c r="CXC200" s="104"/>
      <c r="CXD200" s="104"/>
      <c r="CXE200" s="104"/>
      <c r="CXF200" s="104"/>
      <c r="CXG200" s="104"/>
      <c r="CXH200" s="104"/>
      <c r="CXI200" s="104"/>
      <c r="CXJ200" s="104"/>
      <c r="CXK200" s="104"/>
      <c r="CXL200" s="104"/>
      <c r="CXM200" s="104"/>
      <c r="CXN200" s="104"/>
      <c r="CXO200" s="104"/>
      <c r="CXP200" s="104"/>
      <c r="CXQ200" s="104"/>
      <c r="CXR200" s="104"/>
      <c r="CXS200" s="104"/>
      <c r="CXT200" s="104"/>
      <c r="CXU200" s="104"/>
      <c r="CXV200" s="104"/>
      <c r="CXW200" s="104"/>
      <c r="CXX200" s="104"/>
      <c r="CXY200" s="104"/>
      <c r="CXZ200" s="104"/>
      <c r="CYA200" s="104"/>
      <c r="CYB200" s="104"/>
      <c r="CYC200" s="104"/>
      <c r="CYD200" s="104"/>
      <c r="CYE200" s="104"/>
      <c r="CYF200" s="104"/>
      <c r="CYG200" s="104"/>
      <c r="CYH200" s="104"/>
      <c r="CYI200" s="104"/>
      <c r="CYJ200" s="104"/>
      <c r="CYK200" s="104"/>
      <c r="CYL200" s="104"/>
      <c r="CYM200" s="104"/>
      <c r="CYN200" s="104"/>
      <c r="CYO200" s="104"/>
      <c r="CYP200" s="104"/>
      <c r="CYQ200" s="104"/>
      <c r="CYR200" s="104"/>
      <c r="CYS200" s="104"/>
      <c r="CYT200" s="104"/>
      <c r="CYU200" s="104"/>
      <c r="CYV200" s="104"/>
      <c r="CYW200" s="104"/>
      <c r="CYX200" s="104"/>
      <c r="CYY200" s="104"/>
      <c r="CYZ200" s="104"/>
      <c r="CZA200" s="104"/>
      <c r="CZB200" s="104"/>
      <c r="CZC200" s="104"/>
      <c r="CZD200" s="104"/>
      <c r="CZE200" s="104"/>
      <c r="CZF200" s="104"/>
      <c r="CZG200" s="104"/>
      <c r="CZH200" s="104"/>
      <c r="CZI200" s="104"/>
      <c r="CZJ200" s="104"/>
      <c r="CZK200" s="104"/>
      <c r="CZL200" s="104"/>
      <c r="CZM200" s="104"/>
      <c r="CZN200" s="104"/>
      <c r="CZO200" s="104"/>
      <c r="CZP200" s="104"/>
      <c r="CZQ200" s="104"/>
      <c r="CZR200" s="104"/>
      <c r="CZS200" s="104"/>
      <c r="CZT200" s="104"/>
      <c r="CZU200" s="104"/>
      <c r="CZV200" s="104"/>
      <c r="CZW200" s="104"/>
      <c r="CZX200" s="104"/>
      <c r="CZY200" s="104"/>
      <c r="CZZ200" s="104"/>
      <c r="DAA200" s="104"/>
      <c r="DAB200" s="104"/>
      <c r="DAC200" s="104"/>
      <c r="DAD200" s="104"/>
      <c r="DAE200" s="104"/>
      <c r="DAF200" s="104"/>
      <c r="DAG200" s="104"/>
      <c r="DAH200" s="104"/>
      <c r="DAI200" s="104"/>
      <c r="DAJ200" s="104"/>
      <c r="DAK200" s="104"/>
      <c r="DAL200" s="104"/>
      <c r="DAM200" s="104"/>
      <c r="DAN200" s="104"/>
      <c r="DAO200" s="104"/>
      <c r="DAP200" s="104"/>
      <c r="DAQ200" s="104"/>
      <c r="DAR200" s="104"/>
      <c r="DAS200" s="104"/>
      <c r="DAT200" s="104"/>
      <c r="DAU200" s="104"/>
      <c r="DAV200" s="104"/>
      <c r="DAW200" s="104"/>
      <c r="DAX200" s="104"/>
      <c r="DAY200" s="104"/>
      <c r="DAZ200" s="104"/>
      <c r="DBA200" s="104"/>
      <c r="DBB200" s="104"/>
      <c r="DBC200" s="104"/>
      <c r="DBD200" s="104"/>
      <c r="DBE200" s="104"/>
      <c r="DBF200" s="104"/>
      <c r="DBG200" s="104"/>
      <c r="DBH200" s="104"/>
      <c r="DBI200" s="104"/>
      <c r="DBJ200" s="104"/>
      <c r="DBK200" s="104"/>
      <c r="DBL200" s="104"/>
      <c r="DBM200" s="104"/>
      <c r="DBN200" s="104"/>
      <c r="DBO200" s="104"/>
      <c r="DBP200" s="104"/>
      <c r="DBQ200" s="104"/>
      <c r="DBR200" s="104"/>
      <c r="DBS200" s="104"/>
      <c r="DBT200" s="104"/>
      <c r="DBU200" s="104"/>
      <c r="DBV200" s="104"/>
      <c r="DBW200" s="104"/>
      <c r="DBX200" s="104"/>
      <c r="DBY200" s="104"/>
      <c r="DBZ200" s="104"/>
      <c r="DCA200" s="104"/>
      <c r="DCB200" s="104"/>
      <c r="DCC200" s="104"/>
      <c r="DCD200" s="104"/>
      <c r="DCE200" s="104"/>
      <c r="DCF200" s="104"/>
      <c r="DCG200" s="104"/>
      <c r="DCH200" s="104"/>
      <c r="DCI200" s="104"/>
      <c r="DCJ200" s="104"/>
      <c r="DCK200" s="104"/>
      <c r="DCL200" s="104"/>
      <c r="DCM200" s="104"/>
      <c r="DCN200" s="104"/>
      <c r="DCO200" s="104"/>
      <c r="DCP200" s="104"/>
      <c r="DCQ200" s="104"/>
      <c r="DCR200" s="104"/>
      <c r="DCS200" s="104"/>
      <c r="DCT200" s="104"/>
      <c r="DCU200" s="104"/>
      <c r="DCV200" s="104"/>
      <c r="DCW200" s="104"/>
      <c r="DCX200" s="104"/>
      <c r="DCY200" s="104"/>
      <c r="DCZ200" s="104"/>
      <c r="DDA200" s="104"/>
      <c r="DDB200" s="104"/>
      <c r="DDC200" s="104"/>
      <c r="DDD200" s="104"/>
      <c r="DDE200" s="104"/>
      <c r="DDF200" s="104"/>
      <c r="DDG200" s="104"/>
      <c r="DDH200" s="104"/>
      <c r="DDI200" s="104"/>
      <c r="DDJ200" s="104"/>
      <c r="DDK200" s="104"/>
      <c r="DDL200" s="104"/>
      <c r="DDM200" s="104"/>
      <c r="DDN200" s="104"/>
      <c r="DDO200" s="104"/>
      <c r="DDP200" s="104"/>
      <c r="DDQ200" s="104"/>
      <c r="DDR200" s="104"/>
      <c r="DDS200" s="104"/>
      <c r="DDT200" s="104"/>
      <c r="DDU200" s="104"/>
      <c r="DDV200" s="104"/>
      <c r="DDW200" s="104"/>
      <c r="DDX200" s="104"/>
      <c r="DDY200" s="104"/>
      <c r="DDZ200" s="104"/>
      <c r="DEA200" s="104"/>
      <c r="DEB200" s="104"/>
      <c r="DEC200" s="104"/>
      <c r="DED200" s="104"/>
      <c r="DEE200" s="104"/>
      <c r="DEF200" s="104"/>
      <c r="DEG200" s="104"/>
      <c r="DEH200" s="104"/>
      <c r="DEI200" s="104"/>
      <c r="DEJ200" s="104"/>
      <c r="DEK200" s="104"/>
      <c r="DEL200" s="104"/>
      <c r="DEM200" s="104"/>
      <c r="DEN200" s="104"/>
      <c r="DEO200" s="104"/>
      <c r="DEP200" s="104"/>
      <c r="DEQ200" s="104"/>
      <c r="DER200" s="104"/>
      <c r="DES200" s="104"/>
      <c r="DET200" s="104"/>
      <c r="DEU200" s="104"/>
      <c r="DEV200" s="104"/>
      <c r="DEW200" s="104"/>
      <c r="DEX200" s="104"/>
      <c r="DEY200" s="104"/>
      <c r="DEZ200" s="104"/>
      <c r="DFA200" s="104"/>
      <c r="DFB200" s="104"/>
      <c r="DFC200" s="104"/>
      <c r="DFD200" s="104"/>
      <c r="DFE200" s="104"/>
      <c r="DFF200" s="104"/>
      <c r="DFG200" s="104"/>
      <c r="DFH200" s="104"/>
      <c r="DFI200" s="104"/>
      <c r="DFJ200" s="104"/>
      <c r="DFK200" s="104"/>
      <c r="DFL200" s="104"/>
      <c r="DFM200" s="104"/>
      <c r="DFN200" s="104"/>
      <c r="DFO200" s="104"/>
      <c r="DFP200" s="104"/>
      <c r="DFQ200" s="104"/>
      <c r="DFR200" s="104"/>
      <c r="DFS200" s="104"/>
      <c r="DFT200" s="104"/>
      <c r="DFU200" s="104"/>
      <c r="DFV200" s="104"/>
      <c r="DFW200" s="104"/>
      <c r="DFX200" s="104"/>
      <c r="DFY200" s="104"/>
      <c r="DFZ200" s="104"/>
      <c r="DGA200" s="104"/>
      <c r="DGB200" s="104"/>
      <c r="DGC200" s="104"/>
      <c r="DGD200" s="104"/>
      <c r="DGE200" s="104"/>
      <c r="DGF200" s="104"/>
      <c r="DGG200" s="104"/>
      <c r="DGH200" s="104"/>
      <c r="DGI200" s="104"/>
      <c r="DGJ200" s="104"/>
      <c r="DGK200" s="104"/>
      <c r="DGL200" s="104"/>
      <c r="DGM200" s="104"/>
      <c r="DGN200" s="104"/>
      <c r="DGO200" s="104"/>
      <c r="DGP200" s="104"/>
      <c r="DGQ200" s="104"/>
      <c r="DGR200" s="104"/>
      <c r="DGS200" s="104"/>
      <c r="DGT200" s="104"/>
      <c r="DGU200" s="104"/>
      <c r="DGV200" s="104"/>
      <c r="DGW200" s="104"/>
      <c r="DGX200" s="104"/>
      <c r="DGY200" s="104"/>
      <c r="DGZ200" s="104"/>
      <c r="DHA200" s="104"/>
      <c r="DHB200" s="104"/>
      <c r="DHC200" s="104"/>
      <c r="DHD200" s="104"/>
      <c r="DHE200" s="104"/>
      <c r="DHF200" s="104"/>
      <c r="DHG200" s="104"/>
      <c r="DHH200" s="104"/>
      <c r="DHI200" s="104"/>
      <c r="DHJ200" s="104"/>
      <c r="DHK200" s="104"/>
      <c r="DHL200" s="104"/>
      <c r="DHM200" s="104"/>
      <c r="DHN200" s="104"/>
      <c r="DHO200" s="104"/>
      <c r="DHP200" s="104"/>
      <c r="DHQ200" s="104"/>
      <c r="DHR200" s="104"/>
      <c r="DHS200" s="104"/>
      <c r="DHT200" s="104"/>
      <c r="DHU200" s="104"/>
      <c r="DHV200" s="104"/>
      <c r="DHW200" s="104"/>
      <c r="DHX200" s="104"/>
      <c r="DHY200" s="104"/>
      <c r="DHZ200" s="104"/>
      <c r="DIA200" s="104"/>
      <c r="DIB200" s="104"/>
      <c r="DIC200" s="104"/>
      <c r="DID200" s="104"/>
      <c r="DIE200" s="104"/>
      <c r="DIF200" s="104"/>
      <c r="DIG200" s="104"/>
      <c r="DIH200" s="104"/>
      <c r="DII200" s="104"/>
      <c r="DIJ200" s="104"/>
      <c r="DIK200" s="104"/>
      <c r="DIL200" s="104"/>
      <c r="DIM200" s="104"/>
      <c r="DIN200" s="104"/>
      <c r="DIO200" s="104"/>
      <c r="DIP200" s="104"/>
      <c r="DIQ200" s="104"/>
      <c r="DIR200" s="104"/>
      <c r="DIS200" s="104"/>
      <c r="DIT200" s="104"/>
      <c r="DIU200" s="104"/>
      <c r="DIV200" s="104"/>
      <c r="DIW200" s="104"/>
      <c r="DIX200" s="104"/>
      <c r="DIY200" s="104"/>
      <c r="DIZ200" s="104"/>
      <c r="DJA200" s="104"/>
      <c r="DJB200" s="104"/>
      <c r="DJC200" s="104"/>
      <c r="DJD200" s="104"/>
      <c r="DJE200" s="104"/>
      <c r="DJF200" s="104"/>
      <c r="DJG200" s="104"/>
      <c r="DJH200" s="104"/>
      <c r="DJI200" s="104"/>
      <c r="DJJ200" s="104"/>
      <c r="DJK200" s="104"/>
      <c r="DJL200" s="104"/>
      <c r="DJM200" s="104"/>
      <c r="DJN200" s="104"/>
      <c r="DJO200" s="104"/>
      <c r="DJP200" s="104"/>
      <c r="DJQ200" s="104"/>
      <c r="DJR200" s="104"/>
      <c r="DJS200" s="104"/>
      <c r="DJT200" s="104"/>
      <c r="DJU200" s="104"/>
      <c r="DJV200" s="104"/>
      <c r="DJW200" s="104"/>
      <c r="DJX200" s="104"/>
      <c r="DJY200" s="104"/>
      <c r="DJZ200" s="104"/>
      <c r="DKA200" s="104"/>
      <c r="DKB200" s="104"/>
      <c r="DKC200" s="104"/>
      <c r="DKD200" s="104"/>
      <c r="DKE200" s="104"/>
      <c r="DKF200" s="104"/>
      <c r="DKG200" s="104"/>
      <c r="DKH200" s="104"/>
      <c r="DKI200" s="104"/>
      <c r="DKJ200" s="104"/>
      <c r="DKK200" s="104"/>
      <c r="DKL200" s="104"/>
      <c r="DKM200" s="104"/>
      <c r="DKN200" s="104"/>
      <c r="DKO200" s="104"/>
      <c r="DKP200" s="104"/>
      <c r="DKQ200" s="104"/>
      <c r="DKR200" s="104"/>
      <c r="DKS200" s="104"/>
      <c r="DKT200" s="104"/>
      <c r="DKU200" s="104"/>
      <c r="DKV200" s="104"/>
      <c r="DKW200" s="104"/>
      <c r="DKX200" s="104"/>
      <c r="DKY200" s="104"/>
      <c r="DKZ200" s="104"/>
      <c r="DLA200" s="104"/>
      <c r="DLB200" s="104"/>
      <c r="DLC200" s="104"/>
      <c r="DLD200" s="104"/>
      <c r="DLE200" s="104"/>
      <c r="DLF200" s="104"/>
      <c r="DLG200" s="104"/>
      <c r="DLH200" s="104"/>
      <c r="DLI200" s="104"/>
      <c r="DLJ200" s="104"/>
      <c r="DLK200" s="104"/>
      <c r="DLL200" s="104"/>
      <c r="DLM200" s="104"/>
      <c r="DLN200" s="104"/>
      <c r="DLO200" s="104"/>
      <c r="DLP200" s="104"/>
      <c r="DLQ200" s="104"/>
      <c r="DLR200" s="104"/>
      <c r="DLS200" s="104"/>
      <c r="DLT200" s="104"/>
      <c r="DLU200" s="104"/>
      <c r="DLV200" s="104"/>
      <c r="DLW200" s="104"/>
      <c r="DLX200" s="104"/>
      <c r="DLY200" s="104"/>
      <c r="DLZ200" s="104"/>
      <c r="DMA200" s="104"/>
      <c r="DMB200" s="104"/>
      <c r="DMC200" s="104"/>
      <c r="DMD200" s="104"/>
      <c r="DME200" s="104"/>
      <c r="DMF200" s="104"/>
      <c r="DMG200" s="104"/>
      <c r="DMH200" s="104"/>
      <c r="DMI200" s="104"/>
      <c r="DMJ200" s="104"/>
      <c r="DMK200" s="104"/>
      <c r="DML200" s="104"/>
      <c r="DMM200" s="104"/>
      <c r="DMN200" s="104"/>
      <c r="DMO200" s="104"/>
      <c r="DMP200" s="104"/>
      <c r="DMQ200" s="104"/>
      <c r="DMR200" s="104"/>
      <c r="DMS200" s="104"/>
      <c r="DMT200" s="104"/>
      <c r="DMU200" s="104"/>
      <c r="DMV200" s="104"/>
      <c r="DMW200" s="104"/>
      <c r="DMX200" s="104"/>
      <c r="DMY200" s="104"/>
      <c r="DMZ200" s="104"/>
      <c r="DNA200" s="104"/>
      <c r="DNB200" s="104"/>
      <c r="DNC200" s="104"/>
      <c r="DND200" s="104"/>
      <c r="DNE200" s="104"/>
      <c r="DNF200" s="104"/>
      <c r="DNG200" s="104"/>
      <c r="DNH200" s="104"/>
      <c r="DNI200" s="104"/>
      <c r="DNJ200" s="104"/>
      <c r="DNK200" s="104"/>
      <c r="DNL200" s="104"/>
      <c r="DNM200" s="104"/>
      <c r="DNN200" s="104"/>
      <c r="DNO200" s="104"/>
      <c r="DNP200" s="104"/>
      <c r="DNQ200" s="104"/>
      <c r="DNR200" s="104"/>
      <c r="DNS200" s="104"/>
      <c r="DNT200" s="104"/>
      <c r="DNU200" s="104"/>
      <c r="DNV200" s="104"/>
      <c r="DNW200" s="104"/>
      <c r="DNX200" s="104"/>
      <c r="DNY200" s="104"/>
      <c r="DNZ200" s="104"/>
      <c r="DOA200" s="104"/>
      <c r="DOB200" s="104"/>
      <c r="DOC200" s="104"/>
      <c r="DOD200" s="104"/>
      <c r="DOE200" s="104"/>
      <c r="DOF200" s="104"/>
      <c r="DOG200" s="104"/>
      <c r="DOH200" s="104"/>
      <c r="DOI200" s="104"/>
      <c r="DOJ200" s="104"/>
      <c r="DOK200" s="104"/>
      <c r="DOL200" s="104"/>
      <c r="DOM200" s="104"/>
      <c r="DON200" s="104"/>
      <c r="DOO200" s="104"/>
      <c r="DOP200" s="104"/>
      <c r="DOQ200" s="104"/>
      <c r="DOR200" s="104"/>
      <c r="DOS200" s="104"/>
      <c r="DOT200" s="104"/>
      <c r="DOU200" s="104"/>
      <c r="DOV200" s="104"/>
      <c r="DOW200" s="104"/>
      <c r="DOX200" s="104"/>
      <c r="DOY200" s="104"/>
      <c r="DOZ200" s="104"/>
      <c r="DPA200" s="104"/>
      <c r="DPB200" s="104"/>
      <c r="DPC200" s="104"/>
      <c r="DPD200" s="104"/>
      <c r="DPE200" s="104"/>
      <c r="DPF200" s="104"/>
      <c r="DPG200" s="104"/>
      <c r="DPH200" s="104"/>
      <c r="DPI200" s="104"/>
      <c r="DPJ200" s="104"/>
      <c r="DPK200" s="104"/>
      <c r="DPL200" s="104"/>
      <c r="DPM200" s="104"/>
      <c r="DPN200" s="104"/>
      <c r="DPO200" s="104"/>
      <c r="DPP200" s="104"/>
      <c r="DPQ200" s="104"/>
      <c r="DPR200" s="104"/>
      <c r="DPS200" s="104"/>
      <c r="DPT200" s="104"/>
      <c r="DPU200" s="104"/>
      <c r="DPV200" s="104"/>
      <c r="DPW200" s="104"/>
      <c r="DPX200" s="104"/>
      <c r="DPY200" s="104"/>
      <c r="DPZ200" s="104"/>
      <c r="DQA200" s="104"/>
      <c r="DQB200" s="104"/>
      <c r="DQC200" s="104"/>
      <c r="DQD200" s="104"/>
      <c r="DQE200" s="104"/>
      <c r="DQF200" s="104"/>
      <c r="DQG200" s="104"/>
      <c r="DQH200" s="104"/>
      <c r="DQI200" s="104"/>
      <c r="DQJ200" s="104"/>
      <c r="DQK200" s="104"/>
      <c r="DQL200" s="104"/>
      <c r="DQM200" s="104"/>
      <c r="DQN200" s="104"/>
      <c r="DQO200" s="104"/>
      <c r="DQP200" s="104"/>
      <c r="DQQ200" s="104"/>
      <c r="DQR200" s="104"/>
      <c r="DQS200" s="104"/>
      <c r="DQT200" s="104"/>
      <c r="DQU200" s="104"/>
      <c r="DQV200" s="104"/>
      <c r="DQW200" s="104"/>
      <c r="DQX200" s="104"/>
      <c r="DQY200" s="104"/>
      <c r="DQZ200" s="104"/>
      <c r="DRA200" s="104"/>
      <c r="DRB200" s="104"/>
      <c r="DRC200" s="104"/>
      <c r="DRD200" s="104"/>
      <c r="DRE200" s="104"/>
      <c r="DRF200" s="104"/>
      <c r="DRG200" s="104"/>
      <c r="DRH200" s="104"/>
      <c r="DRI200" s="104"/>
      <c r="DRJ200" s="104"/>
      <c r="DRK200" s="104"/>
      <c r="DRL200" s="104"/>
      <c r="DRM200" s="104"/>
      <c r="DRN200" s="104"/>
      <c r="DRO200" s="104"/>
      <c r="DRP200" s="104"/>
      <c r="DRQ200" s="104"/>
      <c r="DRR200" s="104"/>
      <c r="DRS200" s="104"/>
      <c r="DRT200" s="104"/>
      <c r="DRU200" s="104"/>
      <c r="DRV200" s="104"/>
      <c r="DRW200" s="104"/>
      <c r="DRX200" s="104"/>
      <c r="DRY200" s="104"/>
      <c r="DRZ200" s="104"/>
      <c r="DSA200" s="104"/>
      <c r="DSB200" s="104"/>
      <c r="DSC200" s="104"/>
      <c r="DSD200" s="104"/>
      <c r="DSE200" s="104"/>
      <c r="DSF200" s="104"/>
      <c r="DSG200" s="104"/>
      <c r="DSH200" s="104"/>
      <c r="DSI200" s="104"/>
      <c r="DSJ200" s="104"/>
      <c r="DSK200" s="104"/>
      <c r="DSL200" s="104"/>
      <c r="DSM200" s="104"/>
      <c r="DSN200" s="104"/>
      <c r="DSO200" s="104"/>
      <c r="DSP200" s="104"/>
      <c r="DSQ200" s="104"/>
      <c r="DSR200" s="104"/>
      <c r="DSS200" s="104"/>
      <c r="DST200" s="104"/>
      <c r="DSU200" s="104"/>
      <c r="DSV200" s="104"/>
      <c r="DSW200" s="104"/>
      <c r="DSX200" s="104"/>
      <c r="DSY200" s="104"/>
      <c r="DSZ200" s="104"/>
      <c r="DTA200" s="104"/>
      <c r="DTB200" s="104"/>
      <c r="DTC200" s="104"/>
      <c r="DTD200" s="104"/>
      <c r="DTE200" s="104"/>
      <c r="DTF200" s="104"/>
      <c r="DTG200" s="104"/>
      <c r="DTH200" s="104"/>
      <c r="DTI200" s="104"/>
      <c r="DTJ200" s="104"/>
      <c r="DTK200" s="104"/>
      <c r="DTL200" s="104"/>
      <c r="DTM200" s="104"/>
      <c r="DTN200" s="104"/>
      <c r="DTO200" s="104"/>
      <c r="DTP200" s="104"/>
      <c r="DTQ200" s="104"/>
      <c r="DTR200" s="104"/>
      <c r="DTS200" s="104"/>
      <c r="DTT200" s="104"/>
      <c r="DTU200" s="104"/>
      <c r="DTV200" s="104"/>
      <c r="DTW200" s="104"/>
      <c r="DTX200" s="104"/>
      <c r="DTY200" s="104"/>
      <c r="DTZ200" s="104"/>
      <c r="DUA200" s="104"/>
      <c r="DUB200" s="104"/>
      <c r="DUC200" s="104"/>
      <c r="DUD200" s="104"/>
      <c r="DUE200" s="104"/>
      <c r="DUF200" s="104"/>
      <c r="DUG200" s="104"/>
      <c r="DUH200" s="104"/>
      <c r="DUI200" s="104"/>
      <c r="DUJ200" s="104"/>
      <c r="DUK200" s="104"/>
      <c r="DUL200" s="104"/>
      <c r="DUM200" s="104"/>
      <c r="DUN200" s="104"/>
      <c r="DUO200" s="104"/>
      <c r="DUP200" s="104"/>
      <c r="DUQ200" s="104"/>
      <c r="DUR200" s="104"/>
      <c r="DUS200" s="104"/>
      <c r="DUT200" s="104"/>
      <c r="DUU200" s="104"/>
      <c r="DUV200" s="104"/>
      <c r="DUW200" s="104"/>
      <c r="DUX200" s="104"/>
      <c r="DUY200" s="104"/>
      <c r="DUZ200" s="104"/>
      <c r="DVA200" s="104"/>
      <c r="DVB200" s="104"/>
      <c r="DVC200" s="104"/>
      <c r="DVD200" s="104"/>
      <c r="DVE200" s="104"/>
      <c r="DVF200" s="104"/>
      <c r="DVG200" s="104"/>
      <c r="DVH200" s="104"/>
      <c r="DVI200" s="104"/>
      <c r="DVJ200" s="104"/>
      <c r="DVK200" s="104"/>
      <c r="DVL200" s="104"/>
      <c r="DVM200" s="104"/>
      <c r="DVN200" s="104"/>
      <c r="DVO200" s="104"/>
      <c r="DVP200" s="104"/>
      <c r="DVQ200" s="104"/>
      <c r="DVR200" s="104"/>
      <c r="DVS200" s="104"/>
      <c r="DVT200" s="104"/>
      <c r="DVU200" s="104"/>
      <c r="DVV200" s="104"/>
      <c r="DVW200" s="104"/>
      <c r="DVX200" s="104"/>
      <c r="DVY200" s="104"/>
      <c r="DVZ200" s="104"/>
      <c r="DWA200" s="104"/>
      <c r="DWB200" s="104"/>
      <c r="DWC200" s="104"/>
      <c r="DWD200" s="104"/>
      <c r="DWE200" s="104"/>
      <c r="DWF200" s="104"/>
      <c r="DWG200" s="104"/>
      <c r="DWH200" s="104"/>
      <c r="DWI200" s="104"/>
      <c r="DWJ200" s="104"/>
      <c r="DWK200" s="104"/>
      <c r="DWL200" s="104"/>
      <c r="DWM200" s="104"/>
      <c r="DWN200" s="104"/>
      <c r="DWO200" s="104"/>
      <c r="DWP200" s="104"/>
      <c r="DWQ200" s="104"/>
      <c r="DWR200" s="104"/>
      <c r="DWS200" s="104"/>
      <c r="DWT200" s="104"/>
      <c r="DWU200" s="104"/>
      <c r="DWV200" s="104"/>
      <c r="DWW200" s="104"/>
      <c r="DWX200" s="104"/>
      <c r="DWY200" s="104"/>
      <c r="DWZ200" s="104"/>
      <c r="DXA200" s="104"/>
      <c r="DXB200" s="104"/>
      <c r="DXC200" s="104"/>
      <c r="DXD200" s="104"/>
      <c r="DXE200" s="104"/>
      <c r="DXF200" s="104"/>
      <c r="DXG200" s="104"/>
      <c r="DXH200" s="104"/>
      <c r="DXI200" s="104"/>
      <c r="DXJ200" s="104"/>
      <c r="DXK200" s="104"/>
      <c r="DXL200" s="104"/>
      <c r="DXM200" s="104"/>
      <c r="DXN200" s="104"/>
      <c r="DXO200" s="104"/>
      <c r="DXP200" s="104"/>
      <c r="DXQ200" s="104"/>
      <c r="DXR200" s="104"/>
      <c r="DXS200" s="104"/>
      <c r="DXT200" s="104"/>
      <c r="DXU200" s="104"/>
      <c r="DXV200" s="104"/>
      <c r="DXW200" s="104"/>
      <c r="DXX200" s="104"/>
      <c r="DXY200" s="104"/>
      <c r="DXZ200" s="104"/>
      <c r="DYA200" s="104"/>
      <c r="DYB200" s="104"/>
      <c r="DYC200" s="104"/>
      <c r="DYD200" s="104"/>
      <c r="DYE200" s="104"/>
      <c r="DYF200" s="104"/>
      <c r="DYG200" s="104"/>
      <c r="DYH200" s="104"/>
      <c r="DYI200" s="104"/>
      <c r="DYJ200" s="104"/>
      <c r="DYK200" s="104"/>
      <c r="DYL200" s="104"/>
      <c r="DYM200" s="104"/>
      <c r="DYN200" s="104"/>
      <c r="DYO200" s="104"/>
      <c r="DYP200" s="104"/>
      <c r="DYQ200" s="104"/>
      <c r="DYR200" s="104"/>
      <c r="DYS200" s="104"/>
      <c r="DYT200" s="104"/>
      <c r="DYU200" s="104"/>
      <c r="DYV200" s="104"/>
      <c r="DYW200" s="104"/>
      <c r="DYX200" s="104"/>
      <c r="DYY200" s="104"/>
      <c r="DYZ200" s="104"/>
      <c r="DZA200" s="104"/>
      <c r="DZB200" s="104"/>
      <c r="DZC200" s="104"/>
      <c r="DZD200" s="104"/>
      <c r="DZE200" s="104"/>
      <c r="DZF200" s="104"/>
      <c r="DZG200" s="104"/>
      <c r="DZH200" s="104"/>
      <c r="DZI200" s="104"/>
      <c r="DZJ200" s="104"/>
      <c r="DZK200" s="104"/>
      <c r="DZL200" s="104"/>
      <c r="DZM200" s="104"/>
      <c r="DZN200" s="104"/>
      <c r="DZO200" s="104"/>
      <c r="DZP200" s="104"/>
      <c r="DZQ200" s="104"/>
      <c r="DZR200" s="104"/>
      <c r="DZS200" s="104"/>
      <c r="DZT200" s="104"/>
      <c r="DZU200" s="104"/>
      <c r="DZV200" s="104"/>
      <c r="DZW200" s="104"/>
      <c r="DZX200" s="104"/>
      <c r="DZY200" s="104"/>
      <c r="DZZ200" s="104"/>
      <c r="EAA200" s="104"/>
      <c r="EAB200" s="104"/>
      <c r="EAC200" s="104"/>
      <c r="EAD200" s="104"/>
      <c r="EAE200" s="104"/>
      <c r="EAF200" s="104"/>
      <c r="EAG200" s="104"/>
      <c r="EAH200" s="104"/>
      <c r="EAI200" s="104"/>
      <c r="EAJ200" s="104"/>
      <c r="EAK200" s="104"/>
      <c r="EAL200" s="104"/>
      <c r="EAM200" s="104"/>
      <c r="EAN200" s="104"/>
      <c r="EAO200" s="104"/>
      <c r="EAP200" s="104"/>
      <c r="EAQ200" s="104"/>
      <c r="EAR200" s="104"/>
      <c r="EAS200" s="104"/>
      <c r="EAT200" s="104"/>
      <c r="EAU200" s="104"/>
      <c r="EAV200" s="104"/>
      <c r="EAW200" s="104"/>
      <c r="EAX200" s="104"/>
      <c r="EAY200" s="104"/>
      <c r="EAZ200" s="104"/>
      <c r="EBA200" s="104"/>
      <c r="EBB200" s="104"/>
      <c r="EBC200" s="104"/>
      <c r="EBD200" s="104"/>
      <c r="EBE200" s="104"/>
      <c r="EBF200" s="104"/>
      <c r="EBG200" s="104"/>
      <c r="EBH200" s="104"/>
      <c r="EBI200" s="104"/>
      <c r="EBJ200" s="104"/>
      <c r="EBK200" s="104"/>
      <c r="EBL200" s="104"/>
      <c r="EBM200" s="104"/>
      <c r="EBN200" s="104"/>
      <c r="EBO200" s="104"/>
      <c r="EBP200" s="104"/>
      <c r="EBQ200" s="104"/>
      <c r="EBR200" s="104"/>
      <c r="EBS200" s="104"/>
      <c r="EBT200" s="104"/>
      <c r="EBU200" s="104"/>
      <c r="EBV200" s="104"/>
      <c r="EBW200" s="104"/>
      <c r="EBX200" s="104"/>
      <c r="EBY200" s="104"/>
      <c r="EBZ200" s="104"/>
      <c r="ECA200" s="104"/>
      <c r="ECB200" s="104"/>
      <c r="ECC200" s="104"/>
      <c r="ECD200" s="104"/>
      <c r="ECE200" s="104"/>
      <c r="ECF200" s="104"/>
      <c r="ECG200" s="104"/>
      <c r="ECH200" s="104"/>
      <c r="ECI200" s="104"/>
      <c r="ECJ200" s="104"/>
      <c r="ECK200" s="104"/>
      <c r="ECL200" s="104"/>
      <c r="ECM200" s="104"/>
      <c r="ECN200" s="104"/>
      <c r="ECO200" s="104"/>
      <c r="ECP200" s="104"/>
      <c r="ECQ200" s="104"/>
      <c r="ECR200" s="104"/>
      <c r="ECS200" s="104"/>
      <c r="ECT200" s="104"/>
      <c r="ECU200" s="104"/>
      <c r="ECV200" s="104"/>
      <c r="ECW200" s="104"/>
      <c r="ECX200" s="104"/>
      <c r="ECY200" s="104"/>
      <c r="ECZ200" s="104"/>
      <c r="EDA200" s="104"/>
      <c r="EDB200" s="104"/>
      <c r="EDC200" s="104"/>
      <c r="EDD200" s="104"/>
      <c r="EDE200" s="104"/>
      <c r="EDF200" s="104"/>
      <c r="EDG200" s="104"/>
      <c r="EDH200" s="104"/>
      <c r="EDI200" s="104"/>
      <c r="EDJ200" s="104"/>
      <c r="EDK200" s="104"/>
      <c r="EDL200" s="104"/>
      <c r="EDM200" s="104"/>
      <c r="EDN200" s="104"/>
      <c r="EDO200" s="104"/>
      <c r="EDP200" s="104"/>
      <c r="EDQ200" s="104"/>
      <c r="EDR200" s="104"/>
      <c r="EDS200" s="104"/>
      <c r="EDT200" s="104"/>
      <c r="EDU200" s="104"/>
      <c r="EDV200" s="104"/>
      <c r="EDW200" s="104"/>
      <c r="EDX200" s="104"/>
      <c r="EDY200" s="104"/>
      <c r="EDZ200" s="104"/>
      <c r="EEA200" s="104"/>
      <c r="EEB200" s="104"/>
      <c r="EEC200" s="104"/>
      <c r="EED200" s="104"/>
      <c r="EEE200" s="104"/>
      <c r="EEF200" s="104"/>
      <c r="EEG200" s="104"/>
      <c r="EEH200" s="104"/>
      <c r="EEI200" s="104"/>
      <c r="EEJ200" s="104"/>
      <c r="EEK200" s="104"/>
      <c r="EEL200" s="104"/>
      <c r="EEM200" s="104"/>
      <c r="EEN200" s="104"/>
      <c r="EEO200" s="104"/>
      <c r="EEP200" s="104"/>
      <c r="EEQ200" s="104"/>
      <c r="EER200" s="104"/>
      <c r="EES200" s="104"/>
      <c r="EET200" s="104"/>
      <c r="EEU200" s="104"/>
      <c r="EEV200" s="104"/>
      <c r="EEW200" s="104"/>
      <c r="EEX200" s="104"/>
      <c r="EEY200" s="104"/>
      <c r="EEZ200" s="104"/>
      <c r="EFA200" s="104"/>
      <c r="EFB200" s="104"/>
      <c r="EFC200" s="104"/>
      <c r="EFD200" s="104"/>
      <c r="EFE200" s="104"/>
      <c r="EFF200" s="104"/>
      <c r="EFG200" s="104"/>
      <c r="EFH200" s="104"/>
      <c r="EFI200" s="104"/>
      <c r="EFJ200" s="104"/>
      <c r="EFK200" s="104"/>
      <c r="EFL200" s="104"/>
      <c r="EFM200" s="104"/>
      <c r="EFN200" s="104"/>
      <c r="EFO200" s="104"/>
      <c r="EFP200" s="104"/>
      <c r="EFQ200" s="104"/>
      <c r="EFR200" s="104"/>
      <c r="EFS200" s="104"/>
      <c r="EFT200" s="104"/>
      <c r="EFU200" s="104"/>
      <c r="EFV200" s="104"/>
      <c r="EFW200" s="104"/>
      <c r="EFX200" s="104"/>
      <c r="EFY200" s="104"/>
      <c r="EFZ200" s="104"/>
      <c r="EGA200" s="104"/>
      <c r="EGB200" s="104"/>
      <c r="EGC200" s="104"/>
      <c r="EGD200" s="104"/>
      <c r="EGE200" s="104"/>
      <c r="EGF200" s="104"/>
      <c r="EGG200" s="104"/>
      <c r="EGH200" s="104"/>
      <c r="EGI200" s="104"/>
      <c r="EGJ200" s="104"/>
      <c r="EGK200" s="104"/>
      <c r="EGL200" s="104"/>
      <c r="EGM200" s="104"/>
      <c r="EGN200" s="104"/>
      <c r="EGO200" s="104"/>
      <c r="EGP200" s="104"/>
      <c r="EGQ200" s="104"/>
      <c r="EGR200" s="104"/>
      <c r="EGS200" s="104"/>
      <c r="EGT200" s="104"/>
      <c r="EGU200" s="104"/>
      <c r="EGV200" s="104"/>
      <c r="EGW200" s="104"/>
      <c r="EGX200" s="104"/>
      <c r="EGY200" s="104"/>
      <c r="EGZ200" s="104"/>
      <c r="EHA200" s="104"/>
      <c r="EHB200" s="104"/>
      <c r="EHC200" s="104"/>
      <c r="EHD200" s="104"/>
      <c r="EHE200" s="104"/>
      <c r="EHF200" s="104"/>
      <c r="EHG200" s="104"/>
      <c r="EHH200" s="104"/>
      <c r="EHI200" s="104"/>
      <c r="EHJ200" s="104"/>
      <c r="EHK200" s="104"/>
      <c r="EHL200" s="104"/>
      <c r="EHM200" s="104"/>
      <c r="EHN200" s="104"/>
      <c r="EHO200" s="104"/>
      <c r="EHP200" s="104"/>
      <c r="EHQ200" s="104"/>
      <c r="EHR200" s="104"/>
      <c r="EHS200" s="104"/>
      <c r="EHT200" s="104"/>
      <c r="EHU200" s="104"/>
      <c r="EHV200" s="104"/>
      <c r="EHW200" s="104"/>
      <c r="EHX200" s="104"/>
      <c r="EHY200" s="104"/>
      <c r="EHZ200" s="104"/>
      <c r="EIA200" s="104"/>
      <c r="EIB200" s="104"/>
      <c r="EIC200" s="104"/>
      <c r="EID200" s="104"/>
      <c r="EIE200" s="104"/>
      <c r="EIF200" s="104"/>
      <c r="EIG200" s="104"/>
      <c r="EIH200" s="104"/>
      <c r="EII200" s="104"/>
      <c r="EIJ200" s="104"/>
      <c r="EIK200" s="104"/>
      <c r="EIL200" s="104"/>
      <c r="EIM200" s="104"/>
      <c r="EIN200" s="104"/>
      <c r="EIO200" s="104"/>
      <c r="EIP200" s="104"/>
      <c r="EIQ200" s="104"/>
      <c r="EIR200" s="104"/>
      <c r="EIS200" s="104"/>
      <c r="EIT200" s="104"/>
      <c r="EIU200" s="104"/>
      <c r="EIV200" s="104"/>
      <c r="EIW200" s="104"/>
      <c r="EIX200" s="104"/>
      <c r="EIY200" s="104"/>
      <c r="EIZ200" s="104"/>
      <c r="EJA200" s="104"/>
      <c r="EJB200" s="104"/>
      <c r="EJC200" s="104"/>
      <c r="EJD200" s="104"/>
      <c r="EJE200" s="104"/>
      <c r="EJF200" s="104"/>
      <c r="EJG200" s="104"/>
      <c r="EJH200" s="104"/>
      <c r="EJI200" s="104"/>
      <c r="EJJ200" s="104"/>
      <c r="EJK200" s="104"/>
      <c r="EJL200" s="104"/>
      <c r="EJM200" s="104"/>
      <c r="EJN200" s="104"/>
      <c r="EJO200" s="104"/>
      <c r="EJP200" s="104"/>
      <c r="EJQ200" s="104"/>
      <c r="EJR200" s="104"/>
      <c r="EJS200" s="104"/>
      <c r="EJT200" s="104"/>
      <c r="EJU200" s="104"/>
      <c r="EJV200" s="104"/>
      <c r="EJW200" s="104"/>
      <c r="EJX200" s="104"/>
      <c r="EJY200" s="104"/>
      <c r="EJZ200" s="104"/>
      <c r="EKA200" s="104"/>
      <c r="EKB200" s="104"/>
      <c r="EKC200" s="104"/>
      <c r="EKD200" s="104"/>
      <c r="EKE200" s="104"/>
      <c r="EKF200" s="104"/>
      <c r="EKG200" s="104"/>
      <c r="EKH200" s="104"/>
      <c r="EKI200" s="104"/>
      <c r="EKJ200" s="104"/>
      <c r="EKK200" s="104"/>
      <c r="EKL200" s="104"/>
      <c r="EKM200" s="104"/>
      <c r="EKN200" s="104"/>
      <c r="EKO200" s="104"/>
      <c r="EKP200" s="104"/>
      <c r="EKQ200" s="104"/>
      <c r="EKR200" s="104"/>
      <c r="EKS200" s="104"/>
      <c r="EKT200" s="104"/>
      <c r="EKU200" s="104"/>
      <c r="EKV200" s="104"/>
      <c r="EKW200" s="104"/>
      <c r="EKX200" s="104"/>
      <c r="EKY200" s="104"/>
      <c r="EKZ200" s="104"/>
      <c r="ELA200" s="104"/>
      <c r="ELB200" s="104"/>
      <c r="ELC200" s="104"/>
      <c r="ELD200" s="104"/>
      <c r="ELE200" s="104"/>
      <c r="ELF200" s="104"/>
      <c r="ELG200" s="104"/>
      <c r="ELH200" s="104"/>
      <c r="ELI200" s="104"/>
      <c r="ELJ200" s="104"/>
      <c r="ELK200" s="104"/>
      <c r="ELL200" s="104"/>
      <c r="ELM200" s="104"/>
      <c r="ELN200" s="104"/>
      <c r="ELO200" s="104"/>
      <c r="ELP200" s="104"/>
      <c r="ELQ200" s="104"/>
      <c r="ELR200" s="104"/>
      <c r="ELS200" s="104"/>
      <c r="ELT200" s="104"/>
      <c r="ELU200" s="104"/>
      <c r="ELV200" s="104"/>
      <c r="ELW200" s="104"/>
      <c r="ELX200" s="104"/>
      <c r="ELY200" s="104"/>
      <c r="ELZ200" s="104"/>
      <c r="EMA200" s="104"/>
      <c r="EMB200" s="104"/>
      <c r="EMC200" s="104"/>
      <c r="EMD200" s="104"/>
      <c r="EME200" s="104"/>
      <c r="EMF200" s="104"/>
      <c r="EMG200" s="104"/>
      <c r="EMH200" s="104"/>
      <c r="EMI200" s="104"/>
      <c r="EMJ200" s="104"/>
      <c r="EMK200" s="104"/>
      <c r="EML200" s="104"/>
      <c r="EMM200" s="104"/>
      <c r="EMN200" s="104"/>
      <c r="EMO200" s="104"/>
      <c r="EMP200" s="104"/>
      <c r="EMQ200" s="104"/>
      <c r="EMR200" s="104"/>
      <c r="EMS200" s="104"/>
      <c r="EMT200" s="104"/>
      <c r="EMU200" s="104"/>
      <c r="EMV200" s="104"/>
      <c r="EMW200" s="104"/>
      <c r="EMX200" s="104"/>
      <c r="EMY200" s="104"/>
      <c r="EMZ200" s="104"/>
      <c r="ENA200" s="104"/>
      <c r="ENB200" s="104"/>
      <c r="ENC200" s="104"/>
      <c r="END200" s="104"/>
      <c r="ENE200" s="104"/>
      <c r="ENF200" s="104"/>
      <c r="ENG200" s="104"/>
      <c r="ENH200" s="104"/>
      <c r="ENI200" s="104"/>
      <c r="ENJ200" s="104"/>
      <c r="ENK200" s="104"/>
      <c r="ENL200" s="104"/>
      <c r="ENM200" s="104"/>
      <c r="ENN200" s="104"/>
      <c r="ENO200" s="104"/>
      <c r="ENP200" s="104"/>
      <c r="ENQ200" s="104"/>
      <c r="ENR200" s="104"/>
      <c r="ENS200" s="104"/>
      <c r="ENT200" s="104"/>
      <c r="ENU200" s="104"/>
      <c r="ENV200" s="104"/>
      <c r="ENW200" s="104"/>
      <c r="ENX200" s="104"/>
      <c r="ENY200" s="104"/>
      <c r="ENZ200" s="104"/>
      <c r="EOA200" s="104"/>
      <c r="EOB200" s="104"/>
      <c r="EOC200" s="104"/>
      <c r="EOD200" s="104"/>
      <c r="EOE200" s="104"/>
      <c r="EOF200" s="104"/>
      <c r="EOG200" s="104"/>
      <c r="EOH200" s="104"/>
      <c r="EOI200" s="104"/>
      <c r="EOJ200" s="104"/>
      <c r="EOK200" s="104"/>
      <c r="EOL200" s="104"/>
      <c r="EOM200" s="104"/>
      <c r="EON200" s="104"/>
      <c r="EOO200" s="104"/>
      <c r="EOP200" s="104"/>
      <c r="EOQ200" s="104"/>
      <c r="EOR200" s="104"/>
      <c r="EOS200" s="104"/>
      <c r="EOT200" s="104"/>
      <c r="EOU200" s="104"/>
      <c r="EOV200" s="104"/>
      <c r="EOW200" s="104"/>
      <c r="EOX200" s="104"/>
      <c r="EOY200" s="104"/>
      <c r="EOZ200" s="104"/>
      <c r="EPA200" s="104"/>
      <c r="EPB200" s="104"/>
      <c r="EPC200" s="104"/>
      <c r="EPD200" s="104"/>
      <c r="EPE200" s="104"/>
      <c r="EPF200" s="104"/>
      <c r="EPG200" s="104"/>
      <c r="EPH200" s="104"/>
      <c r="EPI200" s="104"/>
      <c r="EPJ200" s="104"/>
      <c r="EPK200" s="104"/>
      <c r="EPL200" s="104"/>
      <c r="EPM200" s="104"/>
      <c r="EPN200" s="104"/>
      <c r="EPO200" s="104"/>
      <c r="EPP200" s="104"/>
      <c r="EPQ200" s="104"/>
      <c r="EPR200" s="104"/>
      <c r="EPS200" s="104"/>
      <c r="EPT200" s="104"/>
      <c r="EPU200" s="104"/>
      <c r="EPV200" s="104"/>
      <c r="EPW200" s="104"/>
      <c r="EPX200" s="104"/>
      <c r="EPY200" s="104"/>
      <c r="EPZ200" s="104"/>
      <c r="EQA200" s="104"/>
      <c r="EQB200" s="104"/>
      <c r="EQC200" s="104"/>
      <c r="EQD200" s="104"/>
      <c r="EQE200" s="104"/>
      <c r="EQF200" s="104"/>
      <c r="EQG200" s="104"/>
      <c r="EQH200" s="104"/>
      <c r="EQI200" s="104"/>
      <c r="EQJ200" s="104"/>
      <c r="EQK200" s="104"/>
      <c r="EQL200" s="104"/>
      <c r="EQM200" s="104"/>
      <c r="EQN200" s="104"/>
      <c r="EQO200" s="104"/>
      <c r="EQP200" s="104"/>
      <c r="EQQ200" s="104"/>
      <c r="EQR200" s="104"/>
      <c r="EQS200" s="104"/>
      <c r="EQT200" s="104"/>
      <c r="EQU200" s="104"/>
      <c r="EQV200" s="104"/>
      <c r="EQW200" s="104"/>
      <c r="EQX200" s="104"/>
      <c r="EQY200" s="104"/>
      <c r="EQZ200" s="104"/>
      <c r="ERA200" s="104"/>
      <c r="ERB200" s="104"/>
      <c r="ERC200" s="104"/>
      <c r="ERD200" s="104"/>
      <c r="ERE200" s="104"/>
      <c r="ERF200" s="104"/>
      <c r="ERG200" s="104"/>
      <c r="ERH200" s="104"/>
      <c r="ERI200" s="104"/>
      <c r="ERJ200" s="104"/>
      <c r="ERK200" s="104"/>
      <c r="ERL200" s="104"/>
      <c r="ERM200" s="104"/>
      <c r="ERN200" s="104"/>
      <c r="ERO200" s="104"/>
      <c r="ERP200" s="104"/>
      <c r="ERQ200" s="104"/>
      <c r="ERR200" s="104"/>
      <c r="ERS200" s="104"/>
      <c r="ERT200" s="104"/>
      <c r="ERU200" s="104"/>
      <c r="ERV200" s="104"/>
      <c r="ERW200" s="104"/>
      <c r="ERX200" s="104"/>
      <c r="ERY200" s="104"/>
      <c r="ERZ200" s="104"/>
      <c r="ESA200" s="104"/>
      <c r="ESB200" s="104"/>
      <c r="ESC200" s="104"/>
      <c r="ESD200" s="104"/>
      <c r="ESE200" s="104"/>
      <c r="ESF200" s="104"/>
      <c r="ESG200" s="104"/>
      <c r="ESH200" s="104"/>
      <c r="ESI200" s="104"/>
      <c r="ESJ200" s="104"/>
      <c r="ESK200" s="104"/>
      <c r="ESL200" s="104"/>
      <c r="ESM200" s="104"/>
      <c r="ESN200" s="104"/>
      <c r="ESO200" s="104"/>
      <c r="ESP200" s="104"/>
      <c r="ESQ200" s="104"/>
      <c r="ESR200" s="104"/>
      <c r="ESS200" s="104"/>
      <c r="EST200" s="104"/>
      <c r="ESU200" s="104"/>
      <c r="ESV200" s="104"/>
      <c r="ESW200" s="104"/>
      <c r="ESX200" s="104"/>
      <c r="ESY200" s="104"/>
      <c r="ESZ200" s="104"/>
      <c r="ETA200" s="104"/>
      <c r="ETB200" s="104"/>
      <c r="ETC200" s="104"/>
      <c r="ETD200" s="104"/>
      <c r="ETE200" s="104"/>
      <c r="ETF200" s="104"/>
      <c r="ETG200" s="104"/>
      <c r="ETH200" s="104"/>
      <c r="ETI200" s="104"/>
      <c r="ETJ200" s="104"/>
      <c r="ETK200" s="104"/>
      <c r="ETL200" s="104"/>
      <c r="ETM200" s="104"/>
      <c r="ETN200" s="104"/>
      <c r="ETO200" s="104"/>
      <c r="ETP200" s="104"/>
      <c r="ETQ200" s="104"/>
      <c r="ETR200" s="104"/>
      <c r="ETS200" s="104"/>
      <c r="ETT200" s="104"/>
      <c r="ETU200" s="104"/>
      <c r="ETV200" s="104"/>
      <c r="ETW200" s="104"/>
      <c r="ETX200" s="104"/>
      <c r="ETY200" s="104"/>
      <c r="ETZ200" s="104"/>
      <c r="EUA200" s="104"/>
      <c r="EUB200" s="104"/>
      <c r="EUC200" s="104"/>
      <c r="EUD200" s="104"/>
      <c r="EUE200" s="104"/>
      <c r="EUF200" s="104"/>
      <c r="EUG200" s="104"/>
      <c r="EUH200" s="104"/>
      <c r="EUI200" s="104"/>
      <c r="EUJ200" s="104"/>
      <c r="EUK200" s="104"/>
      <c r="EUL200" s="104"/>
      <c r="EUM200" s="104"/>
      <c r="EUN200" s="104"/>
      <c r="EUO200" s="104"/>
      <c r="EUP200" s="104"/>
      <c r="EUQ200" s="104"/>
      <c r="EUR200" s="104"/>
      <c r="EUS200" s="104"/>
      <c r="EUT200" s="104"/>
      <c r="EUU200" s="104"/>
      <c r="EUV200" s="104"/>
      <c r="EUW200" s="104"/>
      <c r="EUX200" s="104"/>
      <c r="EUY200" s="104"/>
      <c r="EUZ200" s="104"/>
      <c r="EVA200" s="104"/>
      <c r="EVB200" s="104"/>
      <c r="EVC200" s="104"/>
      <c r="EVD200" s="104"/>
      <c r="EVE200" s="104"/>
      <c r="EVF200" s="104"/>
      <c r="EVG200" s="104"/>
      <c r="EVH200" s="104"/>
      <c r="EVI200" s="104"/>
      <c r="EVJ200" s="104"/>
      <c r="EVK200" s="104"/>
      <c r="EVL200" s="104"/>
      <c r="EVM200" s="104"/>
      <c r="EVN200" s="104"/>
      <c r="EVO200" s="104"/>
      <c r="EVP200" s="104"/>
      <c r="EVQ200" s="104"/>
      <c r="EVR200" s="104"/>
      <c r="EVS200" s="104"/>
      <c r="EVT200" s="104"/>
      <c r="EVU200" s="104"/>
      <c r="EVV200" s="104"/>
      <c r="EVW200" s="104"/>
      <c r="EVX200" s="104"/>
      <c r="EVY200" s="104"/>
      <c r="EVZ200" s="104"/>
      <c r="EWA200" s="104"/>
      <c r="EWB200" s="104"/>
      <c r="EWC200" s="104"/>
      <c r="EWD200" s="104"/>
      <c r="EWE200" s="104"/>
      <c r="EWF200" s="104"/>
      <c r="EWG200" s="104"/>
      <c r="EWH200" s="104"/>
      <c r="EWI200" s="104"/>
      <c r="EWJ200" s="104"/>
      <c r="EWK200" s="104"/>
      <c r="EWL200" s="104"/>
      <c r="EWM200" s="104"/>
      <c r="EWN200" s="104"/>
      <c r="EWO200" s="104"/>
      <c r="EWP200" s="104"/>
      <c r="EWQ200" s="104"/>
      <c r="EWR200" s="104"/>
      <c r="EWS200" s="104"/>
      <c r="EWT200" s="104"/>
      <c r="EWU200" s="104"/>
      <c r="EWV200" s="104"/>
      <c r="EWW200" s="104"/>
      <c r="EWX200" s="104"/>
      <c r="EWY200" s="104"/>
      <c r="EWZ200" s="104"/>
      <c r="EXA200" s="104"/>
      <c r="EXB200" s="104"/>
      <c r="EXC200" s="104"/>
      <c r="EXD200" s="104"/>
      <c r="EXE200" s="104"/>
      <c r="EXF200" s="104"/>
      <c r="EXG200" s="104"/>
      <c r="EXH200" s="104"/>
      <c r="EXI200" s="104"/>
      <c r="EXJ200" s="104"/>
      <c r="EXK200" s="104"/>
      <c r="EXL200" s="104"/>
      <c r="EXM200" s="104"/>
      <c r="EXN200" s="104"/>
      <c r="EXO200" s="104"/>
      <c r="EXP200" s="104"/>
      <c r="EXQ200" s="104"/>
      <c r="EXR200" s="104"/>
      <c r="EXS200" s="104"/>
      <c r="EXT200" s="104"/>
      <c r="EXU200" s="104"/>
      <c r="EXV200" s="104"/>
      <c r="EXW200" s="104"/>
      <c r="EXX200" s="104"/>
      <c r="EXY200" s="104"/>
      <c r="EXZ200" s="104"/>
      <c r="EYA200" s="104"/>
      <c r="EYB200" s="104"/>
      <c r="EYC200" s="104"/>
      <c r="EYD200" s="104"/>
      <c r="EYE200" s="104"/>
      <c r="EYF200" s="104"/>
      <c r="EYG200" s="104"/>
      <c r="EYH200" s="104"/>
      <c r="EYI200" s="104"/>
      <c r="EYJ200" s="104"/>
      <c r="EYK200" s="104"/>
      <c r="EYL200" s="104"/>
      <c r="EYM200" s="104"/>
      <c r="EYN200" s="104"/>
      <c r="EYO200" s="104"/>
      <c r="EYP200" s="104"/>
      <c r="EYQ200" s="104"/>
      <c r="EYR200" s="104"/>
      <c r="EYS200" s="104"/>
      <c r="EYT200" s="104"/>
      <c r="EYU200" s="104"/>
      <c r="EYV200" s="104"/>
      <c r="EYW200" s="104"/>
      <c r="EYX200" s="104"/>
      <c r="EYY200" s="104"/>
      <c r="EYZ200" s="104"/>
      <c r="EZA200" s="104"/>
      <c r="EZB200" s="104"/>
      <c r="EZC200" s="104"/>
      <c r="EZD200" s="104"/>
      <c r="EZE200" s="104"/>
      <c r="EZF200" s="104"/>
      <c r="EZG200" s="104"/>
      <c r="EZH200" s="104"/>
      <c r="EZI200" s="104"/>
      <c r="EZJ200" s="104"/>
      <c r="EZK200" s="104"/>
      <c r="EZL200" s="104"/>
      <c r="EZM200" s="104"/>
      <c r="EZN200" s="104"/>
      <c r="EZO200" s="104"/>
      <c r="EZP200" s="104"/>
      <c r="EZQ200" s="104"/>
      <c r="EZR200" s="104"/>
      <c r="EZS200" s="104"/>
      <c r="EZT200" s="104"/>
      <c r="EZU200" s="104"/>
      <c r="EZV200" s="104"/>
      <c r="EZW200" s="104"/>
      <c r="EZX200" s="104"/>
      <c r="EZY200" s="104"/>
      <c r="EZZ200" s="104"/>
      <c r="FAA200" s="104"/>
      <c r="FAB200" s="104"/>
      <c r="FAC200" s="104"/>
      <c r="FAD200" s="104"/>
      <c r="FAE200" s="104"/>
      <c r="FAF200" s="104"/>
      <c r="FAG200" s="104"/>
      <c r="FAH200" s="104"/>
      <c r="FAI200" s="104"/>
      <c r="FAJ200" s="104"/>
      <c r="FAK200" s="104"/>
      <c r="FAL200" s="104"/>
      <c r="FAM200" s="104"/>
      <c r="FAN200" s="104"/>
      <c r="FAO200" s="104"/>
      <c r="FAP200" s="104"/>
      <c r="FAQ200" s="104"/>
      <c r="FAR200" s="104"/>
      <c r="FAS200" s="104"/>
      <c r="FAT200" s="104"/>
      <c r="FAU200" s="104"/>
      <c r="FAV200" s="104"/>
      <c r="FAW200" s="104"/>
      <c r="FAX200" s="104"/>
      <c r="FAY200" s="104"/>
      <c r="FAZ200" s="104"/>
      <c r="FBA200" s="104"/>
      <c r="FBB200" s="104"/>
      <c r="FBC200" s="104"/>
      <c r="FBD200" s="104"/>
      <c r="FBE200" s="104"/>
      <c r="FBF200" s="104"/>
      <c r="FBG200" s="104"/>
      <c r="FBH200" s="104"/>
      <c r="FBI200" s="104"/>
      <c r="FBJ200" s="104"/>
      <c r="FBK200" s="104"/>
      <c r="FBL200" s="104"/>
      <c r="FBM200" s="104"/>
      <c r="FBN200" s="104"/>
      <c r="FBO200" s="104"/>
      <c r="FBP200" s="104"/>
      <c r="FBQ200" s="104"/>
      <c r="FBR200" s="104"/>
      <c r="FBS200" s="104"/>
      <c r="FBT200" s="104"/>
      <c r="FBU200" s="104"/>
      <c r="FBV200" s="104"/>
      <c r="FBW200" s="104"/>
      <c r="FBX200" s="104"/>
      <c r="FBY200" s="104"/>
      <c r="FBZ200" s="104"/>
      <c r="FCA200" s="104"/>
      <c r="FCB200" s="104"/>
      <c r="FCC200" s="104"/>
      <c r="FCD200" s="104"/>
      <c r="FCE200" s="104"/>
      <c r="FCF200" s="104"/>
      <c r="FCG200" s="104"/>
      <c r="FCH200" s="104"/>
      <c r="FCI200" s="104"/>
      <c r="FCJ200" s="104"/>
      <c r="FCK200" s="104"/>
      <c r="FCL200" s="104"/>
      <c r="FCM200" s="104"/>
      <c r="FCN200" s="104"/>
      <c r="FCO200" s="104"/>
      <c r="FCP200" s="104"/>
      <c r="FCQ200" s="104"/>
      <c r="FCR200" s="104"/>
      <c r="FCS200" s="104"/>
      <c r="FCT200" s="104"/>
      <c r="FCU200" s="104"/>
      <c r="FCV200" s="104"/>
      <c r="FCW200" s="104"/>
      <c r="FCX200" s="104"/>
      <c r="FCY200" s="104"/>
      <c r="FCZ200" s="104"/>
      <c r="FDA200" s="104"/>
      <c r="FDB200" s="104"/>
      <c r="FDC200" s="104"/>
      <c r="FDD200" s="104"/>
      <c r="FDE200" s="104"/>
      <c r="FDF200" s="104"/>
      <c r="FDG200" s="104"/>
      <c r="FDH200" s="104"/>
      <c r="FDI200" s="104"/>
      <c r="FDJ200" s="104"/>
      <c r="FDK200" s="104"/>
      <c r="FDL200" s="104"/>
      <c r="FDM200" s="104"/>
      <c r="FDN200" s="104"/>
      <c r="FDO200" s="104"/>
      <c r="FDP200" s="104"/>
      <c r="FDQ200" s="104"/>
      <c r="FDR200" s="104"/>
      <c r="FDS200" s="104"/>
      <c r="FDT200" s="104"/>
      <c r="FDU200" s="104"/>
      <c r="FDV200" s="104"/>
      <c r="FDW200" s="104"/>
      <c r="FDX200" s="104"/>
      <c r="FDY200" s="104"/>
      <c r="FDZ200" s="104"/>
      <c r="FEA200" s="104"/>
      <c r="FEB200" s="104"/>
      <c r="FEC200" s="104"/>
      <c r="FED200" s="104"/>
      <c r="FEE200" s="104"/>
      <c r="FEF200" s="104"/>
      <c r="FEG200" s="104"/>
      <c r="FEH200" s="104"/>
      <c r="FEI200" s="104"/>
      <c r="FEJ200" s="104"/>
      <c r="FEK200" s="104"/>
      <c r="FEL200" s="104"/>
      <c r="FEM200" s="104"/>
      <c r="FEN200" s="104"/>
      <c r="FEO200" s="104"/>
      <c r="FEP200" s="104"/>
      <c r="FEQ200" s="104"/>
      <c r="FER200" s="104"/>
      <c r="FES200" s="104"/>
      <c r="FET200" s="104"/>
      <c r="FEU200" s="104"/>
      <c r="FEV200" s="104"/>
      <c r="FEW200" s="104"/>
      <c r="FEX200" s="104"/>
      <c r="FEY200" s="104"/>
      <c r="FEZ200" s="104"/>
      <c r="FFA200" s="104"/>
      <c r="FFB200" s="104"/>
      <c r="FFC200" s="104"/>
      <c r="FFD200" s="104"/>
      <c r="FFE200" s="104"/>
      <c r="FFF200" s="104"/>
      <c r="FFG200" s="104"/>
      <c r="FFH200" s="104"/>
      <c r="FFI200" s="104"/>
      <c r="FFJ200" s="104"/>
      <c r="FFK200" s="104"/>
      <c r="FFL200" s="104"/>
      <c r="FFM200" s="104"/>
      <c r="FFN200" s="104"/>
      <c r="FFO200" s="104"/>
      <c r="FFP200" s="104"/>
      <c r="FFQ200" s="104"/>
      <c r="FFR200" s="104"/>
      <c r="FFS200" s="104"/>
      <c r="FFT200" s="104"/>
      <c r="FFU200" s="104"/>
      <c r="FFV200" s="104"/>
      <c r="FFW200" s="104"/>
      <c r="FFX200" s="104"/>
      <c r="FFY200" s="104"/>
      <c r="FFZ200" s="104"/>
      <c r="FGA200" s="104"/>
      <c r="FGB200" s="104"/>
      <c r="FGC200" s="104"/>
      <c r="FGD200" s="104"/>
      <c r="FGE200" s="104"/>
      <c r="FGF200" s="104"/>
      <c r="FGG200" s="104"/>
      <c r="FGH200" s="104"/>
      <c r="FGI200" s="104"/>
      <c r="FGJ200" s="104"/>
      <c r="FGK200" s="104"/>
      <c r="FGL200" s="104"/>
      <c r="FGM200" s="104"/>
      <c r="FGN200" s="104"/>
      <c r="FGO200" s="104"/>
      <c r="FGP200" s="104"/>
      <c r="FGQ200" s="104"/>
      <c r="FGR200" s="104"/>
      <c r="FGS200" s="104"/>
      <c r="FGT200" s="104"/>
      <c r="FGU200" s="104"/>
      <c r="FGV200" s="104"/>
      <c r="FGW200" s="104"/>
      <c r="FGX200" s="104"/>
      <c r="FGY200" s="104"/>
      <c r="FGZ200" s="104"/>
      <c r="FHA200" s="104"/>
      <c r="FHB200" s="104"/>
      <c r="FHC200" s="104"/>
      <c r="FHD200" s="104"/>
      <c r="FHE200" s="104"/>
      <c r="FHF200" s="104"/>
      <c r="FHG200" s="104"/>
      <c r="FHH200" s="104"/>
      <c r="FHI200" s="104"/>
      <c r="FHJ200" s="104"/>
      <c r="FHK200" s="104"/>
      <c r="FHL200" s="104"/>
      <c r="FHM200" s="104"/>
      <c r="FHN200" s="104"/>
      <c r="FHO200" s="104"/>
      <c r="FHP200" s="104"/>
      <c r="FHQ200" s="104"/>
      <c r="FHR200" s="104"/>
      <c r="FHS200" s="104"/>
      <c r="FHT200" s="104"/>
      <c r="FHU200" s="104"/>
      <c r="FHV200" s="104"/>
      <c r="FHW200" s="104"/>
      <c r="FHX200" s="104"/>
      <c r="FHY200" s="104"/>
      <c r="FHZ200" s="104"/>
      <c r="FIA200" s="104"/>
      <c r="FIB200" s="104"/>
      <c r="FIC200" s="104"/>
      <c r="FID200" s="104"/>
      <c r="FIE200" s="104"/>
      <c r="FIF200" s="104"/>
      <c r="FIG200" s="104"/>
      <c r="FIH200" s="104"/>
      <c r="FII200" s="104"/>
      <c r="FIJ200" s="104"/>
      <c r="FIK200" s="104"/>
      <c r="FIL200" s="104"/>
      <c r="FIM200" s="104"/>
      <c r="FIN200" s="104"/>
      <c r="FIO200" s="104"/>
      <c r="FIP200" s="104"/>
      <c r="FIQ200" s="104"/>
      <c r="FIR200" s="104"/>
      <c r="FIS200" s="104"/>
      <c r="FIT200" s="104"/>
      <c r="FIU200" s="104"/>
      <c r="FIV200" s="104"/>
      <c r="FIW200" s="104"/>
      <c r="FIX200" s="104"/>
      <c r="FIY200" s="104"/>
      <c r="FIZ200" s="104"/>
      <c r="FJA200" s="104"/>
      <c r="FJB200" s="104"/>
      <c r="FJC200" s="104"/>
      <c r="FJD200" s="104"/>
      <c r="FJE200" s="104"/>
      <c r="FJF200" s="104"/>
      <c r="FJG200" s="104"/>
      <c r="FJH200" s="104"/>
      <c r="FJI200" s="104"/>
      <c r="FJJ200" s="104"/>
      <c r="FJK200" s="104"/>
      <c r="FJL200" s="104"/>
      <c r="FJM200" s="104"/>
      <c r="FJN200" s="104"/>
      <c r="FJO200" s="104"/>
      <c r="FJP200" s="104"/>
      <c r="FJQ200" s="104"/>
      <c r="FJR200" s="104"/>
      <c r="FJS200" s="104"/>
      <c r="FJT200" s="104"/>
      <c r="FJU200" s="104"/>
      <c r="FJV200" s="104"/>
      <c r="FJW200" s="104"/>
      <c r="FJX200" s="104"/>
      <c r="FJY200" s="104"/>
      <c r="FJZ200" s="104"/>
      <c r="FKA200" s="104"/>
      <c r="FKB200" s="104"/>
      <c r="FKC200" s="104"/>
      <c r="FKD200" s="104"/>
      <c r="FKE200" s="104"/>
      <c r="FKF200" s="104"/>
      <c r="FKG200" s="104"/>
      <c r="FKH200" s="104"/>
      <c r="FKI200" s="104"/>
      <c r="FKJ200" s="104"/>
      <c r="FKK200" s="104"/>
      <c r="FKL200" s="104"/>
      <c r="FKM200" s="104"/>
      <c r="FKN200" s="104"/>
      <c r="FKO200" s="104"/>
      <c r="FKP200" s="104"/>
      <c r="FKQ200" s="104"/>
      <c r="FKR200" s="104"/>
      <c r="FKS200" s="104"/>
      <c r="FKT200" s="104"/>
      <c r="FKU200" s="104"/>
      <c r="FKV200" s="104"/>
      <c r="FKW200" s="104"/>
      <c r="FKX200" s="104"/>
      <c r="FKY200" s="104"/>
      <c r="FKZ200" s="104"/>
      <c r="FLA200" s="104"/>
      <c r="FLB200" s="104"/>
      <c r="FLC200" s="104"/>
      <c r="FLD200" s="104"/>
      <c r="FLE200" s="104"/>
      <c r="FLF200" s="104"/>
      <c r="FLG200" s="104"/>
      <c r="FLH200" s="104"/>
      <c r="FLI200" s="104"/>
      <c r="FLJ200" s="104"/>
      <c r="FLK200" s="104"/>
      <c r="FLL200" s="104"/>
      <c r="FLM200" s="104"/>
      <c r="FLN200" s="104"/>
      <c r="FLO200" s="104"/>
      <c r="FLP200" s="104"/>
      <c r="FLQ200" s="104"/>
      <c r="FLR200" s="104"/>
      <c r="FLS200" s="104"/>
      <c r="FLT200" s="104"/>
      <c r="FLU200" s="104"/>
      <c r="FLV200" s="104"/>
      <c r="FLW200" s="104"/>
      <c r="FLX200" s="104"/>
      <c r="FLY200" s="104"/>
      <c r="FLZ200" s="104"/>
      <c r="FMA200" s="104"/>
      <c r="FMB200" s="104"/>
      <c r="FMC200" s="104"/>
      <c r="FMD200" s="104"/>
      <c r="FME200" s="104"/>
      <c r="FMF200" s="104"/>
      <c r="FMG200" s="104"/>
      <c r="FMH200" s="104"/>
      <c r="FMI200" s="104"/>
      <c r="FMJ200" s="104"/>
      <c r="FMK200" s="104"/>
      <c r="FML200" s="104"/>
      <c r="FMM200" s="104"/>
      <c r="FMN200" s="104"/>
      <c r="FMO200" s="104"/>
      <c r="FMP200" s="104"/>
      <c r="FMQ200" s="104"/>
      <c r="FMR200" s="104"/>
      <c r="FMS200" s="104"/>
      <c r="FMT200" s="104"/>
      <c r="FMU200" s="104"/>
      <c r="FMV200" s="104"/>
      <c r="FMW200" s="104"/>
      <c r="FMX200" s="104"/>
      <c r="FMY200" s="104"/>
      <c r="FMZ200" s="104"/>
      <c r="FNA200" s="104"/>
      <c r="FNB200" s="104"/>
      <c r="FNC200" s="104"/>
      <c r="FND200" s="104"/>
      <c r="FNE200" s="104"/>
      <c r="FNF200" s="104"/>
      <c r="FNG200" s="104"/>
      <c r="FNH200" s="104"/>
      <c r="FNI200" s="104"/>
      <c r="FNJ200" s="104"/>
      <c r="FNK200" s="104"/>
      <c r="FNL200" s="104"/>
      <c r="FNM200" s="104"/>
      <c r="FNN200" s="104"/>
      <c r="FNO200" s="104"/>
      <c r="FNP200" s="104"/>
      <c r="FNQ200" s="104"/>
      <c r="FNR200" s="104"/>
      <c r="FNS200" s="104"/>
      <c r="FNT200" s="104"/>
      <c r="FNU200" s="104"/>
      <c r="FNV200" s="104"/>
      <c r="FNW200" s="104"/>
      <c r="FNX200" s="104"/>
      <c r="FNY200" s="104"/>
      <c r="FNZ200" s="104"/>
      <c r="FOA200" s="104"/>
      <c r="FOB200" s="104"/>
      <c r="FOC200" s="104"/>
      <c r="FOD200" s="104"/>
      <c r="FOE200" s="104"/>
      <c r="FOF200" s="104"/>
      <c r="FOG200" s="104"/>
      <c r="FOH200" s="104"/>
      <c r="FOI200" s="104"/>
      <c r="FOJ200" s="104"/>
      <c r="FOK200" s="104"/>
      <c r="FOL200" s="104"/>
      <c r="FOM200" s="104"/>
      <c r="FON200" s="104"/>
      <c r="FOO200" s="104"/>
      <c r="FOP200" s="104"/>
      <c r="FOQ200" s="104"/>
      <c r="FOR200" s="104"/>
      <c r="FOS200" s="104"/>
      <c r="FOT200" s="104"/>
      <c r="FOU200" s="104"/>
      <c r="FOV200" s="104"/>
      <c r="FOW200" s="104"/>
      <c r="FOX200" s="104"/>
      <c r="FOY200" s="104"/>
      <c r="FOZ200" s="104"/>
      <c r="FPA200" s="104"/>
      <c r="FPB200" s="104"/>
      <c r="FPC200" s="104"/>
      <c r="FPD200" s="104"/>
      <c r="FPE200" s="104"/>
      <c r="FPF200" s="104"/>
      <c r="FPG200" s="104"/>
      <c r="FPH200" s="104"/>
      <c r="FPI200" s="104"/>
      <c r="FPJ200" s="104"/>
      <c r="FPK200" s="104"/>
      <c r="FPL200" s="104"/>
      <c r="FPM200" s="104"/>
      <c r="FPN200" s="104"/>
      <c r="FPO200" s="104"/>
      <c r="FPP200" s="104"/>
      <c r="FPQ200" s="104"/>
      <c r="FPR200" s="104"/>
      <c r="FPS200" s="104"/>
      <c r="FPT200" s="104"/>
      <c r="FPU200" s="104"/>
      <c r="FPV200" s="104"/>
      <c r="FPW200" s="104"/>
      <c r="FPX200" s="104"/>
      <c r="FPY200" s="104"/>
      <c r="FPZ200" s="104"/>
      <c r="FQA200" s="104"/>
      <c r="FQB200" s="104"/>
      <c r="FQC200" s="104"/>
      <c r="FQD200" s="104"/>
      <c r="FQE200" s="104"/>
      <c r="FQF200" s="104"/>
      <c r="FQG200" s="104"/>
      <c r="FQH200" s="104"/>
      <c r="FQI200" s="104"/>
      <c r="FQJ200" s="104"/>
      <c r="FQK200" s="104"/>
      <c r="FQL200" s="104"/>
      <c r="FQM200" s="104"/>
      <c r="FQN200" s="104"/>
      <c r="FQO200" s="104"/>
      <c r="FQP200" s="104"/>
      <c r="FQQ200" s="104"/>
      <c r="FQR200" s="104"/>
      <c r="FQS200" s="104"/>
      <c r="FQT200" s="104"/>
      <c r="FQU200" s="104"/>
      <c r="FQV200" s="104"/>
      <c r="FQW200" s="104"/>
      <c r="FQX200" s="104"/>
      <c r="FQY200" s="104"/>
      <c r="FQZ200" s="104"/>
      <c r="FRA200" s="104"/>
      <c r="FRB200" s="104"/>
      <c r="FRC200" s="104"/>
      <c r="FRD200" s="104"/>
      <c r="FRE200" s="104"/>
      <c r="FRF200" s="104"/>
      <c r="FRG200" s="104"/>
      <c r="FRH200" s="104"/>
      <c r="FRI200" s="104"/>
      <c r="FRJ200" s="104"/>
      <c r="FRK200" s="104"/>
      <c r="FRL200" s="104"/>
      <c r="FRM200" s="104"/>
      <c r="FRN200" s="104"/>
      <c r="FRO200" s="104"/>
      <c r="FRP200" s="104"/>
      <c r="FRQ200" s="104"/>
      <c r="FRR200" s="104"/>
      <c r="FRS200" s="104"/>
      <c r="FRT200" s="104"/>
      <c r="FRU200" s="104"/>
      <c r="FRV200" s="104"/>
      <c r="FRW200" s="104"/>
      <c r="FRX200" s="104"/>
      <c r="FRY200" s="104"/>
      <c r="FRZ200" s="104"/>
      <c r="FSA200" s="104"/>
      <c r="FSB200" s="104"/>
      <c r="FSC200" s="104"/>
      <c r="FSD200" s="104"/>
      <c r="FSE200" s="104"/>
      <c r="FSF200" s="104"/>
      <c r="FSG200" s="104"/>
      <c r="FSH200" s="104"/>
      <c r="FSI200" s="104"/>
      <c r="FSJ200" s="104"/>
      <c r="FSK200" s="104"/>
      <c r="FSL200" s="104"/>
      <c r="FSM200" s="104"/>
      <c r="FSN200" s="104"/>
      <c r="FSO200" s="104"/>
      <c r="FSP200" s="104"/>
      <c r="FSQ200" s="104"/>
      <c r="FSR200" s="104"/>
      <c r="FSS200" s="104"/>
      <c r="FST200" s="104"/>
      <c r="FSU200" s="104"/>
      <c r="FSV200" s="104"/>
      <c r="FSW200" s="104"/>
      <c r="FSX200" s="104"/>
      <c r="FSY200" s="104"/>
      <c r="FSZ200" s="104"/>
      <c r="FTA200" s="104"/>
      <c r="FTB200" s="104"/>
      <c r="FTC200" s="104"/>
      <c r="FTD200" s="104"/>
      <c r="FTE200" s="104"/>
      <c r="FTF200" s="104"/>
      <c r="FTG200" s="104"/>
      <c r="FTH200" s="104"/>
      <c r="FTI200" s="104"/>
      <c r="FTJ200" s="104"/>
      <c r="FTK200" s="104"/>
      <c r="FTL200" s="104"/>
      <c r="FTM200" s="104"/>
      <c r="FTN200" s="104"/>
      <c r="FTO200" s="104"/>
      <c r="FTP200" s="104"/>
      <c r="FTQ200" s="104"/>
      <c r="FTR200" s="104"/>
      <c r="FTS200" s="104"/>
      <c r="FTT200" s="104"/>
      <c r="FTU200" s="104"/>
      <c r="FTV200" s="104"/>
      <c r="FTW200" s="104"/>
      <c r="FTX200" s="104"/>
      <c r="FTY200" s="104"/>
      <c r="FTZ200" s="104"/>
      <c r="FUA200" s="104"/>
      <c r="FUB200" s="104"/>
      <c r="FUC200" s="104"/>
      <c r="FUD200" s="104"/>
      <c r="FUE200" s="104"/>
      <c r="FUF200" s="104"/>
      <c r="FUG200" s="104"/>
      <c r="FUH200" s="104"/>
      <c r="FUI200" s="104"/>
      <c r="FUJ200" s="104"/>
      <c r="FUK200" s="104"/>
      <c r="FUL200" s="104"/>
      <c r="FUM200" s="104"/>
      <c r="FUN200" s="104"/>
      <c r="FUO200" s="104"/>
      <c r="FUP200" s="104"/>
      <c r="FUQ200" s="104"/>
      <c r="FUR200" s="104"/>
      <c r="FUS200" s="104"/>
      <c r="FUT200" s="104"/>
      <c r="FUU200" s="104"/>
      <c r="FUV200" s="104"/>
      <c r="FUW200" s="104"/>
      <c r="FUX200" s="104"/>
      <c r="FUY200" s="104"/>
      <c r="FUZ200" s="104"/>
      <c r="FVA200" s="104"/>
      <c r="FVB200" s="104"/>
      <c r="FVC200" s="104"/>
      <c r="FVD200" s="104"/>
      <c r="FVE200" s="104"/>
      <c r="FVF200" s="104"/>
      <c r="FVG200" s="104"/>
      <c r="FVH200" s="104"/>
      <c r="FVI200" s="104"/>
      <c r="FVJ200" s="104"/>
      <c r="FVK200" s="104"/>
      <c r="FVL200" s="104"/>
      <c r="FVM200" s="104"/>
      <c r="FVN200" s="104"/>
      <c r="FVO200" s="104"/>
      <c r="FVP200" s="104"/>
      <c r="FVQ200" s="104"/>
      <c r="FVR200" s="104"/>
      <c r="FVS200" s="104"/>
      <c r="FVT200" s="104"/>
      <c r="FVU200" s="104"/>
      <c r="FVV200" s="104"/>
      <c r="FVW200" s="104"/>
      <c r="FVX200" s="104"/>
      <c r="FVY200" s="104"/>
      <c r="FVZ200" s="104"/>
      <c r="FWA200" s="104"/>
      <c r="FWB200" s="104"/>
      <c r="FWC200" s="104"/>
      <c r="FWD200" s="104"/>
      <c r="FWE200" s="104"/>
      <c r="FWF200" s="104"/>
      <c r="FWG200" s="104"/>
      <c r="FWH200" s="104"/>
      <c r="FWI200" s="104"/>
      <c r="FWJ200" s="104"/>
      <c r="FWK200" s="104"/>
      <c r="FWL200" s="104"/>
      <c r="FWM200" s="104"/>
      <c r="FWN200" s="104"/>
      <c r="FWO200" s="104"/>
      <c r="FWP200" s="104"/>
      <c r="FWQ200" s="104"/>
      <c r="FWR200" s="104"/>
      <c r="FWS200" s="104"/>
      <c r="FWT200" s="104"/>
      <c r="FWU200" s="104"/>
      <c r="FWV200" s="104"/>
      <c r="FWW200" s="104"/>
      <c r="FWX200" s="104"/>
      <c r="FWY200" s="104"/>
      <c r="FWZ200" s="104"/>
      <c r="FXA200" s="104"/>
      <c r="FXB200" s="104"/>
      <c r="FXC200" s="104"/>
      <c r="FXD200" s="104"/>
      <c r="FXE200" s="104"/>
      <c r="FXF200" s="104"/>
      <c r="FXG200" s="104"/>
      <c r="FXH200" s="104"/>
      <c r="FXI200" s="104"/>
      <c r="FXJ200" s="104"/>
      <c r="FXK200" s="104"/>
      <c r="FXL200" s="104"/>
      <c r="FXM200" s="104"/>
      <c r="FXN200" s="104"/>
      <c r="FXO200" s="104"/>
      <c r="FXP200" s="104"/>
      <c r="FXQ200" s="104"/>
      <c r="FXR200" s="104"/>
      <c r="FXS200" s="104"/>
      <c r="FXT200" s="104"/>
      <c r="FXU200" s="104"/>
      <c r="FXV200" s="104"/>
      <c r="FXW200" s="104"/>
      <c r="FXX200" s="104"/>
      <c r="FXY200" s="104"/>
      <c r="FXZ200" s="104"/>
      <c r="FYA200" s="104"/>
      <c r="FYB200" s="104"/>
      <c r="FYC200" s="104"/>
      <c r="FYD200" s="104"/>
      <c r="FYE200" s="104"/>
      <c r="FYF200" s="104"/>
      <c r="FYG200" s="104"/>
      <c r="FYH200" s="104"/>
      <c r="FYI200" s="104"/>
      <c r="FYJ200" s="104"/>
      <c r="FYK200" s="104"/>
      <c r="FYL200" s="104"/>
      <c r="FYM200" s="104"/>
      <c r="FYN200" s="104"/>
      <c r="FYO200" s="104"/>
      <c r="FYP200" s="104"/>
      <c r="FYQ200" s="104"/>
      <c r="FYR200" s="104"/>
      <c r="FYS200" s="104"/>
      <c r="FYT200" s="104"/>
      <c r="FYU200" s="104"/>
      <c r="FYV200" s="104"/>
      <c r="FYW200" s="104"/>
      <c r="FYX200" s="104"/>
      <c r="FYY200" s="104"/>
      <c r="FYZ200" s="104"/>
      <c r="FZA200" s="104"/>
      <c r="FZB200" s="104"/>
      <c r="FZC200" s="104"/>
      <c r="FZD200" s="104"/>
      <c r="FZE200" s="104"/>
      <c r="FZF200" s="104"/>
      <c r="FZG200" s="104"/>
      <c r="FZH200" s="104"/>
      <c r="FZI200" s="104"/>
      <c r="FZJ200" s="104"/>
      <c r="FZK200" s="104"/>
      <c r="FZL200" s="104"/>
      <c r="FZM200" s="104"/>
      <c r="FZN200" s="104"/>
      <c r="FZO200" s="104"/>
      <c r="FZP200" s="104"/>
      <c r="FZQ200" s="104"/>
      <c r="FZR200" s="104"/>
      <c r="FZS200" s="104"/>
      <c r="FZT200" s="104"/>
      <c r="FZU200" s="104"/>
      <c r="FZV200" s="104"/>
      <c r="FZW200" s="104"/>
      <c r="FZX200" s="104"/>
      <c r="FZY200" s="104"/>
      <c r="FZZ200" s="104"/>
      <c r="GAA200" s="104"/>
      <c r="GAB200" s="104"/>
      <c r="GAC200" s="104"/>
      <c r="GAD200" s="104"/>
      <c r="GAE200" s="104"/>
      <c r="GAF200" s="104"/>
      <c r="GAG200" s="104"/>
      <c r="GAH200" s="104"/>
      <c r="GAI200" s="104"/>
      <c r="GAJ200" s="104"/>
      <c r="GAK200" s="104"/>
      <c r="GAL200" s="104"/>
      <c r="GAM200" s="104"/>
      <c r="GAN200" s="104"/>
      <c r="GAO200" s="104"/>
      <c r="GAP200" s="104"/>
      <c r="GAQ200" s="104"/>
      <c r="GAR200" s="104"/>
      <c r="GAS200" s="104"/>
      <c r="GAT200" s="104"/>
      <c r="GAU200" s="104"/>
      <c r="GAV200" s="104"/>
      <c r="GAW200" s="104"/>
      <c r="GAX200" s="104"/>
      <c r="GAY200" s="104"/>
      <c r="GAZ200" s="104"/>
      <c r="GBA200" s="104"/>
      <c r="GBB200" s="104"/>
      <c r="GBC200" s="104"/>
      <c r="GBD200" s="104"/>
      <c r="GBE200" s="104"/>
      <c r="GBF200" s="104"/>
      <c r="GBG200" s="104"/>
      <c r="GBH200" s="104"/>
      <c r="GBI200" s="104"/>
      <c r="GBJ200" s="104"/>
      <c r="GBK200" s="104"/>
      <c r="GBL200" s="104"/>
      <c r="GBM200" s="104"/>
      <c r="GBN200" s="104"/>
      <c r="GBO200" s="104"/>
      <c r="GBP200" s="104"/>
      <c r="GBQ200" s="104"/>
      <c r="GBR200" s="104"/>
      <c r="GBS200" s="104"/>
      <c r="GBT200" s="104"/>
      <c r="GBU200" s="104"/>
      <c r="GBV200" s="104"/>
      <c r="GBW200" s="104"/>
      <c r="GBX200" s="104"/>
      <c r="GBY200" s="104"/>
      <c r="GBZ200" s="104"/>
      <c r="GCA200" s="104"/>
      <c r="GCB200" s="104"/>
      <c r="GCC200" s="104"/>
      <c r="GCD200" s="104"/>
      <c r="GCE200" s="104"/>
      <c r="GCF200" s="104"/>
      <c r="GCG200" s="104"/>
      <c r="GCH200" s="104"/>
      <c r="GCI200" s="104"/>
      <c r="GCJ200" s="104"/>
      <c r="GCK200" s="104"/>
      <c r="GCL200" s="104"/>
      <c r="GCM200" s="104"/>
      <c r="GCN200" s="104"/>
      <c r="GCO200" s="104"/>
      <c r="GCP200" s="104"/>
      <c r="GCQ200" s="104"/>
      <c r="GCR200" s="104"/>
      <c r="GCS200" s="104"/>
      <c r="GCT200" s="104"/>
      <c r="GCU200" s="104"/>
      <c r="GCV200" s="104"/>
      <c r="GCW200" s="104"/>
      <c r="GCX200" s="104"/>
      <c r="GCY200" s="104"/>
      <c r="GCZ200" s="104"/>
      <c r="GDA200" s="104"/>
      <c r="GDB200" s="104"/>
      <c r="GDC200" s="104"/>
      <c r="GDD200" s="104"/>
      <c r="GDE200" s="104"/>
      <c r="GDF200" s="104"/>
      <c r="GDG200" s="104"/>
      <c r="GDH200" s="104"/>
      <c r="GDI200" s="104"/>
      <c r="GDJ200" s="104"/>
      <c r="GDK200" s="104"/>
      <c r="GDL200" s="104"/>
      <c r="GDM200" s="104"/>
      <c r="GDN200" s="104"/>
      <c r="GDO200" s="104"/>
      <c r="GDP200" s="104"/>
      <c r="GDQ200" s="104"/>
      <c r="GDR200" s="104"/>
      <c r="GDS200" s="104"/>
      <c r="GDT200" s="104"/>
      <c r="GDU200" s="104"/>
      <c r="GDV200" s="104"/>
      <c r="GDW200" s="104"/>
      <c r="GDX200" s="104"/>
      <c r="GDY200" s="104"/>
      <c r="GDZ200" s="104"/>
      <c r="GEA200" s="104"/>
      <c r="GEB200" s="104"/>
      <c r="GEC200" s="104"/>
      <c r="GED200" s="104"/>
      <c r="GEE200" s="104"/>
      <c r="GEF200" s="104"/>
      <c r="GEG200" s="104"/>
      <c r="GEH200" s="104"/>
      <c r="GEI200" s="104"/>
      <c r="GEJ200" s="104"/>
      <c r="GEK200" s="104"/>
      <c r="GEL200" s="104"/>
      <c r="GEM200" s="104"/>
      <c r="GEN200" s="104"/>
      <c r="GEO200" s="104"/>
      <c r="GEP200" s="104"/>
      <c r="GEQ200" s="104"/>
      <c r="GER200" s="104"/>
      <c r="GES200" s="104"/>
      <c r="GET200" s="104"/>
      <c r="GEU200" s="104"/>
      <c r="GEV200" s="104"/>
      <c r="GEW200" s="104"/>
      <c r="GEX200" s="104"/>
      <c r="GEY200" s="104"/>
      <c r="GEZ200" s="104"/>
      <c r="GFA200" s="104"/>
      <c r="GFB200" s="104"/>
      <c r="GFC200" s="104"/>
      <c r="GFD200" s="104"/>
      <c r="GFE200" s="104"/>
      <c r="GFF200" s="104"/>
      <c r="GFG200" s="104"/>
      <c r="GFH200" s="104"/>
      <c r="GFI200" s="104"/>
      <c r="GFJ200" s="104"/>
      <c r="GFK200" s="104"/>
      <c r="GFL200" s="104"/>
      <c r="GFM200" s="104"/>
      <c r="GFN200" s="104"/>
      <c r="GFO200" s="104"/>
      <c r="GFP200" s="104"/>
      <c r="GFQ200" s="104"/>
      <c r="GFR200" s="104"/>
      <c r="GFS200" s="104"/>
      <c r="GFT200" s="104"/>
      <c r="GFU200" s="104"/>
      <c r="GFV200" s="104"/>
      <c r="GFW200" s="104"/>
      <c r="GFX200" s="104"/>
      <c r="GFY200" s="104"/>
      <c r="GFZ200" s="104"/>
      <c r="GGA200" s="104"/>
      <c r="GGB200" s="104"/>
      <c r="GGC200" s="104"/>
      <c r="GGD200" s="104"/>
      <c r="GGE200" s="104"/>
      <c r="GGF200" s="104"/>
      <c r="GGG200" s="104"/>
      <c r="GGH200" s="104"/>
      <c r="GGI200" s="104"/>
      <c r="GGJ200" s="104"/>
      <c r="GGK200" s="104"/>
      <c r="GGL200" s="104"/>
      <c r="GGM200" s="104"/>
      <c r="GGN200" s="104"/>
      <c r="GGO200" s="104"/>
      <c r="GGP200" s="104"/>
      <c r="GGQ200" s="104"/>
      <c r="GGR200" s="104"/>
      <c r="GGS200" s="104"/>
      <c r="GGT200" s="104"/>
      <c r="GGU200" s="104"/>
      <c r="GGV200" s="104"/>
      <c r="GGW200" s="104"/>
      <c r="GGX200" s="104"/>
      <c r="GGY200" s="104"/>
      <c r="GGZ200" s="104"/>
      <c r="GHA200" s="104"/>
      <c r="GHB200" s="104"/>
      <c r="GHC200" s="104"/>
      <c r="GHD200" s="104"/>
      <c r="GHE200" s="104"/>
      <c r="GHF200" s="104"/>
      <c r="GHG200" s="104"/>
      <c r="GHH200" s="104"/>
      <c r="GHI200" s="104"/>
      <c r="GHJ200" s="104"/>
      <c r="GHK200" s="104"/>
      <c r="GHL200" s="104"/>
      <c r="GHM200" s="104"/>
      <c r="GHN200" s="104"/>
      <c r="GHO200" s="104"/>
      <c r="GHP200" s="104"/>
      <c r="GHQ200" s="104"/>
      <c r="GHR200" s="104"/>
      <c r="GHS200" s="104"/>
      <c r="GHT200" s="104"/>
      <c r="GHU200" s="104"/>
      <c r="GHV200" s="104"/>
      <c r="GHW200" s="104"/>
      <c r="GHX200" s="104"/>
      <c r="GHY200" s="104"/>
      <c r="GHZ200" s="104"/>
      <c r="GIA200" s="104"/>
      <c r="GIB200" s="104"/>
      <c r="GIC200" s="104"/>
      <c r="GID200" s="104"/>
      <c r="GIE200" s="104"/>
      <c r="GIF200" s="104"/>
      <c r="GIG200" s="104"/>
      <c r="GIH200" s="104"/>
      <c r="GII200" s="104"/>
      <c r="GIJ200" s="104"/>
      <c r="GIK200" s="104"/>
      <c r="GIL200" s="104"/>
      <c r="GIM200" s="104"/>
      <c r="GIN200" s="104"/>
      <c r="GIO200" s="104"/>
      <c r="GIP200" s="104"/>
      <c r="GIQ200" s="104"/>
      <c r="GIR200" s="104"/>
      <c r="GIS200" s="104"/>
      <c r="GIT200" s="104"/>
      <c r="GIU200" s="104"/>
      <c r="GIV200" s="104"/>
      <c r="GIW200" s="104"/>
      <c r="GIX200" s="104"/>
      <c r="GIY200" s="104"/>
      <c r="GIZ200" s="104"/>
      <c r="GJA200" s="104"/>
      <c r="GJB200" s="104"/>
      <c r="GJC200" s="104"/>
      <c r="GJD200" s="104"/>
      <c r="GJE200" s="104"/>
      <c r="GJF200" s="104"/>
      <c r="GJG200" s="104"/>
      <c r="GJH200" s="104"/>
      <c r="GJI200" s="104"/>
      <c r="GJJ200" s="104"/>
      <c r="GJK200" s="104"/>
      <c r="GJL200" s="104"/>
      <c r="GJM200" s="104"/>
      <c r="GJN200" s="104"/>
      <c r="GJO200" s="104"/>
      <c r="GJP200" s="104"/>
      <c r="GJQ200" s="104"/>
      <c r="GJR200" s="104"/>
      <c r="GJS200" s="104"/>
      <c r="GJT200" s="104"/>
      <c r="GJU200" s="104"/>
      <c r="GJV200" s="104"/>
      <c r="GJW200" s="104"/>
      <c r="GJX200" s="104"/>
      <c r="GJY200" s="104"/>
      <c r="GJZ200" s="104"/>
      <c r="GKA200" s="104"/>
      <c r="GKB200" s="104"/>
      <c r="GKC200" s="104"/>
      <c r="GKD200" s="104"/>
      <c r="GKE200" s="104"/>
      <c r="GKF200" s="104"/>
      <c r="GKG200" s="104"/>
      <c r="GKH200" s="104"/>
      <c r="GKI200" s="104"/>
      <c r="GKJ200" s="104"/>
      <c r="GKK200" s="104"/>
      <c r="GKL200" s="104"/>
      <c r="GKM200" s="104"/>
      <c r="GKN200" s="104"/>
      <c r="GKO200" s="104"/>
      <c r="GKP200" s="104"/>
      <c r="GKQ200" s="104"/>
      <c r="GKR200" s="104"/>
      <c r="GKS200" s="104"/>
      <c r="GKT200" s="104"/>
      <c r="GKU200" s="104"/>
      <c r="GKV200" s="104"/>
      <c r="GKW200" s="104"/>
      <c r="GKX200" s="104"/>
      <c r="GKY200" s="104"/>
      <c r="GKZ200" s="104"/>
      <c r="GLA200" s="104"/>
      <c r="GLB200" s="104"/>
      <c r="GLC200" s="104"/>
      <c r="GLD200" s="104"/>
      <c r="GLE200" s="104"/>
      <c r="GLF200" s="104"/>
      <c r="GLG200" s="104"/>
      <c r="GLH200" s="104"/>
      <c r="GLI200" s="104"/>
      <c r="GLJ200" s="104"/>
      <c r="GLK200" s="104"/>
      <c r="GLL200" s="104"/>
      <c r="GLM200" s="104"/>
      <c r="GLN200" s="104"/>
      <c r="GLO200" s="104"/>
      <c r="GLP200" s="104"/>
      <c r="GLQ200" s="104"/>
      <c r="GLR200" s="104"/>
      <c r="GLS200" s="104"/>
      <c r="GLT200" s="104"/>
      <c r="GLU200" s="104"/>
      <c r="GLV200" s="104"/>
      <c r="GLW200" s="104"/>
      <c r="GLX200" s="104"/>
      <c r="GLY200" s="104"/>
      <c r="GLZ200" s="104"/>
      <c r="GMA200" s="104"/>
      <c r="GMB200" s="104"/>
      <c r="GMC200" s="104"/>
      <c r="GMD200" s="104"/>
      <c r="GME200" s="104"/>
      <c r="GMF200" s="104"/>
      <c r="GMG200" s="104"/>
      <c r="GMH200" s="104"/>
      <c r="GMI200" s="104"/>
      <c r="GMJ200" s="104"/>
      <c r="GMK200" s="104"/>
      <c r="GML200" s="104"/>
      <c r="GMM200" s="104"/>
      <c r="GMN200" s="104"/>
      <c r="GMO200" s="104"/>
      <c r="GMP200" s="104"/>
      <c r="GMQ200" s="104"/>
      <c r="GMR200" s="104"/>
      <c r="GMS200" s="104"/>
      <c r="GMT200" s="104"/>
      <c r="GMU200" s="104"/>
      <c r="GMV200" s="104"/>
      <c r="GMW200" s="104"/>
      <c r="GMX200" s="104"/>
      <c r="GMY200" s="104"/>
      <c r="GMZ200" s="104"/>
      <c r="GNA200" s="104"/>
      <c r="GNB200" s="104"/>
      <c r="GNC200" s="104"/>
      <c r="GND200" s="104"/>
      <c r="GNE200" s="104"/>
      <c r="GNF200" s="104"/>
      <c r="GNG200" s="104"/>
      <c r="GNH200" s="104"/>
      <c r="GNI200" s="104"/>
      <c r="GNJ200" s="104"/>
      <c r="GNK200" s="104"/>
      <c r="GNL200" s="104"/>
      <c r="GNM200" s="104"/>
      <c r="GNN200" s="104"/>
      <c r="GNO200" s="104"/>
      <c r="GNP200" s="104"/>
      <c r="GNQ200" s="104"/>
      <c r="GNR200" s="104"/>
      <c r="GNS200" s="104"/>
      <c r="GNT200" s="104"/>
      <c r="GNU200" s="104"/>
      <c r="GNV200" s="104"/>
      <c r="GNW200" s="104"/>
      <c r="GNX200" s="104"/>
      <c r="GNY200" s="104"/>
      <c r="GNZ200" s="104"/>
      <c r="GOA200" s="104"/>
      <c r="GOB200" s="104"/>
      <c r="GOC200" s="104"/>
      <c r="GOD200" s="104"/>
      <c r="GOE200" s="104"/>
      <c r="GOF200" s="104"/>
      <c r="GOG200" s="104"/>
      <c r="GOH200" s="104"/>
      <c r="GOI200" s="104"/>
      <c r="GOJ200" s="104"/>
      <c r="GOK200" s="104"/>
      <c r="GOL200" s="104"/>
      <c r="GOM200" s="104"/>
      <c r="GON200" s="104"/>
      <c r="GOO200" s="104"/>
      <c r="GOP200" s="104"/>
      <c r="GOQ200" s="104"/>
      <c r="GOR200" s="104"/>
      <c r="GOS200" s="104"/>
      <c r="GOT200" s="104"/>
      <c r="GOU200" s="104"/>
      <c r="GOV200" s="104"/>
      <c r="GOW200" s="104"/>
      <c r="GOX200" s="104"/>
      <c r="GOY200" s="104"/>
      <c r="GOZ200" s="104"/>
      <c r="GPA200" s="104"/>
      <c r="GPB200" s="104"/>
      <c r="GPC200" s="104"/>
      <c r="GPD200" s="104"/>
      <c r="GPE200" s="104"/>
      <c r="GPF200" s="104"/>
      <c r="GPG200" s="104"/>
      <c r="GPH200" s="104"/>
      <c r="GPI200" s="104"/>
      <c r="GPJ200" s="104"/>
      <c r="GPK200" s="104"/>
      <c r="GPL200" s="104"/>
      <c r="GPM200" s="104"/>
      <c r="GPN200" s="104"/>
      <c r="GPO200" s="104"/>
      <c r="GPP200" s="104"/>
      <c r="GPQ200" s="104"/>
      <c r="GPR200" s="104"/>
      <c r="GPS200" s="104"/>
      <c r="GPT200" s="104"/>
      <c r="GPU200" s="104"/>
      <c r="GPV200" s="104"/>
      <c r="GPW200" s="104"/>
      <c r="GPX200" s="104"/>
      <c r="GPY200" s="104"/>
      <c r="GPZ200" s="104"/>
      <c r="GQA200" s="104"/>
      <c r="GQB200" s="104"/>
      <c r="GQC200" s="104"/>
      <c r="GQD200" s="104"/>
      <c r="GQE200" s="104"/>
      <c r="GQF200" s="104"/>
      <c r="GQG200" s="104"/>
      <c r="GQH200" s="104"/>
      <c r="GQI200" s="104"/>
      <c r="GQJ200" s="104"/>
      <c r="GQK200" s="104"/>
      <c r="GQL200" s="104"/>
      <c r="GQM200" s="104"/>
      <c r="GQN200" s="104"/>
      <c r="GQO200" s="104"/>
      <c r="GQP200" s="104"/>
      <c r="GQQ200" s="104"/>
      <c r="GQR200" s="104"/>
      <c r="GQS200" s="104"/>
      <c r="GQT200" s="104"/>
      <c r="GQU200" s="104"/>
      <c r="GQV200" s="104"/>
      <c r="GQW200" s="104"/>
      <c r="GQX200" s="104"/>
      <c r="GQY200" s="104"/>
      <c r="GQZ200" s="104"/>
      <c r="GRA200" s="104"/>
      <c r="GRB200" s="104"/>
      <c r="GRC200" s="104"/>
      <c r="GRD200" s="104"/>
      <c r="GRE200" s="104"/>
      <c r="GRF200" s="104"/>
      <c r="GRG200" s="104"/>
      <c r="GRH200" s="104"/>
      <c r="GRI200" s="104"/>
      <c r="GRJ200" s="104"/>
      <c r="GRK200" s="104"/>
      <c r="GRL200" s="104"/>
      <c r="GRM200" s="104"/>
      <c r="GRN200" s="104"/>
      <c r="GRO200" s="104"/>
      <c r="GRP200" s="104"/>
      <c r="GRQ200" s="104"/>
      <c r="GRR200" s="104"/>
      <c r="GRS200" s="104"/>
      <c r="GRT200" s="104"/>
      <c r="GRU200" s="104"/>
      <c r="GRV200" s="104"/>
      <c r="GRW200" s="104"/>
      <c r="GRX200" s="104"/>
      <c r="GRY200" s="104"/>
      <c r="GRZ200" s="104"/>
      <c r="GSA200" s="104"/>
      <c r="GSB200" s="104"/>
      <c r="GSC200" s="104"/>
      <c r="GSD200" s="104"/>
      <c r="GSE200" s="104"/>
      <c r="GSF200" s="104"/>
      <c r="GSG200" s="104"/>
      <c r="GSH200" s="104"/>
      <c r="GSI200" s="104"/>
      <c r="GSJ200" s="104"/>
      <c r="GSK200" s="104"/>
      <c r="GSL200" s="104"/>
      <c r="GSM200" s="104"/>
      <c r="GSN200" s="104"/>
      <c r="GSO200" s="104"/>
      <c r="GSP200" s="104"/>
      <c r="GSQ200" s="104"/>
      <c r="GSR200" s="104"/>
      <c r="GSS200" s="104"/>
      <c r="GST200" s="104"/>
      <c r="GSU200" s="104"/>
      <c r="GSV200" s="104"/>
      <c r="GSW200" s="104"/>
      <c r="GSX200" s="104"/>
      <c r="GSY200" s="104"/>
      <c r="GSZ200" s="104"/>
      <c r="GTA200" s="104"/>
      <c r="GTB200" s="104"/>
      <c r="GTC200" s="104"/>
      <c r="GTD200" s="104"/>
      <c r="GTE200" s="104"/>
      <c r="GTF200" s="104"/>
      <c r="GTG200" s="104"/>
      <c r="GTH200" s="104"/>
      <c r="GTI200" s="104"/>
      <c r="GTJ200" s="104"/>
      <c r="GTK200" s="104"/>
      <c r="GTL200" s="104"/>
      <c r="GTM200" s="104"/>
      <c r="GTN200" s="104"/>
      <c r="GTO200" s="104"/>
      <c r="GTP200" s="104"/>
      <c r="GTQ200" s="104"/>
      <c r="GTR200" s="104"/>
      <c r="GTS200" s="104"/>
      <c r="GTT200" s="104"/>
      <c r="GTU200" s="104"/>
      <c r="GTV200" s="104"/>
      <c r="GTW200" s="104"/>
      <c r="GTX200" s="104"/>
      <c r="GTY200" s="104"/>
      <c r="GTZ200" s="104"/>
      <c r="GUA200" s="104"/>
      <c r="GUB200" s="104"/>
      <c r="GUC200" s="104"/>
      <c r="GUD200" s="104"/>
      <c r="GUE200" s="104"/>
      <c r="GUF200" s="104"/>
      <c r="GUG200" s="104"/>
      <c r="GUH200" s="104"/>
      <c r="GUI200" s="104"/>
      <c r="GUJ200" s="104"/>
      <c r="GUK200" s="104"/>
      <c r="GUL200" s="104"/>
      <c r="GUM200" s="104"/>
      <c r="GUN200" s="104"/>
      <c r="GUO200" s="104"/>
      <c r="GUP200" s="104"/>
      <c r="GUQ200" s="104"/>
      <c r="GUR200" s="104"/>
      <c r="GUS200" s="104"/>
      <c r="GUT200" s="104"/>
      <c r="GUU200" s="104"/>
      <c r="GUV200" s="104"/>
      <c r="GUW200" s="104"/>
      <c r="GUX200" s="104"/>
      <c r="GUY200" s="104"/>
      <c r="GUZ200" s="104"/>
      <c r="GVA200" s="104"/>
      <c r="GVB200" s="104"/>
      <c r="GVC200" s="104"/>
      <c r="GVD200" s="104"/>
      <c r="GVE200" s="104"/>
      <c r="GVF200" s="104"/>
      <c r="GVG200" s="104"/>
      <c r="GVH200" s="104"/>
      <c r="GVI200" s="104"/>
      <c r="GVJ200" s="104"/>
      <c r="GVK200" s="104"/>
      <c r="GVL200" s="104"/>
      <c r="GVM200" s="104"/>
      <c r="GVN200" s="104"/>
      <c r="GVO200" s="104"/>
      <c r="GVP200" s="104"/>
      <c r="GVQ200" s="104"/>
      <c r="GVR200" s="104"/>
      <c r="GVS200" s="104"/>
      <c r="GVT200" s="104"/>
      <c r="GVU200" s="104"/>
      <c r="GVV200" s="104"/>
      <c r="GVW200" s="104"/>
      <c r="GVX200" s="104"/>
      <c r="GVY200" s="104"/>
      <c r="GVZ200" s="104"/>
      <c r="GWA200" s="104"/>
      <c r="GWB200" s="104"/>
      <c r="GWC200" s="104"/>
      <c r="GWD200" s="104"/>
      <c r="GWE200" s="104"/>
      <c r="GWF200" s="104"/>
      <c r="GWG200" s="104"/>
      <c r="GWH200" s="104"/>
      <c r="GWI200" s="104"/>
      <c r="GWJ200" s="104"/>
      <c r="GWK200" s="104"/>
      <c r="GWL200" s="104"/>
      <c r="GWM200" s="104"/>
      <c r="GWN200" s="104"/>
      <c r="GWO200" s="104"/>
      <c r="GWP200" s="104"/>
      <c r="GWQ200" s="104"/>
      <c r="GWR200" s="104"/>
      <c r="GWS200" s="104"/>
      <c r="GWT200" s="104"/>
      <c r="GWU200" s="104"/>
      <c r="GWV200" s="104"/>
      <c r="GWW200" s="104"/>
      <c r="GWX200" s="104"/>
      <c r="GWY200" s="104"/>
      <c r="GWZ200" s="104"/>
      <c r="GXA200" s="104"/>
      <c r="GXB200" s="104"/>
      <c r="GXC200" s="104"/>
      <c r="GXD200" s="104"/>
      <c r="GXE200" s="104"/>
      <c r="GXF200" s="104"/>
      <c r="GXG200" s="104"/>
      <c r="GXH200" s="104"/>
      <c r="GXI200" s="104"/>
      <c r="GXJ200" s="104"/>
      <c r="GXK200" s="104"/>
      <c r="GXL200" s="104"/>
      <c r="GXM200" s="104"/>
      <c r="GXN200" s="104"/>
      <c r="GXO200" s="104"/>
      <c r="GXP200" s="104"/>
      <c r="GXQ200" s="104"/>
      <c r="GXR200" s="104"/>
      <c r="GXS200" s="104"/>
      <c r="GXT200" s="104"/>
      <c r="GXU200" s="104"/>
      <c r="GXV200" s="104"/>
      <c r="GXW200" s="104"/>
      <c r="GXX200" s="104"/>
      <c r="GXY200" s="104"/>
      <c r="GXZ200" s="104"/>
      <c r="GYA200" s="104"/>
      <c r="GYB200" s="104"/>
      <c r="GYC200" s="104"/>
      <c r="GYD200" s="104"/>
      <c r="GYE200" s="104"/>
      <c r="GYF200" s="104"/>
      <c r="GYG200" s="104"/>
      <c r="GYH200" s="104"/>
      <c r="GYI200" s="104"/>
      <c r="GYJ200" s="104"/>
      <c r="GYK200" s="104"/>
      <c r="GYL200" s="104"/>
      <c r="GYM200" s="104"/>
      <c r="GYN200" s="104"/>
      <c r="GYO200" s="104"/>
      <c r="GYP200" s="104"/>
      <c r="GYQ200" s="104"/>
      <c r="GYR200" s="104"/>
      <c r="GYS200" s="104"/>
      <c r="GYT200" s="104"/>
      <c r="GYU200" s="104"/>
      <c r="GYV200" s="104"/>
      <c r="GYW200" s="104"/>
      <c r="GYX200" s="104"/>
      <c r="GYY200" s="104"/>
      <c r="GYZ200" s="104"/>
      <c r="GZA200" s="104"/>
      <c r="GZB200" s="104"/>
      <c r="GZC200" s="104"/>
      <c r="GZD200" s="104"/>
      <c r="GZE200" s="104"/>
      <c r="GZF200" s="104"/>
      <c r="GZG200" s="104"/>
      <c r="GZH200" s="104"/>
      <c r="GZI200" s="104"/>
      <c r="GZJ200" s="104"/>
      <c r="GZK200" s="104"/>
      <c r="GZL200" s="104"/>
      <c r="GZM200" s="104"/>
      <c r="GZN200" s="104"/>
      <c r="GZO200" s="104"/>
      <c r="GZP200" s="104"/>
      <c r="GZQ200" s="104"/>
      <c r="GZR200" s="104"/>
      <c r="GZS200" s="104"/>
      <c r="GZT200" s="104"/>
      <c r="GZU200" s="104"/>
      <c r="GZV200" s="104"/>
      <c r="GZW200" s="104"/>
      <c r="GZX200" s="104"/>
      <c r="GZY200" s="104"/>
      <c r="GZZ200" s="104"/>
      <c r="HAA200" s="104"/>
      <c r="HAB200" s="104"/>
      <c r="HAC200" s="104"/>
      <c r="HAD200" s="104"/>
      <c r="HAE200" s="104"/>
      <c r="HAF200" s="104"/>
      <c r="HAG200" s="104"/>
      <c r="HAH200" s="104"/>
      <c r="HAI200" s="104"/>
      <c r="HAJ200" s="104"/>
      <c r="HAK200" s="104"/>
      <c r="HAL200" s="104"/>
      <c r="HAM200" s="104"/>
      <c r="HAN200" s="104"/>
      <c r="HAO200" s="104"/>
      <c r="HAP200" s="104"/>
      <c r="HAQ200" s="104"/>
      <c r="HAR200" s="104"/>
      <c r="HAS200" s="104"/>
      <c r="HAT200" s="104"/>
      <c r="HAU200" s="104"/>
      <c r="HAV200" s="104"/>
      <c r="HAW200" s="104"/>
      <c r="HAX200" s="104"/>
      <c r="HAY200" s="104"/>
      <c r="HAZ200" s="104"/>
      <c r="HBA200" s="104"/>
      <c r="HBB200" s="104"/>
      <c r="HBC200" s="104"/>
      <c r="HBD200" s="104"/>
      <c r="HBE200" s="104"/>
      <c r="HBF200" s="104"/>
      <c r="HBG200" s="104"/>
      <c r="HBH200" s="104"/>
      <c r="HBI200" s="104"/>
      <c r="HBJ200" s="104"/>
      <c r="HBK200" s="104"/>
      <c r="HBL200" s="104"/>
      <c r="HBM200" s="104"/>
      <c r="HBN200" s="104"/>
      <c r="HBO200" s="104"/>
      <c r="HBP200" s="104"/>
      <c r="HBQ200" s="104"/>
      <c r="HBR200" s="104"/>
      <c r="HBS200" s="104"/>
      <c r="HBT200" s="104"/>
      <c r="HBU200" s="104"/>
      <c r="HBV200" s="104"/>
      <c r="HBW200" s="104"/>
      <c r="HBX200" s="104"/>
      <c r="HBY200" s="104"/>
      <c r="HBZ200" s="104"/>
      <c r="HCA200" s="104"/>
      <c r="HCB200" s="104"/>
      <c r="HCC200" s="104"/>
      <c r="HCD200" s="104"/>
      <c r="HCE200" s="104"/>
      <c r="HCF200" s="104"/>
      <c r="HCG200" s="104"/>
      <c r="HCH200" s="104"/>
      <c r="HCI200" s="104"/>
      <c r="HCJ200" s="104"/>
      <c r="HCK200" s="104"/>
      <c r="HCL200" s="104"/>
      <c r="HCM200" s="104"/>
      <c r="HCN200" s="104"/>
      <c r="HCO200" s="104"/>
      <c r="HCP200" s="104"/>
      <c r="HCQ200" s="104"/>
      <c r="HCR200" s="104"/>
      <c r="HCS200" s="104"/>
      <c r="HCT200" s="104"/>
      <c r="HCU200" s="104"/>
      <c r="HCV200" s="104"/>
      <c r="HCW200" s="104"/>
      <c r="HCX200" s="104"/>
      <c r="HCY200" s="104"/>
      <c r="HCZ200" s="104"/>
      <c r="HDA200" s="104"/>
      <c r="HDB200" s="104"/>
      <c r="HDC200" s="104"/>
      <c r="HDD200" s="104"/>
      <c r="HDE200" s="104"/>
      <c r="HDF200" s="104"/>
      <c r="HDG200" s="104"/>
      <c r="HDH200" s="104"/>
      <c r="HDI200" s="104"/>
      <c r="HDJ200" s="104"/>
      <c r="HDK200" s="104"/>
      <c r="HDL200" s="104"/>
      <c r="HDM200" s="104"/>
      <c r="HDN200" s="104"/>
      <c r="HDO200" s="104"/>
      <c r="HDP200" s="104"/>
      <c r="HDQ200" s="104"/>
      <c r="HDR200" s="104"/>
      <c r="HDS200" s="104"/>
      <c r="HDT200" s="104"/>
      <c r="HDU200" s="104"/>
      <c r="HDV200" s="104"/>
      <c r="HDW200" s="104"/>
      <c r="HDX200" s="104"/>
      <c r="HDY200" s="104"/>
      <c r="HDZ200" s="104"/>
      <c r="HEA200" s="104"/>
      <c r="HEB200" s="104"/>
      <c r="HEC200" s="104"/>
      <c r="HED200" s="104"/>
      <c r="HEE200" s="104"/>
      <c r="HEF200" s="104"/>
      <c r="HEG200" s="104"/>
      <c r="HEH200" s="104"/>
      <c r="HEI200" s="104"/>
      <c r="HEJ200" s="104"/>
      <c r="HEK200" s="104"/>
      <c r="HEL200" s="104"/>
      <c r="HEM200" s="104"/>
      <c r="HEN200" s="104"/>
      <c r="HEO200" s="104"/>
      <c r="HEP200" s="104"/>
      <c r="HEQ200" s="104"/>
      <c r="HER200" s="104"/>
      <c r="HES200" s="104"/>
      <c r="HET200" s="104"/>
      <c r="HEU200" s="104"/>
      <c r="HEV200" s="104"/>
      <c r="HEW200" s="104"/>
      <c r="HEX200" s="104"/>
      <c r="HEY200" s="104"/>
      <c r="HEZ200" s="104"/>
      <c r="HFA200" s="104"/>
      <c r="HFB200" s="104"/>
      <c r="HFC200" s="104"/>
      <c r="HFD200" s="104"/>
      <c r="HFE200" s="104"/>
      <c r="HFF200" s="104"/>
      <c r="HFG200" s="104"/>
      <c r="HFH200" s="104"/>
      <c r="HFI200" s="104"/>
      <c r="HFJ200" s="104"/>
      <c r="HFK200" s="104"/>
      <c r="HFL200" s="104"/>
      <c r="HFM200" s="104"/>
      <c r="HFN200" s="104"/>
      <c r="HFO200" s="104"/>
      <c r="HFP200" s="104"/>
      <c r="HFQ200" s="104"/>
      <c r="HFR200" s="104"/>
      <c r="HFS200" s="104"/>
      <c r="HFT200" s="104"/>
      <c r="HFU200" s="104"/>
      <c r="HFV200" s="104"/>
      <c r="HFW200" s="104"/>
      <c r="HFX200" s="104"/>
      <c r="HFY200" s="104"/>
      <c r="HFZ200" s="104"/>
      <c r="HGA200" s="104"/>
      <c r="HGB200" s="104"/>
      <c r="HGC200" s="104"/>
      <c r="HGD200" s="104"/>
      <c r="HGE200" s="104"/>
      <c r="HGF200" s="104"/>
      <c r="HGG200" s="104"/>
      <c r="HGH200" s="104"/>
      <c r="HGI200" s="104"/>
      <c r="HGJ200" s="104"/>
      <c r="HGK200" s="104"/>
      <c r="HGL200" s="104"/>
      <c r="HGM200" s="104"/>
      <c r="HGN200" s="104"/>
      <c r="HGO200" s="104"/>
      <c r="HGP200" s="104"/>
      <c r="HGQ200" s="104"/>
      <c r="HGR200" s="104"/>
      <c r="HGS200" s="104"/>
      <c r="HGT200" s="104"/>
      <c r="HGU200" s="104"/>
      <c r="HGV200" s="104"/>
      <c r="HGW200" s="104"/>
      <c r="HGX200" s="104"/>
      <c r="HGY200" s="104"/>
      <c r="HGZ200" s="104"/>
      <c r="HHA200" s="104"/>
      <c r="HHB200" s="104"/>
      <c r="HHC200" s="104"/>
      <c r="HHD200" s="104"/>
      <c r="HHE200" s="104"/>
      <c r="HHF200" s="104"/>
      <c r="HHG200" s="104"/>
      <c r="HHH200" s="104"/>
      <c r="HHI200" s="104"/>
      <c r="HHJ200" s="104"/>
      <c r="HHK200" s="104"/>
      <c r="HHL200" s="104"/>
      <c r="HHM200" s="104"/>
      <c r="HHN200" s="104"/>
      <c r="HHO200" s="104"/>
      <c r="HHP200" s="104"/>
      <c r="HHQ200" s="104"/>
      <c r="HHR200" s="104"/>
      <c r="HHS200" s="104"/>
      <c r="HHT200" s="104"/>
      <c r="HHU200" s="104"/>
      <c r="HHV200" s="104"/>
      <c r="HHW200" s="104"/>
      <c r="HHX200" s="104"/>
      <c r="HHY200" s="104"/>
      <c r="HHZ200" s="104"/>
      <c r="HIA200" s="104"/>
      <c r="HIB200" s="104"/>
      <c r="HIC200" s="104"/>
      <c r="HID200" s="104"/>
      <c r="HIE200" s="104"/>
      <c r="HIF200" s="104"/>
      <c r="HIG200" s="104"/>
      <c r="HIH200" s="104"/>
      <c r="HII200" s="104"/>
      <c r="HIJ200" s="104"/>
      <c r="HIK200" s="104"/>
      <c r="HIL200" s="104"/>
      <c r="HIM200" s="104"/>
      <c r="HIN200" s="104"/>
      <c r="HIO200" s="104"/>
      <c r="HIP200" s="104"/>
      <c r="HIQ200" s="104"/>
      <c r="HIR200" s="104"/>
      <c r="HIS200" s="104"/>
      <c r="HIT200" s="104"/>
      <c r="HIU200" s="104"/>
      <c r="HIV200" s="104"/>
      <c r="HIW200" s="104"/>
      <c r="HIX200" s="104"/>
      <c r="HIY200" s="104"/>
      <c r="HIZ200" s="104"/>
      <c r="HJA200" s="104"/>
      <c r="HJB200" s="104"/>
      <c r="HJC200" s="104"/>
      <c r="HJD200" s="104"/>
      <c r="HJE200" s="104"/>
      <c r="HJF200" s="104"/>
      <c r="HJG200" s="104"/>
      <c r="HJH200" s="104"/>
      <c r="HJI200" s="104"/>
      <c r="HJJ200" s="104"/>
      <c r="HJK200" s="104"/>
      <c r="HJL200" s="104"/>
      <c r="HJM200" s="104"/>
      <c r="HJN200" s="104"/>
      <c r="HJO200" s="104"/>
      <c r="HJP200" s="104"/>
      <c r="HJQ200" s="104"/>
      <c r="HJR200" s="104"/>
      <c r="HJS200" s="104"/>
      <c r="HJT200" s="104"/>
      <c r="HJU200" s="104"/>
      <c r="HJV200" s="104"/>
      <c r="HJW200" s="104"/>
      <c r="HJX200" s="104"/>
      <c r="HJY200" s="104"/>
      <c r="HJZ200" s="104"/>
      <c r="HKA200" s="104"/>
      <c r="HKB200" s="104"/>
      <c r="HKC200" s="104"/>
      <c r="HKD200" s="104"/>
      <c r="HKE200" s="104"/>
      <c r="HKF200" s="104"/>
      <c r="HKG200" s="104"/>
      <c r="HKH200" s="104"/>
      <c r="HKI200" s="104"/>
      <c r="HKJ200" s="104"/>
      <c r="HKK200" s="104"/>
      <c r="HKL200" s="104"/>
      <c r="HKM200" s="104"/>
      <c r="HKN200" s="104"/>
      <c r="HKO200" s="104"/>
      <c r="HKP200" s="104"/>
      <c r="HKQ200" s="104"/>
      <c r="HKR200" s="104"/>
      <c r="HKS200" s="104"/>
      <c r="HKT200" s="104"/>
      <c r="HKU200" s="104"/>
      <c r="HKV200" s="104"/>
      <c r="HKW200" s="104"/>
      <c r="HKX200" s="104"/>
      <c r="HKY200" s="104"/>
      <c r="HKZ200" s="104"/>
      <c r="HLA200" s="104"/>
      <c r="HLB200" s="104"/>
      <c r="HLC200" s="104"/>
      <c r="HLD200" s="104"/>
      <c r="HLE200" s="104"/>
      <c r="HLF200" s="104"/>
      <c r="HLG200" s="104"/>
      <c r="HLH200" s="104"/>
      <c r="HLI200" s="104"/>
      <c r="HLJ200" s="104"/>
      <c r="HLK200" s="104"/>
      <c r="HLL200" s="104"/>
      <c r="HLM200" s="104"/>
      <c r="HLN200" s="104"/>
      <c r="HLO200" s="104"/>
      <c r="HLP200" s="104"/>
      <c r="HLQ200" s="104"/>
      <c r="HLR200" s="104"/>
      <c r="HLS200" s="104"/>
      <c r="HLT200" s="104"/>
      <c r="HLU200" s="104"/>
      <c r="HLV200" s="104"/>
      <c r="HLW200" s="104"/>
      <c r="HLX200" s="104"/>
      <c r="HLY200" s="104"/>
      <c r="HLZ200" s="104"/>
      <c r="HMA200" s="104"/>
      <c r="HMB200" s="104"/>
      <c r="HMC200" s="104"/>
      <c r="HMD200" s="104"/>
      <c r="HME200" s="104"/>
      <c r="HMF200" s="104"/>
      <c r="HMG200" s="104"/>
      <c r="HMH200" s="104"/>
      <c r="HMI200" s="104"/>
      <c r="HMJ200" s="104"/>
      <c r="HMK200" s="104"/>
      <c r="HML200" s="104"/>
      <c r="HMM200" s="104"/>
      <c r="HMN200" s="104"/>
      <c r="HMO200" s="104"/>
      <c r="HMP200" s="104"/>
      <c r="HMQ200" s="104"/>
      <c r="HMR200" s="104"/>
      <c r="HMS200" s="104"/>
      <c r="HMT200" s="104"/>
      <c r="HMU200" s="104"/>
      <c r="HMV200" s="104"/>
      <c r="HMW200" s="104"/>
      <c r="HMX200" s="104"/>
      <c r="HMY200" s="104"/>
      <c r="HMZ200" s="104"/>
      <c r="HNA200" s="104"/>
      <c r="HNB200" s="104"/>
      <c r="HNC200" s="104"/>
      <c r="HND200" s="104"/>
      <c r="HNE200" s="104"/>
      <c r="HNF200" s="104"/>
      <c r="HNG200" s="104"/>
      <c r="HNH200" s="104"/>
      <c r="HNI200" s="104"/>
      <c r="HNJ200" s="104"/>
      <c r="HNK200" s="104"/>
      <c r="HNL200" s="104"/>
      <c r="HNM200" s="104"/>
      <c r="HNN200" s="104"/>
      <c r="HNO200" s="104"/>
      <c r="HNP200" s="104"/>
      <c r="HNQ200" s="104"/>
      <c r="HNR200" s="104"/>
      <c r="HNS200" s="104"/>
      <c r="HNT200" s="104"/>
      <c r="HNU200" s="104"/>
      <c r="HNV200" s="104"/>
      <c r="HNW200" s="104"/>
      <c r="HNX200" s="104"/>
      <c r="HNY200" s="104"/>
      <c r="HNZ200" s="104"/>
      <c r="HOA200" s="104"/>
      <c r="HOB200" s="104"/>
      <c r="HOC200" s="104"/>
      <c r="HOD200" s="104"/>
      <c r="HOE200" s="104"/>
      <c r="HOF200" s="104"/>
      <c r="HOG200" s="104"/>
      <c r="HOH200" s="104"/>
      <c r="HOI200" s="104"/>
      <c r="HOJ200" s="104"/>
      <c r="HOK200" s="104"/>
      <c r="HOL200" s="104"/>
      <c r="HOM200" s="104"/>
      <c r="HON200" s="104"/>
      <c r="HOO200" s="104"/>
      <c r="HOP200" s="104"/>
      <c r="HOQ200" s="104"/>
      <c r="HOR200" s="104"/>
      <c r="HOS200" s="104"/>
      <c r="HOT200" s="104"/>
      <c r="HOU200" s="104"/>
      <c r="HOV200" s="104"/>
      <c r="HOW200" s="104"/>
      <c r="HOX200" s="104"/>
      <c r="HOY200" s="104"/>
      <c r="HOZ200" s="104"/>
      <c r="HPA200" s="104"/>
      <c r="HPB200" s="104"/>
      <c r="HPC200" s="104"/>
      <c r="HPD200" s="104"/>
      <c r="HPE200" s="104"/>
      <c r="HPF200" s="104"/>
      <c r="HPG200" s="104"/>
      <c r="HPH200" s="104"/>
      <c r="HPI200" s="104"/>
      <c r="HPJ200" s="104"/>
      <c r="HPK200" s="104"/>
      <c r="HPL200" s="104"/>
      <c r="HPM200" s="104"/>
      <c r="HPN200" s="104"/>
      <c r="HPO200" s="104"/>
      <c r="HPP200" s="104"/>
      <c r="HPQ200" s="104"/>
      <c r="HPR200" s="104"/>
      <c r="HPS200" s="104"/>
      <c r="HPT200" s="104"/>
      <c r="HPU200" s="104"/>
      <c r="HPV200" s="104"/>
      <c r="HPW200" s="104"/>
      <c r="HPX200" s="104"/>
      <c r="HPY200" s="104"/>
      <c r="HPZ200" s="104"/>
      <c r="HQA200" s="104"/>
      <c r="HQB200" s="104"/>
      <c r="HQC200" s="104"/>
      <c r="HQD200" s="104"/>
      <c r="HQE200" s="104"/>
      <c r="HQF200" s="104"/>
      <c r="HQG200" s="104"/>
      <c r="HQH200" s="104"/>
      <c r="HQI200" s="104"/>
      <c r="HQJ200" s="104"/>
      <c r="HQK200" s="104"/>
      <c r="HQL200" s="104"/>
      <c r="HQM200" s="104"/>
      <c r="HQN200" s="104"/>
      <c r="HQO200" s="104"/>
      <c r="HQP200" s="104"/>
      <c r="HQQ200" s="104"/>
      <c r="HQR200" s="104"/>
      <c r="HQS200" s="104"/>
      <c r="HQT200" s="104"/>
      <c r="HQU200" s="104"/>
      <c r="HQV200" s="104"/>
      <c r="HQW200" s="104"/>
      <c r="HQX200" s="104"/>
      <c r="HQY200" s="104"/>
      <c r="HQZ200" s="104"/>
      <c r="HRA200" s="104"/>
      <c r="HRB200" s="104"/>
      <c r="HRC200" s="104"/>
      <c r="HRD200" s="104"/>
      <c r="HRE200" s="104"/>
      <c r="HRF200" s="104"/>
      <c r="HRG200" s="104"/>
      <c r="HRH200" s="104"/>
      <c r="HRI200" s="104"/>
      <c r="HRJ200" s="104"/>
      <c r="HRK200" s="104"/>
      <c r="HRL200" s="104"/>
      <c r="HRM200" s="104"/>
      <c r="HRN200" s="104"/>
      <c r="HRO200" s="104"/>
      <c r="HRP200" s="104"/>
      <c r="HRQ200" s="104"/>
      <c r="HRR200" s="104"/>
      <c r="HRS200" s="104"/>
      <c r="HRT200" s="104"/>
      <c r="HRU200" s="104"/>
      <c r="HRV200" s="104"/>
      <c r="HRW200" s="104"/>
      <c r="HRX200" s="104"/>
      <c r="HRY200" s="104"/>
      <c r="HRZ200" s="104"/>
      <c r="HSA200" s="104"/>
      <c r="HSB200" s="104"/>
      <c r="HSC200" s="104"/>
      <c r="HSD200" s="104"/>
      <c r="HSE200" s="104"/>
      <c r="HSF200" s="104"/>
      <c r="HSG200" s="104"/>
      <c r="HSH200" s="104"/>
      <c r="HSI200" s="104"/>
      <c r="HSJ200" s="104"/>
      <c r="HSK200" s="104"/>
      <c r="HSL200" s="104"/>
      <c r="HSM200" s="104"/>
      <c r="HSN200" s="104"/>
      <c r="HSO200" s="104"/>
      <c r="HSP200" s="104"/>
      <c r="HSQ200" s="104"/>
      <c r="HSR200" s="104"/>
      <c r="HSS200" s="104"/>
      <c r="HST200" s="104"/>
      <c r="HSU200" s="104"/>
      <c r="HSV200" s="104"/>
      <c r="HSW200" s="104"/>
      <c r="HSX200" s="104"/>
      <c r="HSY200" s="104"/>
      <c r="HSZ200" s="104"/>
      <c r="HTA200" s="104"/>
      <c r="HTB200" s="104"/>
      <c r="HTC200" s="104"/>
      <c r="HTD200" s="104"/>
      <c r="HTE200" s="104"/>
      <c r="HTF200" s="104"/>
      <c r="HTG200" s="104"/>
      <c r="HTH200" s="104"/>
      <c r="HTI200" s="104"/>
      <c r="HTJ200" s="104"/>
      <c r="HTK200" s="104"/>
      <c r="HTL200" s="104"/>
      <c r="HTM200" s="104"/>
      <c r="HTN200" s="104"/>
      <c r="HTO200" s="104"/>
      <c r="HTP200" s="104"/>
      <c r="HTQ200" s="104"/>
      <c r="HTR200" s="104"/>
      <c r="HTS200" s="104"/>
      <c r="HTT200" s="104"/>
      <c r="HTU200" s="104"/>
      <c r="HTV200" s="104"/>
      <c r="HTW200" s="104"/>
      <c r="HTX200" s="104"/>
      <c r="HTY200" s="104"/>
      <c r="HTZ200" s="104"/>
      <c r="HUA200" s="104"/>
      <c r="HUB200" s="104"/>
      <c r="HUC200" s="104"/>
      <c r="HUD200" s="104"/>
      <c r="HUE200" s="104"/>
      <c r="HUF200" s="104"/>
      <c r="HUG200" s="104"/>
      <c r="HUH200" s="104"/>
      <c r="HUI200" s="104"/>
      <c r="HUJ200" s="104"/>
      <c r="HUK200" s="104"/>
      <c r="HUL200" s="104"/>
      <c r="HUM200" s="104"/>
      <c r="HUN200" s="104"/>
      <c r="HUO200" s="104"/>
      <c r="HUP200" s="104"/>
      <c r="HUQ200" s="104"/>
      <c r="HUR200" s="104"/>
      <c r="HUS200" s="104"/>
      <c r="HUT200" s="104"/>
      <c r="HUU200" s="104"/>
      <c r="HUV200" s="104"/>
      <c r="HUW200" s="104"/>
      <c r="HUX200" s="104"/>
      <c r="HUY200" s="104"/>
      <c r="HUZ200" s="104"/>
      <c r="HVA200" s="104"/>
      <c r="HVB200" s="104"/>
      <c r="HVC200" s="104"/>
      <c r="HVD200" s="104"/>
      <c r="HVE200" s="104"/>
      <c r="HVF200" s="104"/>
      <c r="HVG200" s="104"/>
      <c r="HVH200" s="104"/>
      <c r="HVI200" s="104"/>
      <c r="HVJ200" s="104"/>
      <c r="HVK200" s="104"/>
      <c r="HVL200" s="104"/>
      <c r="HVM200" s="104"/>
      <c r="HVN200" s="104"/>
      <c r="HVO200" s="104"/>
      <c r="HVP200" s="104"/>
      <c r="HVQ200" s="104"/>
      <c r="HVR200" s="104"/>
      <c r="HVS200" s="104"/>
      <c r="HVT200" s="104"/>
      <c r="HVU200" s="104"/>
      <c r="HVV200" s="104"/>
      <c r="HVW200" s="104"/>
      <c r="HVX200" s="104"/>
      <c r="HVY200" s="104"/>
      <c r="HVZ200" s="104"/>
      <c r="HWA200" s="104"/>
      <c r="HWB200" s="104"/>
      <c r="HWC200" s="104"/>
      <c r="HWD200" s="104"/>
      <c r="HWE200" s="104"/>
      <c r="HWF200" s="104"/>
      <c r="HWG200" s="104"/>
      <c r="HWH200" s="104"/>
      <c r="HWI200" s="104"/>
      <c r="HWJ200" s="104"/>
      <c r="HWK200" s="104"/>
      <c r="HWL200" s="104"/>
      <c r="HWM200" s="104"/>
      <c r="HWN200" s="104"/>
      <c r="HWO200" s="104"/>
      <c r="HWP200" s="104"/>
      <c r="HWQ200" s="104"/>
      <c r="HWR200" s="104"/>
      <c r="HWS200" s="104"/>
      <c r="HWT200" s="104"/>
      <c r="HWU200" s="104"/>
      <c r="HWV200" s="104"/>
      <c r="HWW200" s="104"/>
      <c r="HWX200" s="104"/>
      <c r="HWY200" s="104"/>
      <c r="HWZ200" s="104"/>
      <c r="HXA200" s="104"/>
      <c r="HXB200" s="104"/>
      <c r="HXC200" s="104"/>
      <c r="HXD200" s="104"/>
      <c r="HXE200" s="104"/>
      <c r="HXF200" s="104"/>
      <c r="HXG200" s="104"/>
      <c r="HXH200" s="104"/>
      <c r="HXI200" s="104"/>
      <c r="HXJ200" s="104"/>
      <c r="HXK200" s="104"/>
      <c r="HXL200" s="104"/>
      <c r="HXM200" s="104"/>
      <c r="HXN200" s="104"/>
      <c r="HXO200" s="104"/>
      <c r="HXP200" s="104"/>
      <c r="HXQ200" s="104"/>
      <c r="HXR200" s="104"/>
      <c r="HXS200" s="104"/>
      <c r="HXT200" s="104"/>
      <c r="HXU200" s="104"/>
      <c r="HXV200" s="104"/>
      <c r="HXW200" s="104"/>
      <c r="HXX200" s="104"/>
      <c r="HXY200" s="104"/>
      <c r="HXZ200" s="104"/>
      <c r="HYA200" s="104"/>
      <c r="HYB200" s="104"/>
      <c r="HYC200" s="104"/>
      <c r="HYD200" s="104"/>
      <c r="HYE200" s="104"/>
      <c r="HYF200" s="104"/>
      <c r="HYG200" s="104"/>
      <c r="HYH200" s="104"/>
      <c r="HYI200" s="104"/>
      <c r="HYJ200" s="104"/>
      <c r="HYK200" s="104"/>
      <c r="HYL200" s="104"/>
      <c r="HYM200" s="104"/>
      <c r="HYN200" s="104"/>
      <c r="HYO200" s="104"/>
      <c r="HYP200" s="104"/>
      <c r="HYQ200" s="104"/>
      <c r="HYR200" s="104"/>
      <c r="HYS200" s="104"/>
      <c r="HYT200" s="104"/>
      <c r="HYU200" s="104"/>
      <c r="HYV200" s="104"/>
      <c r="HYW200" s="104"/>
      <c r="HYX200" s="104"/>
      <c r="HYY200" s="104"/>
      <c r="HYZ200" s="104"/>
      <c r="HZA200" s="104"/>
      <c r="HZB200" s="104"/>
      <c r="HZC200" s="104"/>
      <c r="HZD200" s="104"/>
      <c r="HZE200" s="104"/>
      <c r="HZF200" s="104"/>
      <c r="HZG200" s="104"/>
      <c r="HZH200" s="104"/>
      <c r="HZI200" s="104"/>
      <c r="HZJ200" s="104"/>
      <c r="HZK200" s="104"/>
      <c r="HZL200" s="104"/>
      <c r="HZM200" s="104"/>
      <c r="HZN200" s="104"/>
      <c r="HZO200" s="104"/>
      <c r="HZP200" s="104"/>
      <c r="HZQ200" s="104"/>
      <c r="HZR200" s="104"/>
      <c r="HZS200" s="104"/>
      <c r="HZT200" s="104"/>
      <c r="HZU200" s="104"/>
      <c r="HZV200" s="104"/>
      <c r="HZW200" s="104"/>
      <c r="HZX200" s="104"/>
      <c r="HZY200" s="104"/>
      <c r="HZZ200" s="104"/>
      <c r="IAA200" s="104"/>
      <c r="IAB200" s="104"/>
      <c r="IAC200" s="104"/>
      <c r="IAD200" s="104"/>
      <c r="IAE200" s="104"/>
      <c r="IAF200" s="104"/>
      <c r="IAG200" s="104"/>
      <c r="IAH200" s="104"/>
      <c r="IAI200" s="104"/>
      <c r="IAJ200" s="104"/>
      <c r="IAK200" s="104"/>
      <c r="IAL200" s="104"/>
      <c r="IAM200" s="104"/>
      <c r="IAN200" s="104"/>
      <c r="IAO200" s="104"/>
      <c r="IAP200" s="104"/>
      <c r="IAQ200" s="104"/>
      <c r="IAR200" s="104"/>
      <c r="IAS200" s="104"/>
      <c r="IAT200" s="104"/>
      <c r="IAU200" s="104"/>
      <c r="IAV200" s="104"/>
      <c r="IAW200" s="104"/>
      <c r="IAX200" s="104"/>
      <c r="IAY200" s="104"/>
      <c r="IAZ200" s="104"/>
      <c r="IBA200" s="104"/>
      <c r="IBB200" s="104"/>
      <c r="IBC200" s="104"/>
      <c r="IBD200" s="104"/>
      <c r="IBE200" s="104"/>
      <c r="IBF200" s="104"/>
      <c r="IBG200" s="104"/>
      <c r="IBH200" s="104"/>
      <c r="IBI200" s="104"/>
      <c r="IBJ200" s="104"/>
      <c r="IBK200" s="104"/>
      <c r="IBL200" s="104"/>
      <c r="IBM200" s="104"/>
      <c r="IBN200" s="104"/>
      <c r="IBO200" s="104"/>
      <c r="IBP200" s="104"/>
      <c r="IBQ200" s="104"/>
      <c r="IBR200" s="104"/>
      <c r="IBS200" s="104"/>
      <c r="IBT200" s="104"/>
      <c r="IBU200" s="104"/>
      <c r="IBV200" s="104"/>
      <c r="IBW200" s="104"/>
      <c r="IBX200" s="104"/>
      <c r="IBY200" s="104"/>
      <c r="IBZ200" s="104"/>
      <c r="ICA200" s="104"/>
      <c r="ICB200" s="104"/>
      <c r="ICC200" s="104"/>
      <c r="ICD200" s="104"/>
      <c r="ICE200" s="104"/>
      <c r="ICF200" s="104"/>
      <c r="ICG200" s="104"/>
      <c r="ICH200" s="104"/>
      <c r="ICI200" s="104"/>
      <c r="ICJ200" s="104"/>
      <c r="ICK200" s="104"/>
      <c r="ICL200" s="104"/>
      <c r="ICM200" s="104"/>
      <c r="ICN200" s="104"/>
      <c r="ICO200" s="104"/>
      <c r="ICP200" s="104"/>
      <c r="ICQ200" s="104"/>
      <c r="ICR200" s="104"/>
      <c r="ICS200" s="104"/>
      <c r="ICT200" s="104"/>
      <c r="ICU200" s="104"/>
      <c r="ICV200" s="104"/>
      <c r="ICW200" s="104"/>
      <c r="ICX200" s="104"/>
      <c r="ICY200" s="104"/>
      <c r="ICZ200" s="104"/>
      <c r="IDA200" s="104"/>
      <c r="IDB200" s="104"/>
      <c r="IDC200" s="104"/>
      <c r="IDD200" s="104"/>
      <c r="IDE200" s="104"/>
      <c r="IDF200" s="104"/>
      <c r="IDG200" s="104"/>
      <c r="IDH200" s="104"/>
      <c r="IDI200" s="104"/>
      <c r="IDJ200" s="104"/>
      <c r="IDK200" s="104"/>
      <c r="IDL200" s="104"/>
      <c r="IDM200" s="104"/>
      <c r="IDN200" s="104"/>
      <c r="IDO200" s="104"/>
      <c r="IDP200" s="104"/>
      <c r="IDQ200" s="104"/>
      <c r="IDR200" s="104"/>
      <c r="IDS200" s="104"/>
      <c r="IDT200" s="104"/>
      <c r="IDU200" s="104"/>
      <c r="IDV200" s="104"/>
      <c r="IDW200" s="104"/>
      <c r="IDX200" s="104"/>
      <c r="IDY200" s="104"/>
      <c r="IDZ200" s="104"/>
      <c r="IEA200" s="104"/>
      <c r="IEB200" s="104"/>
      <c r="IEC200" s="104"/>
      <c r="IED200" s="104"/>
      <c r="IEE200" s="104"/>
      <c r="IEF200" s="104"/>
      <c r="IEG200" s="104"/>
      <c r="IEH200" s="104"/>
      <c r="IEI200" s="104"/>
      <c r="IEJ200" s="104"/>
      <c r="IEK200" s="104"/>
      <c r="IEL200" s="104"/>
      <c r="IEM200" s="104"/>
      <c r="IEN200" s="104"/>
      <c r="IEO200" s="104"/>
      <c r="IEP200" s="104"/>
      <c r="IEQ200" s="104"/>
      <c r="IER200" s="104"/>
      <c r="IES200" s="104"/>
      <c r="IET200" s="104"/>
      <c r="IEU200" s="104"/>
      <c r="IEV200" s="104"/>
      <c r="IEW200" s="104"/>
      <c r="IEX200" s="104"/>
      <c r="IEY200" s="104"/>
      <c r="IEZ200" s="104"/>
      <c r="IFA200" s="104"/>
      <c r="IFB200" s="104"/>
      <c r="IFC200" s="104"/>
      <c r="IFD200" s="104"/>
      <c r="IFE200" s="104"/>
      <c r="IFF200" s="104"/>
      <c r="IFG200" s="104"/>
      <c r="IFH200" s="104"/>
      <c r="IFI200" s="104"/>
      <c r="IFJ200" s="104"/>
      <c r="IFK200" s="104"/>
      <c r="IFL200" s="104"/>
      <c r="IFM200" s="104"/>
      <c r="IFN200" s="104"/>
      <c r="IFO200" s="104"/>
      <c r="IFP200" s="104"/>
      <c r="IFQ200" s="104"/>
      <c r="IFR200" s="104"/>
      <c r="IFS200" s="104"/>
      <c r="IFT200" s="104"/>
      <c r="IFU200" s="104"/>
      <c r="IFV200" s="104"/>
      <c r="IFW200" s="104"/>
      <c r="IFX200" s="104"/>
      <c r="IFY200" s="104"/>
      <c r="IFZ200" s="104"/>
      <c r="IGA200" s="104"/>
      <c r="IGB200" s="104"/>
      <c r="IGC200" s="104"/>
      <c r="IGD200" s="104"/>
      <c r="IGE200" s="104"/>
      <c r="IGF200" s="104"/>
      <c r="IGG200" s="104"/>
      <c r="IGH200" s="104"/>
      <c r="IGI200" s="104"/>
      <c r="IGJ200" s="104"/>
      <c r="IGK200" s="104"/>
      <c r="IGL200" s="104"/>
      <c r="IGM200" s="104"/>
      <c r="IGN200" s="104"/>
      <c r="IGO200" s="104"/>
      <c r="IGP200" s="104"/>
      <c r="IGQ200" s="104"/>
      <c r="IGR200" s="104"/>
      <c r="IGS200" s="104"/>
      <c r="IGT200" s="104"/>
      <c r="IGU200" s="104"/>
      <c r="IGV200" s="104"/>
      <c r="IGW200" s="104"/>
      <c r="IGX200" s="104"/>
      <c r="IGY200" s="104"/>
      <c r="IGZ200" s="104"/>
      <c r="IHA200" s="104"/>
      <c r="IHB200" s="104"/>
      <c r="IHC200" s="104"/>
      <c r="IHD200" s="104"/>
      <c r="IHE200" s="104"/>
      <c r="IHF200" s="104"/>
      <c r="IHG200" s="104"/>
      <c r="IHH200" s="104"/>
      <c r="IHI200" s="104"/>
      <c r="IHJ200" s="104"/>
      <c r="IHK200" s="104"/>
      <c r="IHL200" s="104"/>
      <c r="IHM200" s="104"/>
      <c r="IHN200" s="104"/>
      <c r="IHO200" s="104"/>
      <c r="IHP200" s="104"/>
      <c r="IHQ200" s="104"/>
      <c r="IHR200" s="104"/>
      <c r="IHS200" s="104"/>
      <c r="IHT200" s="104"/>
      <c r="IHU200" s="104"/>
      <c r="IHV200" s="104"/>
      <c r="IHW200" s="104"/>
      <c r="IHX200" s="104"/>
      <c r="IHY200" s="104"/>
      <c r="IHZ200" s="104"/>
      <c r="IIA200" s="104"/>
      <c r="IIB200" s="104"/>
      <c r="IIC200" s="104"/>
      <c r="IID200" s="104"/>
      <c r="IIE200" s="104"/>
      <c r="IIF200" s="104"/>
      <c r="IIG200" s="104"/>
      <c r="IIH200" s="104"/>
      <c r="III200" s="104"/>
      <c r="IIJ200" s="104"/>
      <c r="IIK200" s="104"/>
      <c r="IIL200" s="104"/>
      <c r="IIM200" s="104"/>
      <c r="IIN200" s="104"/>
      <c r="IIO200" s="104"/>
      <c r="IIP200" s="104"/>
      <c r="IIQ200" s="104"/>
      <c r="IIR200" s="104"/>
      <c r="IIS200" s="104"/>
      <c r="IIT200" s="104"/>
      <c r="IIU200" s="104"/>
      <c r="IIV200" s="104"/>
      <c r="IIW200" s="104"/>
      <c r="IIX200" s="104"/>
      <c r="IIY200" s="104"/>
      <c r="IIZ200" s="104"/>
      <c r="IJA200" s="104"/>
      <c r="IJB200" s="104"/>
      <c r="IJC200" s="104"/>
      <c r="IJD200" s="104"/>
      <c r="IJE200" s="104"/>
      <c r="IJF200" s="104"/>
      <c r="IJG200" s="104"/>
      <c r="IJH200" s="104"/>
      <c r="IJI200" s="104"/>
      <c r="IJJ200" s="104"/>
      <c r="IJK200" s="104"/>
      <c r="IJL200" s="104"/>
      <c r="IJM200" s="104"/>
      <c r="IJN200" s="104"/>
      <c r="IJO200" s="104"/>
      <c r="IJP200" s="104"/>
      <c r="IJQ200" s="104"/>
      <c r="IJR200" s="104"/>
      <c r="IJS200" s="104"/>
      <c r="IJT200" s="104"/>
      <c r="IJU200" s="104"/>
      <c r="IJV200" s="104"/>
      <c r="IJW200" s="104"/>
      <c r="IJX200" s="104"/>
      <c r="IJY200" s="104"/>
      <c r="IJZ200" s="104"/>
      <c r="IKA200" s="104"/>
      <c r="IKB200" s="104"/>
      <c r="IKC200" s="104"/>
      <c r="IKD200" s="104"/>
      <c r="IKE200" s="104"/>
      <c r="IKF200" s="104"/>
      <c r="IKG200" s="104"/>
      <c r="IKH200" s="104"/>
      <c r="IKI200" s="104"/>
      <c r="IKJ200" s="104"/>
      <c r="IKK200" s="104"/>
      <c r="IKL200" s="104"/>
      <c r="IKM200" s="104"/>
      <c r="IKN200" s="104"/>
      <c r="IKO200" s="104"/>
      <c r="IKP200" s="104"/>
      <c r="IKQ200" s="104"/>
      <c r="IKR200" s="104"/>
      <c r="IKS200" s="104"/>
      <c r="IKT200" s="104"/>
      <c r="IKU200" s="104"/>
      <c r="IKV200" s="104"/>
      <c r="IKW200" s="104"/>
      <c r="IKX200" s="104"/>
      <c r="IKY200" s="104"/>
      <c r="IKZ200" s="104"/>
      <c r="ILA200" s="104"/>
      <c r="ILB200" s="104"/>
      <c r="ILC200" s="104"/>
      <c r="ILD200" s="104"/>
      <c r="ILE200" s="104"/>
      <c r="ILF200" s="104"/>
      <c r="ILG200" s="104"/>
      <c r="ILH200" s="104"/>
      <c r="ILI200" s="104"/>
      <c r="ILJ200" s="104"/>
      <c r="ILK200" s="104"/>
      <c r="ILL200" s="104"/>
      <c r="ILM200" s="104"/>
      <c r="ILN200" s="104"/>
      <c r="ILO200" s="104"/>
      <c r="ILP200" s="104"/>
      <c r="ILQ200" s="104"/>
      <c r="ILR200" s="104"/>
      <c r="ILS200" s="104"/>
      <c r="ILT200" s="104"/>
      <c r="ILU200" s="104"/>
      <c r="ILV200" s="104"/>
      <c r="ILW200" s="104"/>
      <c r="ILX200" s="104"/>
      <c r="ILY200" s="104"/>
      <c r="ILZ200" s="104"/>
      <c r="IMA200" s="104"/>
      <c r="IMB200" s="104"/>
      <c r="IMC200" s="104"/>
      <c r="IMD200" s="104"/>
      <c r="IME200" s="104"/>
      <c r="IMF200" s="104"/>
      <c r="IMG200" s="104"/>
      <c r="IMH200" s="104"/>
      <c r="IMI200" s="104"/>
      <c r="IMJ200" s="104"/>
      <c r="IMK200" s="104"/>
      <c r="IML200" s="104"/>
      <c r="IMM200" s="104"/>
      <c r="IMN200" s="104"/>
      <c r="IMO200" s="104"/>
      <c r="IMP200" s="104"/>
      <c r="IMQ200" s="104"/>
      <c r="IMR200" s="104"/>
      <c r="IMS200" s="104"/>
      <c r="IMT200" s="104"/>
      <c r="IMU200" s="104"/>
      <c r="IMV200" s="104"/>
      <c r="IMW200" s="104"/>
      <c r="IMX200" s="104"/>
      <c r="IMY200" s="104"/>
      <c r="IMZ200" s="104"/>
      <c r="INA200" s="104"/>
      <c r="INB200" s="104"/>
      <c r="INC200" s="104"/>
      <c r="IND200" s="104"/>
      <c r="INE200" s="104"/>
      <c r="INF200" s="104"/>
      <c r="ING200" s="104"/>
      <c r="INH200" s="104"/>
      <c r="INI200" s="104"/>
      <c r="INJ200" s="104"/>
      <c r="INK200" s="104"/>
      <c r="INL200" s="104"/>
      <c r="INM200" s="104"/>
      <c r="INN200" s="104"/>
      <c r="INO200" s="104"/>
      <c r="INP200" s="104"/>
      <c r="INQ200" s="104"/>
      <c r="INR200" s="104"/>
      <c r="INS200" s="104"/>
      <c r="INT200" s="104"/>
      <c r="INU200" s="104"/>
      <c r="INV200" s="104"/>
      <c r="INW200" s="104"/>
      <c r="INX200" s="104"/>
      <c r="INY200" s="104"/>
      <c r="INZ200" s="104"/>
      <c r="IOA200" s="104"/>
      <c r="IOB200" s="104"/>
      <c r="IOC200" s="104"/>
      <c r="IOD200" s="104"/>
      <c r="IOE200" s="104"/>
      <c r="IOF200" s="104"/>
      <c r="IOG200" s="104"/>
      <c r="IOH200" s="104"/>
      <c r="IOI200" s="104"/>
      <c r="IOJ200" s="104"/>
      <c r="IOK200" s="104"/>
      <c r="IOL200" s="104"/>
      <c r="IOM200" s="104"/>
      <c r="ION200" s="104"/>
      <c r="IOO200" s="104"/>
      <c r="IOP200" s="104"/>
      <c r="IOQ200" s="104"/>
      <c r="IOR200" s="104"/>
      <c r="IOS200" s="104"/>
      <c r="IOT200" s="104"/>
      <c r="IOU200" s="104"/>
      <c r="IOV200" s="104"/>
      <c r="IOW200" s="104"/>
      <c r="IOX200" s="104"/>
      <c r="IOY200" s="104"/>
      <c r="IOZ200" s="104"/>
      <c r="IPA200" s="104"/>
      <c r="IPB200" s="104"/>
      <c r="IPC200" s="104"/>
      <c r="IPD200" s="104"/>
      <c r="IPE200" s="104"/>
      <c r="IPF200" s="104"/>
      <c r="IPG200" s="104"/>
      <c r="IPH200" s="104"/>
      <c r="IPI200" s="104"/>
      <c r="IPJ200" s="104"/>
      <c r="IPK200" s="104"/>
      <c r="IPL200" s="104"/>
      <c r="IPM200" s="104"/>
      <c r="IPN200" s="104"/>
      <c r="IPO200" s="104"/>
      <c r="IPP200" s="104"/>
      <c r="IPQ200" s="104"/>
      <c r="IPR200" s="104"/>
      <c r="IPS200" s="104"/>
      <c r="IPT200" s="104"/>
      <c r="IPU200" s="104"/>
      <c r="IPV200" s="104"/>
      <c r="IPW200" s="104"/>
      <c r="IPX200" s="104"/>
      <c r="IPY200" s="104"/>
      <c r="IPZ200" s="104"/>
      <c r="IQA200" s="104"/>
      <c r="IQB200" s="104"/>
      <c r="IQC200" s="104"/>
      <c r="IQD200" s="104"/>
      <c r="IQE200" s="104"/>
      <c r="IQF200" s="104"/>
      <c r="IQG200" s="104"/>
      <c r="IQH200" s="104"/>
      <c r="IQI200" s="104"/>
      <c r="IQJ200" s="104"/>
      <c r="IQK200" s="104"/>
      <c r="IQL200" s="104"/>
      <c r="IQM200" s="104"/>
      <c r="IQN200" s="104"/>
      <c r="IQO200" s="104"/>
      <c r="IQP200" s="104"/>
      <c r="IQQ200" s="104"/>
      <c r="IQR200" s="104"/>
      <c r="IQS200" s="104"/>
      <c r="IQT200" s="104"/>
      <c r="IQU200" s="104"/>
      <c r="IQV200" s="104"/>
      <c r="IQW200" s="104"/>
      <c r="IQX200" s="104"/>
      <c r="IQY200" s="104"/>
      <c r="IQZ200" s="104"/>
      <c r="IRA200" s="104"/>
      <c r="IRB200" s="104"/>
      <c r="IRC200" s="104"/>
      <c r="IRD200" s="104"/>
      <c r="IRE200" s="104"/>
      <c r="IRF200" s="104"/>
      <c r="IRG200" s="104"/>
      <c r="IRH200" s="104"/>
      <c r="IRI200" s="104"/>
      <c r="IRJ200" s="104"/>
      <c r="IRK200" s="104"/>
      <c r="IRL200" s="104"/>
      <c r="IRM200" s="104"/>
      <c r="IRN200" s="104"/>
      <c r="IRO200" s="104"/>
      <c r="IRP200" s="104"/>
      <c r="IRQ200" s="104"/>
      <c r="IRR200" s="104"/>
      <c r="IRS200" s="104"/>
      <c r="IRT200" s="104"/>
      <c r="IRU200" s="104"/>
      <c r="IRV200" s="104"/>
      <c r="IRW200" s="104"/>
      <c r="IRX200" s="104"/>
      <c r="IRY200" s="104"/>
      <c r="IRZ200" s="104"/>
      <c r="ISA200" s="104"/>
      <c r="ISB200" s="104"/>
      <c r="ISC200" s="104"/>
      <c r="ISD200" s="104"/>
      <c r="ISE200" s="104"/>
      <c r="ISF200" s="104"/>
      <c r="ISG200" s="104"/>
      <c r="ISH200" s="104"/>
      <c r="ISI200" s="104"/>
      <c r="ISJ200" s="104"/>
      <c r="ISK200" s="104"/>
      <c r="ISL200" s="104"/>
      <c r="ISM200" s="104"/>
      <c r="ISN200" s="104"/>
      <c r="ISO200" s="104"/>
      <c r="ISP200" s="104"/>
      <c r="ISQ200" s="104"/>
      <c r="ISR200" s="104"/>
      <c r="ISS200" s="104"/>
      <c r="IST200" s="104"/>
      <c r="ISU200" s="104"/>
      <c r="ISV200" s="104"/>
      <c r="ISW200" s="104"/>
      <c r="ISX200" s="104"/>
      <c r="ISY200" s="104"/>
      <c r="ISZ200" s="104"/>
      <c r="ITA200" s="104"/>
      <c r="ITB200" s="104"/>
      <c r="ITC200" s="104"/>
      <c r="ITD200" s="104"/>
      <c r="ITE200" s="104"/>
      <c r="ITF200" s="104"/>
      <c r="ITG200" s="104"/>
      <c r="ITH200" s="104"/>
      <c r="ITI200" s="104"/>
      <c r="ITJ200" s="104"/>
      <c r="ITK200" s="104"/>
      <c r="ITL200" s="104"/>
      <c r="ITM200" s="104"/>
      <c r="ITN200" s="104"/>
      <c r="ITO200" s="104"/>
      <c r="ITP200" s="104"/>
      <c r="ITQ200" s="104"/>
      <c r="ITR200" s="104"/>
      <c r="ITS200" s="104"/>
      <c r="ITT200" s="104"/>
      <c r="ITU200" s="104"/>
      <c r="ITV200" s="104"/>
      <c r="ITW200" s="104"/>
      <c r="ITX200" s="104"/>
      <c r="ITY200" s="104"/>
      <c r="ITZ200" s="104"/>
      <c r="IUA200" s="104"/>
      <c r="IUB200" s="104"/>
      <c r="IUC200" s="104"/>
      <c r="IUD200" s="104"/>
      <c r="IUE200" s="104"/>
      <c r="IUF200" s="104"/>
      <c r="IUG200" s="104"/>
      <c r="IUH200" s="104"/>
      <c r="IUI200" s="104"/>
      <c r="IUJ200" s="104"/>
      <c r="IUK200" s="104"/>
      <c r="IUL200" s="104"/>
      <c r="IUM200" s="104"/>
      <c r="IUN200" s="104"/>
      <c r="IUO200" s="104"/>
      <c r="IUP200" s="104"/>
      <c r="IUQ200" s="104"/>
      <c r="IUR200" s="104"/>
      <c r="IUS200" s="104"/>
      <c r="IUT200" s="104"/>
      <c r="IUU200" s="104"/>
      <c r="IUV200" s="104"/>
      <c r="IUW200" s="104"/>
      <c r="IUX200" s="104"/>
      <c r="IUY200" s="104"/>
      <c r="IUZ200" s="104"/>
      <c r="IVA200" s="104"/>
      <c r="IVB200" s="104"/>
      <c r="IVC200" s="104"/>
      <c r="IVD200" s="104"/>
      <c r="IVE200" s="104"/>
      <c r="IVF200" s="104"/>
      <c r="IVG200" s="104"/>
      <c r="IVH200" s="104"/>
      <c r="IVI200" s="104"/>
      <c r="IVJ200" s="104"/>
      <c r="IVK200" s="104"/>
      <c r="IVL200" s="104"/>
      <c r="IVM200" s="104"/>
      <c r="IVN200" s="104"/>
      <c r="IVO200" s="104"/>
      <c r="IVP200" s="104"/>
      <c r="IVQ200" s="104"/>
      <c r="IVR200" s="104"/>
      <c r="IVS200" s="104"/>
      <c r="IVT200" s="104"/>
      <c r="IVU200" s="104"/>
      <c r="IVV200" s="104"/>
      <c r="IVW200" s="104"/>
      <c r="IVX200" s="104"/>
      <c r="IVY200" s="104"/>
      <c r="IVZ200" s="104"/>
      <c r="IWA200" s="104"/>
      <c r="IWB200" s="104"/>
      <c r="IWC200" s="104"/>
      <c r="IWD200" s="104"/>
      <c r="IWE200" s="104"/>
      <c r="IWF200" s="104"/>
      <c r="IWG200" s="104"/>
      <c r="IWH200" s="104"/>
      <c r="IWI200" s="104"/>
      <c r="IWJ200" s="104"/>
      <c r="IWK200" s="104"/>
      <c r="IWL200" s="104"/>
      <c r="IWM200" s="104"/>
      <c r="IWN200" s="104"/>
      <c r="IWO200" s="104"/>
      <c r="IWP200" s="104"/>
      <c r="IWQ200" s="104"/>
      <c r="IWR200" s="104"/>
      <c r="IWS200" s="104"/>
      <c r="IWT200" s="104"/>
      <c r="IWU200" s="104"/>
      <c r="IWV200" s="104"/>
      <c r="IWW200" s="104"/>
      <c r="IWX200" s="104"/>
      <c r="IWY200" s="104"/>
      <c r="IWZ200" s="104"/>
      <c r="IXA200" s="104"/>
      <c r="IXB200" s="104"/>
      <c r="IXC200" s="104"/>
      <c r="IXD200" s="104"/>
      <c r="IXE200" s="104"/>
      <c r="IXF200" s="104"/>
      <c r="IXG200" s="104"/>
      <c r="IXH200" s="104"/>
      <c r="IXI200" s="104"/>
      <c r="IXJ200" s="104"/>
      <c r="IXK200" s="104"/>
      <c r="IXL200" s="104"/>
      <c r="IXM200" s="104"/>
      <c r="IXN200" s="104"/>
      <c r="IXO200" s="104"/>
      <c r="IXP200" s="104"/>
      <c r="IXQ200" s="104"/>
      <c r="IXR200" s="104"/>
      <c r="IXS200" s="104"/>
      <c r="IXT200" s="104"/>
      <c r="IXU200" s="104"/>
      <c r="IXV200" s="104"/>
      <c r="IXW200" s="104"/>
      <c r="IXX200" s="104"/>
      <c r="IXY200" s="104"/>
      <c r="IXZ200" s="104"/>
      <c r="IYA200" s="104"/>
      <c r="IYB200" s="104"/>
      <c r="IYC200" s="104"/>
      <c r="IYD200" s="104"/>
      <c r="IYE200" s="104"/>
      <c r="IYF200" s="104"/>
      <c r="IYG200" s="104"/>
      <c r="IYH200" s="104"/>
      <c r="IYI200" s="104"/>
      <c r="IYJ200" s="104"/>
      <c r="IYK200" s="104"/>
      <c r="IYL200" s="104"/>
      <c r="IYM200" s="104"/>
      <c r="IYN200" s="104"/>
      <c r="IYO200" s="104"/>
      <c r="IYP200" s="104"/>
      <c r="IYQ200" s="104"/>
      <c r="IYR200" s="104"/>
      <c r="IYS200" s="104"/>
      <c r="IYT200" s="104"/>
      <c r="IYU200" s="104"/>
      <c r="IYV200" s="104"/>
      <c r="IYW200" s="104"/>
      <c r="IYX200" s="104"/>
      <c r="IYY200" s="104"/>
      <c r="IYZ200" s="104"/>
      <c r="IZA200" s="104"/>
      <c r="IZB200" s="104"/>
      <c r="IZC200" s="104"/>
      <c r="IZD200" s="104"/>
      <c r="IZE200" s="104"/>
      <c r="IZF200" s="104"/>
      <c r="IZG200" s="104"/>
      <c r="IZH200" s="104"/>
      <c r="IZI200" s="104"/>
      <c r="IZJ200" s="104"/>
      <c r="IZK200" s="104"/>
      <c r="IZL200" s="104"/>
      <c r="IZM200" s="104"/>
      <c r="IZN200" s="104"/>
      <c r="IZO200" s="104"/>
      <c r="IZP200" s="104"/>
      <c r="IZQ200" s="104"/>
      <c r="IZR200" s="104"/>
      <c r="IZS200" s="104"/>
      <c r="IZT200" s="104"/>
      <c r="IZU200" s="104"/>
      <c r="IZV200" s="104"/>
      <c r="IZW200" s="104"/>
      <c r="IZX200" s="104"/>
      <c r="IZY200" s="104"/>
      <c r="IZZ200" s="104"/>
      <c r="JAA200" s="104"/>
      <c r="JAB200" s="104"/>
      <c r="JAC200" s="104"/>
      <c r="JAD200" s="104"/>
      <c r="JAE200" s="104"/>
      <c r="JAF200" s="104"/>
      <c r="JAG200" s="104"/>
      <c r="JAH200" s="104"/>
      <c r="JAI200" s="104"/>
      <c r="JAJ200" s="104"/>
      <c r="JAK200" s="104"/>
      <c r="JAL200" s="104"/>
      <c r="JAM200" s="104"/>
      <c r="JAN200" s="104"/>
      <c r="JAO200" s="104"/>
      <c r="JAP200" s="104"/>
      <c r="JAQ200" s="104"/>
      <c r="JAR200" s="104"/>
      <c r="JAS200" s="104"/>
      <c r="JAT200" s="104"/>
      <c r="JAU200" s="104"/>
      <c r="JAV200" s="104"/>
      <c r="JAW200" s="104"/>
      <c r="JAX200" s="104"/>
      <c r="JAY200" s="104"/>
      <c r="JAZ200" s="104"/>
      <c r="JBA200" s="104"/>
      <c r="JBB200" s="104"/>
      <c r="JBC200" s="104"/>
      <c r="JBD200" s="104"/>
      <c r="JBE200" s="104"/>
      <c r="JBF200" s="104"/>
      <c r="JBG200" s="104"/>
      <c r="JBH200" s="104"/>
      <c r="JBI200" s="104"/>
      <c r="JBJ200" s="104"/>
      <c r="JBK200" s="104"/>
      <c r="JBL200" s="104"/>
      <c r="JBM200" s="104"/>
      <c r="JBN200" s="104"/>
      <c r="JBO200" s="104"/>
      <c r="JBP200" s="104"/>
      <c r="JBQ200" s="104"/>
      <c r="JBR200" s="104"/>
      <c r="JBS200" s="104"/>
      <c r="JBT200" s="104"/>
      <c r="JBU200" s="104"/>
      <c r="JBV200" s="104"/>
      <c r="JBW200" s="104"/>
      <c r="JBX200" s="104"/>
      <c r="JBY200" s="104"/>
      <c r="JBZ200" s="104"/>
      <c r="JCA200" s="104"/>
      <c r="JCB200" s="104"/>
      <c r="JCC200" s="104"/>
      <c r="JCD200" s="104"/>
      <c r="JCE200" s="104"/>
      <c r="JCF200" s="104"/>
      <c r="JCG200" s="104"/>
      <c r="JCH200" s="104"/>
      <c r="JCI200" s="104"/>
      <c r="JCJ200" s="104"/>
      <c r="JCK200" s="104"/>
      <c r="JCL200" s="104"/>
      <c r="JCM200" s="104"/>
      <c r="JCN200" s="104"/>
      <c r="JCO200" s="104"/>
      <c r="JCP200" s="104"/>
      <c r="JCQ200" s="104"/>
      <c r="JCR200" s="104"/>
      <c r="JCS200" s="104"/>
      <c r="JCT200" s="104"/>
      <c r="JCU200" s="104"/>
      <c r="JCV200" s="104"/>
      <c r="JCW200" s="104"/>
      <c r="JCX200" s="104"/>
      <c r="JCY200" s="104"/>
      <c r="JCZ200" s="104"/>
      <c r="JDA200" s="104"/>
      <c r="JDB200" s="104"/>
      <c r="JDC200" s="104"/>
      <c r="JDD200" s="104"/>
      <c r="JDE200" s="104"/>
      <c r="JDF200" s="104"/>
      <c r="JDG200" s="104"/>
      <c r="JDH200" s="104"/>
      <c r="JDI200" s="104"/>
      <c r="JDJ200" s="104"/>
      <c r="JDK200" s="104"/>
      <c r="JDL200" s="104"/>
      <c r="JDM200" s="104"/>
      <c r="JDN200" s="104"/>
      <c r="JDO200" s="104"/>
      <c r="JDP200" s="104"/>
      <c r="JDQ200" s="104"/>
      <c r="JDR200" s="104"/>
      <c r="JDS200" s="104"/>
      <c r="JDT200" s="104"/>
      <c r="JDU200" s="104"/>
      <c r="JDV200" s="104"/>
      <c r="JDW200" s="104"/>
      <c r="JDX200" s="104"/>
      <c r="JDY200" s="104"/>
      <c r="JDZ200" s="104"/>
      <c r="JEA200" s="104"/>
      <c r="JEB200" s="104"/>
      <c r="JEC200" s="104"/>
      <c r="JED200" s="104"/>
      <c r="JEE200" s="104"/>
      <c r="JEF200" s="104"/>
      <c r="JEG200" s="104"/>
      <c r="JEH200" s="104"/>
      <c r="JEI200" s="104"/>
      <c r="JEJ200" s="104"/>
      <c r="JEK200" s="104"/>
      <c r="JEL200" s="104"/>
      <c r="JEM200" s="104"/>
      <c r="JEN200" s="104"/>
      <c r="JEO200" s="104"/>
      <c r="JEP200" s="104"/>
      <c r="JEQ200" s="104"/>
      <c r="JER200" s="104"/>
      <c r="JES200" s="104"/>
      <c r="JET200" s="104"/>
      <c r="JEU200" s="104"/>
      <c r="JEV200" s="104"/>
      <c r="JEW200" s="104"/>
      <c r="JEX200" s="104"/>
      <c r="JEY200" s="104"/>
      <c r="JEZ200" s="104"/>
      <c r="JFA200" s="104"/>
      <c r="JFB200" s="104"/>
      <c r="JFC200" s="104"/>
      <c r="JFD200" s="104"/>
      <c r="JFE200" s="104"/>
      <c r="JFF200" s="104"/>
      <c r="JFG200" s="104"/>
      <c r="JFH200" s="104"/>
      <c r="JFI200" s="104"/>
      <c r="JFJ200" s="104"/>
      <c r="JFK200" s="104"/>
      <c r="JFL200" s="104"/>
      <c r="JFM200" s="104"/>
      <c r="JFN200" s="104"/>
      <c r="JFO200" s="104"/>
      <c r="JFP200" s="104"/>
      <c r="JFQ200" s="104"/>
      <c r="JFR200" s="104"/>
      <c r="JFS200" s="104"/>
      <c r="JFT200" s="104"/>
      <c r="JFU200" s="104"/>
      <c r="JFV200" s="104"/>
      <c r="JFW200" s="104"/>
      <c r="JFX200" s="104"/>
      <c r="JFY200" s="104"/>
      <c r="JFZ200" s="104"/>
      <c r="JGA200" s="104"/>
      <c r="JGB200" s="104"/>
      <c r="JGC200" s="104"/>
      <c r="JGD200" s="104"/>
      <c r="JGE200" s="104"/>
      <c r="JGF200" s="104"/>
      <c r="JGG200" s="104"/>
      <c r="JGH200" s="104"/>
      <c r="JGI200" s="104"/>
      <c r="JGJ200" s="104"/>
      <c r="JGK200" s="104"/>
      <c r="JGL200" s="104"/>
      <c r="JGM200" s="104"/>
      <c r="JGN200" s="104"/>
      <c r="JGO200" s="104"/>
      <c r="JGP200" s="104"/>
      <c r="JGQ200" s="104"/>
      <c r="JGR200" s="104"/>
      <c r="JGS200" s="104"/>
      <c r="JGT200" s="104"/>
      <c r="JGU200" s="104"/>
      <c r="JGV200" s="104"/>
      <c r="JGW200" s="104"/>
      <c r="JGX200" s="104"/>
      <c r="JGY200" s="104"/>
      <c r="JGZ200" s="104"/>
      <c r="JHA200" s="104"/>
      <c r="JHB200" s="104"/>
      <c r="JHC200" s="104"/>
      <c r="JHD200" s="104"/>
      <c r="JHE200" s="104"/>
      <c r="JHF200" s="104"/>
      <c r="JHG200" s="104"/>
      <c r="JHH200" s="104"/>
      <c r="JHI200" s="104"/>
      <c r="JHJ200" s="104"/>
      <c r="JHK200" s="104"/>
      <c r="JHL200" s="104"/>
      <c r="JHM200" s="104"/>
      <c r="JHN200" s="104"/>
      <c r="JHO200" s="104"/>
      <c r="JHP200" s="104"/>
      <c r="JHQ200" s="104"/>
      <c r="JHR200" s="104"/>
      <c r="JHS200" s="104"/>
      <c r="JHT200" s="104"/>
      <c r="JHU200" s="104"/>
      <c r="JHV200" s="104"/>
      <c r="JHW200" s="104"/>
      <c r="JHX200" s="104"/>
      <c r="JHY200" s="104"/>
      <c r="JHZ200" s="104"/>
      <c r="JIA200" s="104"/>
      <c r="JIB200" s="104"/>
      <c r="JIC200" s="104"/>
      <c r="JID200" s="104"/>
      <c r="JIE200" s="104"/>
      <c r="JIF200" s="104"/>
      <c r="JIG200" s="104"/>
      <c r="JIH200" s="104"/>
      <c r="JII200" s="104"/>
      <c r="JIJ200" s="104"/>
      <c r="JIK200" s="104"/>
      <c r="JIL200" s="104"/>
      <c r="JIM200" s="104"/>
      <c r="JIN200" s="104"/>
      <c r="JIO200" s="104"/>
      <c r="JIP200" s="104"/>
      <c r="JIQ200" s="104"/>
      <c r="JIR200" s="104"/>
      <c r="JIS200" s="104"/>
      <c r="JIT200" s="104"/>
      <c r="JIU200" s="104"/>
      <c r="JIV200" s="104"/>
      <c r="JIW200" s="104"/>
      <c r="JIX200" s="104"/>
      <c r="JIY200" s="104"/>
      <c r="JIZ200" s="104"/>
      <c r="JJA200" s="104"/>
      <c r="JJB200" s="104"/>
      <c r="JJC200" s="104"/>
      <c r="JJD200" s="104"/>
      <c r="JJE200" s="104"/>
      <c r="JJF200" s="104"/>
      <c r="JJG200" s="104"/>
      <c r="JJH200" s="104"/>
      <c r="JJI200" s="104"/>
      <c r="JJJ200" s="104"/>
      <c r="JJK200" s="104"/>
      <c r="JJL200" s="104"/>
      <c r="JJM200" s="104"/>
      <c r="JJN200" s="104"/>
      <c r="JJO200" s="104"/>
      <c r="JJP200" s="104"/>
      <c r="JJQ200" s="104"/>
      <c r="JJR200" s="104"/>
      <c r="JJS200" s="104"/>
      <c r="JJT200" s="104"/>
      <c r="JJU200" s="104"/>
      <c r="JJV200" s="104"/>
      <c r="JJW200" s="104"/>
      <c r="JJX200" s="104"/>
      <c r="JJY200" s="104"/>
      <c r="JJZ200" s="104"/>
      <c r="JKA200" s="104"/>
      <c r="JKB200" s="104"/>
      <c r="JKC200" s="104"/>
      <c r="JKD200" s="104"/>
      <c r="JKE200" s="104"/>
      <c r="JKF200" s="104"/>
      <c r="JKG200" s="104"/>
      <c r="JKH200" s="104"/>
      <c r="JKI200" s="104"/>
      <c r="JKJ200" s="104"/>
      <c r="JKK200" s="104"/>
      <c r="JKL200" s="104"/>
      <c r="JKM200" s="104"/>
      <c r="JKN200" s="104"/>
      <c r="JKO200" s="104"/>
      <c r="JKP200" s="104"/>
      <c r="JKQ200" s="104"/>
      <c r="JKR200" s="104"/>
      <c r="JKS200" s="104"/>
      <c r="JKT200" s="104"/>
      <c r="JKU200" s="104"/>
      <c r="JKV200" s="104"/>
      <c r="JKW200" s="104"/>
      <c r="JKX200" s="104"/>
      <c r="JKY200" s="104"/>
      <c r="JKZ200" s="104"/>
      <c r="JLA200" s="104"/>
      <c r="JLB200" s="104"/>
      <c r="JLC200" s="104"/>
      <c r="JLD200" s="104"/>
      <c r="JLE200" s="104"/>
      <c r="JLF200" s="104"/>
      <c r="JLG200" s="104"/>
      <c r="JLH200" s="104"/>
      <c r="JLI200" s="104"/>
      <c r="JLJ200" s="104"/>
      <c r="JLK200" s="104"/>
      <c r="JLL200" s="104"/>
      <c r="JLM200" s="104"/>
      <c r="JLN200" s="104"/>
      <c r="JLO200" s="104"/>
      <c r="JLP200" s="104"/>
      <c r="JLQ200" s="104"/>
      <c r="JLR200" s="104"/>
      <c r="JLS200" s="104"/>
      <c r="JLT200" s="104"/>
      <c r="JLU200" s="104"/>
      <c r="JLV200" s="104"/>
      <c r="JLW200" s="104"/>
      <c r="JLX200" s="104"/>
      <c r="JLY200" s="104"/>
      <c r="JLZ200" s="104"/>
      <c r="JMA200" s="104"/>
      <c r="JMB200" s="104"/>
      <c r="JMC200" s="104"/>
      <c r="JMD200" s="104"/>
      <c r="JME200" s="104"/>
      <c r="JMF200" s="104"/>
      <c r="JMG200" s="104"/>
      <c r="JMH200" s="104"/>
      <c r="JMI200" s="104"/>
      <c r="JMJ200" s="104"/>
      <c r="JMK200" s="104"/>
      <c r="JML200" s="104"/>
      <c r="JMM200" s="104"/>
      <c r="JMN200" s="104"/>
      <c r="JMO200" s="104"/>
      <c r="JMP200" s="104"/>
      <c r="JMQ200" s="104"/>
      <c r="JMR200" s="104"/>
      <c r="JMS200" s="104"/>
      <c r="JMT200" s="104"/>
      <c r="JMU200" s="104"/>
      <c r="JMV200" s="104"/>
      <c r="JMW200" s="104"/>
      <c r="JMX200" s="104"/>
      <c r="JMY200" s="104"/>
      <c r="JMZ200" s="104"/>
      <c r="JNA200" s="104"/>
      <c r="JNB200" s="104"/>
      <c r="JNC200" s="104"/>
      <c r="JND200" s="104"/>
      <c r="JNE200" s="104"/>
      <c r="JNF200" s="104"/>
      <c r="JNG200" s="104"/>
      <c r="JNH200" s="104"/>
      <c r="JNI200" s="104"/>
      <c r="JNJ200" s="104"/>
      <c r="JNK200" s="104"/>
      <c r="JNL200" s="104"/>
      <c r="JNM200" s="104"/>
      <c r="JNN200" s="104"/>
      <c r="JNO200" s="104"/>
      <c r="JNP200" s="104"/>
      <c r="JNQ200" s="104"/>
      <c r="JNR200" s="104"/>
      <c r="JNS200" s="104"/>
      <c r="JNT200" s="104"/>
      <c r="JNU200" s="104"/>
      <c r="JNV200" s="104"/>
      <c r="JNW200" s="104"/>
      <c r="JNX200" s="104"/>
      <c r="JNY200" s="104"/>
      <c r="JNZ200" s="104"/>
      <c r="JOA200" s="104"/>
      <c r="JOB200" s="104"/>
      <c r="JOC200" s="104"/>
      <c r="JOD200" s="104"/>
      <c r="JOE200" s="104"/>
      <c r="JOF200" s="104"/>
      <c r="JOG200" s="104"/>
      <c r="JOH200" s="104"/>
      <c r="JOI200" s="104"/>
      <c r="JOJ200" s="104"/>
      <c r="JOK200" s="104"/>
      <c r="JOL200" s="104"/>
      <c r="JOM200" s="104"/>
      <c r="JON200" s="104"/>
      <c r="JOO200" s="104"/>
      <c r="JOP200" s="104"/>
      <c r="JOQ200" s="104"/>
      <c r="JOR200" s="104"/>
      <c r="JOS200" s="104"/>
      <c r="JOT200" s="104"/>
      <c r="JOU200" s="104"/>
      <c r="JOV200" s="104"/>
      <c r="JOW200" s="104"/>
      <c r="JOX200" s="104"/>
      <c r="JOY200" s="104"/>
      <c r="JOZ200" s="104"/>
      <c r="JPA200" s="104"/>
      <c r="JPB200" s="104"/>
      <c r="JPC200" s="104"/>
      <c r="JPD200" s="104"/>
      <c r="JPE200" s="104"/>
      <c r="JPF200" s="104"/>
      <c r="JPG200" s="104"/>
      <c r="JPH200" s="104"/>
      <c r="JPI200" s="104"/>
      <c r="JPJ200" s="104"/>
      <c r="JPK200" s="104"/>
      <c r="JPL200" s="104"/>
      <c r="JPM200" s="104"/>
      <c r="JPN200" s="104"/>
      <c r="JPO200" s="104"/>
      <c r="JPP200" s="104"/>
      <c r="JPQ200" s="104"/>
      <c r="JPR200" s="104"/>
      <c r="JPS200" s="104"/>
      <c r="JPT200" s="104"/>
      <c r="JPU200" s="104"/>
      <c r="JPV200" s="104"/>
      <c r="JPW200" s="104"/>
      <c r="JPX200" s="104"/>
      <c r="JPY200" s="104"/>
      <c r="JPZ200" s="104"/>
      <c r="JQA200" s="104"/>
      <c r="JQB200" s="104"/>
      <c r="JQC200" s="104"/>
      <c r="JQD200" s="104"/>
      <c r="JQE200" s="104"/>
      <c r="JQF200" s="104"/>
      <c r="JQG200" s="104"/>
      <c r="JQH200" s="104"/>
      <c r="JQI200" s="104"/>
      <c r="JQJ200" s="104"/>
      <c r="JQK200" s="104"/>
      <c r="JQL200" s="104"/>
      <c r="JQM200" s="104"/>
      <c r="JQN200" s="104"/>
      <c r="JQO200" s="104"/>
      <c r="JQP200" s="104"/>
      <c r="JQQ200" s="104"/>
      <c r="JQR200" s="104"/>
      <c r="JQS200" s="104"/>
      <c r="JQT200" s="104"/>
      <c r="JQU200" s="104"/>
      <c r="JQV200" s="104"/>
      <c r="JQW200" s="104"/>
      <c r="JQX200" s="104"/>
      <c r="JQY200" s="104"/>
      <c r="JQZ200" s="104"/>
      <c r="JRA200" s="104"/>
      <c r="JRB200" s="104"/>
      <c r="JRC200" s="104"/>
      <c r="JRD200" s="104"/>
      <c r="JRE200" s="104"/>
      <c r="JRF200" s="104"/>
      <c r="JRG200" s="104"/>
      <c r="JRH200" s="104"/>
      <c r="JRI200" s="104"/>
      <c r="JRJ200" s="104"/>
      <c r="JRK200" s="104"/>
      <c r="JRL200" s="104"/>
      <c r="JRM200" s="104"/>
      <c r="JRN200" s="104"/>
      <c r="JRO200" s="104"/>
      <c r="JRP200" s="104"/>
      <c r="JRQ200" s="104"/>
      <c r="JRR200" s="104"/>
      <c r="JRS200" s="104"/>
      <c r="JRT200" s="104"/>
      <c r="JRU200" s="104"/>
      <c r="JRV200" s="104"/>
      <c r="JRW200" s="104"/>
      <c r="JRX200" s="104"/>
      <c r="JRY200" s="104"/>
      <c r="JRZ200" s="104"/>
      <c r="JSA200" s="104"/>
      <c r="JSB200" s="104"/>
      <c r="JSC200" s="104"/>
      <c r="JSD200" s="104"/>
      <c r="JSE200" s="104"/>
      <c r="JSF200" s="104"/>
      <c r="JSG200" s="104"/>
      <c r="JSH200" s="104"/>
      <c r="JSI200" s="104"/>
      <c r="JSJ200" s="104"/>
      <c r="JSK200" s="104"/>
      <c r="JSL200" s="104"/>
      <c r="JSM200" s="104"/>
      <c r="JSN200" s="104"/>
      <c r="JSO200" s="104"/>
      <c r="JSP200" s="104"/>
      <c r="JSQ200" s="104"/>
      <c r="JSR200" s="104"/>
      <c r="JSS200" s="104"/>
      <c r="JST200" s="104"/>
      <c r="JSU200" s="104"/>
      <c r="JSV200" s="104"/>
      <c r="JSW200" s="104"/>
      <c r="JSX200" s="104"/>
      <c r="JSY200" s="104"/>
      <c r="JSZ200" s="104"/>
      <c r="JTA200" s="104"/>
      <c r="JTB200" s="104"/>
      <c r="JTC200" s="104"/>
      <c r="JTD200" s="104"/>
      <c r="JTE200" s="104"/>
      <c r="JTF200" s="104"/>
      <c r="JTG200" s="104"/>
      <c r="JTH200" s="104"/>
      <c r="JTI200" s="104"/>
      <c r="JTJ200" s="104"/>
      <c r="JTK200" s="104"/>
      <c r="JTL200" s="104"/>
      <c r="JTM200" s="104"/>
      <c r="JTN200" s="104"/>
      <c r="JTO200" s="104"/>
      <c r="JTP200" s="104"/>
      <c r="JTQ200" s="104"/>
      <c r="JTR200" s="104"/>
      <c r="JTS200" s="104"/>
      <c r="JTT200" s="104"/>
      <c r="JTU200" s="104"/>
      <c r="JTV200" s="104"/>
      <c r="JTW200" s="104"/>
      <c r="JTX200" s="104"/>
      <c r="JTY200" s="104"/>
      <c r="JTZ200" s="104"/>
      <c r="JUA200" s="104"/>
      <c r="JUB200" s="104"/>
      <c r="JUC200" s="104"/>
      <c r="JUD200" s="104"/>
      <c r="JUE200" s="104"/>
      <c r="JUF200" s="104"/>
      <c r="JUG200" s="104"/>
      <c r="JUH200" s="104"/>
      <c r="JUI200" s="104"/>
      <c r="JUJ200" s="104"/>
      <c r="JUK200" s="104"/>
      <c r="JUL200" s="104"/>
      <c r="JUM200" s="104"/>
      <c r="JUN200" s="104"/>
      <c r="JUO200" s="104"/>
      <c r="JUP200" s="104"/>
      <c r="JUQ200" s="104"/>
      <c r="JUR200" s="104"/>
      <c r="JUS200" s="104"/>
      <c r="JUT200" s="104"/>
      <c r="JUU200" s="104"/>
      <c r="JUV200" s="104"/>
      <c r="JUW200" s="104"/>
      <c r="JUX200" s="104"/>
      <c r="JUY200" s="104"/>
      <c r="JUZ200" s="104"/>
      <c r="JVA200" s="104"/>
      <c r="JVB200" s="104"/>
      <c r="JVC200" s="104"/>
      <c r="JVD200" s="104"/>
      <c r="JVE200" s="104"/>
      <c r="JVF200" s="104"/>
      <c r="JVG200" s="104"/>
      <c r="JVH200" s="104"/>
      <c r="JVI200" s="104"/>
      <c r="JVJ200" s="104"/>
      <c r="JVK200" s="104"/>
      <c r="JVL200" s="104"/>
      <c r="JVM200" s="104"/>
      <c r="JVN200" s="104"/>
      <c r="JVO200" s="104"/>
      <c r="JVP200" s="104"/>
      <c r="JVQ200" s="104"/>
      <c r="JVR200" s="104"/>
      <c r="JVS200" s="104"/>
      <c r="JVT200" s="104"/>
      <c r="JVU200" s="104"/>
      <c r="JVV200" s="104"/>
      <c r="JVW200" s="104"/>
      <c r="JVX200" s="104"/>
      <c r="JVY200" s="104"/>
      <c r="JVZ200" s="104"/>
      <c r="JWA200" s="104"/>
      <c r="JWB200" s="104"/>
      <c r="JWC200" s="104"/>
      <c r="JWD200" s="104"/>
      <c r="JWE200" s="104"/>
      <c r="JWF200" s="104"/>
      <c r="JWG200" s="104"/>
      <c r="JWH200" s="104"/>
      <c r="JWI200" s="104"/>
      <c r="JWJ200" s="104"/>
      <c r="JWK200" s="104"/>
      <c r="JWL200" s="104"/>
      <c r="JWM200" s="104"/>
      <c r="JWN200" s="104"/>
      <c r="JWO200" s="104"/>
      <c r="JWP200" s="104"/>
      <c r="JWQ200" s="104"/>
      <c r="JWR200" s="104"/>
      <c r="JWS200" s="104"/>
      <c r="JWT200" s="104"/>
      <c r="JWU200" s="104"/>
      <c r="JWV200" s="104"/>
      <c r="JWW200" s="104"/>
      <c r="JWX200" s="104"/>
      <c r="JWY200" s="104"/>
      <c r="JWZ200" s="104"/>
      <c r="JXA200" s="104"/>
      <c r="JXB200" s="104"/>
      <c r="JXC200" s="104"/>
      <c r="JXD200" s="104"/>
      <c r="JXE200" s="104"/>
      <c r="JXF200" s="104"/>
      <c r="JXG200" s="104"/>
      <c r="JXH200" s="104"/>
      <c r="JXI200" s="104"/>
      <c r="JXJ200" s="104"/>
      <c r="JXK200" s="104"/>
      <c r="JXL200" s="104"/>
      <c r="JXM200" s="104"/>
      <c r="JXN200" s="104"/>
      <c r="JXO200" s="104"/>
      <c r="JXP200" s="104"/>
      <c r="JXQ200" s="104"/>
      <c r="JXR200" s="104"/>
      <c r="JXS200" s="104"/>
      <c r="JXT200" s="104"/>
      <c r="JXU200" s="104"/>
      <c r="JXV200" s="104"/>
      <c r="JXW200" s="104"/>
      <c r="JXX200" s="104"/>
      <c r="JXY200" s="104"/>
      <c r="JXZ200" s="104"/>
      <c r="JYA200" s="104"/>
      <c r="JYB200" s="104"/>
      <c r="JYC200" s="104"/>
      <c r="JYD200" s="104"/>
      <c r="JYE200" s="104"/>
      <c r="JYF200" s="104"/>
      <c r="JYG200" s="104"/>
      <c r="JYH200" s="104"/>
      <c r="JYI200" s="104"/>
      <c r="JYJ200" s="104"/>
      <c r="JYK200" s="104"/>
      <c r="JYL200" s="104"/>
      <c r="JYM200" s="104"/>
      <c r="JYN200" s="104"/>
      <c r="JYO200" s="104"/>
      <c r="JYP200" s="104"/>
      <c r="JYQ200" s="104"/>
      <c r="JYR200" s="104"/>
      <c r="JYS200" s="104"/>
      <c r="JYT200" s="104"/>
      <c r="JYU200" s="104"/>
      <c r="JYV200" s="104"/>
      <c r="JYW200" s="104"/>
      <c r="JYX200" s="104"/>
      <c r="JYY200" s="104"/>
      <c r="JYZ200" s="104"/>
      <c r="JZA200" s="104"/>
      <c r="JZB200" s="104"/>
      <c r="JZC200" s="104"/>
      <c r="JZD200" s="104"/>
      <c r="JZE200" s="104"/>
      <c r="JZF200" s="104"/>
      <c r="JZG200" s="104"/>
      <c r="JZH200" s="104"/>
      <c r="JZI200" s="104"/>
      <c r="JZJ200" s="104"/>
      <c r="JZK200" s="104"/>
      <c r="JZL200" s="104"/>
      <c r="JZM200" s="104"/>
      <c r="JZN200" s="104"/>
      <c r="JZO200" s="104"/>
      <c r="JZP200" s="104"/>
      <c r="JZQ200" s="104"/>
      <c r="JZR200" s="104"/>
      <c r="JZS200" s="104"/>
      <c r="JZT200" s="104"/>
      <c r="JZU200" s="104"/>
      <c r="JZV200" s="104"/>
      <c r="JZW200" s="104"/>
      <c r="JZX200" s="104"/>
      <c r="JZY200" s="104"/>
      <c r="JZZ200" s="104"/>
      <c r="KAA200" s="104"/>
      <c r="KAB200" s="104"/>
      <c r="KAC200" s="104"/>
      <c r="KAD200" s="104"/>
      <c r="KAE200" s="104"/>
      <c r="KAF200" s="104"/>
      <c r="KAG200" s="104"/>
      <c r="KAH200" s="104"/>
      <c r="KAI200" s="104"/>
      <c r="KAJ200" s="104"/>
      <c r="KAK200" s="104"/>
      <c r="KAL200" s="104"/>
      <c r="KAM200" s="104"/>
      <c r="KAN200" s="104"/>
      <c r="KAO200" s="104"/>
      <c r="KAP200" s="104"/>
      <c r="KAQ200" s="104"/>
      <c r="KAR200" s="104"/>
      <c r="KAS200" s="104"/>
      <c r="KAT200" s="104"/>
      <c r="KAU200" s="104"/>
      <c r="KAV200" s="104"/>
      <c r="KAW200" s="104"/>
      <c r="KAX200" s="104"/>
      <c r="KAY200" s="104"/>
      <c r="KAZ200" s="104"/>
      <c r="KBA200" s="104"/>
      <c r="KBB200" s="104"/>
      <c r="KBC200" s="104"/>
      <c r="KBD200" s="104"/>
      <c r="KBE200" s="104"/>
      <c r="KBF200" s="104"/>
      <c r="KBG200" s="104"/>
      <c r="KBH200" s="104"/>
      <c r="KBI200" s="104"/>
      <c r="KBJ200" s="104"/>
      <c r="KBK200" s="104"/>
      <c r="KBL200" s="104"/>
      <c r="KBM200" s="104"/>
      <c r="KBN200" s="104"/>
      <c r="KBO200" s="104"/>
      <c r="KBP200" s="104"/>
      <c r="KBQ200" s="104"/>
      <c r="KBR200" s="104"/>
      <c r="KBS200" s="104"/>
      <c r="KBT200" s="104"/>
      <c r="KBU200" s="104"/>
      <c r="KBV200" s="104"/>
      <c r="KBW200" s="104"/>
      <c r="KBX200" s="104"/>
      <c r="KBY200" s="104"/>
      <c r="KBZ200" s="104"/>
      <c r="KCA200" s="104"/>
      <c r="KCB200" s="104"/>
      <c r="KCC200" s="104"/>
      <c r="KCD200" s="104"/>
      <c r="KCE200" s="104"/>
      <c r="KCF200" s="104"/>
      <c r="KCG200" s="104"/>
      <c r="KCH200" s="104"/>
      <c r="KCI200" s="104"/>
      <c r="KCJ200" s="104"/>
      <c r="KCK200" s="104"/>
      <c r="KCL200" s="104"/>
      <c r="KCM200" s="104"/>
      <c r="KCN200" s="104"/>
      <c r="KCO200" s="104"/>
      <c r="KCP200" s="104"/>
      <c r="KCQ200" s="104"/>
      <c r="KCR200" s="104"/>
      <c r="KCS200" s="104"/>
      <c r="KCT200" s="104"/>
      <c r="KCU200" s="104"/>
      <c r="KCV200" s="104"/>
      <c r="KCW200" s="104"/>
      <c r="KCX200" s="104"/>
      <c r="KCY200" s="104"/>
      <c r="KCZ200" s="104"/>
      <c r="KDA200" s="104"/>
      <c r="KDB200" s="104"/>
      <c r="KDC200" s="104"/>
      <c r="KDD200" s="104"/>
      <c r="KDE200" s="104"/>
      <c r="KDF200" s="104"/>
      <c r="KDG200" s="104"/>
      <c r="KDH200" s="104"/>
      <c r="KDI200" s="104"/>
      <c r="KDJ200" s="104"/>
      <c r="KDK200" s="104"/>
      <c r="KDL200" s="104"/>
      <c r="KDM200" s="104"/>
      <c r="KDN200" s="104"/>
      <c r="KDO200" s="104"/>
      <c r="KDP200" s="104"/>
      <c r="KDQ200" s="104"/>
      <c r="KDR200" s="104"/>
      <c r="KDS200" s="104"/>
      <c r="KDT200" s="104"/>
      <c r="KDU200" s="104"/>
      <c r="KDV200" s="104"/>
      <c r="KDW200" s="104"/>
      <c r="KDX200" s="104"/>
      <c r="KDY200" s="104"/>
      <c r="KDZ200" s="104"/>
      <c r="KEA200" s="104"/>
      <c r="KEB200" s="104"/>
      <c r="KEC200" s="104"/>
      <c r="KED200" s="104"/>
      <c r="KEE200" s="104"/>
      <c r="KEF200" s="104"/>
      <c r="KEG200" s="104"/>
      <c r="KEH200" s="104"/>
      <c r="KEI200" s="104"/>
      <c r="KEJ200" s="104"/>
      <c r="KEK200" s="104"/>
      <c r="KEL200" s="104"/>
      <c r="KEM200" s="104"/>
      <c r="KEN200" s="104"/>
      <c r="KEO200" s="104"/>
      <c r="KEP200" s="104"/>
      <c r="KEQ200" s="104"/>
      <c r="KER200" s="104"/>
      <c r="KES200" s="104"/>
      <c r="KET200" s="104"/>
      <c r="KEU200" s="104"/>
      <c r="KEV200" s="104"/>
      <c r="KEW200" s="104"/>
      <c r="KEX200" s="104"/>
      <c r="KEY200" s="104"/>
      <c r="KEZ200" s="104"/>
      <c r="KFA200" s="104"/>
      <c r="KFB200" s="104"/>
      <c r="KFC200" s="104"/>
      <c r="KFD200" s="104"/>
      <c r="KFE200" s="104"/>
      <c r="KFF200" s="104"/>
      <c r="KFG200" s="104"/>
      <c r="KFH200" s="104"/>
      <c r="KFI200" s="104"/>
      <c r="KFJ200" s="104"/>
      <c r="KFK200" s="104"/>
      <c r="KFL200" s="104"/>
      <c r="KFM200" s="104"/>
      <c r="KFN200" s="104"/>
      <c r="KFO200" s="104"/>
      <c r="KFP200" s="104"/>
      <c r="KFQ200" s="104"/>
      <c r="KFR200" s="104"/>
      <c r="KFS200" s="104"/>
      <c r="KFT200" s="104"/>
      <c r="KFU200" s="104"/>
      <c r="KFV200" s="104"/>
      <c r="KFW200" s="104"/>
      <c r="KFX200" s="104"/>
      <c r="KFY200" s="104"/>
      <c r="KFZ200" s="104"/>
      <c r="KGA200" s="104"/>
      <c r="KGB200" s="104"/>
      <c r="KGC200" s="104"/>
      <c r="KGD200" s="104"/>
      <c r="KGE200" s="104"/>
      <c r="KGF200" s="104"/>
      <c r="KGG200" s="104"/>
      <c r="KGH200" s="104"/>
      <c r="KGI200" s="104"/>
      <c r="KGJ200" s="104"/>
      <c r="KGK200" s="104"/>
      <c r="KGL200" s="104"/>
      <c r="KGM200" s="104"/>
      <c r="KGN200" s="104"/>
      <c r="KGO200" s="104"/>
      <c r="KGP200" s="104"/>
      <c r="KGQ200" s="104"/>
      <c r="KGR200" s="104"/>
      <c r="KGS200" s="104"/>
      <c r="KGT200" s="104"/>
      <c r="KGU200" s="104"/>
      <c r="KGV200" s="104"/>
      <c r="KGW200" s="104"/>
      <c r="KGX200" s="104"/>
      <c r="KGY200" s="104"/>
      <c r="KGZ200" s="104"/>
      <c r="KHA200" s="104"/>
      <c r="KHB200" s="104"/>
      <c r="KHC200" s="104"/>
      <c r="KHD200" s="104"/>
      <c r="KHE200" s="104"/>
      <c r="KHF200" s="104"/>
      <c r="KHG200" s="104"/>
      <c r="KHH200" s="104"/>
      <c r="KHI200" s="104"/>
      <c r="KHJ200" s="104"/>
      <c r="KHK200" s="104"/>
      <c r="KHL200" s="104"/>
      <c r="KHM200" s="104"/>
      <c r="KHN200" s="104"/>
      <c r="KHO200" s="104"/>
      <c r="KHP200" s="104"/>
      <c r="KHQ200" s="104"/>
      <c r="KHR200" s="104"/>
      <c r="KHS200" s="104"/>
      <c r="KHT200" s="104"/>
      <c r="KHU200" s="104"/>
      <c r="KHV200" s="104"/>
      <c r="KHW200" s="104"/>
      <c r="KHX200" s="104"/>
      <c r="KHY200" s="104"/>
      <c r="KHZ200" s="104"/>
      <c r="KIA200" s="104"/>
      <c r="KIB200" s="104"/>
      <c r="KIC200" s="104"/>
      <c r="KID200" s="104"/>
      <c r="KIE200" s="104"/>
      <c r="KIF200" s="104"/>
      <c r="KIG200" s="104"/>
      <c r="KIH200" s="104"/>
      <c r="KII200" s="104"/>
      <c r="KIJ200" s="104"/>
      <c r="KIK200" s="104"/>
      <c r="KIL200" s="104"/>
      <c r="KIM200" s="104"/>
      <c r="KIN200" s="104"/>
      <c r="KIO200" s="104"/>
      <c r="KIP200" s="104"/>
      <c r="KIQ200" s="104"/>
      <c r="KIR200" s="104"/>
      <c r="KIS200" s="104"/>
      <c r="KIT200" s="104"/>
      <c r="KIU200" s="104"/>
      <c r="KIV200" s="104"/>
      <c r="KIW200" s="104"/>
      <c r="KIX200" s="104"/>
      <c r="KIY200" s="104"/>
      <c r="KIZ200" s="104"/>
      <c r="KJA200" s="104"/>
      <c r="KJB200" s="104"/>
      <c r="KJC200" s="104"/>
      <c r="KJD200" s="104"/>
      <c r="KJE200" s="104"/>
      <c r="KJF200" s="104"/>
      <c r="KJG200" s="104"/>
      <c r="KJH200" s="104"/>
      <c r="KJI200" s="104"/>
      <c r="KJJ200" s="104"/>
      <c r="KJK200" s="104"/>
      <c r="KJL200" s="104"/>
      <c r="KJM200" s="104"/>
      <c r="KJN200" s="104"/>
      <c r="KJO200" s="104"/>
      <c r="KJP200" s="104"/>
      <c r="KJQ200" s="104"/>
      <c r="KJR200" s="104"/>
      <c r="KJS200" s="104"/>
      <c r="KJT200" s="104"/>
      <c r="KJU200" s="104"/>
      <c r="KJV200" s="104"/>
      <c r="KJW200" s="104"/>
      <c r="KJX200" s="104"/>
      <c r="KJY200" s="104"/>
      <c r="KJZ200" s="104"/>
      <c r="KKA200" s="104"/>
      <c r="KKB200" s="104"/>
      <c r="KKC200" s="104"/>
      <c r="KKD200" s="104"/>
      <c r="KKE200" s="104"/>
      <c r="KKF200" s="104"/>
      <c r="KKG200" s="104"/>
      <c r="KKH200" s="104"/>
      <c r="KKI200" s="104"/>
      <c r="KKJ200" s="104"/>
      <c r="KKK200" s="104"/>
      <c r="KKL200" s="104"/>
      <c r="KKM200" s="104"/>
      <c r="KKN200" s="104"/>
      <c r="KKO200" s="104"/>
      <c r="KKP200" s="104"/>
      <c r="KKQ200" s="104"/>
      <c r="KKR200" s="104"/>
      <c r="KKS200" s="104"/>
      <c r="KKT200" s="104"/>
      <c r="KKU200" s="104"/>
      <c r="KKV200" s="104"/>
      <c r="KKW200" s="104"/>
      <c r="KKX200" s="104"/>
      <c r="KKY200" s="104"/>
      <c r="KKZ200" s="104"/>
      <c r="KLA200" s="104"/>
      <c r="KLB200" s="104"/>
      <c r="KLC200" s="104"/>
      <c r="KLD200" s="104"/>
      <c r="KLE200" s="104"/>
      <c r="KLF200" s="104"/>
      <c r="KLG200" s="104"/>
      <c r="KLH200" s="104"/>
      <c r="KLI200" s="104"/>
      <c r="KLJ200" s="104"/>
      <c r="KLK200" s="104"/>
      <c r="KLL200" s="104"/>
      <c r="KLM200" s="104"/>
      <c r="KLN200" s="104"/>
      <c r="KLO200" s="104"/>
      <c r="KLP200" s="104"/>
      <c r="KLQ200" s="104"/>
      <c r="KLR200" s="104"/>
      <c r="KLS200" s="104"/>
      <c r="KLT200" s="104"/>
      <c r="KLU200" s="104"/>
      <c r="KLV200" s="104"/>
      <c r="KLW200" s="104"/>
      <c r="KLX200" s="104"/>
      <c r="KLY200" s="104"/>
      <c r="KLZ200" s="104"/>
      <c r="KMA200" s="104"/>
      <c r="KMB200" s="104"/>
      <c r="KMC200" s="104"/>
      <c r="KMD200" s="104"/>
      <c r="KME200" s="104"/>
      <c r="KMF200" s="104"/>
      <c r="KMG200" s="104"/>
      <c r="KMH200" s="104"/>
      <c r="KMI200" s="104"/>
      <c r="KMJ200" s="104"/>
      <c r="KMK200" s="104"/>
      <c r="KML200" s="104"/>
      <c r="KMM200" s="104"/>
      <c r="KMN200" s="104"/>
      <c r="KMO200" s="104"/>
      <c r="KMP200" s="104"/>
      <c r="KMQ200" s="104"/>
      <c r="KMR200" s="104"/>
      <c r="KMS200" s="104"/>
      <c r="KMT200" s="104"/>
      <c r="KMU200" s="104"/>
      <c r="KMV200" s="104"/>
      <c r="KMW200" s="104"/>
      <c r="KMX200" s="104"/>
      <c r="KMY200" s="104"/>
      <c r="KMZ200" s="104"/>
      <c r="KNA200" s="104"/>
      <c r="KNB200" s="104"/>
      <c r="KNC200" s="104"/>
      <c r="KND200" s="104"/>
      <c r="KNE200" s="104"/>
      <c r="KNF200" s="104"/>
      <c r="KNG200" s="104"/>
      <c r="KNH200" s="104"/>
      <c r="KNI200" s="104"/>
      <c r="KNJ200" s="104"/>
      <c r="KNK200" s="104"/>
      <c r="KNL200" s="104"/>
      <c r="KNM200" s="104"/>
      <c r="KNN200" s="104"/>
      <c r="KNO200" s="104"/>
      <c r="KNP200" s="104"/>
      <c r="KNQ200" s="104"/>
      <c r="KNR200" s="104"/>
      <c r="KNS200" s="104"/>
      <c r="KNT200" s="104"/>
      <c r="KNU200" s="104"/>
      <c r="KNV200" s="104"/>
      <c r="KNW200" s="104"/>
      <c r="KNX200" s="104"/>
      <c r="KNY200" s="104"/>
      <c r="KNZ200" s="104"/>
      <c r="KOA200" s="104"/>
      <c r="KOB200" s="104"/>
      <c r="KOC200" s="104"/>
      <c r="KOD200" s="104"/>
      <c r="KOE200" s="104"/>
      <c r="KOF200" s="104"/>
      <c r="KOG200" s="104"/>
      <c r="KOH200" s="104"/>
      <c r="KOI200" s="104"/>
      <c r="KOJ200" s="104"/>
      <c r="KOK200" s="104"/>
      <c r="KOL200" s="104"/>
      <c r="KOM200" s="104"/>
      <c r="KON200" s="104"/>
      <c r="KOO200" s="104"/>
      <c r="KOP200" s="104"/>
      <c r="KOQ200" s="104"/>
      <c r="KOR200" s="104"/>
      <c r="KOS200" s="104"/>
      <c r="KOT200" s="104"/>
      <c r="KOU200" s="104"/>
      <c r="KOV200" s="104"/>
      <c r="KOW200" s="104"/>
      <c r="KOX200" s="104"/>
      <c r="KOY200" s="104"/>
      <c r="KOZ200" s="104"/>
      <c r="KPA200" s="104"/>
      <c r="KPB200" s="104"/>
      <c r="KPC200" s="104"/>
      <c r="KPD200" s="104"/>
      <c r="KPE200" s="104"/>
      <c r="KPF200" s="104"/>
      <c r="KPG200" s="104"/>
      <c r="KPH200" s="104"/>
      <c r="KPI200" s="104"/>
      <c r="KPJ200" s="104"/>
      <c r="KPK200" s="104"/>
      <c r="KPL200" s="104"/>
      <c r="KPM200" s="104"/>
      <c r="KPN200" s="104"/>
      <c r="KPO200" s="104"/>
      <c r="KPP200" s="104"/>
      <c r="KPQ200" s="104"/>
      <c r="KPR200" s="104"/>
      <c r="KPS200" s="104"/>
      <c r="KPT200" s="104"/>
      <c r="KPU200" s="104"/>
      <c r="KPV200" s="104"/>
      <c r="KPW200" s="104"/>
      <c r="KPX200" s="104"/>
      <c r="KPY200" s="104"/>
      <c r="KPZ200" s="104"/>
      <c r="KQA200" s="104"/>
      <c r="KQB200" s="104"/>
      <c r="KQC200" s="104"/>
      <c r="KQD200" s="104"/>
      <c r="KQE200" s="104"/>
      <c r="KQF200" s="104"/>
      <c r="KQG200" s="104"/>
      <c r="KQH200" s="104"/>
      <c r="KQI200" s="104"/>
      <c r="KQJ200" s="104"/>
      <c r="KQK200" s="104"/>
      <c r="KQL200" s="104"/>
      <c r="KQM200" s="104"/>
      <c r="KQN200" s="104"/>
      <c r="KQO200" s="104"/>
      <c r="KQP200" s="104"/>
      <c r="KQQ200" s="104"/>
      <c r="KQR200" s="104"/>
      <c r="KQS200" s="104"/>
      <c r="KQT200" s="104"/>
      <c r="KQU200" s="104"/>
      <c r="KQV200" s="104"/>
      <c r="KQW200" s="104"/>
      <c r="KQX200" s="104"/>
      <c r="KQY200" s="104"/>
      <c r="KQZ200" s="104"/>
      <c r="KRA200" s="104"/>
      <c r="KRB200" s="104"/>
      <c r="KRC200" s="104"/>
      <c r="KRD200" s="104"/>
      <c r="KRE200" s="104"/>
      <c r="KRF200" s="104"/>
      <c r="KRG200" s="104"/>
      <c r="KRH200" s="104"/>
      <c r="KRI200" s="104"/>
      <c r="KRJ200" s="104"/>
      <c r="KRK200" s="104"/>
      <c r="KRL200" s="104"/>
      <c r="KRM200" s="104"/>
      <c r="KRN200" s="104"/>
      <c r="KRO200" s="104"/>
      <c r="KRP200" s="104"/>
      <c r="KRQ200" s="104"/>
      <c r="KRR200" s="104"/>
      <c r="KRS200" s="104"/>
      <c r="KRT200" s="104"/>
      <c r="KRU200" s="104"/>
      <c r="KRV200" s="104"/>
      <c r="KRW200" s="104"/>
      <c r="KRX200" s="104"/>
      <c r="KRY200" s="104"/>
      <c r="KRZ200" s="104"/>
      <c r="KSA200" s="104"/>
      <c r="KSB200" s="104"/>
      <c r="KSC200" s="104"/>
      <c r="KSD200" s="104"/>
      <c r="KSE200" s="104"/>
      <c r="KSF200" s="104"/>
      <c r="KSG200" s="104"/>
      <c r="KSH200" s="104"/>
      <c r="KSI200" s="104"/>
      <c r="KSJ200" s="104"/>
      <c r="KSK200" s="104"/>
      <c r="KSL200" s="104"/>
      <c r="KSM200" s="104"/>
      <c r="KSN200" s="104"/>
      <c r="KSO200" s="104"/>
      <c r="KSP200" s="104"/>
      <c r="KSQ200" s="104"/>
      <c r="KSR200" s="104"/>
      <c r="KSS200" s="104"/>
      <c r="KST200" s="104"/>
      <c r="KSU200" s="104"/>
      <c r="KSV200" s="104"/>
      <c r="KSW200" s="104"/>
      <c r="KSX200" s="104"/>
      <c r="KSY200" s="104"/>
      <c r="KSZ200" s="104"/>
      <c r="KTA200" s="104"/>
      <c r="KTB200" s="104"/>
      <c r="KTC200" s="104"/>
      <c r="KTD200" s="104"/>
      <c r="KTE200" s="104"/>
      <c r="KTF200" s="104"/>
      <c r="KTG200" s="104"/>
      <c r="KTH200" s="104"/>
      <c r="KTI200" s="104"/>
      <c r="KTJ200" s="104"/>
      <c r="KTK200" s="104"/>
      <c r="KTL200" s="104"/>
      <c r="KTM200" s="104"/>
      <c r="KTN200" s="104"/>
      <c r="KTO200" s="104"/>
      <c r="KTP200" s="104"/>
      <c r="KTQ200" s="104"/>
      <c r="KTR200" s="104"/>
      <c r="KTS200" s="104"/>
      <c r="KTT200" s="104"/>
      <c r="KTU200" s="104"/>
      <c r="KTV200" s="104"/>
      <c r="KTW200" s="104"/>
      <c r="KTX200" s="104"/>
      <c r="KTY200" s="104"/>
      <c r="KTZ200" s="104"/>
      <c r="KUA200" s="104"/>
      <c r="KUB200" s="104"/>
      <c r="KUC200" s="104"/>
      <c r="KUD200" s="104"/>
      <c r="KUE200" s="104"/>
      <c r="KUF200" s="104"/>
      <c r="KUG200" s="104"/>
      <c r="KUH200" s="104"/>
      <c r="KUI200" s="104"/>
      <c r="KUJ200" s="104"/>
      <c r="KUK200" s="104"/>
      <c r="KUL200" s="104"/>
      <c r="KUM200" s="104"/>
      <c r="KUN200" s="104"/>
      <c r="KUO200" s="104"/>
      <c r="KUP200" s="104"/>
      <c r="KUQ200" s="104"/>
      <c r="KUR200" s="104"/>
      <c r="KUS200" s="104"/>
      <c r="KUT200" s="104"/>
      <c r="KUU200" s="104"/>
      <c r="KUV200" s="104"/>
      <c r="KUW200" s="104"/>
      <c r="KUX200" s="104"/>
      <c r="KUY200" s="104"/>
      <c r="KUZ200" s="104"/>
      <c r="KVA200" s="104"/>
      <c r="KVB200" s="104"/>
      <c r="KVC200" s="104"/>
      <c r="KVD200" s="104"/>
      <c r="KVE200" s="104"/>
      <c r="KVF200" s="104"/>
      <c r="KVG200" s="104"/>
      <c r="KVH200" s="104"/>
      <c r="KVI200" s="104"/>
      <c r="KVJ200" s="104"/>
      <c r="KVK200" s="104"/>
      <c r="KVL200" s="104"/>
      <c r="KVM200" s="104"/>
      <c r="KVN200" s="104"/>
      <c r="KVO200" s="104"/>
      <c r="KVP200" s="104"/>
      <c r="KVQ200" s="104"/>
      <c r="KVR200" s="104"/>
      <c r="KVS200" s="104"/>
      <c r="KVT200" s="104"/>
      <c r="KVU200" s="104"/>
      <c r="KVV200" s="104"/>
      <c r="KVW200" s="104"/>
      <c r="KVX200" s="104"/>
      <c r="KVY200" s="104"/>
      <c r="KVZ200" s="104"/>
      <c r="KWA200" s="104"/>
      <c r="KWB200" s="104"/>
      <c r="KWC200" s="104"/>
      <c r="KWD200" s="104"/>
      <c r="KWE200" s="104"/>
      <c r="KWF200" s="104"/>
      <c r="KWG200" s="104"/>
      <c r="KWH200" s="104"/>
      <c r="KWI200" s="104"/>
      <c r="KWJ200" s="104"/>
      <c r="KWK200" s="104"/>
      <c r="KWL200" s="104"/>
      <c r="KWM200" s="104"/>
      <c r="KWN200" s="104"/>
      <c r="KWO200" s="104"/>
      <c r="KWP200" s="104"/>
      <c r="KWQ200" s="104"/>
      <c r="KWR200" s="104"/>
      <c r="KWS200" s="104"/>
      <c r="KWT200" s="104"/>
      <c r="KWU200" s="104"/>
      <c r="KWV200" s="104"/>
      <c r="KWW200" s="104"/>
      <c r="KWX200" s="104"/>
      <c r="KWY200" s="104"/>
      <c r="KWZ200" s="104"/>
      <c r="KXA200" s="104"/>
      <c r="KXB200" s="104"/>
      <c r="KXC200" s="104"/>
      <c r="KXD200" s="104"/>
      <c r="KXE200" s="104"/>
      <c r="KXF200" s="104"/>
      <c r="KXG200" s="104"/>
      <c r="KXH200" s="104"/>
      <c r="KXI200" s="104"/>
      <c r="KXJ200" s="104"/>
      <c r="KXK200" s="104"/>
      <c r="KXL200" s="104"/>
      <c r="KXM200" s="104"/>
      <c r="KXN200" s="104"/>
      <c r="KXO200" s="104"/>
      <c r="KXP200" s="104"/>
      <c r="KXQ200" s="104"/>
      <c r="KXR200" s="104"/>
      <c r="KXS200" s="104"/>
      <c r="KXT200" s="104"/>
      <c r="KXU200" s="104"/>
      <c r="KXV200" s="104"/>
      <c r="KXW200" s="104"/>
      <c r="KXX200" s="104"/>
      <c r="KXY200" s="104"/>
      <c r="KXZ200" s="104"/>
      <c r="KYA200" s="104"/>
      <c r="KYB200" s="104"/>
      <c r="KYC200" s="104"/>
      <c r="KYD200" s="104"/>
      <c r="KYE200" s="104"/>
      <c r="KYF200" s="104"/>
      <c r="KYG200" s="104"/>
      <c r="KYH200" s="104"/>
      <c r="KYI200" s="104"/>
      <c r="KYJ200" s="104"/>
      <c r="KYK200" s="104"/>
      <c r="KYL200" s="104"/>
      <c r="KYM200" s="104"/>
      <c r="KYN200" s="104"/>
      <c r="KYO200" s="104"/>
      <c r="KYP200" s="104"/>
      <c r="KYQ200" s="104"/>
      <c r="KYR200" s="104"/>
      <c r="KYS200" s="104"/>
      <c r="KYT200" s="104"/>
      <c r="KYU200" s="104"/>
      <c r="KYV200" s="104"/>
      <c r="KYW200" s="104"/>
      <c r="KYX200" s="104"/>
      <c r="KYY200" s="104"/>
      <c r="KYZ200" s="104"/>
      <c r="KZA200" s="104"/>
      <c r="KZB200" s="104"/>
      <c r="KZC200" s="104"/>
      <c r="KZD200" s="104"/>
      <c r="KZE200" s="104"/>
      <c r="KZF200" s="104"/>
      <c r="KZG200" s="104"/>
      <c r="KZH200" s="104"/>
      <c r="KZI200" s="104"/>
      <c r="KZJ200" s="104"/>
      <c r="KZK200" s="104"/>
      <c r="KZL200" s="104"/>
      <c r="KZM200" s="104"/>
      <c r="KZN200" s="104"/>
      <c r="KZO200" s="104"/>
      <c r="KZP200" s="104"/>
      <c r="KZQ200" s="104"/>
      <c r="KZR200" s="104"/>
      <c r="KZS200" s="104"/>
      <c r="KZT200" s="104"/>
      <c r="KZU200" s="104"/>
      <c r="KZV200" s="104"/>
      <c r="KZW200" s="104"/>
      <c r="KZX200" s="104"/>
      <c r="KZY200" s="104"/>
      <c r="KZZ200" s="104"/>
      <c r="LAA200" s="104"/>
      <c r="LAB200" s="104"/>
      <c r="LAC200" s="104"/>
      <c r="LAD200" s="104"/>
      <c r="LAE200" s="104"/>
      <c r="LAF200" s="104"/>
      <c r="LAG200" s="104"/>
      <c r="LAH200" s="104"/>
      <c r="LAI200" s="104"/>
      <c r="LAJ200" s="104"/>
      <c r="LAK200" s="104"/>
      <c r="LAL200" s="104"/>
      <c r="LAM200" s="104"/>
      <c r="LAN200" s="104"/>
      <c r="LAO200" s="104"/>
      <c r="LAP200" s="104"/>
      <c r="LAQ200" s="104"/>
      <c r="LAR200" s="104"/>
      <c r="LAS200" s="104"/>
      <c r="LAT200" s="104"/>
      <c r="LAU200" s="104"/>
      <c r="LAV200" s="104"/>
      <c r="LAW200" s="104"/>
      <c r="LAX200" s="104"/>
      <c r="LAY200" s="104"/>
      <c r="LAZ200" s="104"/>
      <c r="LBA200" s="104"/>
      <c r="LBB200" s="104"/>
      <c r="LBC200" s="104"/>
      <c r="LBD200" s="104"/>
      <c r="LBE200" s="104"/>
      <c r="LBF200" s="104"/>
      <c r="LBG200" s="104"/>
      <c r="LBH200" s="104"/>
      <c r="LBI200" s="104"/>
      <c r="LBJ200" s="104"/>
      <c r="LBK200" s="104"/>
      <c r="LBL200" s="104"/>
      <c r="LBM200" s="104"/>
      <c r="LBN200" s="104"/>
      <c r="LBO200" s="104"/>
      <c r="LBP200" s="104"/>
      <c r="LBQ200" s="104"/>
      <c r="LBR200" s="104"/>
      <c r="LBS200" s="104"/>
      <c r="LBT200" s="104"/>
      <c r="LBU200" s="104"/>
      <c r="LBV200" s="104"/>
      <c r="LBW200" s="104"/>
      <c r="LBX200" s="104"/>
      <c r="LBY200" s="104"/>
      <c r="LBZ200" s="104"/>
      <c r="LCA200" s="104"/>
      <c r="LCB200" s="104"/>
      <c r="LCC200" s="104"/>
      <c r="LCD200" s="104"/>
      <c r="LCE200" s="104"/>
      <c r="LCF200" s="104"/>
      <c r="LCG200" s="104"/>
      <c r="LCH200" s="104"/>
      <c r="LCI200" s="104"/>
      <c r="LCJ200" s="104"/>
      <c r="LCK200" s="104"/>
      <c r="LCL200" s="104"/>
      <c r="LCM200" s="104"/>
      <c r="LCN200" s="104"/>
      <c r="LCO200" s="104"/>
      <c r="LCP200" s="104"/>
      <c r="LCQ200" s="104"/>
      <c r="LCR200" s="104"/>
      <c r="LCS200" s="104"/>
      <c r="LCT200" s="104"/>
      <c r="LCU200" s="104"/>
      <c r="LCV200" s="104"/>
      <c r="LCW200" s="104"/>
      <c r="LCX200" s="104"/>
      <c r="LCY200" s="104"/>
      <c r="LCZ200" s="104"/>
      <c r="LDA200" s="104"/>
      <c r="LDB200" s="104"/>
      <c r="LDC200" s="104"/>
      <c r="LDD200" s="104"/>
      <c r="LDE200" s="104"/>
      <c r="LDF200" s="104"/>
      <c r="LDG200" s="104"/>
      <c r="LDH200" s="104"/>
      <c r="LDI200" s="104"/>
      <c r="LDJ200" s="104"/>
      <c r="LDK200" s="104"/>
      <c r="LDL200" s="104"/>
      <c r="LDM200" s="104"/>
      <c r="LDN200" s="104"/>
      <c r="LDO200" s="104"/>
      <c r="LDP200" s="104"/>
      <c r="LDQ200" s="104"/>
      <c r="LDR200" s="104"/>
      <c r="LDS200" s="104"/>
      <c r="LDT200" s="104"/>
      <c r="LDU200" s="104"/>
      <c r="LDV200" s="104"/>
      <c r="LDW200" s="104"/>
      <c r="LDX200" s="104"/>
      <c r="LDY200" s="104"/>
      <c r="LDZ200" s="104"/>
      <c r="LEA200" s="104"/>
      <c r="LEB200" s="104"/>
      <c r="LEC200" s="104"/>
      <c r="LED200" s="104"/>
      <c r="LEE200" s="104"/>
      <c r="LEF200" s="104"/>
      <c r="LEG200" s="104"/>
      <c r="LEH200" s="104"/>
      <c r="LEI200" s="104"/>
      <c r="LEJ200" s="104"/>
      <c r="LEK200" s="104"/>
      <c r="LEL200" s="104"/>
      <c r="LEM200" s="104"/>
      <c r="LEN200" s="104"/>
      <c r="LEO200" s="104"/>
      <c r="LEP200" s="104"/>
      <c r="LEQ200" s="104"/>
      <c r="LER200" s="104"/>
      <c r="LES200" s="104"/>
      <c r="LET200" s="104"/>
      <c r="LEU200" s="104"/>
      <c r="LEV200" s="104"/>
      <c r="LEW200" s="104"/>
      <c r="LEX200" s="104"/>
      <c r="LEY200" s="104"/>
      <c r="LEZ200" s="104"/>
      <c r="LFA200" s="104"/>
      <c r="LFB200" s="104"/>
      <c r="LFC200" s="104"/>
      <c r="LFD200" s="104"/>
      <c r="LFE200" s="104"/>
      <c r="LFF200" s="104"/>
      <c r="LFG200" s="104"/>
      <c r="LFH200" s="104"/>
      <c r="LFI200" s="104"/>
      <c r="LFJ200" s="104"/>
      <c r="LFK200" s="104"/>
      <c r="LFL200" s="104"/>
      <c r="LFM200" s="104"/>
      <c r="LFN200" s="104"/>
      <c r="LFO200" s="104"/>
      <c r="LFP200" s="104"/>
      <c r="LFQ200" s="104"/>
      <c r="LFR200" s="104"/>
      <c r="LFS200" s="104"/>
      <c r="LFT200" s="104"/>
      <c r="LFU200" s="104"/>
      <c r="LFV200" s="104"/>
      <c r="LFW200" s="104"/>
      <c r="LFX200" s="104"/>
      <c r="LFY200" s="104"/>
      <c r="LFZ200" s="104"/>
      <c r="LGA200" s="104"/>
      <c r="LGB200" s="104"/>
      <c r="LGC200" s="104"/>
      <c r="LGD200" s="104"/>
      <c r="LGE200" s="104"/>
      <c r="LGF200" s="104"/>
      <c r="LGG200" s="104"/>
      <c r="LGH200" s="104"/>
      <c r="LGI200" s="104"/>
      <c r="LGJ200" s="104"/>
      <c r="LGK200" s="104"/>
      <c r="LGL200" s="104"/>
      <c r="LGM200" s="104"/>
      <c r="LGN200" s="104"/>
      <c r="LGO200" s="104"/>
      <c r="LGP200" s="104"/>
      <c r="LGQ200" s="104"/>
      <c r="LGR200" s="104"/>
      <c r="LGS200" s="104"/>
      <c r="LGT200" s="104"/>
      <c r="LGU200" s="104"/>
      <c r="LGV200" s="104"/>
      <c r="LGW200" s="104"/>
      <c r="LGX200" s="104"/>
      <c r="LGY200" s="104"/>
      <c r="LGZ200" s="104"/>
      <c r="LHA200" s="104"/>
      <c r="LHB200" s="104"/>
      <c r="LHC200" s="104"/>
      <c r="LHD200" s="104"/>
      <c r="LHE200" s="104"/>
      <c r="LHF200" s="104"/>
      <c r="LHG200" s="104"/>
      <c r="LHH200" s="104"/>
      <c r="LHI200" s="104"/>
      <c r="LHJ200" s="104"/>
      <c r="LHK200" s="104"/>
      <c r="LHL200" s="104"/>
      <c r="LHM200" s="104"/>
      <c r="LHN200" s="104"/>
      <c r="LHO200" s="104"/>
      <c r="LHP200" s="104"/>
      <c r="LHQ200" s="104"/>
      <c r="LHR200" s="104"/>
      <c r="LHS200" s="104"/>
      <c r="LHT200" s="104"/>
      <c r="LHU200" s="104"/>
      <c r="LHV200" s="104"/>
      <c r="LHW200" s="104"/>
      <c r="LHX200" s="104"/>
      <c r="LHY200" s="104"/>
      <c r="LHZ200" s="104"/>
      <c r="LIA200" s="104"/>
      <c r="LIB200" s="104"/>
      <c r="LIC200" s="104"/>
      <c r="LID200" s="104"/>
      <c r="LIE200" s="104"/>
      <c r="LIF200" s="104"/>
      <c r="LIG200" s="104"/>
      <c r="LIH200" s="104"/>
      <c r="LII200" s="104"/>
      <c r="LIJ200" s="104"/>
      <c r="LIK200" s="104"/>
      <c r="LIL200" s="104"/>
      <c r="LIM200" s="104"/>
      <c r="LIN200" s="104"/>
      <c r="LIO200" s="104"/>
      <c r="LIP200" s="104"/>
      <c r="LIQ200" s="104"/>
      <c r="LIR200" s="104"/>
      <c r="LIS200" s="104"/>
      <c r="LIT200" s="104"/>
      <c r="LIU200" s="104"/>
      <c r="LIV200" s="104"/>
      <c r="LIW200" s="104"/>
      <c r="LIX200" s="104"/>
      <c r="LIY200" s="104"/>
      <c r="LIZ200" s="104"/>
      <c r="LJA200" s="104"/>
      <c r="LJB200" s="104"/>
      <c r="LJC200" s="104"/>
      <c r="LJD200" s="104"/>
      <c r="LJE200" s="104"/>
      <c r="LJF200" s="104"/>
      <c r="LJG200" s="104"/>
      <c r="LJH200" s="104"/>
      <c r="LJI200" s="104"/>
      <c r="LJJ200" s="104"/>
      <c r="LJK200" s="104"/>
      <c r="LJL200" s="104"/>
      <c r="LJM200" s="104"/>
      <c r="LJN200" s="104"/>
      <c r="LJO200" s="104"/>
      <c r="LJP200" s="104"/>
      <c r="LJQ200" s="104"/>
      <c r="LJR200" s="104"/>
      <c r="LJS200" s="104"/>
      <c r="LJT200" s="104"/>
      <c r="LJU200" s="104"/>
      <c r="LJV200" s="104"/>
      <c r="LJW200" s="104"/>
      <c r="LJX200" s="104"/>
      <c r="LJY200" s="104"/>
      <c r="LJZ200" s="104"/>
      <c r="LKA200" s="104"/>
      <c r="LKB200" s="104"/>
      <c r="LKC200" s="104"/>
      <c r="LKD200" s="104"/>
      <c r="LKE200" s="104"/>
      <c r="LKF200" s="104"/>
      <c r="LKG200" s="104"/>
      <c r="LKH200" s="104"/>
      <c r="LKI200" s="104"/>
      <c r="LKJ200" s="104"/>
      <c r="LKK200" s="104"/>
      <c r="LKL200" s="104"/>
      <c r="LKM200" s="104"/>
      <c r="LKN200" s="104"/>
      <c r="LKO200" s="104"/>
      <c r="LKP200" s="104"/>
      <c r="LKQ200" s="104"/>
      <c r="LKR200" s="104"/>
      <c r="LKS200" s="104"/>
      <c r="LKT200" s="104"/>
      <c r="LKU200" s="104"/>
      <c r="LKV200" s="104"/>
      <c r="LKW200" s="104"/>
      <c r="LKX200" s="104"/>
      <c r="LKY200" s="104"/>
      <c r="LKZ200" s="104"/>
      <c r="LLA200" s="104"/>
      <c r="LLB200" s="104"/>
      <c r="LLC200" s="104"/>
      <c r="LLD200" s="104"/>
      <c r="LLE200" s="104"/>
      <c r="LLF200" s="104"/>
      <c r="LLG200" s="104"/>
      <c r="LLH200" s="104"/>
      <c r="LLI200" s="104"/>
      <c r="LLJ200" s="104"/>
      <c r="LLK200" s="104"/>
      <c r="LLL200" s="104"/>
      <c r="LLM200" s="104"/>
      <c r="LLN200" s="104"/>
      <c r="LLO200" s="104"/>
      <c r="LLP200" s="104"/>
      <c r="LLQ200" s="104"/>
      <c r="LLR200" s="104"/>
      <c r="LLS200" s="104"/>
      <c r="LLT200" s="104"/>
      <c r="LLU200" s="104"/>
      <c r="LLV200" s="104"/>
      <c r="LLW200" s="104"/>
      <c r="LLX200" s="104"/>
      <c r="LLY200" s="104"/>
      <c r="LLZ200" s="104"/>
      <c r="LMA200" s="104"/>
      <c r="LMB200" s="104"/>
      <c r="LMC200" s="104"/>
      <c r="LMD200" s="104"/>
      <c r="LME200" s="104"/>
      <c r="LMF200" s="104"/>
      <c r="LMG200" s="104"/>
      <c r="LMH200" s="104"/>
      <c r="LMI200" s="104"/>
      <c r="LMJ200" s="104"/>
      <c r="LMK200" s="104"/>
      <c r="LML200" s="104"/>
      <c r="LMM200" s="104"/>
      <c r="LMN200" s="104"/>
      <c r="LMO200" s="104"/>
      <c r="LMP200" s="104"/>
      <c r="LMQ200" s="104"/>
      <c r="LMR200" s="104"/>
      <c r="LMS200" s="104"/>
      <c r="LMT200" s="104"/>
      <c r="LMU200" s="104"/>
      <c r="LMV200" s="104"/>
      <c r="LMW200" s="104"/>
      <c r="LMX200" s="104"/>
      <c r="LMY200" s="104"/>
      <c r="LMZ200" s="104"/>
      <c r="LNA200" s="104"/>
      <c r="LNB200" s="104"/>
      <c r="LNC200" s="104"/>
      <c r="LND200" s="104"/>
      <c r="LNE200" s="104"/>
      <c r="LNF200" s="104"/>
      <c r="LNG200" s="104"/>
      <c r="LNH200" s="104"/>
      <c r="LNI200" s="104"/>
      <c r="LNJ200" s="104"/>
      <c r="LNK200" s="104"/>
      <c r="LNL200" s="104"/>
      <c r="LNM200" s="104"/>
      <c r="LNN200" s="104"/>
      <c r="LNO200" s="104"/>
      <c r="LNP200" s="104"/>
      <c r="LNQ200" s="104"/>
      <c r="LNR200" s="104"/>
      <c r="LNS200" s="104"/>
      <c r="LNT200" s="104"/>
      <c r="LNU200" s="104"/>
      <c r="LNV200" s="104"/>
      <c r="LNW200" s="104"/>
      <c r="LNX200" s="104"/>
      <c r="LNY200" s="104"/>
      <c r="LNZ200" s="104"/>
      <c r="LOA200" s="104"/>
      <c r="LOB200" s="104"/>
      <c r="LOC200" s="104"/>
      <c r="LOD200" s="104"/>
      <c r="LOE200" s="104"/>
      <c r="LOF200" s="104"/>
      <c r="LOG200" s="104"/>
      <c r="LOH200" s="104"/>
      <c r="LOI200" s="104"/>
      <c r="LOJ200" s="104"/>
      <c r="LOK200" s="104"/>
      <c r="LOL200" s="104"/>
      <c r="LOM200" s="104"/>
      <c r="LON200" s="104"/>
      <c r="LOO200" s="104"/>
      <c r="LOP200" s="104"/>
      <c r="LOQ200" s="104"/>
      <c r="LOR200" s="104"/>
      <c r="LOS200" s="104"/>
      <c r="LOT200" s="104"/>
      <c r="LOU200" s="104"/>
      <c r="LOV200" s="104"/>
      <c r="LOW200" s="104"/>
      <c r="LOX200" s="104"/>
      <c r="LOY200" s="104"/>
      <c r="LOZ200" s="104"/>
      <c r="LPA200" s="104"/>
      <c r="LPB200" s="104"/>
      <c r="LPC200" s="104"/>
      <c r="LPD200" s="104"/>
      <c r="LPE200" s="104"/>
      <c r="LPF200" s="104"/>
      <c r="LPG200" s="104"/>
      <c r="LPH200" s="104"/>
      <c r="LPI200" s="104"/>
      <c r="LPJ200" s="104"/>
      <c r="LPK200" s="104"/>
      <c r="LPL200" s="104"/>
      <c r="LPM200" s="104"/>
      <c r="LPN200" s="104"/>
      <c r="LPO200" s="104"/>
      <c r="LPP200" s="104"/>
      <c r="LPQ200" s="104"/>
      <c r="LPR200" s="104"/>
      <c r="LPS200" s="104"/>
      <c r="LPT200" s="104"/>
      <c r="LPU200" s="104"/>
      <c r="LPV200" s="104"/>
      <c r="LPW200" s="104"/>
      <c r="LPX200" s="104"/>
      <c r="LPY200" s="104"/>
      <c r="LPZ200" s="104"/>
      <c r="LQA200" s="104"/>
      <c r="LQB200" s="104"/>
      <c r="LQC200" s="104"/>
      <c r="LQD200" s="104"/>
      <c r="LQE200" s="104"/>
      <c r="LQF200" s="104"/>
      <c r="LQG200" s="104"/>
      <c r="LQH200" s="104"/>
      <c r="LQI200" s="104"/>
      <c r="LQJ200" s="104"/>
      <c r="LQK200" s="104"/>
      <c r="LQL200" s="104"/>
      <c r="LQM200" s="104"/>
      <c r="LQN200" s="104"/>
      <c r="LQO200" s="104"/>
      <c r="LQP200" s="104"/>
      <c r="LQQ200" s="104"/>
      <c r="LQR200" s="104"/>
      <c r="LQS200" s="104"/>
      <c r="LQT200" s="104"/>
      <c r="LQU200" s="104"/>
      <c r="LQV200" s="104"/>
      <c r="LQW200" s="104"/>
      <c r="LQX200" s="104"/>
      <c r="LQY200" s="104"/>
      <c r="LQZ200" s="104"/>
      <c r="LRA200" s="104"/>
      <c r="LRB200" s="104"/>
      <c r="LRC200" s="104"/>
      <c r="LRD200" s="104"/>
      <c r="LRE200" s="104"/>
      <c r="LRF200" s="104"/>
      <c r="LRG200" s="104"/>
      <c r="LRH200" s="104"/>
      <c r="LRI200" s="104"/>
      <c r="LRJ200" s="104"/>
      <c r="LRK200" s="104"/>
      <c r="LRL200" s="104"/>
      <c r="LRM200" s="104"/>
      <c r="LRN200" s="104"/>
      <c r="LRO200" s="104"/>
      <c r="LRP200" s="104"/>
      <c r="LRQ200" s="104"/>
      <c r="LRR200" s="104"/>
      <c r="LRS200" s="104"/>
      <c r="LRT200" s="104"/>
      <c r="LRU200" s="104"/>
      <c r="LRV200" s="104"/>
      <c r="LRW200" s="104"/>
      <c r="LRX200" s="104"/>
      <c r="LRY200" s="104"/>
      <c r="LRZ200" s="104"/>
      <c r="LSA200" s="104"/>
      <c r="LSB200" s="104"/>
      <c r="LSC200" s="104"/>
      <c r="LSD200" s="104"/>
      <c r="LSE200" s="104"/>
      <c r="LSF200" s="104"/>
      <c r="LSG200" s="104"/>
      <c r="LSH200" s="104"/>
      <c r="LSI200" s="104"/>
      <c r="LSJ200" s="104"/>
      <c r="LSK200" s="104"/>
      <c r="LSL200" s="104"/>
      <c r="LSM200" s="104"/>
      <c r="LSN200" s="104"/>
      <c r="LSO200" s="104"/>
      <c r="LSP200" s="104"/>
      <c r="LSQ200" s="104"/>
      <c r="LSR200" s="104"/>
      <c r="LSS200" s="104"/>
      <c r="LST200" s="104"/>
      <c r="LSU200" s="104"/>
      <c r="LSV200" s="104"/>
      <c r="LSW200" s="104"/>
      <c r="LSX200" s="104"/>
      <c r="LSY200" s="104"/>
      <c r="LSZ200" s="104"/>
      <c r="LTA200" s="104"/>
      <c r="LTB200" s="104"/>
      <c r="LTC200" s="104"/>
      <c r="LTD200" s="104"/>
      <c r="LTE200" s="104"/>
      <c r="LTF200" s="104"/>
      <c r="LTG200" s="104"/>
      <c r="LTH200" s="104"/>
      <c r="LTI200" s="104"/>
      <c r="LTJ200" s="104"/>
      <c r="LTK200" s="104"/>
      <c r="LTL200" s="104"/>
      <c r="LTM200" s="104"/>
      <c r="LTN200" s="104"/>
      <c r="LTO200" s="104"/>
      <c r="LTP200" s="104"/>
      <c r="LTQ200" s="104"/>
      <c r="LTR200" s="104"/>
      <c r="LTS200" s="104"/>
      <c r="LTT200" s="104"/>
      <c r="LTU200" s="104"/>
      <c r="LTV200" s="104"/>
      <c r="LTW200" s="104"/>
      <c r="LTX200" s="104"/>
      <c r="LTY200" s="104"/>
      <c r="LTZ200" s="104"/>
      <c r="LUA200" s="104"/>
      <c r="LUB200" s="104"/>
      <c r="LUC200" s="104"/>
      <c r="LUD200" s="104"/>
      <c r="LUE200" s="104"/>
      <c r="LUF200" s="104"/>
      <c r="LUG200" s="104"/>
      <c r="LUH200" s="104"/>
      <c r="LUI200" s="104"/>
      <c r="LUJ200" s="104"/>
      <c r="LUK200" s="104"/>
      <c r="LUL200" s="104"/>
      <c r="LUM200" s="104"/>
      <c r="LUN200" s="104"/>
      <c r="LUO200" s="104"/>
      <c r="LUP200" s="104"/>
      <c r="LUQ200" s="104"/>
      <c r="LUR200" s="104"/>
      <c r="LUS200" s="104"/>
      <c r="LUT200" s="104"/>
      <c r="LUU200" s="104"/>
      <c r="LUV200" s="104"/>
      <c r="LUW200" s="104"/>
      <c r="LUX200" s="104"/>
      <c r="LUY200" s="104"/>
      <c r="LUZ200" s="104"/>
      <c r="LVA200" s="104"/>
      <c r="LVB200" s="104"/>
      <c r="LVC200" s="104"/>
      <c r="LVD200" s="104"/>
      <c r="LVE200" s="104"/>
      <c r="LVF200" s="104"/>
      <c r="LVG200" s="104"/>
      <c r="LVH200" s="104"/>
      <c r="LVI200" s="104"/>
      <c r="LVJ200" s="104"/>
      <c r="LVK200" s="104"/>
      <c r="LVL200" s="104"/>
      <c r="LVM200" s="104"/>
      <c r="LVN200" s="104"/>
      <c r="LVO200" s="104"/>
      <c r="LVP200" s="104"/>
      <c r="LVQ200" s="104"/>
      <c r="LVR200" s="104"/>
      <c r="LVS200" s="104"/>
      <c r="LVT200" s="104"/>
      <c r="LVU200" s="104"/>
      <c r="LVV200" s="104"/>
      <c r="LVW200" s="104"/>
      <c r="LVX200" s="104"/>
      <c r="LVY200" s="104"/>
      <c r="LVZ200" s="104"/>
      <c r="LWA200" s="104"/>
      <c r="LWB200" s="104"/>
      <c r="LWC200" s="104"/>
      <c r="LWD200" s="104"/>
      <c r="LWE200" s="104"/>
      <c r="LWF200" s="104"/>
      <c r="LWG200" s="104"/>
      <c r="LWH200" s="104"/>
      <c r="LWI200" s="104"/>
      <c r="LWJ200" s="104"/>
      <c r="LWK200" s="104"/>
      <c r="LWL200" s="104"/>
      <c r="LWM200" s="104"/>
      <c r="LWN200" s="104"/>
      <c r="LWO200" s="104"/>
      <c r="LWP200" s="104"/>
      <c r="LWQ200" s="104"/>
      <c r="LWR200" s="104"/>
      <c r="LWS200" s="104"/>
      <c r="LWT200" s="104"/>
      <c r="LWU200" s="104"/>
      <c r="LWV200" s="104"/>
      <c r="LWW200" s="104"/>
      <c r="LWX200" s="104"/>
      <c r="LWY200" s="104"/>
      <c r="LWZ200" s="104"/>
      <c r="LXA200" s="104"/>
      <c r="LXB200" s="104"/>
      <c r="LXC200" s="104"/>
      <c r="LXD200" s="104"/>
      <c r="LXE200" s="104"/>
      <c r="LXF200" s="104"/>
      <c r="LXG200" s="104"/>
      <c r="LXH200" s="104"/>
      <c r="LXI200" s="104"/>
      <c r="LXJ200" s="104"/>
      <c r="LXK200" s="104"/>
      <c r="LXL200" s="104"/>
      <c r="LXM200" s="104"/>
      <c r="LXN200" s="104"/>
      <c r="LXO200" s="104"/>
      <c r="LXP200" s="104"/>
      <c r="LXQ200" s="104"/>
      <c r="LXR200" s="104"/>
      <c r="LXS200" s="104"/>
      <c r="LXT200" s="104"/>
      <c r="LXU200" s="104"/>
      <c r="LXV200" s="104"/>
      <c r="LXW200" s="104"/>
      <c r="LXX200" s="104"/>
      <c r="LXY200" s="104"/>
      <c r="LXZ200" s="104"/>
      <c r="LYA200" s="104"/>
      <c r="LYB200" s="104"/>
      <c r="LYC200" s="104"/>
      <c r="LYD200" s="104"/>
      <c r="LYE200" s="104"/>
      <c r="LYF200" s="104"/>
      <c r="LYG200" s="104"/>
      <c r="LYH200" s="104"/>
      <c r="LYI200" s="104"/>
      <c r="LYJ200" s="104"/>
      <c r="LYK200" s="104"/>
      <c r="LYL200" s="104"/>
      <c r="LYM200" s="104"/>
      <c r="LYN200" s="104"/>
      <c r="LYO200" s="104"/>
      <c r="LYP200" s="104"/>
      <c r="LYQ200" s="104"/>
      <c r="LYR200" s="104"/>
      <c r="LYS200" s="104"/>
      <c r="LYT200" s="104"/>
      <c r="LYU200" s="104"/>
      <c r="LYV200" s="104"/>
      <c r="LYW200" s="104"/>
      <c r="LYX200" s="104"/>
      <c r="LYY200" s="104"/>
      <c r="LYZ200" s="104"/>
      <c r="LZA200" s="104"/>
      <c r="LZB200" s="104"/>
      <c r="LZC200" s="104"/>
      <c r="LZD200" s="104"/>
      <c r="LZE200" s="104"/>
      <c r="LZF200" s="104"/>
      <c r="LZG200" s="104"/>
      <c r="LZH200" s="104"/>
      <c r="LZI200" s="104"/>
      <c r="LZJ200" s="104"/>
      <c r="LZK200" s="104"/>
      <c r="LZL200" s="104"/>
      <c r="LZM200" s="104"/>
      <c r="LZN200" s="104"/>
      <c r="LZO200" s="104"/>
      <c r="LZP200" s="104"/>
      <c r="LZQ200" s="104"/>
      <c r="LZR200" s="104"/>
      <c r="LZS200" s="104"/>
      <c r="LZT200" s="104"/>
      <c r="LZU200" s="104"/>
      <c r="LZV200" s="104"/>
      <c r="LZW200" s="104"/>
      <c r="LZX200" s="104"/>
      <c r="LZY200" s="104"/>
      <c r="LZZ200" s="104"/>
      <c r="MAA200" s="104"/>
      <c r="MAB200" s="104"/>
      <c r="MAC200" s="104"/>
      <c r="MAD200" s="104"/>
      <c r="MAE200" s="104"/>
      <c r="MAF200" s="104"/>
      <c r="MAG200" s="104"/>
      <c r="MAH200" s="104"/>
      <c r="MAI200" s="104"/>
      <c r="MAJ200" s="104"/>
      <c r="MAK200" s="104"/>
      <c r="MAL200" s="104"/>
      <c r="MAM200" s="104"/>
      <c r="MAN200" s="104"/>
      <c r="MAO200" s="104"/>
      <c r="MAP200" s="104"/>
      <c r="MAQ200" s="104"/>
      <c r="MAR200" s="104"/>
      <c r="MAS200" s="104"/>
      <c r="MAT200" s="104"/>
      <c r="MAU200" s="104"/>
      <c r="MAV200" s="104"/>
      <c r="MAW200" s="104"/>
      <c r="MAX200" s="104"/>
      <c r="MAY200" s="104"/>
      <c r="MAZ200" s="104"/>
      <c r="MBA200" s="104"/>
      <c r="MBB200" s="104"/>
      <c r="MBC200" s="104"/>
      <c r="MBD200" s="104"/>
      <c r="MBE200" s="104"/>
      <c r="MBF200" s="104"/>
      <c r="MBG200" s="104"/>
      <c r="MBH200" s="104"/>
      <c r="MBI200" s="104"/>
      <c r="MBJ200" s="104"/>
      <c r="MBK200" s="104"/>
      <c r="MBL200" s="104"/>
      <c r="MBM200" s="104"/>
      <c r="MBN200" s="104"/>
      <c r="MBO200" s="104"/>
      <c r="MBP200" s="104"/>
      <c r="MBQ200" s="104"/>
      <c r="MBR200" s="104"/>
      <c r="MBS200" s="104"/>
      <c r="MBT200" s="104"/>
      <c r="MBU200" s="104"/>
      <c r="MBV200" s="104"/>
      <c r="MBW200" s="104"/>
      <c r="MBX200" s="104"/>
      <c r="MBY200" s="104"/>
      <c r="MBZ200" s="104"/>
      <c r="MCA200" s="104"/>
      <c r="MCB200" s="104"/>
      <c r="MCC200" s="104"/>
      <c r="MCD200" s="104"/>
      <c r="MCE200" s="104"/>
      <c r="MCF200" s="104"/>
      <c r="MCG200" s="104"/>
      <c r="MCH200" s="104"/>
      <c r="MCI200" s="104"/>
      <c r="MCJ200" s="104"/>
      <c r="MCK200" s="104"/>
      <c r="MCL200" s="104"/>
      <c r="MCM200" s="104"/>
      <c r="MCN200" s="104"/>
      <c r="MCO200" s="104"/>
      <c r="MCP200" s="104"/>
      <c r="MCQ200" s="104"/>
      <c r="MCR200" s="104"/>
      <c r="MCS200" s="104"/>
      <c r="MCT200" s="104"/>
      <c r="MCU200" s="104"/>
      <c r="MCV200" s="104"/>
      <c r="MCW200" s="104"/>
      <c r="MCX200" s="104"/>
      <c r="MCY200" s="104"/>
      <c r="MCZ200" s="104"/>
      <c r="MDA200" s="104"/>
      <c r="MDB200" s="104"/>
      <c r="MDC200" s="104"/>
      <c r="MDD200" s="104"/>
      <c r="MDE200" s="104"/>
      <c r="MDF200" s="104"/>
      <c r="MDG200" s="104"/>
      <c r="MDH200" s="104"/>
      <c r="MDI200" s="104"/>
      <c r="MDJ200" s="104"/>
      <c r="MDK200" s="104"/>
      <c r="MDL200" s="104"/>
      <c r="MDM200" s="104"/>
      <c r="MDN200" s="104"/>
      <c r="MDO200" s="104"/>
      <c r="MDP200" s="104"/>
      <c r="MDQ200" s="104"/>
      <c r="MDR200" s="104"/>
      <c r="MDS200" s="104"/>
      <c r="MDT200" s="104"/>
      <c r="MDU200" s="104"/>
      <c r="MDV200" s="104"/>
      <c r="MDW200" s="104"/>
      <c r="MDX200" s="104"/>
      <c r="MDY200" s="104"/>
      <c r="MDZ200" s="104"/>
      <c r="MEA200" s="104"/>
      <c r="MEB200" s="104"/>
      <c r="MEC200" s="104"/>
      <c r="MED200" s="104"/>
      <c r="MEE200" s="104"/>
      <c r="MEF200" s="104"/>
      <c r="MEG200" s="104"/>
      <c r="MEH200" s="104"/>
      <c r="MEI200" s="104"/>
      <c r="MEJ200" s="104"/>
      <c r="MEK200" s="104"/>
      <c r="MEL200" s="104"/>
      <c r="MEM200" s="104"/>
      <c r="MEN200" s="104"/>
      <c r="MEO200" s="104"/>
      <c r="MEP200" s="104"/>
      <c r="MEQ200" s="104"/>
      <c r="MER200" s="104"/>
      <c r="MES200" s="104"/>
      <c r="MET200" s="104"/>
      <c r="MEU200" s="104"/>
      <c r="MEV200" s="104"/>
      <c r="MEW200" s="104"/>
      <c r="MEX200" s="104"/>
      <c r="MEY200" s="104"/>
      <c r="MEZ200" s="104"/>
      <c r="MFA200" s="104"/>
      <c r="MFB200" s="104"/>
      <c r="MFC200" s="104"/>
      <c r="MFD200" s="104"/>
      <c r="MFE200" s="104"/>
      <c r="MFF200" s="104"/>
      <c r="MFG200" s="104"/>
      <c r="MFH200" s="104"/>
      <c r="MFI200" s="104"/>
      <c r="MFJ200" s="104"/>
      <c r="MFK200" s="104"/>
      <c r="MFL200" s="104"/>
      <c r="MFM200" s="104"/>
      <c r="MFN200" s="104"/>
      <c r="MFO200" s="104"/>
      <c r="MFP200" s="104"/>
      <c r="MFQ200" s="104"/>
      <c r="MFR200" s="104"/>
      <c r="MFS200" s="104"/>
      <c r="MFT200" s="104"/>
      <c r="MFU200" s="104"/>
      <c r="MFV200" s="104"/>
      <c r="MFW200" s="104"/>
      <c r="MFX200" s="104"/>
      <c r="MFY200" s="104"/>
      <c r="MFZ200" s="104"/>
      <c r="MGA200" s="104"/>
      <c r="MGB200" s="104"/>
      <c r="MGC200" s="104"/>
      <c r="MGD200" s="104"/>
      <c r="MGE200" s="104"/>
      <c r="MGF200" s="104"/>
      <c r="MGG200" s="104"/>
      <c r="MGH200" s="104"/>
      <c r="MGI200" s="104"/>
      <c r="MGJ200" s="104"/>
      <c r="MGK200" s="104"/>
      <c r="MGL200" s="104"/>
      <c r="MGM200" s="104"/>
      <c r="MGN200" s="104"/>
      <c r="MGO200" s="104"/>
      <c r="MGP200" s="104"/>
      <c r="MGQ200" s="104"/>
      <c r="MGR200" s="104"/>
      <c r="MGS200" s="104"/>
      <c r="MGT200" s="104"/>
      <c r="MGU200" s="104"/>
      <c r="MGV200" s="104"/>
      <c r="MGW200" s="104"/>
      <c r="MGX200" s="104"/>
      <c r="MGY200" s="104"/>
      <c r="MGZ200" s="104"/>
      <c r="MHA200" s="104"/>
      <c r="MHB200" s="104"/>
      <c r="MHC200" s="104"/>
      <c r="MHD200" s="104"/>
      <c r="MHE200" s="104"/>
      <c r="MHF200" s="104"/>
      <c r="MHG200" s="104"/>
      <c r="MHH200" s="104"/>
      <c r="MHI200" s="104"/>
      <c r="MHJ200" s="104"/>
      <c r="MHK200" s="104"/>
      <c r="MHL200" s="104"/>
      <c r="MHM200" s="104"/>
      <c r="MHN200" s="104"/>
      <c r="MHO200" s="104"/>
      <c r="MHP200" s="104"/>
      <c r="MHQ200" s="104"/>
      <c r="MHR200" s="104"/>
      <c r="MHS200" s="104"/>
      <c r="MHT200" s="104"/>
      <c r="MHU200" s="104"/>
      <c r="MHV200" s="104"/>
      <c r="MHW200" s="104"/>
      <c r="MHX200" s="104"/>
      <c r="MHY200" s="104"/>
      <c r="MHZ200" s="104"/>
      <c r="MIA200" s="104"/>
      <c r="MIB200" s="104"/>
      <c r="MIC200" s="104"/>
      <c r="MID200" s="104"/>
      <c r="MIE200" s="104"/>
      <c r="MIF200" s="104"/>
      <c r="MIG200" s="104"/>
      <c r="MIH200" s="104"/>
      <c r="MII200" s="104"/>
      <c r="MIJ200" s="104"/>
      <c r="MIK200" s="104"/>
      <c r="MIL200" s="104"/>
      <c r="MIM200" s="104"/>
      <c r="MIN200" s="104"/>
      <c r="MIO200" s="104"/>
      <c r="MIP200" s="104"/>
      <c r="MIQ200" s="104"/>
      <c r="MIR200" s="104"/>
      <c r="MIS200" s="104"/>
      <c r="MIT200" s="104"/>
      <c r="MIU200" s="104"/>
      <c r="MIV200" s="104"/>
      <c r="MIW200" s="104"/>
      <c r="MIX200" s="104"/>
      <c r="MIY200" s="104"/>
      <c r="MIZ200" s="104"/>
      <c r="MJA200" s="104"/>
      <c r="MJB200" s="104"/>
      <c r="MJC200" s="104"/>
      <c r="MJD200" s="104"/>
      <c r="MJE200" s="104"/>
      <c r="MJF200" s="104"/>
      <c r="MJG200" s="104"/>
      <c r="MJH200" s="104"/>
      <c r="MJI200" s="104"/>
      <c r="MJJ200" s="104"/>
      <c r="MJK200" s="104"/>
      <c r="MJL200" s="104"/>
      <c r="MJM200" s="104"/>
      <c r="MJN200" s="104"/>
      <c r="MJO200" s="104"/>
      <c r="MJP200" s="104"/>
      <c r="MJQ200" s="104"/>
      <c r="MJR200" s="104"/>
      <c r="MJS200" s="104"/>
      <c r="MJT200" s="104"/>
      <c r="MJU200" s="104"/>
      <c r="MJV200" s="104"/>
      <c r="MJW200" s="104"/>
      <c r="MJX200" s="104"/>
      <c r="MJY200" s="104"/>
      <c r="MJZ200" s="104"/>
      <c r="MKA200" s="104"/>
      <c r="MKB200" s="104"/>
      <c r="MKC200" s="104"/>
      <c r="MKD200" s="104"/>
      <c r="MKE200" s="104"/>
      <c r="MKF200" s="104"/>
      <c r="MKG200" s="104"/>
      <c r="MKH200" s="104"/>
      <c r="MKI200" s="104"/>
      <c r="MKJ200" s="104"/>
      <c r="MKK200" s="104"/>
      <c r="MKL200" s="104"/>
      <c r="MKM200" s="104"/>
      <c r="MKN200" s="104"/>
      <c r="MKO200" s="104"/>
      <c r="MKP200" s="104"/>
      <c r="MKQ200" s="104"/>
      <c r="MKR200" s="104"/>
      <c r="MKS200" s="104"/>
      <c r="MKT200" s="104"/>
      <c r="MKU200" s="104"/>
      <c r="MKV200" s="104"/>
      <c r="MKW200" s="104"/>
      <c r="MKX200" s="104"/>
      <c r="MKY200" s="104"/>
      <c r="MKZ200" s="104"/>
      <c r="MLA200" s="104"/>
      <c r="MLB200" s="104"/>
      <c r="MLC200" s="104"/>
      <c r="MLD200" s="104"/>
      <c r="MLE200" s="104"/>
      <c r="MLF200" s="104"/>
      <c r="MLG200" s="104"/>
      <c r="MLH200" s="104"/>
      <c r="MLI200" s="104"/>
      <c r="MLJ200" s="104"/>
      <c r="MLK200" s="104"/>
      <c r="MLL200" s="104"/>
      <c r="MLM200" s="104"/>
      <c r="MLN200" s="104"/>
      <c r="MLO200" s="104"/>
      <c r="MLP200" s="104"/>
      <c r="MLQ200" s="104"/>
      <c r="MLR200" s="104"/>
      <c r="MLS200" s="104"/>
      <c r="MLT200" s="104"/>
      <c r="MLU200" s="104"/>
      <c r="MLV200" s="104"/>
      <c r="MLW200" s="104"/>
      <c r="MLX200" s="104"/>
      <c r="MLY200" s="104"/>
      <c r="MLZ200" s="104"/>
      <c r="MMA200" s="104"/>
      <c r="MMB200" s="104"/>
      <c r="MMC200" s="104"/>
      <c r="MMD200" s="104"/>
      <c r="MME200" s="104"/>
      <c r="MMF200" s="104"/>
      <c r="MMG200" s="104"/>
      <c r="MMH200" s="104"/>
      <c r="MMI200" s="104"/>
      <c r="MMJ200" s="104"/>
      <c r="MMK200" s="104"/>
      <c r="MML200" s="104"/>
      <c r="MMM200" s="104"/>
      <c r="MMN200" s="104"/>
      <c r="MMO200" s="104"/>
      <c r="MMP200" s="104"/>
      <c r="MMQ200" s="104"/>
      <c r="MMR200" s="104"/>
      <c r="MMS200" s="104"/>
      <c r="MMT200" s="104"/>
      <c r="MMU200" s="104"/>
      <c r="MMV200" s="104"/>
      <c r="MMW200" s="104"/>
      <c r="MMX200" s="104"/>
      <c r="MMY200" s="104"/>
      <c r="MMZ200" s="104"/>
      <c r="MNA200" s="104"/>
      <c r="MNB200" s="104"/>
      <c r="MNC200" s="104"/>
      <c r="MND200" s="104"/>
      <c r="MNE200" s="104"/>
      <c r="MNF200" s="104"/>
      <c r="MNG200" s="104"/>
      <c r="MNH200" s="104"/>
      <c r="MNI200" s="104"/>
      <c r="MNJ200" s="104"/>
      <c r="MNK200" s="104"/>
      <c r="MNL200" s="104"/>
      <c r="MNM200" s="104"/>
      <c r="MNN200" s="104"/>
      <c r="MNO200" s="104"/>
      <c r="MNP200" s="104"/>
      <c r="MNQ200" s="104"/>
      <c r="MNR200" s="104"/>
      <c r="MNS200" s="104"/>
      <c r="MNT200" s="104"/>
      <c r="MNU200" s="104"/>
      <c r="MNV200" s="104"/>
      <c r="MNW200" s="104"/>
      <c r="MNX200" s="104"/>
      <c r="MNY200" s="104"/>
      <c r="MNZ200" s="104"/>
      <c r="MOA200" s="104"/>
      <c r="MOB200" s="104"/>
      <c r="MOC200" s="104"/>
      <c r="MOD200" s="104"/>
      <c r="MOE200" s="104"/>
      <c r="MOF200" s="104"/>
      <c r="MOG200" s="104"/>
      <c r="MOH200" s="104"/>
      <c r="MOI200" s="104"/>
      <c r="MOJ200" s="104"/>
      <c r="MOK200" s="104"/>
      <c r="MOL200" s="104"/>
      <c r="MOM200" s="104"/>
      <c r="MON200" s="104"/>
      <c r="MOO200" s="104"/>
      <c r="MOP200" s="104"/>
      <c r="MOQ200" s="104"/>
      <c r="MOR200" s="104"/>
      <c r="MOS200" s="104"/>
      <c r="MOT200" s="104"/>
      <c r="MOU200" s="104"/>
      <c r="MOV200" s="104"/>
      <c r="MOW200" s="104"/>
      <c r="MOX200" s="104"/>
      <c r="MOY200" s="104"/>
      <c r="MOZ200" s="104"/>
      <c r="MPA200" s="104"/>
      <c r="MPB200" s="104"/>
      <c r="MPC200" s="104"/>
      <c r="MPD200" s="104"/>
      <c r="MPE200" s="104"/>
      <c r="MPF200" s="104"/>
      <c r="MPG200" s="104"/>
      <c r="MPH200" s="104"/>
      <c r="MPI200" s="104"/>
      <c r="MPJ200" s="104"/>
      <c r="MPK200" s="104"/>
      <c r="MPL200" s="104"/>
      <c r="MPM200" s="104"/>
      <c r="MPN200" s="104"/>
      <c r="MPO200" s="104"/>
      <c r="MPP200" s="104"/>
      <c r="MPQ200" s="104"/>
      <c r="MPR200" s="104"/>
      <c r="MPS200" s="104"/>
      <c r="MPT200" s="104"/>
      <c r="MPU200" s="104"/>
      <c r="MPV200" s="104"/>
      <c r="MPW200" s="104"/>
      <c r="MPX200" s="104"/>
      <c r="MPY200" s="104"/>
      <c r="MPZ200" s="104"/>
      <c r="MQA200" s="104"/>
      <c r="MQB200" s="104"/>
      <c r="MQC200" s="104"/>
      <c r="MQD200" s="104"/>
      <c r="MQE200" s="104"/>
      <c r="MQF200" s="104"/>
      <c r="MQG200" s="104"/>
      <c r="MQH200" s="104"/>
      <c r="MQI200" s="104"/>
      <c r="MQJ200" s="104"/>
      <c r="MQK200" s="104"/>
      <c r="MQL200" s="104"/>
      <c r="MQM200" s="104"/>
      <c r="MQN200" s="104"/>
      <c r="MQO200" s="104"/>
      <c r="MQP200" s="104"/>
      <c r="MQQ200" s="104"/>
      <c r="MQR200" s="104"/>
      <c r="MQS200" s="104"/>
      <c r="MQT200" s="104"/>
      <c r="MQU200" s="104"/>
      <c r="MQV200" s="104"/>
      <c r="MQW200" s="104"/>
      <c r="MQX200" s="104"/>
      <c r="MQY200" s="104"/>
      <c r="MQZ200" s="104"/>
      <c r="MRA200" s="104"/>
      <c r="MRB200" s="104"/>
      <c r="MRC200" s="104"/>
      <c r="MRD200" s="104"/>
      <c r="MRE200" s="104"/>
      <c r="MRF200" s="104"/>
      <c r="MRG200" s="104"/>
      <c r="MRH200" s="104"/>
      <c r="MRI200" s="104"/>
      <c r="MRJ200" s="104"/>
      <c r="MRK200" s="104"/>
      <c r="MRL200" s="104"/>
      <c r="MRM200" s="104"/>
      <c r="MRN200" s="104"/>
      <c r="MRO200" s="104"/>
      <c r="MRP200" s="104"/>
      <c r="MRQ200" s="104"/>
      <c r="MRR200" s="104"/>
      <c r="MRS200" s="104"/>
      <c r="MRT200" s="104"/>
      <c r="MRU200" s="104"/>
      <c r="MRV200" s="104"/>
      <c r="MRW200" s="104"/>
      <c r="MRX200" s="104"/>
      <c r="MRY200" s="104"/>
      <c r="MRZ200" s="104"/>
      <c r="MSA200" s="104"/>
      <c r="MSB200" s="104"/>
      <c r="MSC200" s="104"/>
      <c r="MSD200" s="104"/>
      <c r="MSE200" s="104"/>
      <c r="MSF200" s="104"/>
      <c r="MSG200" s="104"/>
      <c r="MSH200" s="104"/>
      <c r="MSI200" s="104"/>
      <c r="MSJ200" s="104"/>
      <c r="MSK200" s="104"/>
      <c r="MSL200" s="104"/>
      <c r="MSM200" s="104"/>
      <c r="MSN200" s="104"/>
      <c r="MSO200" s="104"/>
      <c r="MSP200" s="104"/>
      <c r="MSQ200" s="104"/>
      <c r="MSR200" s="104"/>
      <c r="MSS200" s="104"/>
      <c r="MST200" s="104"/>
      <c r="MSU200" s="104"/>
      <c r="MSV200" s="104"/>
      <c r="MSW200" s="104"/>
      <c r="MSX200" s="104"/>
      <c r="MSY200" s="104"/>
      <c r="MSZ200" s="104"/>
      <c r="MTA200" s="104"/>
      <c r="MTB200" s="104"/>
      <c r="MTC200" s="104"/>
      <c r="MTD200" s="104"/>
      <c r="MTE200" s="104"/>
      <c r="MTF200" s="104"/>
      <c r="MTG200" s="104"/>
      <c r="MTH200" s="104"/>
      <c r="MTI200" s="104"/>
      <c r="MTJ200" s="104"/>
      <c r="MTK200" s="104"/>
      <c r="MTL200" s="104"/>
      <c r="MTM200" s="104"/>
      <c r="MTN200" s="104"/>
      <c r="MTO200" s="104"/>
      <c r="MTP200" s="104"/>
      <c r="MTQ200" s="104"/>
      <c r="MTR200" s="104"/>
      <c r="MTS200" s="104"/>
      <c r="MTT200" s="104"/>
      <c r="MTU200" s="104"/>
      <c r="MTV200" s="104"/>
      <c r="MTW200" s="104"/>
      <c r="MTX200" s="104"/>
      <c r="MTY200" s="104"/>
      <c r="MTZ200" s="104"/>
      <c r="MUA200" s="104"/>
      <c r="MUB200" s="104"/>
      <c r="MUC200" s="104"/>
      <c r="MUD200" s="104"/>
      <c r="MUE200" s="104"/>
      <c r="MUF200" s="104"/>
      <c r="MUG200" s="104"/>
      <c r="MUH200" s="104"/>
      <c r="MUI200" s="104"/>
      <c r="MUJ200" s="104"/>
      <c r="MUK200" s="104"/>
      <c r="MUL200" s="104"/>
      <c r="MUM200" s="104"/>
      <c r="MUN200" s="104"/>
      <c r="MUO200" s="104"/>
      <c r="MUP200" s="104"/>
      <c r="MUQ200" s="104"/>
      <c r="MUR200" s="104"/>
      <c r="MUS200" s="104"/>
      <c r="MUT200" s="104"/>
      <c r="MUU200" s="104"/>
      <c r="MUV200" s="104"/>
      <c r="MUW200" s="104"/>
      <c r="MUX200" s="104"/>
      <c r="MUY200" s="104"/>
      <c r="MUZ200" s="104"/>
      <c r="MVA200" s="104"/>
      <c r="MVB200" s="104"/>
      <c r="MVC200" s="104"/>
      <c r="MVD200" s="104"/>
      <c r="MVE200" s="104"/>
      <c r="MVF200" s="104"/>
      <c r="MVG200" s="104"/>
      <c r="MVH200" s="104"/>
      <c r="MVI200" s="104"/>
      <c r="MVJ200" s="104"/>
      <c r="MVK200" s="104"/>
      <c r="MVL200" s="104"/>
      <c r="MVM200" s="104"/>
      <c r="MVN200" s="104"/>
      <c r="MVO200" s="104"/>
      <c r="MVP200" s="104"/>
      <c r="MVQ200" s="104"/>
      <c r="MVR200" s="104"/>
      <c r="MVS200" s="104"/>
      <c r="MVT200" s="104"/>
      <c r="MVU200" s="104"/>
      <c r="MVV200" s="104"/>
      <c r="MVW200" s="104"/>
      <c r="MVX200" s="104"/>
      <c r="MVY200" s="104"/>
      <c r="MVZ200" s="104"/>
      <c r="MWA200" s="104"/>
      <c r="MWB200" s="104"/>
      <c r="MWC200" s="104"/>
      <c r="MWD200" s="104"/>
      <c r="MWE200" s="104"/>
      <c r="MWF200" s="104"/>
      <c r="MWG200" s="104"/>
      <c r="MWH200" s="104"/>
      <c r="MWI200" s="104"/>
      <c r="MWJ200" s="104"/>
      <c r="MWK200" s="104"/>
      <c r="MWL200" s="104"/>
      <c r="MWM200" s="104"/>
      <c r="MWN200" s="104"/>
      <c r="MWO200" s="104"/>
      <c r="MWP200" s="104"/>
      <c r="MWQ200" s="104"/>
      <c r="MWR200" s="104"/>
      <c r="MWS200" s="104"/>
      <c r="MWT200" s="104"/>
      <c r="MWU200" s="104"/>
      <c r="MWV200" s="104"/>
      <c r="MWW200" s="104"/>
      <c r="MWX200" s="104"/>
      <c r="MWY200" s="104"/>
      <c r="MWZ200" s="104"/>
      <c r="MXA200" s="104"/>
      <c r="MXB200" s="104"/>
      <c r="MXC200" s="104"/>
      <c r="MXD200" s="104"/>
      <c r="MXE200" s="104"/>
      <c r="MXF200" s="104"/>
      <c r="MXG200" s="104"/>
      <c r="MXH200" s="104"/>
      <c r="MXI200" s="104"/>
      <c r="MXJ200" s="104"/>
      <c r="MXK200" s="104"/>
      <c r="MXL200" s="104"/>
      <c r="MXM200" s="104"/>
      <c r="MXN200" s="104"/>
      <c r="MXO200" s="104"/>
      <c r="MXP200" s="104"/>
      <c r="MXQ200" s="104"/>
      <c r="MXR200" s="104"/>
      <c r="MXS200" s="104"/>
      <c r="MXT200" s="104"/>
      <c r="MXU200" s="104"/>
      <c r="MXV200" s="104"/>
      <c r="MXW200" s="104"/>
      <c r="MXX200" s="104"/>
      <c r="MXY200" s="104"/>
      <c r="MXZ200" s="104"/>
      <c r="MYA200" s="104"/>
      <c r="MYB200" s="104"/>
      <c r="MYC200" s="104"/>
      <c r="MYD200" s="104"/>
      <c r="MYE200" s="104"/>
      <c r="MYF200" s="104"/>
      <c r="MYG200" s="104"/>
      <c r="MYH200" s="104"/>
      <c r="MYI200" s="104"/>
      <c r="MYJ200" s="104"/>
      <c r="MYK200" s="104"/>
      <c r="MYL200" s="104"/>
      <c r="MYM200" s="104"/>
      <c r="MYN200" s="104"/>
      <c r="MYO200" s="104"/>
      <c r="MYP200" s="104"/>
      <c r="MYQ200" s="104"/>
      <c r="MYR200" s="104"/>
      <c r="MYS200" s="104"/>
      <c r="MYT200" s="104"/>
      <c r="MYU200" s="104"/>
      <c r="MYV200" s="104"/>
      <c r="MYW200" s="104"/>
      <c r="MYX200" s="104"/>
      <c r="MYY200" s="104"/>
      <c r="MYZ200" s="104"/>
      <c r="MZA200" s="104"/>
      <c r="MZB200" s="104"/>
      <c r="MZC200" s="104"/>
      <c r="MZD200" s="104"/>
      <c r="MZE200" s="104"/>
      <c r="MZF200" s="104"/>
      <c r="MZG200" s="104"/>
      <c r="MZH200" s="104"/>
      <c r="MZI200" s="104"/>
      <c r="MZJ200" s="104"/>
      <c r="MZK200" s="104"/>
      <c r="MZL200" s="104"/>
      <c r="MZM200" s="104"/>
      <c r="MZN200" s="104"/>
      <c r="MZO200" s="104"/>
      <c r="MZP200" s="104"/>
      <c r="MZQ200" s="104"/>
      <c r="MZR200" s="104"/>
      <c r="MZS200" s="104"/>
      <c r="MZT200" s="104"/>
      <c r="MZU200" s="104"/>
      <c r="MZV200" s="104"/>
      <c r="MZW200" s="104"/>
      <c r="MZX200" s="104"/>
      <c r="MZY200" s="104"/>
      <c r="MZZ200" s="104"/>
      <c r="NAA200" s="104"/>
      <c r="NAB200" s="104"/>
      <c r="NAC200" s="104"/>
      <c r="NAD200" s="104"/>
      <c r="NAE200" s="104"/>
      <c r="NAF200" s="104"/>
      <c r="NAG200" s="104"/>
      <c r="NAH200" s="104"/>
      <c r="NAI200" s="104"/>
      <c r="NAJ200" s="104"/>
      <c r="NAK200" s="104"/>
      <c r="NAL200" s="104"/>
      <c r="NAM200" s="104"/>
      <c r="NAN200" s="104"/>
      <c r="NAO200" s="104"/>
      <c r="NAP200" s="104"/>
      <c r="NAQ200" s="104"/>
      <c r="NAR200" s="104"/>
      <c r="NAS200" s="104"/>
      <c r="NAT200" s="104"/>
      <c r="NAU200" s="104"/>
      <c r="NAV200" s="104"/>
      <c r="NAW200" s="104"/>
      <c r="NAX200" s="104"/>
      <c r="NAY200" s="104"/>
      <c r="NAZ200" s="104"/>
      <c r="NBA200" s="104"/>
      <c r="NBB200" s="104"/>
      <c r="NBC200" s="104"/>
      <c r="NBD200" s="104"/>
      <c r="NBE200" s="104"/>
      <c r="NBF200" s="104"/>
      <c r="NBG200" s="104"/>
      <c r="NBH200" s="104"/>
      <c r="NBI200" s="104"/>
      <c r="NBJ200" s="104"/>
      <c r="NBK200" s="104"/>
      <c r="NBL200" s="104"/>
      <c r="NBM200" s="104"/>
      <c r="NBN200" s="104"/>
      <c r="NBO200" s="104"/>
      <c r="NBP200" s="104"/>
      <c r="NBQ200" s="104"/>
      <c r="NBR200" s="104"/>
      <c r="NBS200" s="104"/>
      <c r="NBT200" s="104"/>
      <c r="NBU200" s="104"/>
      <c r="NBV200" s="104"/>
      <c r="NBW200" s="104"/>
      <c r="NBX200" s="104"/>
      <c r="NBY200" s="104"/>
      <c r="NBZ200" s="104"/>
      <c r="NCA200" s="104"/>
      <c r="NCB200" s="104"/>
      <c r="NCC200" s="104"/>
      <c r="NCD200" s="104"/>
      <c r="NCE200" s="104"/>
      <c r="NCF200" s="104"/>
      <c r="NCG200" s="104"/>
      <c r="NCH200" s="104"/>
      <c r="NCI200" s="104"/>
      <c r="NCJ200" s="104"/>
      <c r="NCK200" s="104"/>
      <c r="NCL200" s="104"/>
      <c r="NCM200" s="104"/>
      <c r="NCN200" s="104"/>
      <c r="NCO200" s="104"/>
      <c r="NCP200" s="104"/>
      <c r="NCQ200" s="104"/>
      <c r="NCR200" s="104"/>
      <c r="NCS200" s="104"/>
      <c r="NCT200" s="104"/>
      <c r="NCU200" s="104"/>
      <c r="NCV200" s="104"/>
      <c r="NCW200" s="104"/>
      <c r="NCX200" s="104"/>
      <c r="NCY200" s="104"/>
      <c r="NCZ200" s="104"/>
      <c r="NDA200" s="104"/>
      <c r="NDB200" s="104"/>
      <c r="NDC200" s="104"/>
      <c r="NDD200" s="104"/>
      <c r="NDE200" s="104"/>
      <c r="NDF200" s="104"/>
      <c r="NDG200" s="104"/>
      <c r="NDH200" s="104"/>
      <c r="NDI200" s="104"/>
      <c r="NDJ200" s="104"/>
      <c r="NDK200" s="104"/>
      <c r="NDL200" s="104"/>
      <c r="NDM200" s="104"/>
      <c r="NDN200" s="104"/>
      <c r="NDO200" s="104"/>
      <c r="NDP200" s="104"/>
      <c r="NDQ200" s="104"/>
      <c r="NDR200" s="104"/>
      <c r="NDS200" s="104"/>
      <c r="NDT200" s="104"/>
      <c r="NDU200" s="104"/>
      <c r="NDV200" s="104"/>
      <c r="NDW200" s="104"/>
      <c r="NDX200" s="104"/>
      <c r="NDY200" s="104"/>
      <c r="NDZ200" s="104"/>
      <c r="NEA200" s="104"/>
      <c r="NEB200" s="104"/>
      <c r="NEC200" s="104"/>
      <c r="NED200" s="104"/>
      <c r="NEE200" s="104"/>
      <c r="NEF200" s="104"/>
      <c r="NEG200" s="104"/>
      <c r="NEH200" s="104"/>
      <c r="NEI200" s="104"/>
      <c r="NEJ200" s="104"/>
      <c r="NEK200" s="104"/>
      <c r="NEL200" s="104"/>
      <c r="NEM200" s="104"/>
      <c r="NEN200" s="104"/>
      <c r="NEO200" s="104"/>
      <c r="NEP200" s="104"/>
      <c r="NEQ200" s="104"/>
      <c r="NER200" s="104"/>
      <c r="NES200" s="104"/>
      <c r="NET200" s="104"/>
      <c r="NEU200" s="104"/>
      <c r="NEV200" s="104"/>
      <c r="NEW200" s="104"/>
      <c r="NEX200" s="104"/>
      <c r="NEY200" s="104"/>
      <c r="NEZ200" s="104"/>
      <c r="NFA200" s="104"/>
      <c r="NFB200" s="104"/>
      <c r="NFC200" s="104"/>
      <c r="NFD200" s="104"/>
      <c r="NFE200" s="104"/>
      <c r="NFF200" s="104"/>
      <c r="NFG200" s="104"/>
      <c r="NFH200" s="104"/>
      <c r="NFI200" s="104"/>
      <c r="NFJ200" s="104"/>
      <c r="NFK200" s="104"/>
      <c r="NFL200" s="104"/>
      <c r="NFM200" s="104"/>
      <c r="NFN200" s="104"/>
      <c r="NFO200" s="104"/>
      <c r="NFP200" s="104"/>
      <c r="NFQ200" s="104"/>
      <c r="NFR200" s="104"/>
      <c r="NFS200" s="104"/>
      <c r="NFT200" s="104"/>
      <c r="NFU200" s="104"/>
      <c r="NFV200" s="104"/>
      <c r="NFW200" s="104"/>
      <c r="NFX200" s="104"/>
      <c r="NFY200" s="104"/>
      <c r="NFZ200" s="104"/>
      <c r="NGA200" s="104"/>
      <c r="NGB200" s="104"/>
      <c r="NGC200" s="104"/>
      <c r="NGD200" s="104"/>
      <c r="NGE200" s="104"/>
      <c r="NGF200" s="104"/>
      <c r="NGG200" s="104"/>
      <c r="NGH200" s="104"/>
      <c r="NGI200" s="104"/>
      <c r="NGJ200" s="104"/>
      <c r="NGK200" s="104"/>
      <c r="NGL200" s="104"/>
      <c r="NGM200" s="104"/>
      <c r="NGN200" s="104"/>
      <c r="NGO200" s="104"/>
      <c r="NGP200" s="104"/>
      <c r="NGQ200" s="104"/>
      <c r="NGR200" s="104"/>
      <c r="NGS200" s="104"/>
      <c r="NGT200" s="104"/>
      <c r="NGU200" s="104"/>
      <c r="NGV200" s="104"/>
      <c r="NGW200" s="104"/>
      <c r="NGX200" s="104"/>
      <c r="NGY200" s="104"/>
      <c r="NGZ200" s="104"/>
      <c r="NHA200" s="104"/>
      <c r="NHB200" s="104"/>
      <c r="NHC200" s="104"/>
      <c r="NHD200" s="104"/>
      <c r="NHE200" s="104"/>
      <c r="NHF200" s="104"/>
      <c r="NHG200" s="104"/>
      <c r="NHH200" s="104"/>
      <c r="NHI200" s="104"/>
      <c r="NHJ200" s="104"/>
      <c r="NHK200" s="104"/>
      <c r="NHL200" s="104"/>
      <c r="NHM200" s="104"/>
      <c r="NHN200" s="104"/>
      <c r="NHO200" s="104"/>
      <c r="NHP200" s="104"/>
      <c r="NHQ200" s="104"/>
      <c r="NHR200" s="104"/>
      <c r="NHS200" s="104"/>
      <c r="NHT200" s="104"/>
      <c r="NHU200" s="104"/>
      <c r="NHV200" s="104"/>
      <c r="NHW200" s="104"/>
      <c r="NHX200" s="104"/>
      <c r="NHY200" s="104"/>
      <c r="NHZ200" s="104"/>
      <c r="NIA200" s="104"/>
      <c r="NIB200" s="104"/>
      <c r="NIC200" s="104"/>
      <c r="NID200" s="104"/>
      <c r="NIE200" s="104"/>
      <c r="NIF200" s="104"/>
      <c r="NIG200" s="104"/>
      <c r="NIH200" s="104"/>
      <c r="NII200" s="104"/>
      <c r="NIJ200" s="104"/>
      <c r="NIK200" s="104"/>
      <c r="NIL200" s="104"/>
      <c r="NIM200" s="104"/>
      <c r="NIN200" s="104"/>
      <c r="NIO200" s="104"/>
      <c r="NIP200" s="104"/>
      <c r="NIQ200" s="104"/>
      <c r="NIR200" s="104"/>
      <c r="NIS200" s="104"/>
      <c r="NIT200" s="104"/>
      <c r="NIU200" s="104"/>
      <c r="NIV200" s="104"/>
      <c r="NIW200" s="104"/>
      <c r="NIX200" s="104"/>
      <c r="NIY200" s="104"/>
      <c r="NIZ200" s="104"/>
      <c r="NJA200" s="104"/>
      <c r="NJB200" s="104"/>
      <c r="NJC200" s="104"/>
      <c r="NJD200" s="104"/>
      <c r="NJE200" s="104"/>
      <c r="NJF200" s="104"/>
      <c r="NJG200" s="104"/>
      <c r="NJH200" s="104"/>
      <c r="NJI200" s="104"/>
      <c r="NJJ200" s="104"/>
      <c r="NJK200" s="104"/>
      <c r="NJL200" s="104"/>
      <c r="NJM200" s="104"/>
      <c r="NJN200" s="104"/>
      <c r="NJO200" s="104"/>
      <c r="NJP200" s="104"/>
      <c r="NJQ200" s="104"/>
      <c r="NJR200" s="104"/>
      <c r="NJS200" s="104"/>
      <c r="NJT200" s="104"/>
      <c r="NJU200" s="104"/>
      <c r="NJV200" s="104"/>
      <c r="NJW200" s="104"/>
      <c r="NJX200" s="104"/>
      <c r="NJY200" s="104"/>
      <c r="NJZ200" s="104"/>
      <c r="NKA200" s="104"/>
      <c r="NKB200" s="104"/>
      <c r="NKC200" s="104"/>
      <c r="NKD200" s="104"/>
      <c r="NKE200" s="104"/>
      <c r="NKF200" s="104"/>
      <c r="NKG200" s="104"/>
      <c r="NKH200" s="104"/>
      <c r="NKI200" s="104"/>
      <c r="NKJ200" s="104"/>
      <c r="NKK200" s="104"/>
      <c r="NKL200" s="104"/>
      <c r="NKM200" s="104"/>
      <c r="NKN200" s="104"/>
      <c r="NKO200" s="104"/>
      <c r="NKP200" s="104"/>
      <c r="NKQ200" s="104"/>
      <c r="NKR200" s="104"/>
      <c r="NKS200" s="104"/>
      <c r="NKT200" s="104"/>
      <c r="NKU200" s="104"/>
      <c r="NKV200" s="104"/>
      <c r="NKW200" s="104"/>
      <c r="NKX200" s="104"/>
      <c r="NKY200" s="104"/>
      <c r="NKZ200" s="104"/>
      <c r="NLA200" s="104"/>
      <c r="NLB200" s="104"/>
      <c r="NLC200" s="104"/>
      <c r="NLD200" s="104"/>
      <c r="NLE200" s="104"/>
      <c r="NLF200" s="104"/>
      <c r="NLG200" s="104"/>
      <c r="NLH200" s="104"/>
      <c r="NLI200" s="104"/>
      <c r="NLJ200" s="104"/>
      <c r="NLK200" s="104"/>
      <c r="NLL200" s="104"/>
      <c r="NLM200" s="104"/>
      <c r="NLN200" s="104"/>
      <c r="NLO200" s="104"/>
      <c r="NLP200" s="104"/>
      <c r="NLQ200" s="104"/>
      <c r="NLR200" s="104"/>
      <c r="NLS200" s="104"/>
      <c r="NLT200" s="104"/>
      <c r="NLU200" s="104"/>
      <c r="NLV200" s="104"/>
      <c r="NLW200" s="104"/>
      <c r="NLX200" s="104"/>
      <c r="NLY200" s="104"/>
      <c r="NLZ200" s="104"/>
      <c r="NMA200" s="104"/>
      <c r="NMB200" s="104"/>
      <c r="NMC200" s="104"/>
      <c r="NMD200" s="104"/>
      <c r="NME200" s="104"/>
      <c r="NMF200" s="104"/>
      <c r="NMG200" s="104"/>
      <c r="NMH200" s="104"/>
      <c r="NMI200" s="104"/>
      <c r="NMJ200" s="104"/>
      <c r="NMK200" s="104"/>
      <c r="NML200" s="104"/>
      <c r="NMM200" s="104"/>
      <c r="NMN200" s="104"/>
      <c r="NMO200" s="104"/>
      <c r="NMP200" s="104"/>
      <c r="NMQ200" s="104"/>
      <c r="NMR200" s="104"/>
      <c r="NMS200" s="104"/>
      <c r="NMT200" s="104"/>
      <c r="NMU200" s="104"/>
      <c r="NMV200" s="104"/>
      <c r="NMW200" s="104"/>
      <c r="NMX200" s="104"/>
      <c r="NMY200" s="104"/>
      <c r="NMZ200" s="104"/>
      <c r="NNA200" s="104"/>
      <c r="NNB200" s="104"/>
      <c r="NNC200" s="104"/>
      <c r="NND200" s="104"/>
      <c r="NNE200" s="104"/>
      <c r="NNF200" s="104"/>
      <c r="NNG200" s="104"/>
      <c r="NNH200" s="104"/>
      <c r="NNI200" s="104"/>
      <c r="NNJ200" s="104"/>
      <c r="NNK200" s="104"/>
      <c r="NNL200" s="104"/>
      <c r="NNM200" s="104"/>
      <c r="NNN200" s="104"/>
      <c r="NNO200" s="104"/>
      <c r="NNP200" s="104"/>
      <c r="NNQ200" s="104"/>
      <c r="NNR200" s="104"/>
      <c r="NNS200" s="104"/>
      <c r="NNT200" s="104"/>
      <c r="NNU200" s="104"/>
      <c r="NNV200" s="104"/>
      <c r="NNW200" s="104"/>
      <c r="NNX200" s="104"/>
      <c r="NNY200" s="104"/>
      <c r="NNZ200" s="104"/>
      <c r="NOA200" s="104"/>
      <c r="NOB200" s="104"/>
      <c r="NOC200" s="104"/>
      <c r="NOD200" s="104"/>
      <c r="NOE200" s="104"/>
      <c r="NOF200" s="104"/>
      <c r="NOG200" s="104"/>
      <c r="NOH200" s="104"/>
      <c r="NOI200" s="104"/>
      <c r="NOJ200" s="104"/>
      <c r="NOK200" s="104"/>
      <c r="NOL200" s="104"/>
      <c r="NOM200" s="104"/>
      <c r="NON200" s="104"/>
      <c r="NOO200" s="104"/>
      <c r="NOP200" s="104"/>
      <c r="NOQ200" s="104"/>
      <c r="NOR200" s="104"/>
      <c r="NOS200" s="104"/>
      <c r="NOT200" s="104"/>
      <c r="NOU200" s="104"/>
      <c r="NOV200" s="104"/>
      <c r="NOW200" s="104"/>
      <c r="NOX200" s="104"/>
      <c r="NOY200" s="104"/>
      <c r="NOZ200" s="104"/>
      <c r="NPA200" s="104"/>
      <c r="NPB200" s="104"/>
      <c r="NPC200" s="104"/>
      <c r="NPD200" s="104"/>
      <c r="NPE200" s="104"/>
      <c r="NPF200" s="104"/>
      <c r="NPG200" s="104"/>
      <c r="NPH200" s="104"/>
      <c r="NPI200" s="104"/>
      <c r="NPJ200" s="104"/>
      <c r="NPK200" s="104"/>
      <c r="NPL200" s="104"/>
      <c r="NPM200" s="104"/>
      <c r="NPN200" s="104"/>
      <c r="NPO200" s="104"/>
      <c r="NPP200" s="104"/>
      <c r="NPQ200" s="104"/>
      <c r="NPR200" s="104"/>
      <c r="NPS200" s="104"/>
      <c r="NPT200" s="104"/>
      <c r="NPU200" s="104"/>
      <c r="NPV200" s="104"/>
      <c r="NPW200" s="104"/>
      <c r="NPX200" s="104"/>
      <c r="NPY200" s="104"/>
      <c r="NPZ200" s="104"/>
      <c r="NQA200" s="104"/>
      <c r="NQB200" s="104"/>
      <c r="NQC200" s="104"/>
      <c r="NQD200" s="104"/>
      <c r="NQE200" s="104"/>
      <c r="NQF200" s="104"/>
      <c r="NQG200" s="104"/>
      <c r="NQH200" s="104"/>
      <c r="NQI200" s="104"/>
      <c r="NQJ200" s="104"/>
      <c r="NQK200" s="104"/>
      <c r="NQL200" s="104"/>
      <c r="NQM200" s="104"/>
      <c r="NQN200" s="104"/>
      <c r="NQO200" s="104"/>
      <c r="NQP200" s="104"/>
      <c r="NQQ200" s="104"/>
      <c r="NQR200" s="104"/>
      <c r="NQS200" s="104"/>
      <c r="NQT200" s="104"/>
      <c r="NQU200" s="104"/>
      <c r="NQV200" s="104"/>
      <c r="NQW200" s="104"/>
      <c r="NQX200" s="104"/>
      <c r="NQY200" s="104"/>
      <c r="NQZ200" s="104"/>
      <c r="NRA200" s="104"/>
      <c r="NRB200" s="104"/>
      <c r="NRC200" s="104"/>
      <c r="NRD200" s="104"/>
      <c r="NRE200" s="104"/>
      <c r="NRF200" s="104"/>
      <c r="NRG200" s="104"/>
      <c r="NRH200" s="104"/>
      <c r="NRI200" s="104"/>
      <c r="NRJ200" s="104"/>
      <c r="NRK200" s="104"/>
      <c r="NRL200" s="104"/>
      <c r="NRM200" s="104"/>
      <c r="NRN200" s="104"/>
      <c r="NRO200" s="104"/>
      <c r="NRP200" s="104"/>
      <c r="NRQ200" s="104"/>
      <c r="NRR200" s="104"/>
      <c r="NRS200" s="104"/>
      <c r="NRT200" s="104"/>
      <c r="NRU200" s="104"/>
      <c r="NRV200" s="104"/>
      <c r="NRW200" s="104"/>
      <c r="NRX200" s="104"/>
      <c r="NRY200" s="104"/>
      <c r="NRZ200" s="104"/>
      <c r="NSA200" s="104"/>
      <c r="NSB200" s="104"/>
      <c r="NSC200" s="104"/>
      <c r="NSD200" s="104"/>
      <c r="NSE200" s="104"/>
      <c r="NSF200" s="104"/>
      <c r="NSG200" s="104"/>
      <c r="NSH200" s="104"/>
      <c r="NSI200" s="104"/>
      <c r="NSJ200" s="104"/>
      <c r="NSK200" s="104"/>
      <c r="NSL200" s="104"/>
      <c r="NSM200" s="104"/>
      <c r="NSN200" s="104"/>
      <c r="NSO200" s="104"/>
      <c r="NSP200" s="104"/>
      <c r="NSQ200" s="104"/>
      <c r="NSR200" s="104"/>
      <c r="NSS200" s="104"/>
      <c r="NST200" s="104"/>
      <c r="NSU200" s="104"/>
      <c r="NSV200" s="104"/>
      <c r="NSW200" s="104"/>
      <c r="NSX200" s="104"/>
      <c r="NSY200" s="104"/>
      <c r="NSZ200" s="104"/>
      <c r="NTA200" s="104"/>
      <c r="NTB200" s="104"/>
      <c r="NTC200" s="104"/>
      <c r="NTD200" s="104"/>
      <c r="NTE200" s="104"/>
      <c r="NTF200" s="104"/>
      <c r="NTG200" s="104"/>
      <c r="NTH200" s="104"/>
      <c r="NTI200" s="104"/>
      <c r="NTJ200" s="104"/>
      <c r="NTK200" s="104"/>
      <c r="NTL200" s="104"/>
      <c r="NTM200" s="104"/>
      <c r="NTN200" s="104"/>
      <c r="NTO200" s="104"/>
      <c r="NTP200" s="104"/>
      <c r="NTQ200" s="104"/>
      <c r="NTR200" s="104"/>
      <c r="NTS200" s="104"/>
      <c r="NTT200" s="104"/>
      <c r="NTU200" s="104"/>
      <c r="NTV200" s="104"/>
      <c r="NTW200" s="104"/>
      <c r="NTX200" s="104"/>
      <c r="NTY200" s="104"/>
      <c r="NTZ200" s="104"/>
      <c r="NUA200" s="104"/>
      <c r="NUB200" s="104"/>
      <c r="NUC200" s="104"/>
      <c r="NUD200" s="104"/>
      <c r="NUE200" s="104"/>
      <c r="NUF200" s="104"/>
      <c r="NUG200" s="104"/>
      <c r="NUH200" s="104"/>
      <c r="NUI200" s="104"/>
      <c r="NUJ200" s="104"/>
      <c r="NUK200" s="104"/>
      <c r="NUL200" s="104"/>
      <c r="NUM200" s="104"/>
      <c r="NUN200" s="104"/>
      <c r="NUO200" s="104"/>
      <c r="NUP200" s="104"/>
      <c r="NUQ200" s="104"/>
      <c r="NUR200" s="104"/>
      <c r="NUS200" s="104"/>
      <c r="NUT200" s="104"/>
      <c r="NUU200" s="104"/>
      <c r="NUV200" s="104"/>
      <c r="NUW200" s="104"/>
      <c r="NUX200" s="104"/>
      <c r="NUY200" s="104"/>
      <c r="NUZ200" s="104"/>
      <c r="NVA200" s="104"/>
      <c r="NVB200" s="104"/>
      <c r="NVC200" s="104"/>
      <c r="NVD200" s="104"/>
      <c r="NVE200" s="104"/>
      <c r="NVF200" s="104"/>
      <c r="NVG200" s="104"/>
      <c r="NVH200" s="104"/>
      <c r="NVI200" s="104"/>
      <c r="NVJ200" s="104"/>
      <c r="NVK200" s="104"/>
      <c r="NVL200" s="104"/>
      <c r="NVM200" s="104"/>
      <c r="NVN200" s="104"/>
      <c r="NVO200" s="104"/>
      <c r="NVP200" s="104"/>
      <c r="NVQ200" s="104"/>
      <c r="NVR200" s="104"/>
      <c r="NVS200" s="104"/>
      <c r="NVT200" s="104"/>
      <c r="NVU200" s="104"/>
      <c r="NVV200" s="104"/>
      <c r="NVW200" s="104"/>
      <c r="NVX200" s="104"/>
      <c r="NVY200" s="104"/>
      <c r="NVZ200" s="104"/>
      <c r="NWA200" s="104"/>
      <c r="NWB200" s="104"/>
      <c r="NWC200" s="104"/>
      <c r="NWD200" s="104"/>
      <c r="NWE200" s="104"/>
      <c r="NWF200" s="104"/>
      <c r="NWG200" s="104"/>
      <c r="NWH200" s="104"/>
      <c r="NWI200" s="104"/>
      <c r="NWJ200" s="104"/>
      <c r="NWK200" s="104"/>
      <c r="NWL200" s="104"/>
      <c r="NWM200" s="104"/>
      <c r="NWN200" s="104"/>
      <c r="NWO200" s="104"/>
      <c r="NWP200" s="104"/>
      <c r="NWQ200" s="104"/>
      <c r="NWR200" s="104"/>
      <c r="NWS200" s="104"/>
      <c r="NWT200" s="104"/>
      <c r="NWU200" s="104"/>
      <c r="NWV200" s="104"/>
      <c r="NWW200" s="104"/>
      <c r="NWX200" s="104"/>
      <c r="NWY200" s="104"/>
      <c r="NWZ200" s="104"/>
      <c r="NXA200" s="104"/>
      <c r="NXB200" s="104"/>
      <c r="NXC200" s="104"/>
      <c r="NXD200" s="104"/>
      <c r="NXE200" s="104"/>
      <c r="NXF200" s="104"/>
      <c r="NXG200" s="104"/>
      <c r="NXH200" s="104"/>
      <c r="NXI200" s="104"/>
      <c r="NXJ200" s="104"/>
      <c r="NXK200" s="104"/>
      <c r="NXL200" s="104"/>
      <c r="NXM200" s="104"/>
      <c r="NXN200" s="104"/>
      <c r="NXO200" s="104"/>
      <c r="NXP200" s="104"/>
      <c r="NXQ200" s="104"/>
      <c r="NXR200" s="104"/>
      <c r="NXS200" s="104"/>
      <c r="NXT200" s="104"/>
      <c r="NXU200" s="104"/>
      <c r="NXV200" s="104"/>
      <c r="NXW200" s="104"/>
      <c r="NXX200" s="104"/>
      <c r="NXY200" s="104"/>
      <c r="NXZ200" s="104"/>
      <c r="NYA200" s="104"/>
      <c r="NYB200" s="104"/>
      <c r="NYC200" s="104"/>
      <c r="NYD200" s="104"/>
      <c r="NYE200" s="104"/>
      <c r="NYF200" s="104"/>
      <c r="NYG200" s="104"/>
      <c r="NYH200" s="104"/>
      <c r="NYI200" s="104"/>
      <c r="NYJ200" s="104"/>
      <c r="NYK200" s="104"/>
      <c r="NYL200" s="104"/>
      <c r="NYM200" s="104"/>
      <c r="NYN200" s="104"/>
      <c r="NYO200" s="104"/>
      <c r="NYP200" s="104"/>
      <c r="NYQ200" s="104"/>
      <c r="NYR200" s="104"/>
      <c r="NYS200" s="104"/>
      <c r="NYT200" s="104"/>
      <c r="NYU200" s="104"/>
      <c r="NYV200" s="104"/>
      <c r="NYW200" s="104"/>
      <c r="NYX200" s="104"/>
      <c r="NYY200" s="104"/>
      <c r="NYZ200" s="104"/>
      <c r="NZA200" s="104"/>
      <c r="NZB200" s="104"/>
      <c r="NZC200" s="104"/>
      <c r="NZD200" s="104"/>
      <c r="NZE200" s="104"/>
      <c r="NZF200" s="104"/>
      <c r="NZG200" s="104"/>
      <c r="NZH200" s="104"/>
      <c r="NZI200" s="104"/>
      <c r="NZJ200" s="104"/>
      <c r="NZK200" s="104"/>
      <c r="NZL200" s="104"/>
      <c r="NZM200" s="104"/>
      <c r="NZN200" s="104"/>
      <c r="NZO200" s="104"/>
      <c r="NZP200" s="104"/>
      <c r="NZQ200" s="104"/>
      <c r="NZR200" s="104"/>
      <c r="NZS200" s="104"/>
      <c r="NZT200" s="104"/>
      <c r="NZU200" s="104"/>
      <c r="NZV200" s="104"/>
      <c r="NZW200" s="104"/>
      <c r="NZX200" s="104"/>
      <c r="NZY200" s="104"/>
      <c r="NZZ200" s="104"/>
      <c r="OAA200" s="104"/>
      <c r="OAB200" s="104"/>
      <c r="OAC200" s="104"/>
      <c r="OAD200" s="104"/>
      <c r="OAE200" s="104"/>
      <c r="OAF200" s="104"/>
      <c r="OAG200" s="104"/>
      <c r="OAH200" s="104"/>
      <c r="OAI200" s="104"/>
      <c r="OAJ200" s="104"/>
      <c r="OAK200" s="104"/>
      <c r="OAL200" s="104"/>
      <c r="OAM200" s="104"/>
      <c r="OAN200" s="104"/>
      <c r="OAO200" s="104"/>
      <c r="OAP200" s="104"/>
      <c r="OAQ200" s="104"/>
      <c r="OAR200" s="104"/>
      <c r="OAS200" s="104"/>
      <c r="OAT200" s="104"/>
      <c r="OAU200" s="104"/>
      <c r="OAV200" s="104"/>
      <c r="OAW200" s="104"/>
      <c r="OAX200" s="104"/>
      <c r="OAY200" s="104"/>
      <c r="OAZ200" s="104"/>
      <c r="OBA200" s="104"/>
      <c r="OBB200" s="104"/>
      <c r="OBC200" s="104"/>
      <c r="OBD200" s="104"/>
      <c r="OBE200" s="104"/>
      <c r="OBF200" s="104"/>
      <c r="OBG200" s="104"/>
      <c r="OBH200" s="104"/>
      <c r="OBI200" s="104"/>
      <c r="OBJ200" s="104"/>
      <c r="OBK200" s="104"/>
      <c r="OBL200" s="104"/>
      <c r="OBM200" s="104"/>
      <c r="OBN200" s="104"/>
      <c r="OBO200" s="104"/>
      <c r="OBP200" s="104"/>
      <c r="OBQ200" s="104"/>
      <c r="OBR200" s="104"/>
      <c r="OBS200" s="104"/>
      <c r="OBT200" s="104"/>
      <c r="OBU200" s="104"/>
      <c r="OBV200" s="104"/>
      <c r="OBW200" s="104"/>
      <c r="OBX200" s="104"/>
      <c r="OBY200" s="104"/>
      <c r="OBZ200" s="104"/>
      <c r="OCA200" s="104"/>
      <c r="OCB200" s="104"/>
      <c r="OCC200" s="104"/>
      <c r="OCD200" s="104"/>
      <c r="OCE200" s="104"/>
      <c r="OCF200" s="104"/>
      <c r="OCG200" s="104"/>
      <c r="OCH200" s="104"/>
      <c r="OCI200" s="104"/>
      <c r="OCJ200" s="104"/>
      <c r="OCK200" s="104"/>
      <c r="OCL200" s="104"/>
      <c r="OCM200" s="104"/>
      <c r="OCN200" s="104"/>
      <c r="OCO200" s="104"/>
      <c r="OCP200" s="104"/>
      <c r="OCQ200" s="104"/>
      <c r="OCR200" s="104"/>
      <c r="OCS200" s="104"/>
      <c r="OCT200" s="104"/>
      <c r="OCU200" s="104"/>
      <c r="OCV200" s="104"/>
      <c r="OCW200" s="104"/>
      <c r="OCX200" s="104"/>
      <c r="OCY200" s="104"/>
      <c r="OCZ200" s="104"/>
      <c r="ODA200" s="104"/>
      <c r="ODB200" s="104"/>
      <c r="ODC200" s="104"/>
      <c r="ODD200" s="104"/>
      <c r="ODE200" s="104"/>
      <c r="ODF200" s="104"/>
      <c r="ODG200" s="104"/>
      <c r="ODH200" s="104"/>
      <c r="ODI200" s="104"/>
      <c r="ODJ200" s="104"/>
      <c r="ODK200" s="104"/>
      <c r="ODL200" s="104"/>
      <c r="ODM200" s="104"/>
      <c r="ODN200" s="104"/>
      <c r="ODO200" s="104"/>
      <c r="ODP200" s="104"/>
      <c r="ODQ200" s="104"/>
      <c r="ODR200" s="104"/>
      <c r="ODS200" s="104"/>
      <c r="ODT200" s="104"/>
      <c r="ODU200" s="104"/>
      <c r="ODV200" s="104"/>
      <c r="ODW200" s="104"/>
      <c r="ODX200" s="104"/>
      <c r="ODY200" s="104"/>
      <c r="ODZ200" s="104"/>
      <c r="OEA200" s="104"/>
      <c r="OEB200" s="104"/>
      <c r="OEC200" s="104"/>
      <c r="OED200" s="104"/>
      <c r="OEE200" s="104"/>
      <c r="OEF200" s="104"/>
      <c r="OEG200" s="104"/>
      <c r="OEH200" s="104"/>
      <c r="OEI200" s="104"/>
      <c r="OEJ200" s="104"/>
      <c r="OEK200" s="104"/>
      <c r="OEL200" s="104"/>
      <c r="OEM200" s="104"/>
      <c r="OEN200" s="104"/>
      <c r="OEO200" s="104"/>
      <c r="OEP200" s="104"/>
      <c r="OEQ200" s="104"/>
      <c r="OER200" s="104"/>
      <c r="OES200" s="104"/>
      <c r="OET200" s="104"/>
      <c r="OEU200" s="104"/>
      <c r="OEV200" s="104"/>
      <c r="OEW200" s="104"/>
      <c r="OEX200" s="104"/>
      <c r="OEY200" s="104"/>
      <c r="OEZ200" s="104"/>
      <c r="OFA200" s="104"/>
      <c r="OFB200" s="104"/>
      <c r="OFC200" s="104"/>
      <c r="OFD200" s="104"/>
      <c r="OFE200" s="104"/>
      <c r="OFF200" s="104"/>
      <c r="OFG200" s="104"/>
      <c r="OFH200" s="104"/>
      <c r="OFI200" s="104"/>
      <c r="OFJ200" s="104"/>
      <c r="OFK200" s="104"/>
      <c r="OFL200" s="104"/>
      <c r="OFM200" s="104"/>
      <c r="OFN200" s="104"/>
      <c r="OFO200" s="104"/>
      <c r="OFP200" s="104"/>
      <c r="OFQ200" s="104"/>
      <c r="OFR200" s="104"/>
      <c r="OFS200" s="104"/>
      <c r="OFT200" s="104"/>
      <c r="OFU200" s="104"/>
      <c r="OFV200" s="104"/>
      <c r="OFW200" s="104"/>
      <c r="OFX200" s="104"/>
      <c r="OFY200" s="104"/>
      <c r="OFZ200" s="104"/>
      <c r="OGA200" s="104"/>
      <c r="OGB200" s="104"/>
      <c r="OGC200" s="104"/>
      <c r="OGD200" s="104"/>
      <c r="OGE200" s="104"/>
      <c r="OGF200" s="104"/>
      <c r="OGG200" s="104"/>
      <c r="OGH200" s="104"/>
      <c r="OGI200" s="104"/>
      <c r="OGJ200" s="104"/>
      <c r="OGK200" s="104"/>
      <c r="OGL200" s="104"/>
      <c r="OGM200" s="104"/>
      <c r="OGN200" s="104"/>
      <c r="OGO200" s="104"/>
      <c r="OGP200" s="104"/>
      <c r="OGQ200" s="104"/>
      <c r="OGR200" s="104"/>
      <c r="OGS200" s="104"/>
      <c r="OGT200" s="104"/>
      <c r="OGU200" s="104"/>
      <c r="OGV200" s="104"/>
      <c r="OGW200" s="104"/>
      <c r="OGX200" s="104"/>
      <c r="OGY200" s="104"/>
      <c r="OGZ200" s="104"/>
      <c r="OHA200" s="104"/>
      <c r="OHB200" s="104"/>
      <c r="OHC200" s="104"/>
      <c r="OHD200" s="104"/>
      <c r="OHE200" s="104"/>
      <c r="OHF200" s="104"/>
      <c r="OHG200" s="104"/>
      <c r="OHH200" s="104"/>
      <c r="OHI200" s="104"/>
      <c r="OHJ200" s="104"/>
      <c r="OHK200" s="104"/>
      <c r="OHL200" s="104"/>
      <c r="OHM200" s="104"/>
      <c r="OHN200" s="104"/>
      <c r="OHO200" s="104"/>
      <c r="OHP200" s="104"/>
      <c r="OHQ200" s="104"/>
      <c r="OHR200" s="104"/>
      <c r="OHS200" s="104"/>
      <c r="OHT200" s="104"/>
      <c r="OHU200" s="104"/>
      <c r="OHV200" s="104"/>
      <c r="OHW200" s="104"/>
      <c r="OHX200" s="104"/>
      <c r="OHY200" s="104"/>
      <c r="OHZ200" s="104"/>
      <c r="OIA200" s="104"/>
      <c r="OIB200" s="104"/>
      <c r="OIC200" s="104"/>
      <c r="OID200" s="104"/>
      <c r="OIE200" s="104"/>
      <c r="OIF200" s="104"/>
      <c r="OIG200" s="104"/>
      <c r="OIH200" s="104"/>
      <c r="OII200" s="104"/>
      <c r="OIJ200" s="104"/>
      <c r="OIK200" s="104"/>
      <c r="OIL200" s="104"/>
      <c r="OIM200" s="104"/>
      <c r="OIN200" s="104"/>
      <c r="OIO200" s="104"/>
      <c r="OIP200" s="104"/>
      <c r="OIQ200" s="104"/>
      <c r="OIR200" s="104"/>
      <c r="OIS200" s="104"/>
      <c r="OIT200" s="104"/>
      <c r="OIU200" s="104"/>
      <c r="OIV200" s="104"/>
      <c r="OIW200" s="104"/>
      <c r="OIX200" s="104"/>
      <c r="OIY200" s="104"/>
      <c r="OIZ200" s="104"/>
      <c r="OJA200" s="104"/>
      <c r="OJB200" s="104"/>
      <c r="OJC200" s="104"/>
      <c r="OJD200" s="104"/>
      <c r="OJE200" s="104"/>
      <c r="OJF200" s="104"/>
      <c r="OJG200" s="104"/>
      <c r="OJH200" s="104"/>
      <c r="OJI200" s="104"/>
      <c r="OJJ200" s="104"/>
      <c r="OJK200" s="104"/>
      <c r="OJL200" s="104"/>
      <c r="OJM200" s="104"/>
      <c r="OJN200" s="104"/>
      <c r="OJO200" s="104"/>
      <c r="OJP200" s="104"/>
      <c r="OJQ200" s="104"/>
      <c r="OJR200" s="104"/>
      <c r="OJS200" s="104"/>
      <c r="OJT200" s="104"/>
      <c r="OJU200" s="104"/>
      <c r="OJV200" s="104"/>
      <c r="OJW200" s="104"/>
      <c r="OJX200" s="104"/>
      <c r="OJY200" s="104"/>
      <c r="OJZ200" s="104"/>
      <c r="OKA200" s="104"/>
      <c r="OKB200" s="104"/>
      <c r="OKC200" s="104"/>
      <c r="OKD200" s="104"/>
      <c r="OKE200" s="104"/>
      <c r="OKF200" s="104"/>
      <c r="OKG200" s="104"/>
      <c r="OKH200" s="104"/>
      <c r="OKI200" s="104"/>
      <c r="OKJ200" s="104"/>
      <c r="OKK200" s="104"/>
      <c r="OKL200" s="104"/>
      <c r="OKM200" s="104"/>
      <c r="OKN200" s="104"/>
      <c r="OKO200" s="104"/>
      <c r="OKP200" s="104"/>
      <c r="OKQ200" s="104"/>
      <c r="OKR200" s="104"/>
      <c r="OKS200" s="104"/>
      <c r="OKT200" s="104"/>
      <c r="OKU200" s="104"/>
      <c r="OKV200" s="104"/>
      <c r="OKW200" s="104"/>
      <c r="OKX200" s="104"/>
      <c r="OKY200" s="104"/>
      <c r="OKZ200" s="104"/>
      <c r="OLA200" s="104"/>
      <c r="OLB200" s="104"/>
      <c r="OLC200" s="104"/>
      <c r="OLD200" s="104"/>
      <c r="OLE200" s="104"/>
      <c r="OLF200" s="104"/>
      <c r="OLG200" s="104"/>
      <c r="OLH200" s="104"/>
      <c r="OLI200" s="104"/>
      <c r="OLJ200" s="104"/>
      <c r="OLK200" s="104"/>
      <c r="OLL200" s="104"/>
      <c r="OLM200" s="104"/>
      <c r="OLN200" s="104"/>
      <c r="OLO200" s="104"/>
      <c r="OLP200" s="104"/>
      <c r="OLQ200" s="104"/>
      <c r="OLR200" s="104"/>
      <c r="OLS200" s="104"/>
      <c r="OLT200" s="104"/>
      <c r="OLU200" s="104"/>
      <c r="OLV200" s="104"/>
      <c r="OLW200" s="104"/>
      <c r="OLX200" s="104"/>
      <c r="OLY200" s="104"/>
      <c r="OLZ200" s="104"/>
      <c r="OMA200" s="104"/>
      <c r="OMB200" s="104"/>
      <c r="OMC200" s="104"/>
      <c r="OMD200" s="104"/>
      <c r="OME200" s="104"/>
      <c r="OMF200" s="104"/>
      <c r="OMG200" s="104"/>
      <c r="OMH200" s="104"/>
      <c r="OMI200" s="104"/>
      <c r="OMJ200" s="104"/>
      <c r="OMK200" s="104"/>
      <c r="OML200" s="104"/>
      <c r="OMM200" s="104"/>
      <c r="OMN200" s="104"/>
      <c r="OMO200" s="104"/>
      <c r="OMP200" s="104"/>
      <c r="OMQ200" s="104"/>
      <c r="OMR200" s="104"/>
      <c r="OMS200" s="104"/>
      <c r="OMT200" s="104"/>
      <c r="OMU200" s="104"/>
      <c r="OMV200" s="104"/>
      <c r="OMW200" s="104"/>
      <c r="OMX200" s="104"/>
      <c r="OMY200" s="104"/>
      <c r="OMZ200" s="104"/>
      <c r="ONA200" s="104"/>
      <c r="ONB200" s="104"/>
      <c r="ONC200" s="104"/>
      <c r="OND200" s="104"/>
      <c r="ONE200" s="104"/>
      <c r="ONF200" s="104"/>
      <c r="ONG200" s="104"/>
      <c r="ONH200" s="104"/>
      <c r="ONI200" s="104"/>
      <c r="ONJ200" s="104"/>
      <c r="ONK200" s="104"/>
      <c r="ONL200" s="104"/>
      <c r="ONM200" s="104"/>
      <c r="ONN200" s="104"/>
      <c r="ONO200" s="104"/>
      <c r="ONP200" s="104"/>
      <c r="ONQ200" s="104"/>
      <c r="ONR200" s="104"/>
      <c r="ONS200" s="104"/>
      <c r="ONT200" s="104"/>
      <c r="ONU200" s="104"/>
      <c r="ONV200" s="104"/>
      <c r="ONW200" s="104"/>
      <c r="ONX200" s="104"/>
      <c r="ONY200" s="104"/>
      <c r="ONZ200" s="104"/>
      <c r="OOA200" s="104"/>
      <c r="OOB200" s="104"/>
      <c r="OOC200" s="104"/>
      <c r="OOD200" s="104"/>
      <c r="OOE200" s="104"/>
      <c r="OOF200" s="104"/>
      <c r="OOG200" s="104"/>
      <c r="OOH200" s="104"/>
      <c r="OOI200" s="104"/>
      <c r="OOJ200" s="104"/>
      <c r="OOK200" s="104"/>
      <c r="OOL200" s="104"/>
      <c r="OOM200" s="104"/>
      <c r="OON200" s="104"/>
      <c r="OOO200" s="104"/>
      <c r="OOP200" s="104"/>
      <c r="OOQ200" s="104"/>
      <c r="OOR200" s="104"/>
      <c r="OOS200" s="104"/>
      <c r="OOT200" s="104"/>
      <c r="OOU200" s="104"/>
      <c r="OOV200" s="104"/>
      <c r="OOW200" s="104"/>
      <c r="OOX200" s="104"/>
      <c r="OOY200" s="104"/>
      <c r="OOZ200" s="104"/>
      <c r="OPA200" s="104"/>
      <c r="OPB200" s="104"/>
      <c r="OPC200" s="104"/>
      <c r="OPD200" s="104"/>
      <c r="OPE200" s="104"/>
      <c r="OPF200" s="104"/>
      <c r="OPG200" s="104"/>
      <c r="OPH200" s="104"/>
      <c r="OPI200" s="104"/>
      <c r="OPJ200" s="104"/>
      <c r="OPK200" s="104"/>
      <c r="OPL200" s="104"/>
      <c r="OPM200" s="104"/>
      <c r="OPN200" s="104"/>
      <c r="OPO200" s="104"/>
      <c r="OPP200" s="104"/>
      <c r="OPQ200" s="104"/>
      <c r="OPR200" s="104"/>
      <c r="OPS200" s="104"/>
      <c r="OPT200" s="104"/>
      <c r="OPU200" s="104"/>
      <c r="OPV200" s="104"/>
      <c r="OPW200" s="104"/>
      <c r="OPX200" s="104"/>
      <c r="OPY200" s="104"/>
      <c r="OPZ200" s="104"/>
      <c r="OQA200" s="104"/>
      <c r="OQB200" s="104"/>
      <c r="OQC200" s="104"/>
      <c r="OQD200" s="104"/>
      <c r="OQE200" s="104"/>
      <c r="OQF200" s="104"/>
      <c r="OQG200" s="104"/>
      <c r="OQH200" s="104"/>
      <c r="OQI200" s="104"/>
      <c r="OQJ200" s="104"/>
      <c r="OQK200" s="104"/>
      <c r="OQL200" s="104"/>
      <c r="OQM200" s="104"/>
      <c r="OQN200" s="104"/>
      <c r="OQO200" s="104"/>
      <c r="OQP200" s="104"/>
      <c r="OQQ200" s="104"/>
      <c r="OQR200" s="104"/>
      <c r="OQS200" s="104"/>
      <c r="OQT200" s="104"/>
      <c r="OQU200" s="104"/>
      <c r="OQV200" s="104"/>
      <c r="OQW200" s="104"/>
      <c r="OQX200" s="104"/>
      <c r="OQY200" s="104"/>
      <c r="OQZ200" s="104"/>
      <c r="ORA200" s="104"/>
      <c r="ORB200" s="104"/>
      <c r="ORC200" s="104"/>
      <c r="ORD200" s="104"/>
      <c r="ORE200" s="104"/>
      <c r="ORF200" s="104"/>
      <c r="ORG200" s="104"/>
      <c r="ORH200" s="104"/>
      <c r="ORI200" s="104"/>
      <c r="ORJ200" s="104"/>
      <c r="ORK200" s="104"/>
      <c r="ORL200" s="104"/>
      <c r="ORM200" s="104"/>
      <c r="ORN200" s="104"/>
      <c r="ORO200" s="104"/>
      <c r="ORP200" s="104"/>
      <c r="ORQ200" s="104"/>
      <c r="ORR200" s="104"/>
      <c r="ORS200" s="104"/>
      <c r="ORT200" s="104"/>
      <c r="ORU200" s="104"/>
      <c r="ORV200" s="104"/>
      <c r="ORW200" s="104"/>
      <c r="ORX200" s="104"/>
      <c r="ORY200" s="104"/>
      <c r="ORZ200" s="104"/>
      <c r="OSA200" s="104"/>
      <c r="OSB200" s="104"/>
      <c r="OSC200" s="104"/>
      <c r="OSD200" s="104"/>
      <c r="OSE200" s="104"/>
      <c r="OSF200" s="104"/>
      <c r="OSG200" s="104"/>
      <c r="OSH200" s="104"/>
      <c r="OSI200" s="104"/>
      <c r="OSJ200" s="104"/>
      <c r="OSK200" s="104"/>
      <c r="OSL200" s="104"/>
      <c r="OSM200" s="104"/>
      <c r="OSN200" s="104"/>
      <c r="OSO200" s="104"/>
      <c r="OSP200" s="104"/>
      <c r="OSQ200" s="104"/>
      <c r="OSR200" s="104"/>
      <c r="OSS200" s="104"/>
      <c r="OST200" s="104"/>
      <c r="OSU200" s="104"/>
      <c r="OSV200" s="104"/>
      <c r="OSW200" s="104"/>
      <c r="OSX200" s="104"/>
      <c r="OSY200" s="104"/>
      <c r="OSZ200" s="104"/>
      <c r="OTA200" s="104"/>
      <c r="OTB200" s="104"/>
      <c r="OTC200" s="104"/>
      <c r="OTD200" s="104"/>
      <c r="OTE200" s="104"/>
      <c r="OTF200" s="104"/>
      <c r="OTG200" s="104"/>
      <c r="OTH200" s="104"/>
      <c r="OTI200" s="104"/>
      <c r="OTJ200" s="104"/>
      <c r="OTK200" s="104"/>
      <c r="OTL200" s="104"/>
      <c r="OTM200" s="104"/>
      <c r="OTN200" s="104"/>
      <c r="OTO200" s="104"/>
      <c r="OTP200" s="104"/>
      <c r="OTQ200" s="104"/>
      <c r="OTR200" s="104"/>
      <c r="OTS200" s="104"/>
      <c r="OTT200" s="104"/>
      <c r="OTU200" s="104"/>
      <c r="OTV200" s="104"/>
      <c r="OTW200" s="104"/>
      <c r="OTX200" s="104"/>
      <c r="OTY200" s="104"/>
      <c r="OTZ200" s="104"/>
      <c r="OUA200" s="104"/>
      <c r="OUB200" s="104"/>
      <c r="OUC200" s="104"/>
      <c r="OUD200" s="104"/>
      <c r="OUE200" s="104"/>
      <c r="OUF200" s="104"/>
      <c r="OUG200" s="104"/>
      <c r="OUH200" s="104"/>
      <c r="OUI200" s="104"/>
      <c r="OUJ200" s="104"/>
      <c r="OUK200" s="104"/>
      <c r="OUL200" s="104"/>
      <c r="OUM200" s="104"/>
      <c r="OUN200" s="104"/>
      <c r="OUO200" s="104"/>
      <c r="OUP200" s="104"/>
      <c r="OUQ200" s="104"/>
      <c r="OUR200" s="104"/>
      <c r="OUS200" s="104"/>
      <c r="OUT200" s="104"/>
      <c r="OUU200" s="104"/>
      <c r="OUV200" s="104"/>
      <c r="OUW200" s="104"/>
      <c r="OUX200" s="104"/>
      <c r="OUY200" s="104"/>
      <c r="OUZ200" s="104"/>
      <c r="OVA200" s="104"/>
      <c r="OVB200" s="104"/>
      <c r="OVC200" s="104"/>
      <c r="OVD200" s="104"/>
      <c r="OVE200" s="104"/>
      <c r="OVF200" s="104"/>
      <c r="OVG200" s="104"/>
      <c r="OVH200" s="104"/>
      <c r="OVI200" s="104"/>
      <c r="OVJ200" s="104"/>
      <c r="OVK200" s="104"/>
      <c r="OVL200" s="104"/>
      <c r="OVM200" s="104"/>
      <c r="OVN200" s="104"/>
      <c r="OVO200" s="104"/>
      <c r="OVP200" s="104"/>
      <c r="OVQ200" s="104"/>
      <c r="OVR200" s="104"/>
      <c r="OVS200" s="104"/>
      <c r="OVT200" s="104"/>
      <c r="OVU200" s="104"/>
      <c r="OVV200" s="104"/>
      <c r="OVW200" s="104"/>
      <c r="OVX200" s="104"/>
      <c r="OVY200" s="104"/>
      <c r="OVZ200" s="104"/>
      <c r="OWA200" s="104"/>
      <c r="OWB200" s="104"/>
      <c r="OWC200" s="104"/>
      <c r="OWD200" s="104"/>
      <c r="OWE200" s="104"/>
      <c r="OWF200" s="104"/>
      <c r="OWG200" s="104"/>
      <c r="OWH200" s="104"/>
      <c r="OWI200" s="104"/>
      <c r="OWJ200" s="104"/>
      <c r="OWK200" s="104"/>
      <c r="OWL200" s="104"/>
      <c r="OWM200" s="104"/>
      <c r="OWN200" s="104"/>
      <c r="OWO200" s="104"/>
      <c r="OWP200" s="104"/>
      <c r="OWQ200" s="104"/>
      <c r="OWR200" s="104"/>
      <c r="OWS200" s="104"/>
      <c r="OWT200" s="104"/>
      <c r="OWU200" s="104"/>
      <c r="OWV200" s="104"/>
      <c r="OWW200" s="104"/>
      <c r="OWX200" s="104"/>
      <c r="OWY200" s="104"/>
      <c r="OWZ200" s="104"/>
      <c r="OXA200" s="104"/>
      <c r="OXB200" s="104"/>
      <c r="OXC200" s="104"/>
      <c r="OXD200" s="104"/>
      <c r="OXE200" s="104"/>
      <c r="OXF200" s="104"/>
      <c r="OXG200" s="104"/>
      <c r="OXH200" s="104"/>
      <c r="OXI200" s="104"/>
      <c r="OXJ200" s="104"/>
      <c r="OXK200" s="104"/>
      <c r="OXL200" s="104"/>
      <c r="OXM200" s="104"/>
      <c r="OXN200" s="104"/>
      <c r="OXO200" s="104"/>
      <c r="OXP200" s="104"/>
      <c r="OXQ200" s="104"/>
      <c r="OXR200" s="104"/>
      <c r="OXS200" s="104"/>
      <c r="OXT200" s="104"/>
      <c r="OXU200" s="104"/>
      <c r="OXV200" s="104"/>
      <c r="OXW200" s="104"/>
      <c r="OXX200" s="104"/>
      <c r="OXY200" s="104"/>
      <c r="OXZ200" s="104"/>
      <c r="OYA200" s="104"/>
      <c r="OYB200" s="104"/>
      <c r="OYC200" s="104"/>
      <c r="OYD200" s="104"/>
      <c r="OYE200" s="104"/>
      <c r="OYF200" s="104"/>
      <c r="OYG200" s="104"/>
      <c r="OYH200" s="104"/>
      <c r="OYI200" s="104"/>
      <c r="OYJ200" s="104"/>
      <c r="OYK200" s="104"/>
      <c r="OYL200" s="104"/>
      <c r="OYM200" s="104"/>
      <c r="OYN200" s="104"/>
      <c r="OYO200" s="104"/>
      <c r="OYP200" s="104"/>
      <c r="OYQ200" s="104"/>
      <c r="OYR200" s="104"/>
      <c r="OYS200" s="104"/>
      <c r="OYT200" s="104"/>
      <c r="OYU200" s="104"/>
      <c r="OYV200" s="104"/>
      <c r="OYW200" s="104"/>
      <c r="OYX200" s="104"/>
      <c r="OYY200" s="104"/>
      <c r="OYZ200" s="104"/>
      <c r="OZA200" s="104"/>
      <c r="OZB200" s="104"/>
      <c r="OZC200" s="104"/>
      <c r="OZD200" s="104"/>
      <c r="OZE200" s="104"/>
      <c r="OZF200" s="104"/>
      <c r="OZG200" s="104"/>
      <c r="OZH200" s="104"/>
      <c r="OZI200" s="104"/>
      <c r="OZJ200" s="104"/>
      <c r="OZK200" s="104"/>
      <c r="OZL200" s="104"/>
      <c r="OZM200" s="104"/>
      <c r="OZN200" s="104"/>
      <c r="OZO200" s="104"/>
      <c r="OZP200" s="104"/>
      <c r="OZQ200" s="104"/>
      <c r="OZR200" s="104"/>
      <c r="OZS200" s="104"/>
      <c r="OZT200" s="104"/>
      <c r="OZU200" s="104"/>
      <c r="OZV200" s="104"/>
      <c r="OZW200" s="104"/>
      <c r="OZX200" s="104"/>
      <c r="OZY200" s="104"/>
      <c r="OZZ200" s="104"/>
      <c r="PAA200" s="104"/>
      <c r="PAB200" s="104"/>
      <c r="PAC200" s="104"/>
      <c r="PAD200" s="104"/>
      <c r="PAE200" s="104"/>
      <c r="PAF200" s="104"/>
      <c r="PAG200" s="104"/>
      <c r="PAH200" s="104"/>
      <c r="PAI200" s="104"/>
      <c r="PAJ200" s="104"/>
      <c r="PAK200" s="104"/>
      <c r="PAL200" s="104"/>
      <c r="PAM200" s="104"/>
      <c r="PAN200" s="104"/>
      <c r="PAO200" s="104"/>
      <c r="PAP200" s="104"/>
      <c r="PAQ200" s="104"/>
      <c r="PAR200" s="104"/>
      <c r="PAS200" s="104"/>
      <c r="PAT200" s="104"/>
      <c r="PAU200" s="104"/>
      <c r="PAV200" s="104"/>
      <c r="PAW200" s="104"/>
      <c r="PAX200" s="104"/>
      <c r="PAY200" s="104"/>
      <c r="PAZ200" s="104"/>
      <c r="PBA200" s="104"/>
      <c r="PBB200" s="104"/>
      <c r="PBC200" s="104"/>
      <c r="PBD200" s="104"/>
      <c r="PBE200" s="104"/>
      <c r="PBF200" s="104"/>
      <c r="PBG200" s="104"/>
      <c r="PBH200" s="104"/>
      <c r="PBI200" s="104"/>
      <c r="PBJ200" s="104"/>
      <c r="PBK200" s="104"/>
      <c r="PBL200" s="104"/>
      <c r="PBM200" s="104"/>
      <c r="PBN200" s="104"/>
      <c r="PBO200" s="104"/>
      <c r="PBP200" s="104"/>
      <c r="PBQ200" s="104"/>
      <c r="PBR200" s="104"/>
      <c r="PBS200" s="104"/>
      <c r="PBT200" s="104"/>
      <c r="PBU200" s="104"/>
      <c r="PBV200" s="104"/>
      <c r="PBW200" s="104"/>
      <c r="PBX200" s="104"/>
      <c r="PBY200" s="104"/>
      <c r="PBZ200" s="104"/>
      <c r="PCA200" s="104"/>
      <c r="PCB200" s="104"/>
      <c r="PCC200" s="104"/>
      <c r="PCD200" s="104"/>
      <c r="PCE200" s="104"/>
      <c r="PCF200" s="104"/>
      <c r="PCG200" s="104"/>
      <c r="PCH200" s="104"/>
      <c r="PCI200" s="104"/>
      <c r="PCJ200" s="104"/>
      <c r="PCK200" s="104"/>
      <c r="PCL200" s="104"/>
      <c r="PCM200" s="104"/>
      <c r="PCN200" s="104"/>
      <c r="PCO200" s="104"/>
      <c r="PCP200" s="104"/>
      <c r="PCQ200" s="104"/>
      <c r="PCR200" s="104"/>
      <c r="PCS200" s="104"/>
      <c r="PCT200" s="104"/>
      <c r="PCU200" s="104"/>
      <c r="PCV200" s="104"/>
      <c r="PCW200" s="104"/>
      <c r="PCX200" s="104"/>
      <c r="PCY200" s="104"/>
      <c r="PCZ200" s="104"/>
      <c r="PDA200" s="104"/>
      <c r="PDB200" s="104"/>
      <c r="PDC200" s="104"/>
      <c r="PDD200" s="104"/>
      <c r="PDE200" s="104"/>
      <c r="PDF200" s="104"/>
      <c r="PDG200" s="104"/>
      <c r="PDH200" s="104"/>
      <c r="PDI200" s="104"/>
      <c r="PDJ200" s="104"/>
      <c r="PDK200" s="104"/>
      <c r="PDL200" s="104"/>
      <c r="PDM200" s="104"/>
      <c r="PDN200" s="104"/>
      <c r="PDO200" s="104"/>
      <c r="PDP200" s="104"/>
      <c r="PDQ200" s="104"/>
      <c r="PDR200" s="104"/>
      <c r="PDS200" s="104"/>
      <c r="PDT200" s="104"/>
      <c r="PDU200" s="104"/>
      <c r="PDV200" s="104"/>
      <c r="PDW200" s="104"/>
      <c r="PDX200" s="104"/>
      <c r="PDY200" s="104"/>
      <c r="PDZ200" s="104"/>
      <c r="PEA200" s="104"/>
      <c r="PEB200" s="104"/>
      <c r="PEC200" s="104"/>
      <c r="PED200" s="104"/>
      <c r="PEE200" s="104"/>
      <c r="PEF200" s="104"/>
      <c r="PEG200" s="104"/>
      <c r="PEH200" s="104"/>
      <c r="PEI200" s="104"/>
      <c r="PEJ200" s="104"/>
      <c r="PEK200" s="104"/>
      <c r="PEL200" s="104"/>
      <c r="PEM200" s="104"/>
      <c r="PEN200" s="104"/>
      <c r="PEO200" s="104"/>
      <c r="PEP200" s="104"/>
      <c r="PEQ200" s="104"/>
      <c r="PER200" s="104"/>
      <c r="PES200" s="104"/>
      <c r="PET200" s="104"/>
      <c r="PEU200" s="104"/>
      <c r="PEV200" s="104"/>
      <c r="PEW200" s="104"/>
      <c r="PEX200" s="104"/>
      <c r="PEY200" s="104"/>
      <c r="PEZ200" s="104"/>
      <c r="PFA200" s="104"/>
      <c r="PFB200" s="104"/>
      <c r="PFC200" s="104"/>
      <c r="PFD200" s="104"/>
      <c r="PFE200" s="104"/>
      <c r="PFF200" s="104"/>
      <c r="PFG200" s="104"/>
      <c r="PFH200" s="104"/>
      <c r="PFI200" s="104"/>
      <c r="PFJ200" s="104"/>
      <c r="PFK200" s="104"/>
      <c r="PFL200" s="104"/>
      <c r="PFM200" s="104"/>
      <c r="PFN200" s="104"/>
      <c r="PFO200" s="104"/>
      <c r="PFP200" s="104"/>
      <c r="PFQ200" s="104"/>
      <c r="PFR200" s="104"/>
      <c r="PFS200" s="104"/>
      <c r="PFT200" s="104"/>
      <c r="PFU200" s="104"/>
      <c r="PFV200" s="104"/>
      <c r="PFW200" s="104"/>
      <c r="PFX200" s="104"/>
      <c r="PFY200" s="104"/>
      <c r="PFZ200" s="104"/>
      <c r="PGA200" s="104"/>
      <c r="PGB200" s="104"/>
      <c r="PGC200" s="104"/>
      <c r="PGD200" s="104"/>
      <c r="PGE200" s="104"/>
      <c r="PGF200" s="104"/>
      <c r="PGG200" s="104"/>
      <c r="PGH200" s="104"/>
      <c r="PGI200" s="104"/>
      <c r="PGJ200" s="104"/>
      <c r="PGK200" s="104"/>
      <c r="PGL200" s="104"/>
      <c r="PGM200" s="104"/>
      <c r="PGN200" s="104"/>
      <c r="PGO200" s="104"/>
      <c r="PGP200" s="104"/>
      <c r="PGQ200" s="104"/>
      <c r="PGR200" s="104"/>
      <c r="PGS200" s="104"/>
      <c r="PGT200" s="104"/>
      <c r="PGU200" s="104"/>
      <c r="PGV200" s="104"/>
      <c r="PGW200" s="104"/>
      <c r="PGX200" s="104"/>
      <c r="PGY200" s="104"/>
      <c r="PGZ200" s="104"/>
      <c r="PHA200" s="104"/>
      <c r="PHB200" s="104"/>
      <c r="PHC200" s="104"/>
      <c r="PHD200" s="104"/>
      <c r="PHE200" s="104"/>
      <c r="PHF200" s="104"/>
      <c r="PHG200" s="104"/>
      <c r="PHH200" s="104"/>
      <c r="PHI200" s="104"/>
      <c r="PHJ200" s="104"/>
      <c r="PHK200" s="104"/>
      <c r="PHL200" s="104"/>
      <c r="PHM200" s="104"/>
      <c r="PHN200" s="104"/>
      <c r="PHO200" s="104"/>
      <c r="PHP200" s="104"/>
      <c r="PHQ200" s="104"/>
      <c r="PHR200" s="104"/>
      <c r="PHS200" s="104"/>
      <c r="PHT200" s="104"/>
      <c r="PHU200" s="104"/>
      <c r="PHV200" s="104"/>
      <c r="PHW200" s="104"/>
      <c r="PHX200" s="104"/>
      <c r="PHY200" s="104"/>
      <c r="PHZ200" s="104"/>
      <c r="PIA200" s="104"/>
      <c r="PIB200" s="104"/>
      <c r="PIC200" s="104"/>
      <c r="PID200" s="104"/>
      <c r="PIE200" s="104"/>
      <c r="PIF200" s="104"/>
      <c r="PIG200" s="104"/>
      <c r="PIH200" s="104"/>
      <c r="PII200" s="104"/>
      <c r="PIJ200" s="104"/>
      <c r="PIK200" s="104"/>
      <c r="PIL200" s="104"/>
      <c r="PIM200" s="104"/>
      <c r="PIN200" s="104"/>
      <c r="PIO200" s="104"/>
      <c r="PIP200" s="104"/>
      <c r="PIQ200" s="104"/>
      <c r="PIR200" s="104"/>
      <c r="PIS200" s="104"/>
      <c r="PIT200" s="104"/>
      <c r="PIU200" s="104"/>
      <c r="PIV200" s="104"/>
      <c r="PIW200" s="104"/>
      <c r="PIX200" s="104"/>
      <c r="PIY200" s="104"/>
      <c r="PIZ200" s="104"/>
      <c r="PJA200" s="104"/>
      <c r="PJB200" s="104"/>
      <c r="PJC200" s="104"/>
      <c r="PJD200" s="104"/>
      <c r="PJE200" s="104"/>
      <c r="PJF200" s="104"/>
      <c r="PJG200" s="104"/>
      <c r="PJH200" s="104"/>
      <c r="PJI200" s="104"/>
      <c r="PJJ200" s="104"/>
      <c r="PJK200" s="104"/>
      <c r="PJL200" s="104"/>
      <c r="PJM200" s="104"/>
      <c r="PJN200" s="104"/>
      <c r="PJO200" s="104"/>
      <c r="PJP200" s="104"/>
      <c r="PJQ200" s="104"/>
      <c r="PJR200" s="104"/>
      <c r="PJS200" s="104"/>
      <c r="PJT200" s="104"/>
      <c r="PJU200" s="104"/>
      <c r="PJV200" s="104"/>
      <c r="PJW200" s="104"/>
      <c r="PJX200" s="104"/>
      <c r="PJY200" s="104"/>
      <c r="PJZ200" s="104"/>
      <c r="PKA200" s="104"/>
      <c r="PKB200" s="104"/>
      <c r="PKC200" s="104"/>
      <c r="PKD200" s="104"/>
      <c r="PKE200" s="104"/>
      <c r="PKF200" s="104"/>
      <c r="PKG200" s="104"/>
      <c r="PKH200" s="104"/>
      <c r="PKI200" s="104"/>
      <c r="PKJ200" s="104"/>
      <c r="PKK200" s="104"/>
      <c r="PKL200" s="104"/>
      <c r="PKM200" s="104"/>
      <c r="PKN200" s="104"/>
      <c r="PKO200" s="104"/>
      <c r="PKP200" s="104"/>
      <c r="PKQ200" s="104"/>
      <c r="PKR200" s="104"/>
      <c r="PKS200" s="104"/>
      <c r="PKT200" s="104"/>
      <c r="PKU200" s="104"/>
      <c r="PKV200" s="104"/>
      <c r="PKW200" s="104"/>
      <c r="PKX200" s="104"/>
      <c r="PKY200" s="104"/>
      <c r="PKZ200" s="104"/>
      <c r="PLA200" s="104"/>
      <c r="PLB200" s="104"/>
      <c r="PLC200" s="104"/>
      <c r="PLD200" s="104"/>
      <c r="PLE200" s="104"/>
      <c r="PLF200" s="104"/>
      <c r="PLG200" s="104"/>
      <c r="PLH200" s="104"/>
      <c r="PLI200" s="104"/>
      <c r="PLJ200" s="104"/>
      <c r="PLK200" s="104"/>
      <c r="PLL200" s="104"/>
      <c r="PLM200" s="104"/>
      <c r="PLN200" s="104"/>
      <c r="PLO200" s="104"/>
      <c r="PLP200" s="104"/>
      <c r="PLQ200" s="104"/>
      <c r="PLR200" s="104"/>
      <c r="PLS200" s="104"/>
      <c r="PLT200" s="104"/>
      <c r="PLU200" s="104"/>
      <c r="PLV200" s="104"/>
      <c r="PLW200" s="104"/>
      <c r="PLX200" s="104"/>
      <c r="PLY200" s="104"/>
      <c r="PLZ200" s="104"/>
      <c r="PMA200" s="104"/>
      <c r="PMB200" s="104"/>
      <c r="PMC200" s="104"/>
      <c r="PMD200" s="104"/>
      <c r="PME200" s="104"/>
      <c r="PMF200" s="104"/>
      <c r="PMG200" s="104"/>
      <c r="PMH200" s="104"/>
      <c r="PMI200" s="104"/>
      <c r="PMJ200" s="104"/>
      <c r="PMK200" s="104"/>
      <c r="PML200" s="104"/>
      <c r="PMM200" s="104"/>
      <c r="PMN200" s="104"/>
      <c r="PMO200" s="104"/>
      <c r="PMP200" s="104"/>
      <c r="PMQ200" s="104"/>
      <c r="PMR200" s="104"/>
      <c r="PMS200" s="104"/>
      <c r="PMT200" s="104"/>
      <c r="PMU200" s="104"/>
      <c r="PMV200" s="104"/>
      <c r="PMW200" s="104"/>
      <c r="PMX200" s="104"/>
      <c r="PMY200" s="104"/>
      <c r="PMZ200" s="104"/>
      <c r="PNA200" s="104"/>
      <c r="PNB200" s="104"/>
      <c r="PNC200" s="104"/>
      <c r="PND200" s="104"/>
      <c r="PNE200" s="104"/>
      <c r="PNF200" s="104"/>
      <c r="PNG200" s="104"/>
      <c r="PNH200" s="104"/>
      <c r="PNI200" s="104"/>
      <c r="PNJ200" s="104"/>
      <c r="PNK200" s="104"/>
      <c r="PNL200" s="104"/>
      <c r="PNM200" s="104"/>
      <c r="PNN200" s="104"/>
      <c r="PNO200" s="104"/>
      <c r="PNP200" s="104"/>
      <c r="PNQ200" s="104"/>
      <c r="PNR200" s="104"/>
      <c r="PNS200" s="104"/>
      <c r="PNT200" s="104"/>
      <c r="PNU200" s="104"/>
      <c r="PNV200" s="104"/>
      <c r="PNW200" s="104"/>
      <c r="PNX200" s="104"/>
      <c r="PNY200" s="104"/>
      <c r="PNZ200" s="104"/>
      <c r="POA200" s="104"/>
      <c r="POB200" s="104"/>
      <c r="POC200" s="104"/>
      <c r="POD200" s="104"/>
      <c r="POE200" s="104"/>
      <c r="POF200" s="104"/>
      <c r="POG200" s="104"/>
      <c r="POH200" s="104"/>
      <c r="POI200" s="104"/>
      <c r="POJ200" s="104"/>
      <c r="POK200" s="104"/>
      <c r="POL200" s="104"/>
      <c r="POM200" s="104"/>
      <c r="PON200" s="104"/>
      <c r="POO200" s="104"/>
      <c r="POP200" s="104"/>
      <c r="POQ200" s="104"/>
      <c r="POR200" s="104"/>
      <c r="POS200" s="104"/>
      <c r="POT200" s="104"/>
      <c r="POU200" s="104"/>
      <c r="POV200" s="104"/>
      <c r="POW200" s="104"/>
      <c r="POX200" s="104"/>
      <c r="POY200" s="104"/>
      <c r="POZ200" s="104"/>
      <c r="PPA200" s="104"/>
      <c r="PPB200" s="104"/>
      <c r="PPC200" s="104"/>
      <c r="PPD200" s="104"/>
      <c r="PPE200" s="104"/>
      <c r="PPF200" s="104"/>
      <c r="PPG200" s="104"/>
      <c r="PPH200" s="104"/>
      <c r="PPI200" s="104"/>
      <c r="PPJ200" s="104"/>
      <c r="PPK200" s="104"/>
      <c r="PPL200" s="104"/>
      <c r="PPM200" s="104"/>
      <c r="PPN200" s="104"/>
      <c r="PPO200" s="104"/>
      <c r="PPP200" s="104"/>
      <c r="PPQ200" s="104"/>
      <c r="PPR200" s="104"/>
      <c r="PPS200" s="104"/>
      <c r="PPT200" s="104"/>
      <c r="PPU200" s="104"/>
      <c r="PPV200" s="104"/>
      <c r="PPW200" s="104"/>
      <c r="PPX200" s="104"/>
      <c r="PPY200" s="104"/>
      <c r="PPZ200" s="104"/>
      <c r="PQA200" s="104"/>
      <c r="PQB200" s="104"/>
      <c r="PQC200" s="104"/>
      <c r="PQD200" s="104"/>
      <c r="PQE200" s="104"/>
      <c r="PQF200" s="104"/>
      <c r="PQG200" s="104"/>
      <c r="PQH200" s="104"/>
      <c r="PQI200" s="104"/>
      <c r="PQJ200" s="104"/>
      <c r="PQK200" s="104"/>
      <c r="PQL200" s="104"/>
      <c r="PQM200" s="104"/>
      <c r="PQN200" s="104"/>
      <c r="PQO200" s="104"/>
      <c r="PQP200" s="104"/>
      <c r="PQQ200" s="104"/>
      <c r="PQR200" s="104"/>
      <c r="PQS200" s="104"/>
      <c r="PQT200" s="104"/>
      <c r="PQU200" s="104"/>
      <c r="PQV200" s="104"/>
      <c r="PQW200" s="104"/>
      <c r="PQX200" s="104"/>
      <c r="PQY200" s="104"/>
      <c r="PQZ200" s="104"/>
      <c r="PRA200" s="104"/>
      <c r="PRB200" s="104"/>
      <c r="PRC200" s="104"/>
      <c r="PRD200" s="104"/>
      <c r="PRE200" s="104"/>
      <c r="PRF200" s="104"/>
      <c r="PRG200" s="104"/>
      <c r="PRH200" s="104"/>
      <c r="PRI200" s="104"/>
      <c r="PRJ200" s="104"/>
      <c r="PRK200" s="104"/>
      <c r="PRL200" s="104"/>
      <c r="PRM200" s="104"/>
      <c r="PRN200" s="104"/>
      <c r="PRO200" s="104"/>
      <c r="PRP200" s="104"/>
      <c r="PRQ200" s="104"/>
      <c r="PRR200" s="104"/>
      <c r="PRS200" s="104"/>
      <c r="PRT200" s="104"/>
      <c r="PRU200" s="104"/>
      <c r="PRV200" s="104"/>
      <c r="PRW200" s="104"/>
      <c r="PRX200" s="104"/>
      <c r="PRY200" s="104"/>
      <c r="PRZ200" s="104"/>
      <c r="PSA200" s="104"/>
      <c r="PSB200" s="104"/>
      <c r="PSC200" s="104"/>
      <c r="PSD200" s="104"/>
      <c r="PSE200" s="104"/>
      <c r="PSF200" s="104"/>
      <c r="PSG200" s="104"/>
      <c r="PSH200" s="104"/>
      <c r="PSI200" s="104"/>
      <c r="PSJ200" s="104"/>
      <c r="PSK200" s="104"/>
      <c r="PSL200" s="104"/>
      <c r="PSM200" s="104"/>
      <c r="PSN200" s="104"/>
      <c r="PSO200" s="104"/>
      <c r="PSP200" s="104"/>
      <c r="PSQ200" s="104"/>
      <c r="PSR200" s="104"/>
      <c r="PSS200" s="104"/>
      <c r="PST200" s="104"/>
      <c r="PSU200" s="104"/>
      <c r="PSV200" s="104"/>
      <c r="PSW200" s="104"/>
      <c r="PSX200" s="104"/>
      <c r="PSY200" s="104"/>
      <c r="PSZ200" s="104"/>
      <c r="PTA200" s="104"/>
      <c r="PTB200" s="104"/>
      <c r="PTC200" s="104"/>
      <c r="PTD200" s="104"/>
      <c r="PTE200" s="104"/>
      <c r="PTF200" s="104"/>
      <c r="PTG200" s="104"/>
      <c r="PTH200" s="104"/>
      <c r="PTI200" s="104"/>
      <c r="PTJ200" s="104"/>
      <c r="PTK200" s="104"/>
      <c r="PTL200" s="104"/>
      <c r="PTM200" s="104"/>
      <c r="PTN200" s="104"/>
      <c r="PTO200" s="104"/>
      <c r="PTP200" s="104"/>
      <c r="PTQ200" s="104"/>
      <c r="PTR200" s="104"/>
      <c r="PTS200" s="104"/>
      <c r="PTT200" s="104"/>
      <c r="PTU200" s="104"/>
      <c r="PTV200" s="104"/>
      <c r="PTW200" s="104"/>
      <c r="PTX200" s="104"/>
      <c r="PTY200" s="104"/>
      <c r="PTZ200" s="104"/>
      <c r="PUA200" s="104"/>
      <c r="PUB200" s="104"/>
      <c r="PUC200" s="104"/>
      <c r="PUD200" s="104"/>
      <c r="PUE200" s="104"/>
      <c r="PUF200" s="104"/>
      <c r="PUG200" s="104"/>
      <c r="PUH200" s="104"/>
      <c r="PUI200" s="104"/>
      <c r="PUJ200" s="104"/>
      <c r="PUK200" s="104"/>
      <c r="PUL200" s="104"/>
      <c r="PUM200" s="104"/>
      <c r="PUN200" s="104"/>
      <c r="PUO200" s="104"/>
      <c r="PUP200" s="104"/>
      <c r="PUQ200" s="104"/>
      <c r="PUR200" s="104"/>
      <c r="PUS200" s="104"/>
      <c r="PUT200" s="104"/>
      <c r="PUU200" s="104"/>
      <c r="PUV200" s="104"/>
      <c r="PUW200" s="104"/>
      <c r="PUX200" s="104"/>
      <c r="PUY200" s="104"/>
      <c r="PUZ200" s="104"/>
      <c r="PVA200" s="104"/>
      <c r="PVB200" s="104"/>
      <c r="PVC200" s="104"/>
      <c r="PVD200" s="104"/>
      <c r="PVE200" s="104"/>
      <c r="PVF200" s="104"/>
      <c r="PVG200" s="104"/>
      <c r="PVH200" s="104"/>
      <c r="PVI200" s="104"/>
      <c r="PVJ200" s="104"/>
      <c r="PVK200" s="104"/>
      <c r="PVL200" s="104"/>
      <c r="PVM200" s="104"/>
      <c r="PVN200" s="104"/>
      <c r="PVO200" s="104"/>
      <c r="PVP200" s="104"/>
      <c r="PVQ200" s="104"/>
      <c r="PVR200" s="104"/>
      <c r="PVS200" s="104"/>
      <c r="PVT200" s="104"/>
      <c r="PVU200" s="104"/>
      <c r="PVV200" s="104"/>
      <c r="PVW200" s="104"/>
      <c r="PVX200" s="104"/>
      <c r="PVY200" s="104"/>
      <c r="PVZ200" s="104"/>
      <c r="PWA200" s="104"/>
      <c r="PWB200" s="104"/>
      <c r="PWC200" s="104"/>
      <c r="PWD200" s="104"/>
      <c r="PWE200" s="104"/>
      <c r="PWF200" s="104"/>
      <c r="PWG200" s="104"/>
      <c r="PWH200" s="104"/>
      <c r="PWI200" s="104"/>
      <c r="PWJ200" s="104"/>
      <c r="PWK200" s="104"/>
      <c r="PWL200" s="104"/>
      <c r="PWM200" s="104"/>
      <c r="PWN200" s="104"/>
      <c r="PWO200" s="104"/>
      <c r="PWP200" s="104"/>
      <c r="PWQ200" s="104"/>
      <c r="PWR200" s="104"/>
      <c r="PWS200" s="104"/>
      <c r="PWT200" s="104"/>
      <c r="PWU200" s="104"/>
      <c r="PWV200" s="104"/>
      <c r="PWW200" s="104"/>
      <c r="PWX200" s="104"/>
      <c r="PWY200" s="104"/>
      <c r="PWZ200" s="104"/>
      <c r="PXA200" s="104"/>
      <c r="PXB200" s="104"/>
      <c r="PXC200" s="104"/>
      <c r="PXD200" s="104"/>
      <c r="PXE200" s="104"/>
      <c r="PXF200" s="104"/>
      <c r="PXG200" s="104"/>
      <c r="PXH200" s="104"/>
      <c r="PXI200" s="104"/>
      <c r="PXJ200" s="104"/>
      <c r="PXK200" s="104"/>
      <c r="PXL200" s="104"/>
      <c r="PXM200" s="104"/>
      <c r="PXN200" s="104"/>
      <c r="PXO200" s="104"/>
      <c r="PXP200" s="104"/>
      <c r="PXQ200" s="104"/>
      <c r="PXR200" s="104"/>
      <c r="PXS200" s="104"/>
      <c r="PXT200" s="104"/>
      <c r="PXU200" s="104"/>
      <c r="PXV200" s="104"/>
      <c r="PXW200" s="104"/>
      <c r="PXX200" s="104"/>
      <c r="PXY200" s="104"/>
      <c r="PXZ200" s="104"/>
      <c r="PYA200" s="104"/>
      <c r="PYB200" s="104"/>
      <c r="PYC200" s="104"/>
      <c r="PYD200" s="104"/>
      <c r="PYE200" s="104"/>
      <c r="PYF200" s="104"/>
      <c r="PYG200" s="104"/>
      <c r="PYH200" s="104"/>
      <c r="PYI200" s="104"/>
      <c r="PYJ200" s="104"/>
      <c r="PYK200" s="104"/>
      <c r="PYL200" s="104"/>
      <c r="PYM200" s="104"/>
      <c r="PYN200" s="104"/>
      <c r="PYO200" s="104"/>
      <c r="PYP200" s="104"/>
      <c r="PYQ200" s="104"/>
      <c r="PYR200" s="104"/>
      <c r="PYS200" s="104"/>
      <c r="PYT200" s="104"/>
      <c r="PYU200" s="104"/>
      <c r="PYV200" s="104"/>
      <c r="PYW200" s="104"/>
      <c r="PYX200" s="104"/>
      <c r="PYY200" s="104"/>
      <c r="PYZ200" s="104"/>
      <c r="PZA200" s="104"/>
      <c r="PZB200" s="104"/>
      <c r="PZC200" s="104"/>
      <c r="PZD200" s="104"/>
      <c r="PZE200" s="104"/>
      <c r="PZF200" s="104"/>
      <c r="PZG200" s="104"/>
      <c r="PZH200" s="104"/>
      <c r="PZI200" s="104"/>
      <c r="PZJ200" s="104"/>
      <c r="PZK200" s="104"/>
      <c r="PZL200" s="104"/>
      <c r="PZM200" s="104"/>
      <c r="PZN200" s="104"/>
      <c r="PZO200" s="104"/>
      <c r="PZP200" s="104"/>
      <c r="PZQ200" s="104"/>
      <c r="PZR200" s="104"/>
      <c r="PZS200" s="104"/>
      <c r="PZT200" s="104"/>
      <c r="PZU200" s="104"/>
      <c r="PZV200" s="104"/>
      <c r="PZW200" s="104"/>
      <c r="PZX200" s="104"/>
      <c r="PZY200" s="104"/>
      <c r="PZZ200" s="104"/>
      <c r="QAA200" s="104"/>
      <c r="QAB200" s="104"/>
      <c r="QAC200" s="104"/>
      <c r="QAD200" s="104"/>
      <c r="QAE200" s="104"/>
      <c r="QAF200" s="104"/>
      <c r="QAG200" s="104"/>
      <c r="QAH200" s="104"/>
      <c r="QAI200" s="104"/>
      <c r="QAJ200" s="104"/>
      <c r="QAK200" s="104"/>
      <c r="QAL200" s="104"/>
      <c r="QAM200" s="104"/>
      <c r="QAN200" s="104"/>
      <c r="QAO200" s="104"/>
      <c r="QAP200" s="104"/>
      <c r="QAQ200" s="104"/>
      <c r="QAR200" s="104"/>
      <c r="QAS200" s="104"/>
      <c r="QAT200" s="104"/>
      <c r="QAU200" s="104"/>
      <c r="QAV200" s="104"/>
      <c r="QAW200" s="104"/>
      <c r="QAX200" s="104"/>
      <c r="QAY200" s="104"/>
      <c r="QAZ200" s="104"/>
      <c r="QBA200" s="104"/>
      <c r="QBB200" s="104"/>
      <c r="QBC200" s="104"/>
      <c r="QBD200" s="104"/>
      <c r="QBE200" s="104"/>
      <c r="QBF200" s="104"/>
      <c r="QBG200" s="104"/>
      <c r="QBH200" s="104"/>
      <c r="QBI200" s="104"/>
      <c r="QBJ200" s="104"/>
      <c r="QBK200" s="104"/>
      <c r="QBL200" s="104"/>
      <c r="QBM200" s="104"/>
      <c r="QBN200" s="104"/>
      <c r="QBO200" s="104"/>
      <c r="QBP200" s="104"/>
      <c r="QBQ200" s="104"/>
      <c r="QBR200" s="104"/>
      <c r="QBS200" s="104"/>
      <c r="QBT200" s="104"/>
      <c r="QBU200" s="104"/>
      <c r="QBV200" s="104"/>
      <c r="QBW200" s="104"/>
      <c r="QBX200" s="104"/>
      <c r="QBY200" s="104"/>
      <c r="QBZ200" s="104"/>
      <c r="QCA200" s="104"/>
      <c r="QCB200" s="104"/>
      <c r="QCC200" s="104"/>
      <c r="QCD200" s="104"/>
      <c r="QCE200" s="104"/>
      <c r="QCF200" s="104"/>
      <c r="QCG200" s="104"/>
      <c r="QCH200" s="104"/>
      <c r="QCI200" s="104"/>
      <c r="QCJ200" s="104"/>
      <c r="QCK200" s="104"/>
      <c r="QCL200" s="104"/>
      <c r="QCM200" s="104"/>
      <c r="QCN200" s="104"/>
      <c r="QCO200" s="104"/>
      <c r="QCP200" s="104"/>
      <c r="QCQ200" s="104"/>
      <c r="QCR200" s="104"/>
      <c r="QCS200" s="104"/>
      <c r="QCT200" s="104"/>
      <c r="QCU200" s="104"/>
      <c r="QCV200" s="104"/>
      <c r="QCW200" s="104"/>
      <c r="QCX200" s="104"/>
      <c r="QCY200" s="104"/>
      <c r="QCZ200" s="104"/>
      <c r="QDA200" s="104"/>
      <c r="QDB200" s="104"/>
      <c r="QDC200" s="104"/>
      <c r="QDD200" s="104"/>
      <c r="QDE200" s="104"/>
      <c r="QDF200" s="104"/>
      <c r="QDG200" s="104"/>
      <c r="QDH200" s="104"/>
      <c r="QDI200" s="104"/>
      <c r="QDJ200" s="104"/>
      <c r="QDK200" s="104"/>
      <c r="QDL200" s="104"/>
      <c r="QDM200" s="104"/>
      <c r="QDN200" s="104"/>
      <c r="QDO200" s="104"/>
      <c r="QDP200" s="104"/>
      <c r="QDQ200" s="104"/>
      <c r="QDR200" s="104"/>
      <c r="QDS200" s="104"/>
      <c r="QDT200" s="104"/>
      <c r="QDU200" s="104"/>
      <c r="QDV200" s="104"/>
      <c r="QDW200" s="104"/>
      <c r="QDX200" s="104"/>
      <c r="QDY200" s="104"/>
      <c r="QDZ200" s="104"/>
      <c r="QEA200" s="104"/>
      <c r="QEB200" s="104"/>
      <c r="QEC200" s="104"/>
      <c r="QED200" s="104"/>
      <c r="QEE200" s="104"/>
      <c r="QEF200" s="104"/>
      <c r="QEG200" s="104"/>
      <c r="QEH200" s="104"/>
      <c r="QEI200" s="104"/>
      <c r="QEJ200" s="104"/>
      <c r="QEK200" s="104"/>
      <c r="QEL200" s="104"/>
      <c r="QEM200" s="104"/>
      <c r="QEN200" s="104"/>
      <c r="QEO200" s="104"/>
      <c r="QEP200" s="104"/>
      <c r="QEQ200" s="104"/>
      <c r="QER200" s="104"/>
      <c r="QES200" s="104"/>
      <c r="QET200" s="104"/>
      <c r="QEU200" s="104"/>
      <c r="QEV200" s="104"/>
      <c r="QEW200" s="104"/>
      <c r="QEX200" s="104"/>
      <c r="QEY200" s="104"/>
      <c r="QEZ200" s="104"/>
      <c r="QFA200" s="104"/>
      <c r="QFB200" s="104"/>
      <c r="QFC200" s="104"/>
      <c r="QFD200" s="104"/>
      <c r="QFE200" s="104"/>
      <c r="QFF200" s="104"/>
      <c r="QFG200" s="104"/>
      <c r="QFH200" s="104"/>
      <c r="QFI200" s="104"/>
      <c r="QFJ200" s="104"/>
      <c r="QFK200" s="104"/>
      <c r="QFL200" s="104"/>
      <c r="QFM200" s="104"/>
      <c r="QFN200" s="104"/>
      <c r="QFO200" s="104"/>
      <c r="QFP200" s="104"/>
      <c r="QFQ200" s="104"/>
      <c r="QFR200" s="104"/>
      <c r="QFS200" s="104"/>
      <c r="QFT200" s="104"/>
      <c r="QFU200" s="104"/>
      <c r="QFV200" s="104"/>
      <c r="QFW200" s="104"/>
      <c r="QFX200" s="104"/>
      <c r="QFY200" s="104"/>
      <c r="QFZ200" s="104"/>
      <c r="QGA200" s="104"/>
      <c r="QGB200" s="104"/>
      <c r="QGC200" s="104"/>
      <c r="QGD200" s="104"/>
      <c r="QGE200" s="104"/>
      <c r="QGF200" s="104"/>
      <c r="QGG200" s="104"/>
      <c r="QGH200" s="104"/>
      <c r="QGI200" s="104"/>
      <c r="QGJ200" s="104"/>
      <c r="QGK200" s="104"/>
      <c r="QGL200" s="104"/>
      <c r="QGM200" s="104"/>
      <c r="QGN200" s="104"/>
      <c r="QGO200" s="104"/>
      <c r="QGP200" s="104"/>
      <c r="QGQ200" s="104"/>
      <c r="QGR200" s="104"/>
      <c r="QGS200" s="104"/>
      <c r="QGT200" s="104"/>
      <c r="QGU200" s="104"/>
      <c r="QGV200" s="104"/>
      <c r="QGW200" s="104"/>
      <c r="QGX200" s="104"/>
      <c r="QGY200" s="104"/>
      <c r="QGZ200" s="104"/>
      <c r="QHA200" s="104"/>
      <c r="QHB200" s="104"/>
      <c r="QHC200" s="104"/>
      <c r="QHD200" s="104"/>
      <c r="QHE200" s="104"/>
      <c r="QHF200" s="104"/>
      <c r="QHG200" s="104"/>
      <c r="QHH200" s="104"/>
      <c r="QHI200" s="104"/>
      <c r="QHJ200" s="104"/>
      <c r="QHK200" s="104"/>
      <c r="QHL200" s="104"/>
      <c r="QHM200" s="104"/>
      <c r="QHN200" s="104"/>
      <c r="QHO200" s="104"/>
      <c r="QHP200" s="104"/>
      <c r="QHQ200" s="104"/>
      <c r="QHR200" s="104"/>
      <c r="QHS200" s="104"/>
      <c r="QHT200" s="104"/>
      <c r="QHU200" s="104"/>
      <c r="QHV200" s="104"/>
      <c r="QHW200" s="104"/>
      <c r="QHX200" s="104"/>
      <c r="QHY200" s="104"/>
      <c r="QHZ200" s="104"/>
      <c r="QIA200" s="104"/>
      <c r="QIB200" s="104"/>
      <c r="QIC200" s="104"/>
      <c r="QID200" s="104"/>
      <c r="QIE200" s="104"/>
      <c r="QIF200" s="104"/>
      <c r="QIG200" s="104"/>
      <c r="QIH200" s="104"/>
      <c r="QII200" s="104"/>
      <c r="QIJ200" s="104"/>
      <c r="QIK200" s="104"/>
      <c r="QIL200" s="104"/>
      <c r="QIM200" s="104"/>
      <c r="QIN200" s="104"/>
      <c r="QIO200" s="104"/>
      <c r="QIP200" s="104"/>
      <c r="QIQ200" s="104"/>
      <c r="QIR200" s="104"/>
      <c r="QIS200" s="104"/>
      <c r="QIT200" s="104"/>
      <c r="QIU200" s="104"/>
      <c r="QIV200" s="104"/>
      <c r="QIW200" s="104"/>
      <c r="QIX200" s="104"/>
      <c r="QIY200" s="104"/>
      <c r="QIZ200" s="104"/>
      <c r="QJA200" s="104"/>
      <c r="QJB200" s="104"/>
      <c r="QJC200" s="104"/>
      <c r="QJD200" s="104"/>
      <c r="QJE200" s="104"/>
      <c r="QJF200" s="104"/>
      <c r="QJG200" s="104"/>
      <c r="QJH200" s="104"/>
      <c r="QJI200" s="104"/>
      <c r="QJJ200" s="104"/>
      <c r="QJK200" s="104"/>
      <c r="QJL200" s="104"/>
      <c r="QJM200" s="104"/>
      <c r="QJN200" s="104"/>
      <c r="QJO200" s="104"/>
      <c r="QJP200" s="104"/>
      <c r="QJQ200" s="104"/>
      <c r="QJR200" s="104"/>
      <c r="QJS200" s="104"/>
      <c r="QJT200" s="104"/>
      <c r="QJU200" s="104"/>
      <c r="QJV200" s="104"/>
      <c r="QJW200" s="104"/>
      <c r="QJX200" s="104"/>
      <c r="QJY200" s="104"/>
      <c r="QJZ200" s="104"/>
      <c r="QKA200" s="104"/>
      <c r="QKB200" s="104"/>
      <c r="QKC200" s="104"/>
      <c r="QKD200" s="104"/>
      <c r="QKE200" s="104"/>
      <c r="QKF200" s="104"/>
      <c r="QKG200" s="104"/>
      <c r="QKH200" s="104"/>
      <c r="QKI200" s="104"/>
      <c r="QKJ200" s="104"/>
      <c r="QKK200" s="104"/>
      <c r="QKL200" s="104"/>
      <c r="QKM200" s="104"/>
      <c r="QKN200" s="104"/>
      <c r="QKO200" s="104"/>
      <c r="QKP200" s="104"/>
      <c r="QKQ200" s="104"/>
      <c r="QKR200" s="104"/>
      <c r="QKS200" s="104"/>
      <c r="QKT200" s="104"/>
      <c r="QKU200" s="104"/>
      <c r="QKV200" s="104"/>
      <c r="QKW200" s="104"/>
      <c r="QKX200" s="104"/>
      <c r="QKY200" s="104"/>
      <c r="QKZ200" s="104"/>
      <c r="QLA200" s="104"/>
      <c r="QLB200" s="104"/>
      <c r="QLC200" s="104"/>
      <c r="QLD200" s="104"/>
      <c r="QLE200" s="104"/>
      <c r="QLF200" s="104"/>
      <c r="QLG200" s="104"/>
      <c r="QLH200" s="104"/>
      <c r="QLI200" s="104"/>
      <c r="QLJ200" s="104"/>
      <c r="QLK200" s="104"/>
      <c r="QLL200" s="104"/>
      <c r="QLM200" s="104"/>
      <c r="QLN200" s="104"/>
      <c r="QLO200" s="104"/>
      <c r="QLP200" s="104"/>
      <c r="QLQ200" s="104"/>
      <c r="QLR200" s="104"/>
      <c r="QLS200" s="104"/>
      <c r="QLT200" s="104"/>
      <c r="QLU200" s="104"/>
      <c r="QLV200" s="104"/>
      <c r="QLW200" s="104"/>
      <c r="QLX200" s="104"/>
      <c r="QLY200" s="104"/>
      <c r="QLZ200" s="104"/>
      <c r="QMA200" s="104"/>
      <c r="QMB200" s="104"/>
      <c r="QMC200" s="104"/>
      <c r="QMD200" s="104"/>
      <c r="QME200" s="104"/>
      <c r="QMF200" s="104"/>
      <c r="QMG200" s="104"/>
      <c r="QMH200" s="104"/>
      <c r="QMI200" s="104"/>
      <c r="QMJ200" s="104"/>
      <c r="QMK200" s="104"/>
      <c r="QML200" s="104"/>
      <c r="QMM200" s="104"/>
      <c r="QMN200" s="104"/>
      <c r="QMO200" s="104"/>
      <c r="QMP200" s="104"/>
      <c r="QMQ200" s="104"/>
      <c r="QMR200" s="104"/>
      <c r="QMS200" s="104"/>
      <c r="QMT200" s="104"/>
      <c r="QMU200" s="104"/>
      <c r="QMV200" s="104"/>
      <c r="QMW200" s="104"/>
      <c r="QMX200" s="104"/>
      <c r="QMY200" s="104"/>
      <c r="QMZ200" s="104"/>
      <c r="QNA200" s="104"/>
      <c r="QNB200" s="104"/>
      <c r="QNC200" s="104"/>
      <c r="QND200" s="104"/>
      <c r="QNE200" s="104"/>
      <c r="QNF200" s="104"/>
      <c r="QNG200" s="104"/>
      <c r="QNH200" s="104"/>
      <c r="QNI200" s="104"/>
      <c r="QNJ200" s="104"/>
      <c r="QNK200" s="104"/>
      <c r="QNL200" s="104"/>
      <c r="QNM200" s="104"/>
      <c r="QNN200" s="104"/>
      <c r="QNO200" s="104"/>
      <c r="QNP200" s="104"/>
      <c r="QNQ200" s="104"/>
      <c r="QNR200" s="104"/>
      <c r="QNS200" s="104"/>
      <c r="QNT200" s="104"/>
      <c r="QNU200" s="104"/>
      <c r="QNV200" s="104"/>
      <c r="QNW200" s="104"/>
      <c r="QNX200" s="104"/>
      <c r="QNY200" s="104"/>
      <c r="QNZ200" s="104"/>
      <c r="QOA200" s="104"/>
      <c r="QOB200" s="104"/>
      <c r="QOC200" s="104"/>
      <c r="QOD200" s="104"/>
      <c r="QOE200" s="104"/>
      <c r="QOF200" s="104"/>
      <c r="QOG200" s="104"/>
      <c r="QOH200" s="104"/>
      <c r="QOI200" s="104"/>
      <c r="QOJ200" s="104"/>
      <c r="QOK200" s="104"/>
      <c r="QOL200" s="104"/>
      <c r="QOM200" s="104"/>
      <c r="QON200" s="104"/>
      <c r="QOO200" s="104"/>
      <c r="QOP200" s="104"/>
      <c r="QOQ200" s="104"/>
      <c r="QOR200" s="104"/>
      <c r="QOS200" s="104"/>
      <c r="QOT200" s="104"/>
      <c r="QOU200" s="104"/>
      <c r="QOV200" s="104"/>
      <c r="QOW200" s="104"/>
      <c r="QOX200" s="104"/>
      <c r="QOY200" s="104"/>
      <c r="QOZ200" s="104"/>
      <c r="QPA200" s="104"/>
      <c r="QPB200" s="104"/>
      <c r="QPC200" s="104"/>
      <c r="QPD200" s="104"/>
      <c r="QPE200" s="104"/>
      <c r="QPF200" s="104"/>
      <c r="QPG200" s="104"/>
      <c r="QPH200" s="104"/>
      <c r="QPI200" s="104"/>
      <c r="QPJ200" s="104"/>
      <c r="QPK200" s="104"/>
      <c r="QPL200" s="104"/>
      <c r="QPM200" s="104"/>
      <c r="QPN200" s="104"/>
      <c r="QPO200" s="104"/>
      <c r="QPP200" s="104"/>
      <c r="QPQ200" s="104"/>
      <c r="QPR200" s="104"/>
      <c r="QPS200" s="104"/>
      <c r="QPT200" s="104"/>
      <c r="QPU200" s="104"/>
      <c r="QPV200" s="104"/>
      <c r="QPW200" s="104"/>
      <c r="QPX200" s="104"/>
      <c r="QPY200" s="104"/>
      <c r="QPZ200" s="104"/>
      <c r="QQA200" s="104"/>
      <c r="QQB200" s="104"/>
      <c r="QQC200" s="104"/>
      <c r="QQD200" s="104"/>
      <c r="QQE200" s="104"/>
      <c r="QQF200" s="104"/>
      <c r="QQG200" s="104"/>
      <c r="QQH200" s="104"/>
      <c r="QQI200" s="104"/>
      <c r="QQJ200" s="104"/>
      <c r="QQK200" s="104"/>
      <c r="QQL200" s="104"/>
      <c r="QQM200" s="104"/>
      <c r="QQN200" s="104"/>
      <c r="QQO200" s="104"/>
      <c r="QQP200" s="104"/>
      <c r="QQQ200" s="104"/>
      <c r="QQR200" s="104"/>
      <c r="QQS200" s="104"/>
      <c r="QQT200" s="104"/>
      <c r="QQU200" s="104"/>
      <c r="QQV200" s="104"/>
      <c r="QQW200" s="104"/>
      <c r="QQX200" s="104"/>
      <c r="QQY200" s="104"/>
      <c r="QQZ200" s="104"/>
      <c r="QRA200" s="104"/>
      <c r="QRB200" s="104"/>
      <c r="QRC200" s="104"/>
      <c r="QRD200" s="104"/>
      <c r="QRE200" s="104"/>
      <c r="QRF200" s="104"/>
      <c r="QRG200" s="104"/>
      <c r="QRH200" s="104"/>
      <c r="QRI200" s="104"/>
      <c r="QRJ200" s="104"/>
      <c r="QRK200" s="104"/>
      <c r="QRL200" s="104"/>
      <c r="QRM200" s="104"/>
      <c r="QRN200" s="104"/>
      <c r="QRO200" s="104"/>
      <c r="QRP200" s="104"/>
      <c r="QRQ200" s="104"/>
      <c r="QRR200" s="104"/>
      <c r="QRS200" s="104"/>
      <c r="QRT200" s="104"/>
      <c r="QRU200" s="104"/>
      <c r="QRV200" s="104"/>
      <c r="QRW200" s="104"/>
      <c r="QRX200" s="104"/>
      <c r="QRY200" s="104"/>
      <c r="QRZ200" s="104"/>
      <c r="QSA200" s="104"/>
      <c r="QSB200" s="104"/>
      <c r="QSC200" s="104"/>
      <c r="QSD200" s="104"/>
      <c r="QSE200" s="104"/>
      <c r="QSF200" s="104"/>
      <c r="QSG200" s="104"/>
      <c r="QSH200" s="104"/>
      <c r="QSI200" s="104"/>
      <c r="QSJ200" s="104"/>
      <c r="QSK200" s="104"/>
      <c r="QSL200" s="104"/>
      <c r="QSM200" s="104"/>
      <c r="QSN200" s="104"/>
      <c r="QSO200" s="104"/>
      <c r="QSP200" s="104"/>
      <c r="QSQ200" s="104"/>
      <c r="QSR200" s="104"/>
      <c r="QSS200" s="104"/>
      <c r="QST200" s="104"/>
      <c r="QSU200" s="104"/>
      <c r="QSV200" s="104"/>
      <c r="QSW200" s="104"/>
      <c r="QSX200" s="104"/>
      <c r="QSY200" s="104"/>
      <c r="QSZ200" s="104"/>
      <c r="QTA200" s="104"/>
      <c r="QTB200" s="104"/>
      <c r="QTC200" s="104"/>
      <c r="QTD200" s="104"/>
      <c r="QTE200" s="104"/>
      <c r="QTF200" s="104"/>
      <c r="QTG200" s="104"/>
      <c r="QTH200" s="104"/>
      <c r="QTI200" s="104"/>
      <c r="QTJ200" s="104"/>
      <c r="QTK200" s="104"/>
      <c r="QTL200" s="104"/>
      <c r="QTM200" s="104"/>
      <c r="QTN200" s="104"/>
      <c r="QTO200" s="104"/>
      <c r="QTP200" s="104"/>
      <c r="QTQ200" s="104"/>
      <c r="QTR200" s="104"/>
      <c r="QTS200" s="104"/>
      <c r="QTT200" s="104"/>
      <c r="QTU200" s="104"/>
      <c r="QTV200" s="104"/>
      <c r="QTW200" s="104"/>
      <c r="QTX200" s="104"/>
      <c r="QTY200" s="104"/>
      <c r="QTZ200" s="104"/>
      <c r="QUA200" s="104"/>
      <c r="QUB200" s="104"/>
      <c r="QUC200" s="104"/>
      <c r="QUD200" s="104"/>
      <c r="QUE200" s="104"/>
      <c r="QUF200" s="104"/>
      <c r="QUG200" s="104"/>
      <c r="QUH200" s="104"/>
      <c r="QUI200" s="104"/>
      <c r="QUJ200" s="104"/>
      <c r="QUK200" s="104"/>
      <c r="QUL200" s="104"/>
      <c r="QUM200" s="104"/>
      <c r="QUN200" s="104"/>
      <c r="QUO200" s="104"/>
      <c r="QUP200" s="104"/>
      <c r="QUQ200" s="104"/>
      <c r="QUR200" s="104"/>
      <c r="QUS200" s="104"/>
      <c r="QUT200" s="104"/>
      <c r="QUU200" s="104"/>
      <c r="QUV200" s="104"/>
      <c r="QUW200" s="104"/>
      <c r="QUX200" s="104"/>
      <c r="QUY200" s="104"/>
      <c r="QUZ200" s="104"/>
      <c r="QVA200" s="104"/>
      <c r="QVB200" s="104"/>
      <c r="QVC200" s="104"/>
      <c r="QVD200" s="104"/>
      <c r="QVE200" s="104"/>
      <c r="QVF200" s="104"/>
      <c r="QVG200" s="104"/>
      <c r="QVH200" s="104"/>
      <c r="QVI200" s="104"/>
      <c r="QVJ200" s="104"/>
      <c r="QVK200" s="104"/>
      <c r="QVL200" s="104"/>
      <c r="QVM200" s="104"/>
      <c r="QVN200" s="104"/>
      <c r="QVO200" s="104"/>
      <c r="QVP200" s="104"/>
      <c r="QVQ200" s="104"/>
      <c r="QVR200" s="104"/>
      <c r="QVS200" s="104"/>
      <c r="QVT200" s="104"/>
      <c r="QVU200" s="104"/>
      <c r="QVV200" s="104"/>
      <c r="QVW200" s="104"/>
      <c r="QVX200" s="104"/>
      <c r="QVY200" s="104"/>
      <c r="QVZ200" s="104"/>
      <c r="QWA200" s="104"/>
      <c r="QWB200" s="104"/>
      <c r="QWC200" s="104"/>
      <c r="QWD200" s="104"/>
      <c r="QWE200" s="104"/>
      <c r="QWF200" s="104"/>
      <c r="QWG200" s="104"/>
      <c r="QWH200" s="104"/>
      <c r="QWI200" s="104"/>
      <c r="QWJ200" s="104"/>
      <c r="QWK200" s="104"/>
      <c r="QWL200" s="104"/>
      <c r="QWM200" s="104"/>
      <c r="QWN200" s="104"/>
      <c r="QWO200" s="104"/>
      <c r="QWP200" s="104"/>
      <c r="QWQ200" s="104"/>
      <c r="QWR200" s="104"/>
      <c r="QWS200" s="104"/>
      <c r="QWT200" s="104"/>
      <c r="QWU200" s="104"/>
      <c r="QWV200" s="104"/>
      <c r="QWW200" s="104"/>
      <c r="QWX200" s="104"/>
      <c r="QWY200" s="104"/>
      <c r="QWZ200" s="104"/>
      <c r="QXA200" s="104"/>
      <c r="QXB200" s="104"/>
      <c r="QXC200" s="104"/>
      <c r="QXD200" s="104"/>
      <c r="QXE200" s="104"/>
      <c r="QXF200" s="104"/>
      <c r="QXG200" s="104"/>
      <c r="QXH200" s="104"/>
      <c r="QXI200" s="104"/>
      <c r="QXJ200" s="104"/>
      <c r="QXK200" s="104"/>
      <c r="QXL200" s="104"/>
      <c r="QXM200" s="104"/>
      <c r="QXN200" s="104"/>
      <c r="QXO200" s="104"/>
      <c r="QXP200" s="104"/>
      <c r="QXQ200" s="104"/>
      <c r="QXR200" s="104"/>
      <c r="QXS200" s="104"/>
      <c r="QXT200" s="104"/>
      <c r="QXU200" s="104"/>
      <c r="QXV200" s="104"/>
      <c r="QXW200" s="104"/>
      <c r="QXX200" s="104"/>
      <c r="QXY200" s="104"/>
      <c r="QXZ200" s="104"/>
      <c r="QYA200" s="104"/>
      <c r="QYB200" s="104"/>
      <c r="QYC200" s="104"/>
      <c r="QYD200" s="104"/>
      <c r="QYE200" s="104"/>
      <c r="QYF200" s="104"/>
      <c r="QYG200" s="104"/>
      <c r="QYH200" s="104"/>
      <c r="QYI200" s="104"/>
      <c r="QYJ200" s="104"/>
      <c r="QYK200" s="104"/>
      <c r="QYL200" s="104"/>
      <c r="QYM200" s="104"/>
      <c r="QYN200" s="104"/>
      <c r="QYO200" s="104"/>
      <c r="QYP200" s="104"/>
      <c r="QYQ200" s="104"/>
      <c r="QYR200" s="104"/>
      <c r="QYS200" s="104"/>
      <c r="QYT200" s="104"/>
      <c r="QYU200" s="104"/>
      <c r="QYV200" s="104"/>
      <c r="QYW200" s="104"/>
      <c r="QYX200" s="104"/>
      <c r="QYY200" s="104"/>
      <c r="QYZ200" s="104"/>
      <c r="QZA200" s="104"/>
      <c r="QZB200" s="104"/>
      <c r="QZC200" s="104"/>
      <c r="QZD200" s="104"/>
      <c r="QZE200" s="104"/>
      <c r="QZF200" s="104"/>
      <c r="QZG200" s="104"/>
      <c r="QZH200" s="104"/>
      <c r="QZI200" s="104"/>
      <c r="QZJ200" s="104"/>
      <c r="QZK200" s="104"/>
      <c r="QZL200" s="104"/>
      <c r="QZM200" s="104"/>
      <c r="QZN200" s="104"/>
      <c r="QZO200" s="104"/>
      <c r="QZP200" s="104"/>
      <c r="QZQ200" s="104"/>
      <c r="QZR200" s="104"/>
      <c r="QZS200" s="104"/>
      <c r="QZT200" s="104"/>
      <c r="QZU200" s="104"/>
      <c r="QZV200" s="104"/>
      <c r="QZW200" s="104"/>
      <c r="QZX200" s="104"/>
      <c r="QZY200" s="104"/>
      <c r="QZZ200" s="104"/>
      <c r="RAA200" s="104"/>
      <c r="RAB200" s="104"/>
      <c r="RAC200" s="104"/>
      <c r="RAD200" s="104"/>
      <c r="RAE200" s="104"/>
      <c r="RAF200" s="104"/>
      <c r="RAG200" s="104"/>
      <c r="RAH200" s="104"/>
      <c r="RAI200" s="104"/>
      <c r="RAJ200" s="104"/>
      <c r="RAK200" s="104"/>
      <c r="RAL200" s="104"/>
      <c r="RAM200" s="104"/>
      <c r="RAN200" s="104"/>
      <c r="RAO200" s="104"/>
      <c r="RAP200" s="104"/>
      <c r="RAQ200" s="104"/>
      <c r="RAR200" s="104"/>
      <c r="RAS200" s="104"/>
      <c r="RAT200" s="104"/>
      <c r="RAU200" s="104"/>
      <c r="RAV200" s="104"/>
      <c r="RAW200" s="104"/>
      <c r="RAX200" s="104"/>
      <c r="RAY200" s="104"/>
      <c r="RAZ200" s="104"/>
      <c r="RBA200" s="104"/>
      <c r="RBB200" s="104"/>
      <c r="RBC200" s="104"/>
      <c r="RBD200" s="104"/>
      <c r="RBE200" s="104"/>
      <c r="RBF200" s="104"/>
      <c r="RBG200" s="104"/>
      <c r="RBH200" s="104"/>
      <c r="RBI200" s="104"/>
      <c r="RBJ200" s="104"/>
      <c r="RBK200" s="104"/>
      <c r="RBL200" s="104"/>
      <c r="RBM200" s="104"/>
      <c r="RBN200" s="104"/>
      <c r="RBO200" s="104"/>
      <c r="RBP200" s="104"/>
      <c r="RBQ200" s="104"/>
      <c r="RBR200" s="104"/>
      <c r="RBS200" s="104"/>
      <c r="RBT200" s="104"/>
      <c r="RBU200" s="104"/>
      <c r="RBV200" s="104"/>
      <c r="RBW200" s="104"/>
      <c r="RBX200" s="104"/>
      <c r="RBY200" s="104"/>
      <c r="RBZ200" s="104"/>
      <c r="RCA200" s="104"/>
      <c r="RCB200" s="104"/>
      <c r="RCC200" s="104"/>
      <c r="RCD200" s="104"/>
      <c r="RCE200" s="104"/>
      <c r="RCF200" s="104"/>
      <c r="RCG200" s="104"/>
      <c r="RCH200" s="104"/>
      <c r="RCI200" s="104"/>
      <c r="RCJ200" s="104"/>
      <c r="RCK200" s="104"/>
      <c r="RCL200" s="104"/>
      <c r="RCM200" s="104"/>
      <c r="RCN200" s="104"/>
      <c r="RCO200" s="104"/>
      <c r="RCP200" s="104"/>
      <c r="RCQ200" s="104"/>
      <c r="RCR200" s="104"/>
      <c r="RCS200" s="104"/>
      <c r="RCT200" s="104"/>
      <c r="RCU200" s="104"/>
      <c r="RCV200" s="104"/>
      <c r="RCW200" s="104"/>
      <c r="RCX200" s="104"/>
      <c r="RCY200" s="104"/>
      <c r="RCZ200" s="104"/>
      <c r="RDA200" s="104"/>
      <c r="RDB200" s="104"/>
      <c r="RDC200" s="104"/>
      <c r="RDD200" s="104"/>
      <c r="RDE200" s="104"/>
      <c r="RDF200" s="104"/>
      <c r="RDG200" s="104"/>
      <c r="RDH200" s="104"/>
      <c r="RDI200" s="104"/>
      <c r="RDJ200" s="104"/>
      <c r="RDK200" s="104"/>
      <c r="RDL200" s="104"/>
      <c r="RDM200" s="104"/>
      <c r="RDN200" s="104"/>
      <c r="RDO200" s="104"/>
      <c r="RDP200" s="104"/>
      <c r="RDQ200" s="104"/>
      <c r="RDR200" s="104"/>
      <c r="RDS200" s="104"/>
      <c r="RDT200" s="104"/>
      <c r="RDU200" s="104"/>
      <c r="RDV200" s="104"/>
      <c r="RDW200" s="104"/>
      <c r="RDX200" s="104"/>
      <c r="RDY200" s="104"/>
      <c r="RDZ200" s="104"/>
      <c r="REA200" s="104"/>
      <c r="REB200" s="104"/>
      <c r="REC200" s="104"/>
      <c r="RED200" s="104"/>
      <c r="REE200" s="104"/>
      <c r="REF200" s="104"/>
      <c r="REG200" s="104"/>
      <c r="REH200" s="104"/>
      <c r="REI200" s="104"/>
      <c r="REJ200" s="104"/>
      <c r="REK200" s="104"/>
      <c r="REL200" s="104"/>
      <c r="REM200" s="104"/>
      <c r="REN200" s="104"/>
      <c r="REO200" s="104"/>
      <c r="REP200" s="104"/>
      <c r="REQ200" s="104"/>
      <c r="RER200" s="104"/>
      <c r="RES200" s="104"/>
      <c r="RET200" s="104"/>
      <c r="REU200" s="104"/>
      <c r="REV200" s="104"/>
      <c r="REW200" s="104"/>
      <c r="REX200" s="104"/>
      <c r="REY200" s="104"/>
      <c r="REZ200" s="104"/>
      <c r="RFA200" s="104"/>
      <c r="RFB200" s="104"/>
      <c r="RFC200" s="104"/>
      <c r="RFD200" s="104"/>
      <c r="RFE200" s="104"/>
      <c r="RFF200" s="104"/>
      <c r="RFG200" s="104"/>
      <c r="RFH200" s="104"/>
      <c r="RFI200" s="104"/>
      <c r="RFJ200" s="104"/>
      <c r="RFK200" s="104"/>
      <c r="RFL200" s="104"/>
      <c r="RFM200" s="104"/>
      <c r="RFN200" s="104"/>
      <c r="RFO200" s="104"/>
      <c r="RFP200" s="104"/>
      <c r="RFQ200" s="104"/>
      <c r="RFR200" s="104"/>
      <c r="RFS200" s="104"/>
      <c r="RFT200" s="104"/>
      <c r="RFU200" s="104"/>
      <c r="RFV200" s="104"/>
      <c r="RFW200" s="104"/>
      <c r="RFX200" s="104"/>
      <c r="RFY200" s="104"/>
      <c r="RFZ200" s="104"/>
      <c r="RGA200" s="104"/>
      <c r="RGB200" s="104"/>
      <c r="RGC200" s="104"/>
      <c r="RGD200" s="104"/>
      <c r="RGE200" s="104"/>
      <c r="RGF200" s="104"/>
      <c r="RGG200" s="104"/>
      <c r="RGH200" s="104"/>
      <c r="RGI200" s="104"/>
      <c r="RGJ200" s="104"/>
      <c r="RGK200" s="104"/>
      <c r="RGL200" s="104"/>
      <c r="RGM200" s="104"/>
      <c r="RGN200" s="104"/>
      <c r="RGO200" s="104"/>
      <c r="RGP200" s="104"/>
      <c r="RGQ200" s="104"/>
      <c r="RGR200" s="104"/>
      <c r="RGS200" s="104"/>
      <c r="RGT200" s="104"/>
      <c r="RGU200" s="104"/>
      <c r="RGV200" s="104"/>
      <c r="RGW200" s="104"/>
      <c r="RGX200" s="104"/>
      <c r="RGY200" s="104"/>
      <c r="RGZ200" s="104"/>
      <c r="RHA200" s="104"/>
      <c r="RHB200" s="104"/>
      <c r="RHC200" s="104"/>
      <c r="RHD200" s="104"/>
      <c r="RHE200" s="104"/>
      <c r="RHF200" s="104"/>
      <c r="RHG200" s="104"/>
      <c r="RHH200" s="104"/>
      <c r="RHI200" s="104"/>
      <c r="RHJ200" s="104"/>
      <c r="RHK200" s="104"/>
      <c r="RHL200" s="104"/>
      <c r="RHM200" s="104"/>
      <c r="RHN200" s="104"/>
      <c r="RHO200" s="104"/>
      <c r="RHP200" s="104"/>
      <c r="RHQ200" s="104"/>
      <c r="RHR200" s="104"/>
      <c r="RHS200" s="104"/>
      <c r="RHT200" s="104"/>
      <c r="RHU200" s="104"/>
      <c r="RHV200" s="104"/>
      <c r="RHW200" s="104"/>
      <c r="RHX200" s="104"/>
      <c r="RHY200" s="104"/>
      <c r="RHZ200" s="104"/>
      <c r="RIA200" s="104"/>
      <c r="RIB200" s="104"/>
      <c r="RIC200" s="104"/>
      <c r="RID200" s="104"/>
      <c r="RIE200" s="104"/>
      <c r="RIF200" s="104"/>
      <c r="RIG200" s="104"/>
      <c r="RIH200" s="104"/>
      <c r="RII200" s="104"/>
      <c r="RIJ200" s="104"/>
      <c r="RIK200" s="104"/>
      <c r="RIL200" s="104"/>
      <c r="RIM200" s="104"/>
      <c r="RIN200" s="104"/>
      <c r="RIO200" s="104"/>
      <c r="RIP200" s="104"/>
      <c r="RIQ200" s="104"/>
      <c r="RIR200" s="104"/>
      <c r="RIS200" s="104"/>
      <c r="RIT200" s="104"/>
      <c r="RIU200" s="104"/>
      <c r="RIV200" s="104"/>
      <c r="RIW200" s="104"/>
      <c r="RIX200" s="104"/>
      <c r="RIY200" s="104"/>
      <c r="RIZ200" s="104"/>
      <c r="RJA200" s="104"/>
      <c r="RJB200" s="104"/>
      <c r="RJC200" s="104"/>
      <c r="RJD200" s="104"/>
      <c r="RJE200" s="104"/>
      <c r="RJF200" s="104"/>
      <c r="RJG200" s="104"/>
      <c r="RJH200" s="104"/>
      <c r="RJI200" s="104"/>
      <c r="RJJ200" s="104"/>
      <c r="RJK200" s="104"/>
      <c r="RJL200" s="104"/>
      <c r="RJM200" s="104"/>
      <c r="RJN200" s="104"/>
      <c r="RJO200" s="104"/>
      <c r="RJP200" s="104"/>
      <c r="RJQ200" s="104"/>
      <c r="RJR200" s="104"/>
      <c r="RJS200" s="104"/>
      <c r="RJT200" s="104"/>
      <c r="RJU200" s="104"/>
      <c r="RJV200" s="104"/>
      <c r="RJW200" s="104"/>
      <c r="RJX200" s="104"/>
      <c r="RJY200" s="104"/>
      <c r="RJZ200" s="104"/>
      <c r="RKA200" s="104"/>
      <c r="RKB200" s="104"/>
      <c r="RKC200" s="104"/>
      <c r="RKD200" s="104"/>
      <c r="RKE200" s="104"/>
      <c r="RKF200" s="104"/>
      <c r="RKG200" s="104"/>
      <c r="RKH200" s="104"/>
      <c r="RKI200" s="104"/>
      <c r="RKJ200" s="104"/>
      <c r="RKK200" s="104"/>
      <c r="RKL200" s="104"/>
      <c r="RKM200" s="104"/>
      <c r="RKN200" s="104"/>
      <c r="RKO200" s="104"/>
      <c r="RKP200" s="104"/>
      <c r="RKQ200" s="104"/>
      <c r="RKR200" s="104"/>
      <c r="RKS200" s="104"/>
      <c r="RKT200" s="104"/>
      <c r="RKU200" s="104"/>
      <c r="RKV200" s="104"/>
      <c r="RKW200" s="104"/>
      <c r="RKX200" s="104"/>
      <c r="RKY200" s="104"/>
      <c r="RKZ200" s="104"/>
      <c r="RLA200" s="104"/>
      <c r="RLB200" s="104"/>
      <c r="RLC200" s="104"/>
      <c r="RLD200" s="104"/>
      <c r="RLE200" s="104"/>
      <c r="RLF200" s="104"/>
      <c r="RLG200" s="104"/>
      <c r="RLH200" s="104"/>
      <c r="RLI200" s="104"/>
      <c r="RLJ200" s="104"/>
      <c r="RLK200" s="104"/>
      <c r="RLL200" s="104"/>
      <c r="RLM200" s="104"/>
      <c r="RLN200" s="104"/>
      <c r="RLO200" s="104"/>
      <c r="RLP200" s="104"/>
      <c r="RLQ200" s="104"/>
      <c r="RLR200" s="104"/>
      <c r="RLS200" s="104"/>
      <c r="RLT200" s="104"/>
      <c r="RLU200" s="104"/>
      <c r="RLV200" s="104"/>
      <c r="RLW200" s="104"/>
      <c r="RLX200" s="104"/>
      <c r="RLY200" s="104"/>
      <c r="RLZ200" s="104"/>
      <c r="RMA200" s="104"/>
      <c r="RMB200" s="104"/>
      <c r="RMC200" s="104"/>
      <c r="RMD200" s="104"/>
      <c r="RME200" s="104"/>
      <c r="RMF200" s="104"/>
      <c r="RMG200" s="104"/>
      <c r="RMH200" s="104"/>
      <c r="RMI200" s="104"/>
      <c r="RMJ200" s="104"/>
      <c r="RMK200" s="104"/>
      <c r="RML200" s="104"/>
      <c r="RMM200" s="104"/>
      <c r="RMN200" s="104"/>
      <c r="RMO200" s="104"/>
      <c r="RMP200" s="104"/>
      <c r="RMQ200" s="104"/>
      <c r="RMR200" s="104"/>
      <c r="RMS200" s="104"/>
      <c r="RMT200" s="104"/>
      <c r="RMU200" s="104"/>
      <c r="RMV200" s="104"/>
      <c r="RMW200" s="104"/>
      <c r="RMX200" s="104"/>
      <c r="RMY200" s="104"/>
      <c r="RMZ200" s="104"/>
      <c r="RNA200" s="104"/>
      <c r="RNB200" s="104"/>
      <c r="RNC200" s="104"/>
      <c r="RND200" s="104"/>
      <c r="RNE200" s="104"/>
      <c r="RNF200" s="104"/>
      <c r="RNG200" s="104"/>
      <c r="RNH200" s="104"/>
      <c r="RNI200" s="104"/>
      <c r="RNJ200" s="104"/>
      <c r="RNK200" s="104"/>
      <c r="RNL200" s="104"/>
      <c r="RNM200" s="104"/>
      <c r="RNN200" s="104"/>
      <c r="RNO200" s="104"/>
      <c r="RNP200" s="104"/>
      <c r="RNQ200" s="104"/>
      <c r="RNR200" s="104"/>
      <c r="RNS200" s="104"/>
      <c r="RNT200" s="104"/>
      <c r="RNU200" s="104"/>
      <c r="RNV200" s="104"/>
      <c r="RNW200" s="104"/>
      <c r="RNX200" s="104"/>
      <c r="RNY200" s="104"/>
      <c r="RNZ200" s="104"/>
      <c r="ROA200" s="104"/>
      <c r="ROB200" s="104"/>
      <c r="ROC200" s="104"/>
      <c r="ROD200" s="104"/>
      <c r="ROE200" s="104"/>
      <c r="ROF200" s="104"/>
      <c r="ROG200" s="104"/>
      <c r="ROH200" s="104"/>
      <c r="ROI200" s="104"/>
      <c r="ROJ200" s="104"/>
      <c r="ROK200" s="104"/>
      <c r="ROL200" s="104"/>
      <c r="ROM200" s="104"/>
      <c r="RON200" s="104"/>
      <c r="ROO200" s="104"/>
      <c r="ROP200" s="104"/>
      <c r="ROQ200" s="104"/>
      <c r="ROR200" s="104"/>
      <c r="ROS200" s="104"/>
      <c r="ROT200" s="104"/>
      <c r="ROU200" s="104"/>
      <c r="ROV200" s="104"/>
      <c r="ROW200" s="104"/>
      <c r="ROX200" s="104"/>
      <c r="ROY200" s="104"/>
      <c r="ROZ200" s="104"/>
      <c r="RPA200" s="104"/>
      <c r="RPB200" s="104"/>
      <c r="RPC200" s="104"/>
      <c r="RPD200" s="104"/>
      <c r="RPE200" s="104"/>
      <c r="RPF200" s="104"/>
      <c r="RPG200" s="104"/>
      <c r="RPH200" s="104"/>
      <c r="RPI200" s="104"/>
      <c r="RPJ200" s="104"/>
      <c r="RPK200" s="104"/>
      <c r="RPL200" s="104"/>
      <c r="RPM200" s="104"/>
      <c r="RPN200" s="104"/>
      <c r="RPO200" s="104"/>
      <c r="RPP200" s="104"/>
      <c r="RPQ200" s="104"/>
      <c r="RPR200" s="104"/>
      <c r="RPS200" s="104"/>
      <c r="RPT200" s="104"/>
      <c r="RPU200" s="104"/>
      <c r="RPV200" s="104"/>
      <c r="RPW200" s="104"/>
      <c r="RPX200" s="104"/>
      <c r="RPY200" s="104"/>
      <c r="RPZ200" s="104"/>
      <c r="RQA200" s="104"/>
      <c r="RQB200" s="104"/>
      <c r="RQC200" s="104"/>
      <c r="RQD200" s="104"/>
      <c r="RQE200" s="104"/>
      <c r="RQF200" s="104"/>
      <c r="RQG200" s="104"/>
      <c r="RQH200" s="104"/>
      <c r="RQI200" s="104"/>
      <c r="RQJ200" s="104"/>
      <c r="RQK200" s="104"/>
      <c r="RQL200" s="104"/>
      <c r="RQM200" s="104"/>
      <c r="RQN200" s="104"/>
      <c r="RQO200" s="104"/>
      <c r="RQP200" s="104"/>
      <c r="RQQ200" s="104"/>
      <c r="RQR200" s="104"/>
      <c r="RQS200" s="104"/>
      <c r="RQT200" s="104"/>
      <c r="RQU200" s="104"/>
      <c r="RQV200" s="104"/>
      <c r="RQW200" s="104"/>
      <c r="RQX200" s="104"/>
      <c r="RQY200" s="104"/>
      <c r="RQZ200" s="104"/>
      <c r="RRA200" s="104"/>
      <c r="RRB200" s="104"/>
      <c r="RRC200" s="104"/>
      <c r="RRD200" s="104"/>
      <c r="RRE200" s="104"/>
      <c r="RRF200" s="104"/>
      <c r="RRG200" s="104"/>
      <c r="RRH200" s="104"/>
      <c r="RRI200" s="104"/>
      <c r="RRJ200" s="104"/>
      <c r="RRK200" s="104"/>
      <c r="RRL200" s="104"/>
      <c r="RRM200" s="104"/>
      <c r="RRN200" s="104"/>
      <c r="RRO200" s="104"/>
      <c r="RRP200" s="104"/>
      <c r="RRQ200" s="104"/>
      <c r="RRR200" s="104"/>
      <c r="RRS200" s="104"/>
      <c r="RRT200" s="104"/>
      <c r="RRU200" s="104"/>
      <c r="RRV200" s="104"/>
      <c r="RRW200" s="104"/>
      <c r="RRX200" s="104"/>
      <c r="RRY200" s="104"/>
      <c r="RRZ200" s="104"/>
      <c r="RSA200" s="104"/>
      <c r="RSB200" s="104"/>
      <c r="RSC200" s="104"/>
      <c r="RSD200" s="104"/>
      <c r="RSE200" s="104"/>
      <c r="RSF200" s="104"/>
      <c r="RSG200" s="104"/>
      <c r="RSH200" s="104"/>
      <c r="RSI200" s="104"/>
      <c r="RSJ200" s="104"/>
      <c r="RSK200" s="104"/>
      <c r="RSL200" s="104"/>
      <c r="RSM200" s="104"/>
      <c r="RSN200" s="104"/>
      <c r="RSO200" s="104"/>
      <c r="RSP200" s="104"/>
      <c r="RSQ200" s="104"/>
      <c r="RSR200" s="104"/>
      <c r="RSS200" s="104"/>
      <c r="RST200" s="104"/>
      <c r="RSU200" s="104"/>
      <c r="RSV200" s="104"/>
      <c r="RSW200" s="104"/>
      <c r="RSX200" s="104"/>
      <c r="RSY200" s="104"/>
      <c r="RSZ200" s="104"/>
      <c r="RTA200" s="104"/>
      <c r="RTB200" s="104"/>
      <c r="RTC200" s="104"/>
      <c r="RTD200" s="104"/>
      <c r="RTE200" s="104"/>
      <c r="RTF200" s="104"/>
      <c r="RTG200" s="104"/>
      <c r="RTH200" s="104"/>
      <c r="RTI200" s="104"/>
      <c r="RTJ200" s="104"/>
      <c r="RTK200" s="104"/>
      <c r="RTL200" s="104"/>
      <c r="RTM200" s="104"/>
      <c r="RTN200" s="104"/>
      <c r="RTO200" s="104"/>
      <c r="RTP200" s="104"/>
      <c r="RTQ200" s="104"/>
      <c r="RTR200" s="104"/>
      <c r="RTS200" s="104"/>
      <c r="RTT200" s="104"/>
      <c r="RTU200" s="104"/>
      <c r="RTV200" s="104"/>
      <c r="RTW200" s="104"/>
      <c r="RTX200" s="104"/>
      <c r="RTY200" s="104"/>
      <c r="RTZ200" s="104"/>
      <c r="RUA200" s="104"/>
      <c r="RUB200" s="104"/>
      <c r="RUC200" s="104"/>
      <c r="RUD200" s="104"/>
      <c r="RUE200" s="104"/>
      <c r="RUF200" s="104"/>
      <c r="RUG200" s="104"/>
      <c r="RUH200" s="104"/>
      <c r="RUI200" s="104"/>
      <c r="RUJ200" s="104"/>
      <c r="RUK200" s="104"/>
      <c r="RUL200" s="104"/>
      <c r="RUM200" s="104"/>
      <c r="RUN200" s="104"/>
      <c r="RUO200" s="104"/>
      <c r="RUP200" s="104"/>
      <c r="RUQ200" s="104"/>
      <c r="RUR200" s="104"/>
      <c r="RUS200" s="104"/>
      <c r="RUT200" s="104"/>
      <c r="RUU200" s="104"/>
      <c r="RUV200" s="104"/>
      <c r="RUW200" s="104"/>
      <c r="RUX200" s="104"/>
      <c r="RUY200" s="104"/>
      <c r="RUZ200" s="104"/>
      <c r="RVA200" s="104"/>
      <c r="RVB200" s="104"/>
      <c r="RVC200" s="104"/>
      <c r="RVD200" s="104"/>
      <c r="RVE200" s="104"/>
      <c r="RVF200" s="104"/>
      <c r="RVG200" s="104"/>
      <c r="RVH200" s="104"/>
      <c r="RVI200" s="104"/>
      <c r="RVJ200" s="104"/>
      <c r="RVK200" s="104"/>
      <c r="RVL200" s="104"/>
      <c r="RVM200" s="104"/>
      <c r="RVN200" s="104"/>
      <c r="RVO200" s="104"/>
      <c r="RVP200" s="104"/>
      <c r="RVQ200" s="104"/>
      <c r="RVR200" s="104"/>
      <c r="RVS200" s="104"/>
      <c r="RVT200" s="104"/>
      <c r="RVU200" s="104"/>
      <c r="RVV200" s="104"/>
      <c r="RVW200" s="104"/>
      <c r="RVX200" s="104"/>
      <c r="RVY200" s="104"/>
      <c r="RVZ200" s="104"/>
      <c r="RWA200" s="104"/>
      <c r="RWB200" s="104"/>
      <c r="RWC200" s="104"/>
      <c r="RWD200" s="104"/>
      <c r="RWE200" s="104"/>
      <c r="RWF200" s="104"/>
      <c r="RWG200" s="104"/>
      <c r="RWH200" s="104"/>
      <c r="RWI200" s="104"/>
      <c r="RWJ200" s="104"/>
      <c r="RWK200" s="104"/>
      <c r="RWL200" s="104"/>
      <c r="RWM200" s="104"/>
      <c r="RWN200" s="104"/>
      <c r="RWO200" s="104"/>
      <c r="RWP200" s="104"/>
      <c r="RWQ200" s="104"/>
      <c r="RWR200" s="104"/>
      <c r="RWS200" s="104"/>
      <c r="RWT200" s="104"/>
      <c r="RWU200" s="104"/>
      <c r="RWV200" s="104"/>
      <c r="RWW200" s="104"/>
      <c r="RWX200" s="104"/>
      <c r="RWY200" s="104"/>
      <c r="RWZ200" s="104"/>
      <c r="RXA200" s="104"/>
      <c r="RXB200" s="104"/>
      <c r="RXC200" s="104"/>
      <c r="RXD200" s="104"/>
      <c r="RXE200" s="104"/>
      <c r="RXF200" s="104"/>
      <c r="RXG200" s="104"/>
      <c r="RXH200" s="104"/>
      <c r="RXI200" s="104"/>
      <c r="RXJ200" s="104"/>
      <c r="RXK200" s="104"/>
      <c r="RXL200" s="104"/>
      <c r="RXM200" s="104"/>
      <c r="RXN200" s="104"/>
      <c r="RXO200" s="104"/>
      <c r="RXP200" s="104"/>
      <c r="RXQ200" s="104"/>
      <c r="RXR200" s="104"/>
      <c r="RXS200" s="104"/>
      <c r="RXT200" s="104"/>
      <c r="RXU200" s="104"/>
      <c r="RXV200" s="104"/>
      <c r="RXW200" s="104"/>
      <c r="RXX200" s="104"/>
      <c r="RXY200" s="104"/>
      <c r="RXZ200" s="104"/>
      <c r="RYA200" s="104"/>
      <c r="RYB200" s="104"/>
      <c r="RYC200" s="104"/>
      <c r="RYD200" s="104"/>
      <c r="RYE200" s="104"/>
      <c r="RYF200" s="104"/>
      <c r="RYG200" s="104"/>
      <c r="RYH200" s="104"/>
      <c r="RYI200" s="104"/>
      <c r="RYJ200" s="104"/>
      <c r="RYK200" s="104"/>
      <c r="RYL200" s="104"/>
      <c r="RYM200" s="104"/>
      <c r="RYN200" s="104"/>
      <c r="RYO200" s="104"/>
      <c r="RYP200" s="104"/>
      <c r="RYQ200" s="104"/>
      <c r="RYR200" s="104"/>
      <c r="RYS200" s="104"/>
      <c r="RYT200" s="104"/>
      <c r="RYU200" s="104"/>
      <c r="RYV200" s="104"/>
      <c r="RYW200" s="104"/>
      <c r="RYX200" s="104"/>
      <c r="RYY200" s="104"/>
      <c r="RYZ200" s="104"/>
      <c r="RZA200" s="104"/>
      <c r="RZB200" s="104"/>
      <c r="RZC200" s="104"/>
      <c r="RZD200" s="104"/>
      <c r="RZE200" s="104"/>
      <c r="RZF200" s="104"/>
      <c r="RZG200" s="104"/>
      <c r="RZH200" s="104"/>
      <c r="RZI200" s="104"/>
      <c r="RZJ200" s="104"/>
      <c r="RZK200" s="104"/>
      <c r="RZL200" s="104"/>
      <c r="RZM200" s="104"/>
      <c r="RZN200" s="104"/>
      <c r="RZO200" s="104"/>
      <c r="RZP200" s="104"/>
      <c r="RZQ200" s="104"/>
      <c r="RZR200" s="104"/>
      <c r="RZS200" s="104"/>
      <c r="RZT200" s="104"/>
      <c r="RZU200" s="104"/>
      <c r="RZV200" s="104"/>
      <c r="RZW200" s="104"/>
      <c r="RZX200" s="104"/>
      <c r="RZY200" s="104"/>
      <c r="RZZ200" s="104"/>
      <c r="SAA200" s="104"/>
      <c r="SAB200" s="104"/>
      <c r="SAC200" s="104"/>
      <c r="SAD200" s="104"/>
      <c r="SAE200" s="104"/>
      <c r="SAF200" s="104"/>
      <c r="SAG200" s="104"/>
      <c r="SAH200" s="104"/>
      <c r="SAI200" s="104"/>
      <c r="SAJ200" s="104"/>
      <c r="SAK200" s="104"/>
      <c r="SAL200" s="104"/>
      <c r="SAM200" s="104"/>
      <c r="SAN200" s="104"/>
      <c r="SAO200" s="104"/>
      <c r="SAP200" s="104"/>
      <c r="SAQ200" s="104"/>
      <c r="SAR200" s="104"/>
      <c r="SAS200" s="104"/>
      <c r="SAT200" s="104"/>
      <c r="SAU200" s="104"/>
      <c r="SAV200" s="104"/>
      <c r="SAW200" s="104"/>
      <c r="SAX200" s="104"/>
      <c r="SAY200" s="104"/>
      <c r="SAZ200" s="104"/>
      <c r="SBA200" s="104"/>
      <c r="SBB200" s="104"/>
      <c r="SBC200" s="104"/>
      <c r="SBD200" s="104"/>
      <c r="SBE200" s="104"/>
      <c r="SBF200" s="104"/>
      <c r="SBG200" s="104"/>
      <c r="SBH200" s="104"/>
      <c r="SBI200" s="104"/>
      <c r="SBJ200" s="104"/>
      <c r="SBK200" s="104"/>
      <c r="SBL200" s="104"/>
      <c r="SBM200" s="104"/>
      <c r="SBN200" s="104"/>
      <c r="SBO200" s="104"/>
      <c r="SBP200" s="104"/>
      <c r="SBQ200" s="104"/>
      <c r="SBR200" s="104"/>
      <c r="SBS200" s="104"/>
      <c r="SBT200" s="104"/>
      <c r="SBU200" s="104"/>
      <c r="SBV200" s="104"/>
      <c r="SBW200" s="104"/>
      <c r="SBX200" s="104"/>
      <c r="SBY200" s="104"/>
      <c r="SBZ200" s="104"/>
      <c r="SCA200" s="104"/>
      <c r="SCB200" s="104"/>
      <c r="SCC200" s="104"/>
      <c r="SCD200" s="104"/>
      <c r="SCE200" s="104"/>
      <c r="SCF200" s="104"/>
      <c r="SCG200" s="104"/>
      <c r="SCH200" s="104"/>
      <c r="SCI200" s="104"/>
      <c r="SCJ200" s="104"/>
      <c r="SCK200" s="104"/>
      <c r="SCL200" s="104"/>
      <c r="SCM200" s="104"/>
      <c r="SCN200" s="104"/>
      <c r="SCO200" s="104"/>
      <c r="SCP200" s="104"/>
      <c r="SCQ200" s="104"/>
      <c r="SCR200" s="104"/>
      <c r="SCS200" s="104"/>
      <c r="SCT200" s="104"/>
      <c r="SCU200" s="104"/>
      <c r="SCV200" s="104"/>
      <c r="SCW200" s="104"/>
      <c r="SCX200" s="104"/>
      <c r="SCY200" s="104"/>
      <c r="SCZ200" s="104"/>
      <c r="SDA200" s="104"/>
      <c r="SDB200" s="104"/>
      <c r="SDC200" s="104"/>
      <c r="SDD200" s="104"/>
      <c r="SDE200" s="104"/>
      <c r="SDF200" s="104"/>
      <c r="SDG200" s="104"/>
      <c r="SDH200" s="104"/>
      <c r="SDI200" s="104"/>
      <c r="SDJ200" s="104"/>
      <c r="SDK200" s="104"/>
      <c r="SDL200" s="104"/>
      <c r="SDM200" s="104"/>
      <c r="SDN200" s="104"/>
      <c r="SDO200" s="104"/>
      <c r="SDP200" s="104"/>
      <c r="SDQ200" s="104"/>
      <c r="SDR200" s="104"/>
      <c r="SDS200" s="104"/>
      <c r="SDT200" s="104"/>
      <c r="SDU200" s="104"/>
      <c r="SDV200" s="104"/>
      <c r="SDW200" s="104"/>
      <c r="SDX200" s="104"/>
      <c r="SDY200" s="104"/>
      <c r="SDZ200" s="104"/>
      <c r="SEA200" s="104"/>
      <c r="SEB200" s="104"/>
      <c r="SEC200" s="104"/>
      <c r="SED200" s="104"/>
      <c r="SEE200" s="104"/>
      <c r="SEF200" s="104"/>
      <c r="SEG200" s="104"/>
      <c r="SEH200" s="104"/>
      <c r="SEI200" s="104"/>
      <c r="SEJ200" s="104"/>
      <c r="SEK200" s="104"/>
      <c r="SEL200" s="104"/>
      <c r="SEM200" s="104"/>
      <c r="SEN200" s="104"/>
      <c r="SEO200" s="104"/>
      <c r="SEP200" s="104"/>
      <c r="SEQ200" s="104"/>
      <c r="SER200" s="104"/>
      <c r="SES200" s="104"/>
      <c r="SET200" s="104"/>
      <c r="SEU200" s="104"/>
      <c r="SEV200" s="104"/>
      <c r="SEW200" s="104"/>
      <c r="SEX200" s="104"/>
      <c r="SEY200" s="104"/>
      <c r="SEZ200" s="104"/>
      <c r="SFA200" s="104"/>
      <c r="SFB200" s="104"/>
      <c r="SFC200" s="104"/>
      <c r="SFD200" s="104"/>
      <c r="SFE200" s="104"/>
      <c r="SFF200" s="104"/>
      <c r="SFG200" s="104"/>
      <c r="SFH200" s="104"/>
      <c r="SFI200" s="104"/>
      <c r="SFJ200" s="104"/>
      <c r="SFK200" s="104"/>
      <c r="SFL200" s="104"/>
      <c r="SFM200" s="104"/>
      <c r="SFN200" s="104"/>
      <c r="SFO200" s="104"/>
      <c r="SFP200" s="104"/>
      <c r="SFQ200" s="104"/>
      <c r="SFR200" s="104"/>
      <c r="SFS200" s="104"/>
      <c r="SFT200" s="104"/>
      <c r="SFU200" s="104"/>
      <c r="SFV200" s="104"/>
      <c r="SFW200" s="104"/>
      <c r="SFX200" s="104"/>
      <c r="SFY200" s="104"/>
      <c r="SFZ200" s="104"/>
      <c r="SGA200" s="104"/>
      <c r="SGB200" s="104"/>
      <c r="SGC200" s="104"/>
      <c r="SGD200" s="104"/>
      <c r="SGE200" s="104"/>
      <c r="SGF200" s="104"/>
      <c r="SGG200" s="104"/>
      <c r="SGH200" s="104"/>
      <c r="SGI200" s="104"/>
      <c r="SGJ200" s="104"/>
      <c r="SGK200" s="104"/>
      <c r="SGL200" s="104"/>
      <c r="SGM200" s="104"/>
      <c r="SGN200" s="104"/>
      <c r="SGO200" s="104"/>
      <c r="SGP200" s="104"/>
      <c r="SGQ200" s="104"/>
      <c r="SGR200" s="104"/>
      <c r="SGS200" s="104"/>
      <c r="SGT200" s="104"/>
      <c r="SGU200" s="104"/>
      <c r="SGV200" s="104"/>
      <c r="SGW200" s="104"/>
      <c r="SGX200" s="104"/>
      <c r="SGY200" s="104"/>
      <c r="SGZ200" s="104"/>
      <c r="SHA200" s="104"/>
      <c r="SHB200" s="104"/>
      <c r="SHC200" s="104"/>
      <c r="SHD200" s="104"/>
      <c r="SHE200" s="104"/>
      <c r="SHF200" s="104"/>
      <c r="SHG200" s="104"/>
      <c r="SHH200" s="104"/>
      <c r="SHI200" s="104"/>
      <c r="SHJ200" s="104"/>
      <c r="SHK200" s="104"/>
      <c r="SHL200" s="104"/>
      <c r="SHM200" s="104"/>
      <c r="SHN200" s="104"/>
      <c r="SHO200" s="104"/>
      <c r="SHP200" s="104"/>
      <c r="SHQ200" s="104"/>
      <c r="SHR200" s="104"/>
      <c r="SHS200" s="104"/>
      <c r="SHT200" s="104"/>
      <c r="SHU200" s="104"/>
      <c r="SHV200" s="104"/>
      <c r="SHW200" s="104"/>
      <c r="SHX200" s="104"/>
      <c r="SHY200" s="104"/>
      <c r="SHZ200" s="104"/>
      <c r="SIA200" s="104"/>
      <c r="SIB200" s="104"/>
      <c r="SIC200" s="104"/>
      <c r="SID200" s="104"/>
      <c r="SIE200" s="104"/>
      <c r="SIF200" s="104"/>
      <c r="SIG200" s="104"/>
      <c r="SIH200" s="104"/>
      <c r="SII200" s="104"/>
      <c r="SIJ200" s="104"/>
      <c r="SIK200" s="104"/>
      <c r="SIL200" s="104"/>
      <c r="SIM200" s="104"/>
      <c r="SIN200" s="104"/>
      <c r="SIO200" s="104"/>
      <c r="SIP200" s="104"/>
      <c r="SIQ200" s="104"/>
      <c r="SIR200" s="104"/>
      <c r="SIS200" s="104"/>
      <c r="SIT200" s="104"/>
      <c r="SIU200" s="104"/>
      <c r="SIV200" s="104"/>
      <c r="SIW200" s="104"/>
      <c r="SIX200" s="104"/>
      <c r="SIY200" s="104"/>
      <c r="SIZ200" s="104"/>
      <c r="SJA200" s="104"/>
      <c r="SJB200" s="104"/>
      <c r="SJC200" s="104"/>
      <c r="SJD200" s="104"/>
      <c r="SJE200" s="104"/>
      <c r="SJF200" s="104"/>
      <c r="SJG200" s="104"/>
      <c r="SJH200" s="104"/>
      <c r="SJI200" s="104"/>
      <c r="SJJ200" s="104"/>
      <c r="SJK200" s="104"/>
      <c r="SJL200" s="104"/>
      <c r="SJM200" s="104"/>
      <c r="SJN200" s="104"/>
      <c r="SJO200" s="104"/>
      <c r="SJP200" s="104"/>
      <c r="SJQ200" s="104"/>
      <c r="SJR200" s="104"/>
      <c r="SJS200" s="104"/>
      <c r="SJT200" s="104"/>
      <c r="SJU200" s="104"/>
      <c r="SJV200" s="104"/>
      <c r="SJW200" s="104"/>
      <c r="SJX200" s="104"/>
      <c r="SJY200" s="104"/>
      <c r="SJZ200" s="104"/>
      <c r="SKA200" s="104"/>
      <c r="SKB200" s="104"/>
      <c r="SKC200" s="104"/>
      <c r="SKD200" s="104"/>
      <c r="SKE200" s="104"/>
      <c r="SKF200" s="104"/>
      <c r="SKG200" s="104"/>
      <c r="SKH200" s="104"/>
      <c r="SKI200" s="104"/>
      <c r="SKJ200" s="104"/>
      <c r="SKK200" s="104"/>
      <c r="SKL200" s="104"/>
      <c r="SKM200" s="104"/>
      <c r="SKN200" s="104"/>
      <c r="SKO200" s="104"/>
      <c r="SKP200" s="104"/>
      <c r="SKQ200" s="104"/>
      <c r="SKR200" s="104"/>
      <c r="SKS200" s="104"/>
      <c r="SKT200" s="104"/>
      <c r="SKU200" s="104"/>
      <c r="SKV200" s="104"/>
      <c r="SKW200" s="104"/>
      <c r="SKX200" s="104"/>
      <c r="SKY200" s="104"/>
      <c r="SKZ200" s="104"/>
      <c r="SLA200" s="104"/>
      <c r="SLB200" s="104"/>
      <c r="SLC200" s="104"/>
      <c r="SLD200" s="104"/>
      <c r="SLE200" s="104"/>
      <c r="SLF200" s="104"/>
      <c r="SLG200" s="104"/>
      <c r="SLH200" s="104"/>
      <c r="SLI200" s="104"/>
      <c r="SLJ200" s="104"/>
      <c r="SLK200" s="104"/>
      <c r="SLL200" s="104"/>
      <c r="SLM200" s="104"/>
      <c r="SLN200" s="104"/>
      <c r="SLO200" s="104"/>
      <c r="SLP200" s="104"/>
      <c r="SLQ200" s="104"/>
      <c r="SLR200" s="104"/>
      <c r="SLS200" s="104"/>
      <c r="SLT200" s="104"/>
      <c r="SLU200" s="104"/>
      <c r="SLV200" s="104"/>
      <c r="SLW200" s="104"/>
      <c r="SLX200" s="104"/>
      <c r="SLY200" s="104"/>
      <c r="SLZ200" s="104"/>
      <c r="SMA200" s="104"/>
      <c r="SMB200" s="104"/>
      <c r="SMC200" s="104"/>
      <c r="SMD200" s="104"/>
      <c r="SME200" s="104"/>
      <c r="SMF200" s="104"/>
      <c r="SMG200" s="104"/>
      <c r="SMH200" s="104"/>
      <c r="SMI200" s="104"/>
      <c r="SMJ200" s="104"/>
      <c r="SMK200" s="104"/>
      <c r="SML200" s="104"/>
      <c r="SMM200" s="104"/>
      <c r="SMN200" s="104"/>
      <c r="SMO200" s="104"/>
      <c r="SMP200" s="104"/>
      <c r="SMQ200" s="104"/>
      <c r="SMR200" s="104"/>
      <c r="SMS200" s="104"/>
      <c r="SMT200" s="104"/>
      <c r="SMU200" s="104"/>
      <c r="SMV200" s="104"/>
      <c r="SMW200" s="104"/>
      <c r="SMX200" s="104"/>
      <c r="SMY200" s="104"/>
      <c r="SMZ200" s="104"/>
      <c r="SNA200" s="104"/>
      <c r="SNB200" s="104"/>
      <c r="SNC200" s="104"/>
      <c r="SND200" s="104"/>
      <c r="SNE200" s="104"/>
      <c r="SNF200" s="104"/>
      <c r="SNG200" s="104"/>
      <c r="SNH200" s="104"/>
      <c r="SNI200" s="104"/>
      <c r="SNJ200" s="104"/>
      <c r="SNK200" s="104"/>
      <c r="SNL200" s="104"/>
      <c r="SNM200" s="104"/>
      <c r="SNN200" s="104"/>
      <c r="SNO200" s="104"/>
      <c r="SNP200" s="104"/>
      <c r="SNQ200" s="104"/>
      <c r="SNR200" s="104"/>
      <c r="SNS200" s="104"/>
      <c r="SNT200" s="104"/>
      <c r="SNU200" s="104"/>
      <c r="SNV200" s="104"/>
      <c r="SNW200" s="104"/>
      <c r="SNX200" s="104"/>
      <c r="SNY200" s="104"/>
      <c r="SNZ200" s="104"/>
      <c r="SOA200" s="104"/>
      <c r="SOB200" s="104"/>
      <c r="SOC200" s="104"/>
      <c r="SOD200" s="104"/>
      <c r="SOE200" s="104"/>
      <c r="SOF200" s="104"/>
      <c r="SOG200" s="104"/>
      <c r="SOH200" s="104"/>
      <c r="SOI200" s="104"/>
      <c r="SOJ200" s="104"/>
      <c r="SOK200" s="104"/>
      <c r="SOL200" s="104"/>
      <c r="SOM200" s="104"/>
      <c r="SON200" s="104"/>
      <c r="SOO200" s="104"/>
      <c r="SOP200" s="104"/>
      <c r="SOQ200" s="104"/>
      <c r="SOR200" s="104"/>
      <c r="SOS200" s="104"/>
      <c r="SOT200" s="104"/>
      <c r="SOU200" s="104"/>
      <c r="SOV200" s="104"/>
      <c r="SOW200" s="104"/>
      <c r="SOX200" s="104"/>
      <c r="SOY200" s="104"/>
      <c r="SOZ200" s="104"/>
      <c r="SPA200" s="104"/>
      <c r="SPB200" s="104"/>
      <c r="SPC200" s="104"/>
      <c r="SPD200" s="104"/>
      <c r="SPE200" s="104"/>
      <c r="SPF200" s="104"/>
      <c r="SPG200" s="104"/>
      <c r="SPH200" s="104"/>
      <c r="SPI200" s="104"/>
      <c r="SPJ200" s="104"/>
      <c r="SPK200" s="104"/>
      <c r="SPL200" s="104"/>
      <c r="SPM200" s="104"/>
      <c r="SPN200" s="104"/>
      <c r="SPO200" s="104"/>
      <c r="SPP200" s="104"/>
      <c r="SPQ200" s="104"/>
      <c r="SPR200" s="104"/>
      <c r="SPS200" s="104"/>
      <c r="SPT200" s="104"/>
      <c r="SPU200" s="104"/>
      <c r="SPV200" s="104"/>
      <c r="SPW200" s="104"/>
      <c r="SPX200" s="104"/>
      <c r="SPY200" s="104"/>
      <c r="SPZ200" s="104"/>
      <c r="SQA200" s="104"/>
      <c r="SQB200" s="104"/>
      <c r="SQC200" s="104"/>
      <c r="SQD200" s="104"/>
      <c r="SQE200" s="104"/>
      <c r="SQF200" s="104"/>
      <c r="SQG200" s="104"/>
      <c r="SQH200" s="104"/>
      <c r="SQI200" s="104"/>
      <c r="SQJ200" s="104"/>
      <c r="SQK200" s="104"/>
      <c r="SQL200" s="104"/>
      <c r="SQM200" s="104"/>
      <c r="SQN200" s="104"/>
      <c r="SQO200" s="104"/>
      <c r="SQP200" s="104"/>
      <c r="SQQ200" s="104"/>
      <c r="SQR200" s="104"/>
      <c r="SQS200" s="104"/>
      <c r="SQT200" s="104"/>
      <c r="SQU200" s="104"/>
      <c r="SQV200" s="104"/>
      <c r="SQW200" s="104"/>
      <c r="SQX200" s="104"/>
      <c r="SQY200" s="104"/>
      <c r="SQZ200" s="104"/>
      <c r="SRA200" s="104"/>
      <c r="SRB200" s="104"/>
      <c r="SRC200" s="104"/>
      <c r="SRD200" s="104"/>
      <c r="SRE200" s="104"/>
      <c r="SRF200" s="104"/>
      <c r="SRG200" s="104"/>
      <c r="SRH200" s="104"/>
      <c r="SRI200" s="104"/>
      <c r="SRJ200" s="104"/>
      <c r="SRK200" s="104"/>
      <c r="SRL200" s="104"/>
      <c r="SRM200" s="104"/>
      <c r="SRN200" s="104"/>
      <c r="SRO200" s="104"/>
      <c r="SRP200" s="104"/>
      <c r="SRQ200" s="104"/>
      <c r="SRR200" s="104"/>
      <c r="SRS200" s="104"/>
      <c r="SRT200" s="104"/>
      <c r="SRU200" s="104"/>
      <c r="SRV200" s="104"/>
      <c r="SRW200" s="104"/>
      <c r="SRX200" s="104"/>
      <c r="SRY200" s="104"/>
      <c r="SRZ200" s="104"/>
      <c r="SSA200" s="104"/>
      <c r="SSB200" s="104"/>
      <c r="SSC200" s="104"/>
      <c r="SSD200" s="104"/>
      <c r="SSE200" s="104"/>
      <c r="SSF200" s="104"/>
      <c r="SSG200" s="104"/>
      <c r="SSH200" s="104"/>
      <c r="SSI200" s="104"/>
      <c r="SSJ200" s="104"/>
      <c r="SSK200" s="104"/>
      <c r="SSL200" s="104"/>
      <c r="SSM200" s="104"/>
      <c r="SSN200" s="104"/>
      <c r="SSO200" s="104"/>
      <c r="SSP200" s="104"/>
      <c r="SSQ200" s="104"/>
      <c r="SSR200" s="104"/>
      <c r="SSS200" s="104"/>
      <c r="SST200" s="104"/>
      <c r="SSU200" s="104"/>
      <c r="SSV200" s="104"/>
      <c r="SSW200" s="104"/>
      <c r="SSX200" s="104"/>
      <c r="SSY200" s="104"/>
      <c r="SSZ200" s="104"/>
      <c r="STA200" s="104"/>
      <c r="STB200" s="104"/>
      <c r="STC200" s="104"/>
      <c r="STD200" s="104"/>
      <c r="STE200" s="104"/>
      <c r="STF200" s="104"/>
      <c r="STG200" s="104"/>
      <c r="STH200" s="104"/>
      <c r="STI200" s="104"/>
      <c r="STJ200" s="104"/>
      <c r="STK200" s="104"/>
      <c r="STL200" s="104"/>
      <c r="STM200" s="104"/>
      <c r="STN200" s="104"/>
      <c r="STO200" s="104"/>
      <c r="STP200" s="104"/>
      <c r="STQ200" s="104"/>
      <c r="STR200" s="104"/>
      <c r="STS200" s="104"/>
      <c r="STT200" s="104"/>
      <c r="STU200" s="104"/>
      <c r="STV200" s="104"/>
      <c r="STW200" s="104"/>
      <c r="STX200" s="104"/>
      <c r="STY200" s="104"/>
      <c r="STZ200" s="104"/>
      <c r="SUA200" s="104"/>
      <c r="SUB200" s="104"/>
      <c r="SUC200" s="104"/>
      <c r="SUD200" s="104"/>
      <c r="SUE200" s="104"/>
      <c r="SUF200" s="104"/>
      <c r="SUG200" s="104"/>
      <c r="SUH200" s="104"/>
      <c r="SUI200" s="104"/>
      <c r="SUJ200" s="104"/>
      <c r="SUK200" s="104"/>
      <c r="SUL200" s="104"/>
      <c r="SUM200" s="104"/>
      <c r="SUN200" s="104"/>
      <c r="SUO200" s="104"/>
      <c r="SUP200" s="104"/>
      <c r="SUQ200" s="104"/>
      <c r="SUR200" s="104"/>
      <c r="SUS200" s="104"/>
      <c r="SUT200" s="104"/>
      <c r="SUU200" s="104"/>
      <c r="SUV200" s="104"/>
      <c r="SUW200" s="104"/>
      <c r="SUX200" s="104"/>
      <c r="SUY200" s="104"/>
      <c r="SUZ200" s="104"/>
      <c r="SVA200" s="104"/>
      <c r="SVB200" s="104"/>
      <c r="SVC200" s="104"/>
      <c r="SVD200" s="104"/>
      <c r="SVE200" s="104"/>
      <c r="SVF200" s="104"/>
      <c r="SVG200" s="104"/>
      <c r="SVH200" s="104"/>
      <c r="SVI200" s="104"/>
      <c r="SVJ200" s="104"/>
      <c r="SVK200" s="104"/>
      <c r="SVL200" s="104"/>
      <c r="SVM200" s="104"/>
      <c r="SVN200" s="104"/>
      <c r="SVO200" s="104"/>
      <c r="SVP200" s="104"/>
      <c r="SVQ200" s="104"/>
      <c r="SVR200" s="104"/>
      <c r="SVS200" s="104"/>
      <c r="SVT200" s="104"/>
      <c r="SVU200" s="104"/>
      <c r="SVV200" s="104"/>
      <c r="SVW200" s="104"/>
      <c r="SVX200" s="104"/>
      <c r="SVY200" s="104"/>
      <c r="SVZ200" s="104"/>
      <c r="SWA200" s="104"/>
      <c r="SWB200" s="104"/>
      <c r="SWC200" s="104"/>
      <c r="SWD200" s="104"/>
      <c r="SWE200" s="104"/>
      <c r="SWF200" s="104"/>
      <c r="SWG200" s="104"/>
      <c r="SWH200" s="104"/>
      <c r="SWI200" s="104"/>
      <c r="SWJ200" s="104"/>
      <c r="SWK200" s="104"/>
      <c r="SWL200" s="104"/>
      <c r="SWM200" s="104"/>
      <c r="SWN200" s="104"/>
      <c r="SWO200" s="104"/>
      <c r="SWP200" s="104"/>
      <c r="SWQ200" s="104"/>
      <c r="SWR200" s="104"/>
      <c r="SWS200" s="104"/>
      <c r="SWT200" s="104"/>
      <c r="SWU200" s="104"/>
      <c r="SWV200" s="104"/>
      <c r="SWW200" s="104"/>
      <c r="SWX200" s="104"/>
      <c r="SWY200" s="104"/>
      <c r="SWZ200" s="104"/>
      <c r="SXA200" s="104"/>
      <c r="SXB200" s="104"/>
      <c r="SXC200" s="104"/>
      <c r="SXD200" s="104"/>
      <c r="SXE200" s="104"/>
      <c r="SXF200" s="104"/>
      <c r="SXG200" s="104"/>
      <c r="SXH200" s="104"/>
      <c r="SXI200" s="104"/>
      <c r="SXJ200" s="104"/>
      <c r="SXK200" s="104"/>
      <c r="SXL200" s="104"/>
      <c r="SXM200" s="104"/>
      <c r="SXN200" s="104"/>
      <c r="SXO200" s="104"/>
      <c r="SXP200" s="104"/>
      <c r="SXQ200" s="104"/>
      <c r="SXR200" s="104"/>
      <c r="SXS200" s="104"/>
      <c r="SXT200" s="104"/>
      <c r="SXU200" s="104"/>
      <c r="SXV200" s="104"/>
      <c r="SXW200" s="104"/>
      <c r="SXX200" s="104"/>
      <c r="SXY200" s="104"/>
      <c r="SXZ200" s="104"/>
      <c r="SYA200" s="104"/>
      <c r="SYB200" s="104"/>
      <c r="SYC200" s="104"/>
      <c r="SYD200" s="104"/>
      <c r="SYE200" s="104"/>
      <c r="SYF200" s="104"/>
      <c r="SYG200" s="104"/>
      <c r="SYH200" s="104"/>
      <c r="SYI200" s="104"/>
      <c r="SYJ200" s="104"/>
      <c r="SYK200" s="104"/>
      <c r="SYL200" s="104"/>
      <c r="SYM200" s="104"/>
      <c r="SYN200" s="104"/>
      <c r="SYO200" s="104"/>
      <c r="SYP200" s="104"/>
      <c r="SYQ200" s="104"/>
      <c r="SYR200" s="104"/>
      <c r="SYS200" s="104"/>
      <c r="SYT200" s="104"/>
      <c r="SYU200" s="104"/>
      <c r="SYV200" s="104"/>
      <c r="SYW200" s="104"/>
      <c r="SYX200" s="104"/>
      <c r="SYY200" s="104"/>
      <c r="SYZ200" s="104"/>
      <c r="SZA200" s="104"/>
      <c r="SZB200" s="104"/>
      <c r="SZC200" s="104"/>
      <c r="SZD200" s="104"/>
      <c r="SZE200" s="104"/>
      <c r="SZF200" s="104"/>
      <c r="SZG200" s="104"/>
      <c r="SZH200" s="104"/>
      <c r="SZI200" s="104"/>
      <c r="SZJ200" s="104"/>
      <c r="SZK200" s="104"/>
      <c r="SZL200" s="104"/>
      <c r="SZM200" s="104"/>
      <c r="SZN200" s="104"/>
      <c r="SZO200" s="104"/>
      <c r="SZP200" s="104"/>
      <c r="SZQ200" s="104"/>
      <c r="SZR200" s="104"/>
      <c r="SZS200" s="104"/>
      <c r="SZT200" s="104"/>
      <c r="SZU200" s="104"/>
      <c r="SZV200" s="104"/>
      <c r="SZW200" s="104"/>
      <c r="SZX200" s="104"/>
      <c r="SZY200" s="104"/>
      <c r="SZZ200" s="104"/>
      <c r="TAA200" s="104"/>
      <c r="TAB200" s="104"/>
      <c r="TAC200" s="104"/>
      <c r="TAD200" s="104"/>
      <c r="TAE200" s="104"/>
      <c r="TAF200" s="104"/>
      <c r="TAG200" s="104"/>
      <c r="TAH200" s="104"/>
      <c r="TAI200" s="104"/>
      <c r="TAJ200" s="104"/>
      <c r="TAK200" s="104"/>
      <c r="TAL200" s="104"/>
      <c r="TAM200" s="104"/>
      <c r="TAN200" s="104"/>
      <c r="TAO200" s="104"/>
      <c r="TAP200" s="104"/>
      <c r="TAQ200" s="104"/>
      <c r="TAR200" s="104"/>
      <c r="TAS200" s="104"/>
      <c r="TAT200" s="104"/>
      <c r="TAU200" s="104"/>
      <c r="TAV200" s="104"/>
      <c r="TAW200" s="104"/>
      <c r="TAX200" s="104"/>
      <c r="TAY200" s="104"/>
      <c r="TAZ200" s="104"/>
      <c r="TBA200" s="104"/>
      <c r="TBB200" s="104"/>
      <c r="TBC200" s="104"/>
      <c r="TBD200" s="104"/>
      <c r="TBE200" s="104"/>
      <c r="TBF200" s="104"/>
      <c r="TBG200" s="104"/>
      <c r="TBH200" s="104"/>
      <c r="TBI200" s="104"/>
      <c r="TBJ200" s="104"/>
      <c r="TBK200" s="104"/>
      <c r="TBL200" s="104"/>
      <c r="TBM200" s="104"/>
      <c r="TBN200" s="104"/>
      <c r="TBO200" s="104"/>
      <c r="TBP200" s="104"/>
      <c r="TBQ200" s="104"/>
      <c r="TBR200" s="104"/>
      <c r="TBS200" s="104"/>
      <c r="TBT200" s="104"/>
      <c r="TBU200" s="104"/>
      <c r="TBV200" s="104"/>
      <c r="TBW200" s="104"/>
      <c r="TBX200" s="104"/>
      <c r="TBY200" s="104"/>
      <c r="TBZ200" s="104"/>
      <c r="TCA200" s="104"/>
      <c r="TCB200" s="104"/>
      <c r="TCC200" s="104"/>
      <c r="TCD200" s="104"/>
      <c r="TCE200" s="104"/>
      <c r="TCF200" s="104"/>
      <c r="TCG200" s="104"/>
      <c r="TCH200" s="104"/>
      <c r="TCI200" s="104"/>
      <c r="TCJ200" s="104"/>
      <c r="TCK200" s="104"/>
      <c r="TCL200" s="104"/>
      <c r="TCM200" s="104"/>
      <c r="TCN200" s="104"/>
      <c r="TCO200" s="104"/>
      <c r="TCP200" s="104"/>
      <c r="TCQ200" s="104"/>
      <c r="TCR200" s="104"/>
      <c r="TCS200" s="104"/>
      <c r="TCT200" s="104"/>
      <c r="TCU200" s="104"/>
      <c r="TCV200" s="104"/>
      <c r="TCW200" s="104"/>
      <c r="TCX200" s="104"/>
      <c r="TCY200" s="104"/>
      <c r="TCZ200" s="104"/>
      <c r="TDA200" s="104"/>
      <c r="TDB200" s="104"/>
      <c r="TDC200" s="104"/>
      <c r="TDD200" s="104"/>
      <c r="TDE200" s="104"/>
      <c r="TDF200" s="104"/>
      <c r="TDG200" s="104"/>
      <c r="TDH200" s="104"/>
      <c r="TDI200" s="104"/>
      <c r="TDJ200" s="104"/>
      <c r="TDK200" s="104"/>
      <c r="TDL200" s="104"/>
      <c r="TDM200" s="104"/>
      <c r="TDN200" s="104"/>
      <c r="TDO200" s="104"/>
      <c r="TDP200" s="104"/>
      <c r="TDQ200" s="104"/>
      <c r="TDR200" s="104"/>
      <c r="TDS200" s="104"/>
      <c r="TDT200" s="104"/>
      <c r="TDU200" s="104"/>
      <c r="TDV200" s="104"/>
      <c r="TDW200" s="104"/>
      <c r="TDX200" s="104"/>
      <c r="TDY200" s="104"/>
      <c r="TDZ200" s="104"/>
      <c r="TEA200" s="104"/>
      <c r="TEB200" s="104"/>
      <c r="TEC200" s="104"/>
      <c r="TED200" s="104"/>
      <c r="TEE200" s="104"/>
      <c r="TEF200" s="104"/>
      <c r="TEG200" s="104"/>
      <c r="TEH200" s="104"/>
      <c r="TEI200" s="104"/>
      <c r="TEJ200" s="104"/>
      <c r="TEK200" s="104"/>
      <c r="TEL200" s="104"/>
      <c r="TEM200" s="104"/>
      <c r="TEN200" s="104"/>
      <c r="TEO200" s="104"/>
      <c r="TEP200" s="104"/>
      <c r="TEQ200" s="104"/>
      <c r="TER200" s="104"/>
      <c r="TES200" s="104"/>
      <c r="TET200" s="104"/>
      <c r="TEU200" s="104"/>
      <c r="TEV200" s="104"/>
      <c r="TEW200" s="104"/>
      <c r="TEX200" s="104"/>
      <c r="TEY200" s="104"/>
      <c r="TEZ200" s="104"/>
      <c r="TFA200" s="104"/>
      <c r="TFB200" s="104"/>
      <c r="TFC200" s="104"/>
      <c r="TFD200" s="104"/>
      <c r="TFE200" s="104"/>
      <c r="TFF200" s="104"/>
      <c r="TFG200" s="104"/>
      <c r="TFH200" s="104"/>
      <c r="TFI200" s="104"/>
      <c r="TFJ200" s="104"/>
      <c r="TFK200" s="104"/>
      <c r="TFL200" s="104"/>
      <c r="TFM200" s="104"/>
      <c r="TFN200" s="104"/>
      <c r="TFO200" s="104"/>
      <c r="TFP200" s="104"/>
      <c r="TFQ200" s="104"/>
      <c r="TFR200" s="104"/>
      <c r="TFS200" s="104"/>
      <c r="TFT200" s="104"/>
      <c r="TFU200" s="104"/>
      <c r="TFV200" s="104"/>
      <c r="TFW200" s="104"/>
      <c r="TFX200" s="104"/>
      <c r="TFY200" s="104"/>
      <c r="TFZ200" s="104"/>
      <c r="TGA200" s="104"/>
      <c r="TGB200" s="104"/>
      <c r="TGC200" s="104"/>
      <c r="TGD200" s="104"/>
      <c r="TGE200" s="104"/>
      <c r="TGF200" s="104"/>
      <c r="TGG200" s="104"/>
      <c r="TGH200" s="104"/>
      <c r="TGI200" s="104"/>
      <c r="TGJ200" s="104"/>
      <c r="TGK200" s="104"/>
      <c r="TGL200" s="104"/>
      <c r="TGM200" s="104"/>
      <c r="TGN200" s="104"/>
      <c r="TGO200" s="104"/>
      <c r="TGP200" s="104"/>
      <c r="TGQ200" s="104"/>
      <c r="TGR200" s="104"/>
      <c r="TGS200" s="104"/>
      <c r="TGT200" s="104"/>
      <c r="TGU200" s="104"/>
      <c r="TGV200" s="104"/>
      <c r="TGW200" s="104"/>
      <c r="TGX200" s="104"/>
      <c r="TGY200" s="104"/>
      <c r="TGZ200" s="104"/>
      <c r="THA200" s="104"/>
      <c r="THB200" s="104"/>
      <c r="THC200" s="104"/>
      <c r="THD200" s="104"/>
      <c r="THE200" s="104"/>
      <c r="THF200" s="104"/>
      <c r="THG200" s="104"/>
      <c r="THH200" s="104"/>
      <c r="THI200" s="104"/>
      <c r="THJ200" s="104"/>
      <c r="THK200" s="104"/>
      <c r="THL200" s="104"/>
      <c r="THM200" s="104"/>
      <c r="THN200" s="104"/>
      <c r="THO200" s="104"/>
      <c r="THP200" s="104"/>
      <c r="THQ200" s="104"/>
      <c r="THR200" s="104"/>
      <c r="THS200" s="104"/>
      <c r="THT200" s="104"/>
      <c r="THU200" s="104"/>
      <c r="THV200" s="104"/>
      <c r="THW200" s="104"/>
      <c r="THX200" s="104"/>
      <c r="THY200" s="104"/>
      <c r="THZ200" s="104"/>
      <c r="TIA200" s="104"/>
      <c r="TIB200" s="104"/>
      <c r="TIC200" s="104"/>
      <c r="TID200" s="104"/>
      <c r="TIE200" s="104"/>
      <c r="TIF200" s="104"/>
      <c r="TIG200" s="104"/>
      <c r="TIH200" s="104"/>
      <c r="TII200" s="104"/>
      <c r="TIJ200" s="104"/>
      <c r="TIK200" s="104"/>
      <c r="TIL200" s="104"/>
      <c r="TIM200" s="104"/>
      <c r="TIN200" s="104"/>
      <c r="TIO200" s="104"/>
      <c r="TIP200" s="104"/>
      <c r="TIQ200" s="104"/>
      <c r="TIR200" s="104"/>
      <c r="TIS200" s="104"/>
      <c r="TIT200" s="104"/>
      <c r="TIU200" s="104"/>
      <c r="TIV200" s="104"/>
      <c r="TIW200" s="104"/>
      <c r="TIX200" s="104"/>
      <c r="TIY200" s="104"/>
      <c r="TIZ200" s="104"/>
      <c r="TJA200" s="104"/>
      <c r="TJB200" s="104"/>
      <c r="TJC200" s="104"/>
      <c r="TJD200" s="104"/>
      <c r="TJE200" s="104"/>
      <c r="TJF200" s="104"/>
      <c r="TJG200" s="104"/>
      <c r="TJH200" s="104"/>
      <c r="TJI200" s="104"/>
      <c r="TJJ200" s="104"/>
      <c r="TJK200" s="104"/>
      <c r="TJL200" s="104"/>
      <c r="TJM200" s="104"/>
      <c r="TJN200" s="104"/>
      <c r="TJO200" s="104"/>
      <c r="TJP200" s="104"/>
      <c r="TJQ200" s="104"/>
      <c r="TJR200" s="104"/>
      <c r="TJS200" s="104"/>
      <c r="TJT200" s="104"/>
      <c r="TJU200" s="104"/>
      <c r="TJV200" s="104"/>
      <c r="TJW200" s="104"/>
      <c r="TJX200" s="104"/>
      <c r="TJY200" s="104"/>
      <c r="TJZ200" s="104"/>
      <c r="TKA200" s="104"/>
      <c r="TKB200" s="104"/>
      <c r="TKC200" s="104"/>
      <c r="TKD200" s="104"/>
      <c r="TKE200" s="104"/>
      <c r="TKF200" s="104"/>
      <c r="TKG200" s="104"/>
      <c r="TKH200" s="104"/>
      <c r="TKI200" s="104"/>
      <c r="TKJ200" s="104"/>
      <c r="TKK200" s="104"/>
      <c r="TKL200" s="104"/>
      <c r="TKM200" s="104"/>
      <c r="TKN200" s="104"/>
      <c r="TKO200" s="104"/>
      <c r="TKP200" s="104"/>
      <c r="TKQ200" s="104"/>
      <c r="TKR200" s="104"/>
      <c r="TKS200" s="104"/>
      <c r="TKT200" s="104"/>
      <c r="TKU200" s="104"/>
      <c r="TKV200" s="104"/>
      <c r="TKW200" s="104"/>
      <c r="TKX200" s="104"/>
      <c r="TKY200" s="104"/>
      <c r="TKZ200" s="104"/>
      <c r="TLA200" s="104"/>
      <c r="TLB200" s="104"/>
      <c r="TLC200" s="104"/>
      <c r="TLD200" s="104"/>
      <c r="TLE200" s="104"/>
      <c r="TLF200" s="104"/>
      <c r="TLG200" s="104"/>
      <c r="TLH200" s="104"/>
      <c r="TLI200" s="104"/>
      <c r="TLJ200" s="104"/>
      <c r="TLK200" s="104"/>
      <c r="TLL200" s="104"/>
      <c r="TLM200" s="104"/>
      <c r="TLN200" s="104"/>
      <c r="TLO200" s="104"/>
      <c r="TLP200" s="104"/>
      <c r="TLQ200" s="104"/>
      <c r="TLR200" s="104"/>
      <c r="TLS200" s="104"/>
      <c r="TLT200" s="104"/>
      <c r="TLU200" s="104"/>
      <c r="TLV200" s="104"/>
      <c r="TLW200" s="104"/>
      <c r="TLX200" s="104"/>
      <c r="TLY200" s="104"/>
      <c r="TLZ200" s="104"/>
      <c r="TMA200" s="104"/>
      <c r="TMB200" s="104"/>
      <c r="TMC200" s="104"/>
      <c r="TMD200" s="104"/>
      <c r="TME200" s="104"/>
      <c r="TMF200" s="104"/>
      <c r="TMG200" s="104"/>
      <c r="TMH200" s="104"/>
      <c r="TMI200" s="104"/>
      <c r="TMJ200" s="104"/>
      <c r="TMK200" s="104"/>
      <c r="TML200" s="104"/>
      <c r="TMM200" s="104"/>
      <c r="TMN200" s="104"/>
      <c r="TMO200" s="104"/>
      <c r="TMP200" s="104"/>
      <c r="TMQ200" s="104"/>
      <c r="TMR200" s="104"/>
      <c r="TMS200" s="104"/>
      <c r="TMT200" s="104"/>
      <c r="TMU200" s="104"/>
      <c r="TMV200" s="104"/>
      <c r="TMW200" s="104"/>
      <c r="TMX200" s="104"/>
      <c r="TMY200" s="104"/>
      <c r="TMZ200" s="104"/>
      <c r="TNA200" s="104"/>
      <c r="TNB200" s="104"/>
      <c r="TNC200" s="104"/>
      <c r="TND200" s="104"/>
      <c r="TNE200" s="104"/>
      <c r="TNF200" s="104"/>
      <c r="TNG200" s="104"/>
      <c r="TNH200" s="104"/>
      <c r="TNI200" s="104"/>
      <c r="TNJ200" s="104"/>
      <c r="TNK200" s="104"/>
      <c r="TNL200" s="104"/>
      <c r="TNM200" s="104"/>
      <c r="TNN200" s="104"/>
      <c r="TNO200" s="104"/>
      <c r="TNP200" s="104"/>
      <c r="TNQ200" s="104"/>
      <c r="TNR200" s="104"/>
      <c r="TNS200" s="104"/>
      <c r="TNT200" s="104"/>
      <c r="TNU200" s="104"/>
      <c r="TNV200" s="104"/>
      <c r="TNW200" s="104"/>
      <c r="TNX200" s="104"/>
      <c r="TNY200" s="104"/>
      <c r="TNZ200" s="104"/>
      <c r="TOA200" s="104"/>
      <c r="TOB200" s="104"/>
      <c r="TOC200" s="104"/>
      <c r="TOD200" s="104"/>
      <c r="TOE200" s="104"/>
      <c r="TOF200" s="104"/>
      <c r="TOG200" s="104"/>
      <c r="TOH200" s="104"/>
      <c r="TOI200" s="104"/>
      <c r="TOJ200" s="104"/>
      <c r="TOK200" s="104"/>
      <c r="TOL200" s="104"/>
      <c r="TOM200" s="104"/>
      <c r="TON200" s="104"/>
      <c r="TOO200" s="104"/>
      <c r="TOP200" s="104"/>
      <c r="TOQ200" s="104"/>
      <c r="TOR200" s="104"/>
      <c r="TOS200" s="104"/>
      <c r="TOT200" s="104"/>
      <c r="TOU200" s="104"/>
      <c r="TOV200" s="104"/>
      <c r="TOW200" s="104"/>
      <c r="TOX200" s="104"/>
      <c r="TOY200" s="104"/>
      <c r="TOZ200" s="104"/>
      <c r="TPA200" s="104"/>
      <c r="TPB200" s="104"/>
      <c r="TPC200" s="104"/>
      <c r="TPD200" s="104"/>
      <c r="TPE200" s="104"/>
      <c r="TPF200" s="104"/>
      <c r="TPG200" s="104"/>
      <c r="TPH200" s="104"/>
      <c r="TPI200" s="104"/>
      <c r="TPJ200" s="104"/>
      <c r="TPK200" s="104"/>
      <c r="TPL200" s="104"/>
      <c r="TPM200" s="104"/>
      <c r="TPN200" s="104"/>
      <c r="TPO200" s="104"/>
      <c r="TPP200" s="104"/>
      <c r="TPQ200" s="104"/>
      <c r="TPR200" s="104"/>
      <c r="TPS200" s="104"/>
      <c r="TPT200" s="104"/>
      <c r="TPU200" s="104"/>
      <c r="TPV200" s="104"/>
      <c r="TPW200" s="104"/>
      <c r="TPX200" s="104"/>
      <c r="TPY200" s="104"/>
      <c r="TPZ200" s="104"/>
      <c r="TQA200" s="104"/>
      <c r="TQB200" s="104"/>
      <c r="TQC200" s="104"/>
      <c r="TQD200" s="104"/>
      <c r="TQE200" s="104"/>
      <c r="TQF200" s="104"/>
      <c r="TQG200" s="104"/>
      <c r="TQH200" s="104"/>
      <c r="TQI200" s="104"/>
      <c r="TQJ200" s="104"/>
      <c r="TQK200" s="104"/>
      <c r="TQL200" s="104"/>
      <c r="TQM200" s="104"/>
      <c r="TQN200" s="104"/>
      <c r="TQO200" s="104"/>
      <c r="TQP200" s="104"/>
      <c r="TQQ200" s="104"/>
      <c r="TQR200" s="104"/>
      <c r="TQS200" s="104"/>
      <c r="TQT200" s="104"/>
      <c r="TQU200" s="104"/>
      <c r="TQV200" s="104"/>
      <c r="TQW200" s="104"/>
      <c r="TQX200" s="104"/>
      <c r="TQY200" s="104"/>
      <c r="TQZ200" s="104"/>
      <c r="TRA200" s="104"/>
      <c r="TRB200" s="104"/>
      <c r="TRC200" s="104"/>
      <c r="TRD200" s="104"/>
      <c r="TRE200" s="104"/>
      <c r="TRF200" s="104"/>
      <c r="TRG200" s="104"/>
      <c r="TRH200" s="104"/>
      <c r="TRI200" s="104"/>
      <c r="TRJ200" s="104"/>
      <c r="TRK200" s="104"/>
      <c r="TRL200" s="104"/>
      <c r="TRM200" s="104"/>
      <c r="TRN200" s="104"/>
      <c r="TRO200" s="104"/>
      <c r="TRP200" s="104"/>
      <c r="TRQ200" s="104"/>
      <c r="TRR200" s="104"/>
      <c r="TRS200" s="104"/>
      <c r="TRT200" s="104"/>
      <c r="TRU200" s="104"/>
      <c r="TRV200" s="104"/>
      <c r="TRW200" s="104"/>
      <c r="TRX200" s="104"/>
      <c r="TRY200" s="104"/>
      <c r="TRZ200" s="104"/>
      <c r="TSA200" s="104"/>
      <c r="TSB200" s="104"/>
      <c r="TSC200" s="104"/>
      <c r="TSD200" s="104"/>
      <c r="TSE200" s="104"/>
      <c r="TSF200" s="104"/>
      <c r="TSG200" s="104"/>
      <c r="TSH200" s="104"/>
      <c r="TSI200" s="104"/>
      <c r="TSJ200" s="104"/>
      <c r="TSK200" s="104"/>
      <c r="TSL200" s="104"/>
      <c r="TSM200" s="104"/>
      <c r="TSN200" s="104"/>
      <c r="TSO200" s="104"/>
      <c r="TSP200" s="104"/>
      <c r="TSQ200" s="104"/>
      <c r="TSR200" s="104"/>
      <c r="TSS200" s="104"/>
      <c r="TST200" s="104"/>
      <c r="TSU200" s="104"/>
      <c r="TSV200" s="104"/>
      <c r="TSW200" s="104"/>
      <c r="TSX200" s="104"/>
      <c r="TSY200" s="104"/>
      <c r="TSZ200" s="104"/>
      <c r="TTA200" s="104"/>
      <c r="TTB200" s="104"/>
      <c r="TTC200" s="104"/>
      <c r="TTD200" s="104"/>
      <c r="TTE200" s="104"/>
      <c r="TTF200" s="104"/>
      <c r="TTG200" s="104"/>
      <c r="TTH200" s="104"/>
      <c r="TTI200" s="104"/>
      <c r="TTJ200" s="104"/>
      <c r="TTK200" s="104"/>
      <c r="TTL200" s="104"/>
      <c r="TTM200" s="104"/>
      <c r="TTN200" s="104"/>
      <c r="TTO200" s="104"/>
      <c r="TTP200" s="104"/>
      <c r="TTQ200" s="104"/>
      <c r="TTR200" s="104"/>
      <c r="TTS200" s="104"/>
      <c r="TTT200" s="104"/>
      <c r="TTU200" s="104"/>
      <c r="TTV200" s="104"/>
      <c r="TTW200" s="104"/>
      <c r="TTX200" s="104"/>
      <c r="TTY200" s="104"/>
      <c r="TTZ200" s="104"/>
      <c r="TUA200" s="104"/>
      <c r="TUB200" s="104"/>
      <c r="TUC200" s="104"/>
      <c r="TUD200" s="104"/>
      <c r="TUE200" s="104"/>
      <c r="TUF200" s="104"/>
      <c r="TUG200" s="104"/>
      <c r="TUH200" s="104"/>
      <c r="TUI200" s="104"/>
      <c r="TUJ200" s="104"/>
      <c r="TUK200" s="104"/>
      <c r="TUL200" s="104"/>
      <c r="TUM200" s="104"/>
      <c r="TUN200" s="104"/>
      <c r="TUO200" s="104"/>
      <c r="TUP200" s="104"/>
      <c r="TUQ200" s="104"/>
      <c r="TUR200" s="104"/>
      <c r="TUS200" s="104"/>
      <c r="TUT200" s="104"/>
      <c r="TUU200" s="104"/>
      <c r="TUV200" s="104"/>
      <c r="TUW200" s="104"/>
      <c r="TUX200" s="104"/>
      <c r="TUY200" s="104"/>
      <c r="TUZ200" s="104"/>
      <c r="TVA200" s="104"/>
      <c r="TVB200" s="104"/>
      <c r="TVC200" s="104"/>
      <c r="TVD200" s="104"/>
      <c r="TVE200" s="104"/>
      <c r="TVF200" s="104"/>
      <c r="TVG200" s="104"/>
      <c r="TVH200" s="104"/>
      <c r="TVI200" s="104"/>
      <c r="TVJ200" s="104"/>
      <c r="TVK200" s="104"/>
      <c r="TVL200" s="104"/>
      <c r="TVM200" s="104"/>
      <c r="TVN200" s="104"/>
      <c r="TVO200" s="104"/>
      <c r="TVP200" s="104"/>
      <c r="TVQ200" s="104"/>
      <c r="TVR200" s="104"/>
      <c r="TVS200" s="104"/>
      <c r="TVT200" s="104"/>
      <c r="TVU200" s="104"/>
      <c r="TVV200" s="104"/>
      <c r="TVW200" s="104"/>
      <c r="TVX200" s="104"/>
      <c r="TVY200" s="104"/>
      <c r="TVZ200" s="104"/>
      <c r="TWA200" s="104"/>
      <c r="TWB200" s="104"/>
      <c r="TWC200" s="104"/>
      <c r="TWD200" s="104"/>
      <c r="TWE200" s="104"/>
      <c r="TWF200" s="104"/>
      <c r="TWG200" s="104"/>
      <c r="TWH200" s="104"/>
      <c r="TWI200" s="104"/>
      <c r="TWJ200" s="104"/>
      <c r="TWK200" s="104"/>
      <c r="TWL200" s="104"/>
      <c r="TWM200" s="104"/>
      <c r="TWN200" s="104"/>
      <c r="TWO200" s="104"/>
      <c r="TWP200" s="104"/>
      <c r="TWQ200" s="104"/>
      <c r="TWR200" s="104"/>
      <c r="TWS200" s="104"/>
      <c r="TWT200" s="104"/>
      <c r="TWU200" s="104"/>
      <c r="TWV200" s="104"/>
      <c r="TWW200" s="104"/>
      <c r="TWX200" s="104"/>
      <c r="TWY200" s="104"/>
      <c r="TWZ200" s="104"/>
      <c r="TXA200" s="104"/>
      <c r="TXB200" s="104"/>
      <c r="TXC200" s="104"/>
      <c r="TXD200" s="104"/>
      <c r="TXE200" s="104"/>
      <c r="TXF200" s="104"/>
      <c r="TXG200" s="104"/>
      <c r="TXH200" s="104"/>
      <c r="TXI200" s="104"/>
      <c r="TXJ200" s="104"/>
      <c r="TXK200" s="104"/>
      <c r="TXL200" s="104"/>
      <c r="TXM200" s="104"/>
      <c r="TXN200" s="104"/>
      <c r="TXO200" s="104"/>
      <c r="TXP200" s="104"/>
      <c r="TXQ200" s="104"/>
      <c r="TXR200" s="104"/>
      <c r="TXS200" s="104"/>
      <c r="TXT200" s="104"/>
      <c r="TXU200" s="104"/>
      <c r="TXV200" s="104"/>
      <c r="TXW200" s="104"/>
      <c r="TXX200" s="104"/>
      <c r="TXY200" s="104"/>
      <c r="TXZ200" s="104"/>
      <c r="TYA200" s="104"/>
      <c r="TYB200" s="104"/>
      <c r="TYC200" s="104"/>
      <c r="TYD200" s="104"/>
      <c r="TYE200" s="104"/>
      <c r="TYF200" s="104"/>
      <c r="TYG200" s="104"/>
      <c r="TYH200" s="104"/>
      <c r="TYI200" s="104"/>
      <c r="TYJ200" s="104"/>
      <c r="TYK200" s="104"/>
      <c r="TYL200" s="104"/>
      <c r="TYM200" s="104"/>
      <c r="TYN200" s="104"/>
      <c r="TYO200" s="104"/>
      <c r="TYP200" s="104"/>
      <c r="TYQ200" s="104"/>
      <c r="TYR200" s="104"/>
      <c r="TYS200" s="104"/>
      <c r="TYT200" s="104"/>
      <c r="TYU200" s="104"/>
      <c r="TYV200" s="104"/>
      <c r="TYW200" s="104"/>
      <c r="TYX200" s="104"/>
      <c r="TYY200" s="104"/>
      <c r="TYZ200" s="104"/>
      <c r="TZA200" s="104"/>
      <c r="TZB200" s="104"/>
      <c r="TZC200" s="104"/>
      <c r="TZD200" s="104"/>
      <c r="TZE200" s="104"/>
      <c r="TZF200" s="104"/>
      <c r="TZG200" s="104"/>
      <c r="TZH200" s="104"/>
      <c r="TZI200" s="104"/>
      <c r="TZJ200" s="104"/>
      <c r="TZK200" s="104"/>
      <c r="TZL200" s="104"/>
      <c r="TZM200" s="104"/>
      <c r="TZN200" s="104"/>
      <c r="TZO200" s="104"/>
      <c r="TZP200" s="104"/>
      <c r="TZQ200" s="104"/>
      <c r="TZR200" s="104"/>
      <c r="TZS200" s="104"/>
      <c r="TZT200" s="104"/>
      <c r="TZU200" s="104"/>
      <c r="TZV200" s="104"/>
      <c r="TZW200" s="104"/>
      <c r="TZX200" s="104"/>
      <c r="TZY200" s="104"/>
      <c r="TZZ200" s="104"/>
      <c r="UAA200" s="104"/>
      <c r="UAB200" s="104"/>
      <c r="UAC200" s="104"/>
      <c r="UAD200" s="104"/>
      <c r="UAE200" s="104"/>
      <c r="UAF200" s="104"/>
      <c r="UAG200" s="104"/>
      <c r="UAH200" s="104"/>
      <c r="UAI200" s="104"/>
      <c r="UAJ200" s="104"/>
      <c r="UAK200" s="104"/>
      <c r="UAL200" s="104"/>
      <c r="UAM200" s="104"/>
      <c r="UAN200" s="104"/>
      <c r="UAO200" s="104"/>
      <c r="UAP200" s="104"/>
      <c r="UAQ200" s="104"/>
      <c r="UAR200" s="104"/>
      <c r="UAS200" s="104"/>
      <c r="UAT200" s="104"/>
      <c r="UAU200" s="104"/>
      <c r="UAV200" s="104"/>
      <c r="UAW200" s="104"/>
      <c r="UAX200" s="104"/>
      <c r="UAY200" s="104"/>
      <c r="UAZ200" s="104"/>
      <c r="UBA200" s="104"/>
      <c r="UBB200" s="104"/>
      <c r="UBC200" s="104"/>
      <c r="UBD200" s="104"/>
      <c r="UBE200" s="104"/>
      <c r="UBF200" s="104"/>
      <c r="UBG200" s="104"/>
      <c r="UBH200" s="104"/>
      <c r="UBI200" s="104"/>
      <c r="UBJ200" s="104"/>
      <c r="UBK200" s="104"/>
      <c r="UBL200" s="104"/>
      <c r="UBM200" s="104"/>
      <c r="UBN200" s="104"/>
      <c r="UBO200" s="104"/>
      <c r="UBP200" s="104"/>
      <c r="UBQ200" s="104"/>
      <c r="UBR200" s="104"/>
      <c r="UBS200" s="104"/>
      <c r="UBT200" s="104"/>
      <c r="UBU200" s="104"/>
      <c r="UBV200" s="104"/>
      <c r="UBW200" s="104"/>
      <c r="UBX200" s="104"/>
      <c r="UBY200" s="104"/>
      <c r="UBZ200" s="104"/>
      <c r="UCA200" s="104"/>
      <c r="UCB200" s="104"/>
      <c r="UCC200" s="104"/>
      <c r="UCD200" s="104"/>
      <c r="UCE200" s="104"/>
      <c r="UCF200" s="104"/>
      <c r="UCG200" s="104"/>
      <c r="UCH200" s="104"/>
      <c r="UCI200" s="104"/>
      <c r="UCJ200" s="104"/>
      <c r="UCK200" s="104"/>
      <c r="UCL200" s="104"/>
      <c r="UCM200" s="104"/>
      <c r="UCN200" s="104"/>
      <c r="UCO200" s="104"/>
      <c r="UCP200" s="104"/>
      <c r="UCQ200" s="104"/>
      <c r="UCR200" s="104"/>
      <c r="UCS200" s="104"/>
      <c r="UCT200" s="104"/>
      <c r="UCU200" s="104"/>
      <c r="UCV200" s="104"/>
      <c r="UCW200" s="104"/>
      <c r="UCX200" s="104"/>
      <c r="UCY200" s="104"/>
      <c r="UCZ200" s="104"/>
      <c r="UDA200" s="104"/>
      <c r="UDB200" s="104"/>
      <c r="UDC200" s="104"/>
      <c r="UDD200" s="104"/>
      <c r="UDE200" s="104"/>
      <c r="UDF200" s="104"/>
      <c r="UDG200" s="104"/>
      <c r="UDH200" s="104"/>
      <c r="UDI200" s="104"/>
      <c r="UDJ200" s="104"/>
      <c r="UDK200" s="104"/>
      <c r="UDL200" s="104"/>
      <c r="UDM200" s="104"/>
      <c r="UDN200" s="104"/>
      <c r="UDO200" s="104"/>
      <c r="UDP200" s="104"/>
      <c r="UDQ200" s="104"/>
      <c r="UDR200" s="104"/>
      <c r="UDS200" s="104"/>
      <c r="UDT200" s="104"/>
      <c r="UDU200" s="104"/>
      <c r="UDV200" s="104"/>
      <c r="UDW200" s="104"/>
      <c r="UDX200" s="104"/>
      <c r="UDY200" s="104"/>
      <c r="UDZ200" s="104"/>
      <c r="UEA200" s="104"/>
      <c r="UEB200" s="104"/>
      <c r="UEC200" s="104"/>
      <c r="UED200" s="104"/>
      <c r="UEE200" s="104"/>
      <c r="UEF200" s="104"/>
      <c r="UEG200" s="104"/>
      <c r="UEH200" s="104"/>
      <c r="UEI200" s="104"/>
      <c r="UEJ200" s="104"/>
      <c r="UEK200" s="104"/>
      <c r="UEL200" s="104"/>
      <c r="UEM200" s="104"/>
      <c r="UEN200" s="104"/>
      <c r="UEO200" s="104"/>
      <c r="UEP200" s="104"/>
      <c r="UEQ200" s="104"/>
      <c r="UER200" s="104"/>
      <c r="UES200" s="104"/>
      <c r="UET200" s="104"/>
      <c r="UEU200" s="104"/>
      <c r="UEV200" s="104"/>
      <c r="UEW200" s="104"/>
      <c r="UEX200" s="104"/>
      <c r="UEY200" s="104"/>
      <c r="UEZ200" s="104"/>
      <c r="UFA200" s="104"/>
      <c r="UFB200" s="104"/>
      <c r="UFC200" s="104"/>
      <c r="UFD200" s="104"/>
      <c r="UFE200" s="104"/>
      <c r="UFF200" s="104"/>
      <c r="UFG200" s="104"/>
      <c r="UFH200" s="104"/>
      <c r="UFI200" s="104"/>
      <c r="UFJ200" s="104"/>
      <c r="UFK200" s="104"/>
      <c r="UFL200" s="104"/>
      <c r="UFM200" s="104"/>
      <c r="UFN200" s="104"/>
      <c r="UFO200" s="104"/>
      <c r="UFP200" s="104"/>
      <c r="UFQ200" s="104"/>
      <c r="UFR200" s="104"/>
      <c r="UFS200" s="104"/>
      <c r="UFT200" s="104"/>
      <c r="UFU200" s="104"/>
      <c r="UFV200" s="104"/>
      <c r="UFW200" s="104"/>
      <c r="UFX200" s="104"/>
      <c r="UFY200" s="104"/>
      <c r="UFZ200" s="104"/>
      <c r="UGA200" s="104"/>
      <c r="UGB200" s="104"/>
      <c r="UGC200" s="104"/>
      <c r="UGD200" s="104"/>
      <c r="UGE200" s="104"/>
      <c r="UGF200" s="104"/>
      <c r="UGG200" s="104"/>
      <c r="UGH200" s="104"/>
      <c r="UGI200" s="104"/>
      <c r="UGJ200" s="104"/>
      <c r="UGK200" s="104"/>
      <c r="UGL200" s="104"/>
      <c r="UGM200" s="104"/>
      <c r="UGN200" s="104"/>
      <c r="UGO200" s="104"/>
      <c r="UGP200" s="104"/>
      <c r="UGQ200" s="104"/>
      <c r="UGR200" s="104"/>
      <c r="UGS200" s="104"/>
      <c r="UGT200" s="104"/>
      <c r="UGU200" s="104"/>
      <c r="UGV200" s="104"/>
      <c r="UGW200" s="104"/>
      <c r="UGX200" s="104"/>
      <c r="UGY200" s="104"/>
      <c r="UGZ200" s="104"/>
      <c r="UHA200" s="104"/>
      <c r="UHB200" s="104"/>
      <c r="UHC200" s="104"/>
      <c r="UHD200" s="104"/>
      <c r="UHE200" s="104"/>
      <c r="UHF200" s="104"/>
      <c r="UHG200" s="104"/>
      <c r="UHH200" s="104"/>
      <c r="UHI200" s="104"/>
      <c r="UHJ200" s="104"/>
      <c r="UHK200" s="104"/>
      <c r="UHL200" s="104"/>
      <c r="UHM200" s="104"/>
      <c r="UHN200" s="104"/>
      <c r="UHO200" s="104"/>
      <c r="UHP200" s="104"/>
      <c r="UHQ200" s="104"/>
      <c r="UHR200" s="104"/>
      <c r="UHS200" s="104"/>
      <c r="UHT200" s="104"/>
      <c r="UHU200" s="104"/>
      <c r="UHV200" s="104"/>
      <c r="UHW200" s="104"/>
      <c r="UHX200" s="104"/>
      <c r="UHY200" s="104"/>
      <c r="UHZ200" s="104"/>
      <c r="UIA200" s="104"/>
      <c r="UIB200" s="104"/>
      <c r="UIC200" s="104"/>
      <c r="UID200" s="104"/>
      <c r="UIE200" s="104"/>
      <c r="UIF200" s="104"/>
      <c r="UIG200" s="104"/>
      <c r="UIH200" s="104"/>
      <c r="UII200" s="104"/>
      <c r="UIJ200" s="104"/>
      <c r="UIK200" s="104"/>
      <c r="UIL200" s="104"/>
      <c r="UIM200" s="104"/>
      <c r="UIN200" s="104"/>
      <c r="UIO200" s="104"/>
      <c r="UIP200" s="104"/>
      <c r="UIQ200" s="104"/>
      <c r="UIR200" s="104"/>
      <c r="UIS200" s="104"/>
      <c r="UIT200" s="104"/>
      <c r="UIU200" s="104"/>
      <c r="UIV200" s="104"/>
      <c r="UIW200" s="104"/>
      <c r="UIX200" s="104"/>
      <c r="UIY200" s="104"/>
      <c r="UIZ200" s="104"/>
      <c r="UJA200" s="104"/>
      <c r="UJB200" s="104"/>
      <c r="UJC200" s="104"/>
      <c r="UJD200" s="104"/>
      <c r="UJE200" s="104"/>
      <c r="UJF200" s="104"/>
      <c r="UJG200" s="104"/>
      <c r="UJH200" s="104"/>
      <c r="UJI200" s="104"/>
      <c r="UJJ200" s="104"/>
      <c r="UJK200" s="104"/>
      <c r="UJL200" s="104"/>
      <c r="UJM200" s="104"/>
      <c r="UJN200" s="104"/>
      <c r="UJO200" s="104"/>
      <c r="UJP200" s="104"/>
      <c r="UJQ200" s="104"/>
      <c r="UJR200" s="104"/>
      <c r="UJS200" s="104"/>
      <c r="UJT200" s="104"/>
      <c r="UJU200" s="104"/>
      <c r="UJV200" s="104"/>
      <c r="UJW200" s="104"/>
      <c r="UJX200" s="104"/>
      <c r="UJY200" s="104"/>
      <c r="UJZ200" s="104"/>
      <c r="UKA200" s="104"/>
      <c r="UKB200" s="104"/>
      <c r="UKC200" s="104"/>
      <c r="UKD200" s="104"/>
      <c r="UKE200" s="104"/>
      <c r="UKF200" s="104"/>
      <c r="UKG200" s="104"/>
      <c r="UKH200" s="104"/>
      <c r="UKI200" s="104"/>
      <c r="UKJ200" s="104"/>
      <c r="UKK200" s="104"/>
      <c r="UKL200" s="104"/>
      <c r="UKM200" s="104"/>
      <c r="UKN200" s="104"/>
      <c r="UKO200" s="104"/>
      <c r="UKP200" s="104"/>
      <c r="UKQ200" s="104"/>
      <c r="UKR200" s="104"/>
      <c r="UKS200" s="104"/>
      <c r="UKT200" s="104"/>
      <c r="UKU200" s="104"/>
      <c r="UKV200" s="104"/>
      <c r="UKW200" s="104"/>
      <c r="UKX200" s="104"/>
      <c r="UKY200" s="104"/>
      <c r="UKZ200" s="104"/>
      <c r="ULA200" s="104"/>
      <c r="ULB200" s="104"/>
      <c r="ULC200" s="104"/>
      <c r="ULD200" s="104"/>
      <c r="ULE200" s="104"/>
      <c r="ULF200" s="104"/>
      <c r="ULG200" s="104"/>
      <c r="ULH200" s="104"/>
      <c r="ULI200" s="104"/>
      <c r="ULJ200" s="104"/>
      <c r="ULK200" s="104"/>
      <c r="ULL200" s="104"/>
      <c r="ULM200" s="104"/>
      <c r="ULN200" s="104"/>
      <c r="ULO200" s="104"/>
      <c r="ULP200" s="104"/>
      <c r="ULQ200" s="104"/>
      <c r="ULR200" s="104"/>
      <c r="ULS200" s="104"/>
      <c r="ULT200" s="104"/>
      <c r="ULU200" s="104"/>
      <c r="ULV200" s="104"/>
      <c r="ULW200" s="104"/>
      <c r="ULX200" s="104"/>
      <c r="ULY200" s="104"/>
      <c r="ULZ200" s="104"/>
      <c r="UMA200" s="104"/>
      <c r="UMB200" s="104"/>
      <c r="UMC200" s="104"/>
      <c r="UMD200" s="104"/>
      <c r="UME200" s="104"/>
      <c r="UMF200" s="104"/>
      <c r="UMG200" s="104"/>
      <c r="UMH200" s="104"/>
      <c r="UMI200" s="104"/>
      <c r="UMJ200" s="104"/>
      <c r="UMK200" s="104"/>
      <c r="UML200" s="104"/>
      <c r="UMM200" s="104"/>
      <c r="UMN200" s="104"/>
      <c r="UMO200" s="104"/>
      <c r="UMP200" s="104"/>
      <c r="UMQ200" s="104"/>
      <c r="UMR200" s="104"/>
      <c r="UMS200" s="104"/>
      <c r="UMT200" s="104"/>
      <c r="UMU200" s="104"/>
      <c r="UMV200" s="104"/>
      <c r="UMW200" s="104"/>
      <c r="UMX200" s="104"/>
      <c r="UMY200" s="104"/>
      <c r="UMZ200" s="104"/>
      <c r="UNA200" s="104"/>
      <c r="UNB200" s="104"/>
      <c r="UNC200" s="104"/>
      <c r="UND200" s="104"/>
      <c r="UNE200" s="104"/>
      <c r="UNF200" s="104"/>
      <c r="UNG200" s="104"/>
      <c r="UNH200" s="104"/>
      <c r="UNI200" s="104"/>
      <c r="UNJ200" s="104"/>
      <c r="UNK200" s="104"/>
      <c r="UNL200" s="104"/>
      <c r="UNM200" s="104"/>
      <c r="UNN200" s="104"/>
      <c r="UNO200" s="104"/>
      <c r="UNP200" s="104"/>
      <c r="UNQ200" s="104"/>
      <c r="UNR200" s="104"/>
      <c r="UNS200" s="104"/>
      <c r="UNT200" s="104"/>
      <c r="UNU200" s="104"/>
      <c r="UNV200" s="104"/>
      <c r="UNW200" s="104"/>
      <c r="UNX200" s="104"/>
      <c r="UNY200" s="104"/>
      <c r="UNZ200" s="104"/>
      <c r="UOA200" s="104"/>
      <c r="UOB200" s="104"/>
      <c r="UOC200" s="104"/>
      <c r="UOD200" s="104"/>
      <c r="UOE200" s="104"/>
      <c r="UOF200" s="104"/>
      <c r="UOG200" s="104"/>
      <c r="UOH200" s="104"/>
      <c r="UOI200" s="104"/>
      <c r="UOJ200" s="104"/>
      <c r="UOK200" s="104"/>
      <c r="UOL200" s="104"/>
      <c r="UOM200" s="104"/>
      <c r="UON200" s="104"/>
      <c r="UOO200" s="104"/>
      <c r="UOP200" s="104"/>
      <c r="UOQ200" s="104"/>
      <c r="UOR200" s="104"/>
      <c r="UOS200" s="104"/>
      <c r="UOT200" s="104"/>
      <c r="UOU200" s="104"/>
      <c r="UOV200" s="104"/>
      <c r="UOW200" s="104"/>
      <c r="UOX200" s="104"/>
      <c r="UOY200" s="104"/>
      <c r="UOZ200" s="104"/>
      <c r="UPA200" s="104"/>
      <c r="UPB200" s="104"/>
      <c r="UPC200" s="104"/>
      <c r="UPD200" s="104"/>
      <c r="UPE200" s="104"/>
      <c r="UPF200" s="104"/>
      <c r="UPG200" s="104"/>
      <c r="UPH200" s="104"/>
      <c r="UPI200" s="104"/>
      <c r="UPJ200" s="104"/>
      <c r="UPK200" s="104"/>
      <c r="UPL200" s="104"/>
      <c r="UPM200" s="104"/>
      <c r="UPN200" s="104"/>
      <c r="UPO200" s="104"/>
      <c r="UPP200" s="104"/>
      <c r="UPQ200" s="104"/>
      <c r="UPR200" s="104"/>
      <c r="UPS200" s="104"/>
      <c r="UPT200" s="104"/>
      <c r="UPU200" s="104"/>
      <c r="UPV200" s="104"/>
      <c r="UPW200" s="104"/>
      <c r="UPX200" s="104"/>
      <c r="UPY200" s="104"/>
      <c r="UPZ200" s="104"/>
      <c r="UQA200" s="104"/>
      <c r="UQB200" s="104"/>
      <c r="UQC200" s="104"/>
      <c r="UQD200" s="104"/>
      <c r="UQE200" s="104"/>
      <c r="UQF200" s="104"/>
      <c r="UQG200" s="104"/>
      <c r="UQH200" s="104"/>
      <c r="UQI200" s="104"/>
      <c r="UQJ200" s="104"/>
      <c r="UQK200" s="104"/>
      <c r="UQL200" s="104"/>
      <c r="UQM200" s="104"/>
      <c r="UQN200" s="104"/>
      <c r="UQO200" s="104"/>
      <c r="UQP200" s="104"/>
      <c r="UQQ200" s="104"/>
      <c r="UQR200" s="104"/>
      <c r="UQS200" s="104"/>
      <c r="UQT200" s="104"/>
      <c r="UQU200" s="104"/>
      <c r="UQV200" s="104"/>
      <c r="UQW200" s="104"/>
      <c r="UQX200" s="104"/>
      <c r="UQY200" s="104"/>
      <c r="UQZ200" s="104"/>
      <c r="URA200" s="104"/>
      <c r="URB200" s="104"/>
      <c r="URC200" s="104"/>
      <c r="URD200" s="104"/>
      <c r="URE200" s="104"/>
      <c r="URF200" s="104"/>
      <c r="URG200" s="104"/>
      <c r="URH200" s="104"/>
      <c r="URI200" s="104"/>
      <c r="URJ200" s="104"/>
      <c r="URK200" s="104"/>
      <c r="URL200" s="104"/>
      <c r="URM200" s="104"/>
      <c r="URN200" s="104"/>
      <c r="URO200" s="104"/>
      <c r="URP200" s="104"/>
      <c r="URQ200" s="104"/>
      <c r="URR200" s="104"/>
      <c r="URS200" s="104"/>
      <c r="URT200" s="104"/>
      <c r="URU200" s="104"/>
      <c r="URV200" s="104"/>
      <c r="URW200" s="104"/>
      <c r="URX200" s="104"/>
      <c r="URY200" s="104"/>
      <c r="URZ200" s="104"/>
      <c r="USA200" s="104"/>
      <c r="USB200" s="104"/>
      <c r="USC200" s="104"/>
      <c r="USD200" s="104"/>
      <c r="USE200" s="104"/>
      <c r="USF200" s="104"/>
      <c r="USG200" s="104"/>
      <c r="USH200" s="104"/>
      <c r="USI200" s="104"/>
      <c r="USJ200" s="104"/>
      <c r="USK200" s="104"/>
      <c r="USL200" s="104"/>
      <c r="USM200" s="104"/>
      <c r="USN200" s="104"/>
      <c r="USO200" s="104"/>
      <c r="USP200" s="104"/>
      <c r="USQ200" s="104"/>
      <c r="USR200" s="104"/>
      <c r="USS200" s="104"/>
      <c r="UST200" s="104"/>
      <c r="USU200" s="104"/>
      <c r="USV200" s="104"/>
      <c r="USW200" s="104"/>
      <c r="USX200" s="104"/>
      <c r="USY200" s="104"/>
      <c r="USZ200" s="104"/>
      <c r="UTA200" s="104"/>
      <c r="UTB200" s="104"/>
      <c r="UTC200" s="104"/>
      <c r="UTD200" s="104"/>
      <c r="UTE200" s="104"/>
      <c r="UTF200" s="104"/>
      <c r="UTG200" s="104"/>
      <c r="UTH200" s="104"/>
      <c r="UTI200" s="104"/>
      <c r="UTJ200" s="104"/>
      <c r="UTK200" s="104"/>
      <c r="UTL200" s="104"/>
      <c r="UTM200" s="104"/>
      <c r="UTN200" s="104"/>
      <c r="UTO200" s="104"/>
      <c r="UTP200" s="104"/>
      <c r="UTQ200" s="104"/>
      <c r="UTR200" s="104"/>
      <c r="UTS200" s="104"/>
      <c r="UTT200" s="104"/>
      <c r="UTU200" s="104"/>
      <c r="UTV200" s="104"/>
      <c r="UTW200" s="104"/>
      <c r="UTX200" s="104"/>
      <c r="UTY200" s="104"/>
      <c r="UTZ200" s="104"/>
      <c r="UUA200" s="104"/>
      <c r="UUB200" s="104"/>
      <c r="UUC200" s="104"/>
      <c r="UUD200" s="104"/>
      <c r="UUE200" s="104"/>
      <c r="UUF200" s="104"/>
      <c r="UUG200" s="104"/>
      <c r="UUH200" s="104"/>
      <c r="UUI200" s="104"/>
      <c r="UUJ200" s="104"/>
      <c r="UUK200" s="104"/>
      <c r="UUL200" s="104"/>
      <c r="UUM200" s="104"/>
      <c r="UUN200" s="104"/>
      <c r="UUO200" s="104"/>
      <c r="UUP200" s="104"/>
      <c r="UUQ200" s="104"/>
      <c r="UUR200" s="104"/>
      <c r="UUS200" s="104"/>
      <c r="UUT200" s="104"/>
      <c r="UUU200" s="104"/>
      <c r="UUV200" s="104"/>
      <c r="UUW200" s="104"/>
      <c r="UUX200" s="104"/>
      <c r="UUY200" s="104"/>
      <c r="UUZ200" s="104"/>
      <c r="UVA200" s="104"/>
      <c r="UVB200" s="104"/>
      <c r="UVC200" s="104"/>
      <c r="UVD200" s="104"/>
      <c r="UVE200" s="104"/>
      <c r="UVF200" s="104"/>
      <c r="UVG200" s="104"/>
      <c r="UVH200" s="104"/>
      <c r="UVI200" s="104"/>
      <c r="UVJ200" s="104"/>
      <c r="UVK200" s="104"/>
      <c r="UVL200" s="104"/>
      <c r="UVM200" s="104"/>
      <c r="UVN200" s="104"/>
      <c r="UVO200" s="104"/>
      <c r="UVP200" s="104"/>
      <c r="UVQ200" s="104"/>
      <c r="UVR200" s="104"/>
      <c r="UVS200" s="104"/>
      <c r="UVT200" s="104"/>
      <c r="UVU200" s="104"/>
      <c r="UVV200" s="104"/>
      <c r="UVW200" s="104"/>
      <c r="UVX200" s="104"/>
      <c r="UVY200" s="104"/>
      <c r="UVZ200" s="104"/>
      <c r="UWA200" s="104"/>
      <c r="UWB200" s="104"/>
      <c r="UWC200" s="104"/>
      <c r="UWD200" s="104"/>
      <c r="UWE200" s="104"/>
      <c r="UWF200" s="104"/>
      <c r="UWG200" s="104"/>
      <c r="UWH200" s="104"/>
      <c r="UWI200" s="104"/>
      <c r="UWJ200" s="104"/>
      <c r="UWK200" s="104"/>
      <c r="UWL200" s="104"/>
      <c r="UWM200" s="104"/>
      <c r="UWN200" s="104"/>
      <c r="UWO200" s="104"/>
      <c r="UWP200" s="104"/>
      <c r="UWQ200" s="104"/>
      <c r="UWR200" s="104"/>
      <c r="UWS200" s="104"/>
      <c r="UWT200" s="104"/>
      <c r="UWU200" s="104"/>
      <c r="UWV200" s="104"/>
      <c r="UWW200" s="104"/>
      <c r="UWX200" s="104"/>
      <c r="UWY200" s="104"/>
      <c r="UWZ200" s="104"/>
      <c r="UXA200" s="104"/>
      <c r="UXB200" s="104"/>
      <c r="UXC200" s="104"/>
      <c r="UXD200" s="104"/>
      <c r="UXE200" s="104"/>
      <c r="UXF200" s="104"/>
      <c r="UXG200" s="104"/>
      <c r="UXH200" s="104"/>
      <c r="UXI200" s="104"/>
      <c r="UXJ200" s="104"/>
      <c r="UXK200" s="104"/>
      <c r="UXL200" s="104"/>
      <c r="UXM200" s="104"/>
      <c r="UXN200" s="104"/>
      <c r="UXO200" s="104"/>
      <c r="UXP200" s="104"/>
      <c r="UXQ200" s="104"/>
      <c r="UXR200" s="104"/>
      <c r="UXS200" s="104"/>
      <c r="UXT200" s="104"/>
      <c r="UXU200" s="104"/>
      <c r="UXV200" s="104"/>
      <c r="UXW200" s="104"/>
      <c r="UXX200" s="104"/>
      <c r="UXY200" s="104"/>
      <c r="UXZ200" s="104"/>
      <c r="UYA200" s="104"/>
      <c r="UYB200" s="104"/>
      <c r="UYC200" s="104"/>
      <c r="UYD200" s="104"/>
      <c r="UYE200" s="104"/>
      <c r="UYF200" s="104"/>
      <c r="UYG200" s="104"/>
      <c r="UYH200" s="104"/>
      <c r="UYI200" s="104"/>
      <c r="UYJ200" s="104"/>
      <c r="UYK200" s="104"/>
      <c r="UYL200" s="104"/>
      <c r="UYM200" s="104"/>
      <c r="UYN200" s="104"/>
      <c r="UYO200" s="104"/>
      <c r="UYP200" s="104"/>
      <c r="UYQ200" s="104"/>
      <c r="UYR200" s="104"/>
      <c r="UYS200" s="104"/>
      <c r="UYT200" s="104"/>
      <c r="UYU200" s="104"/>
      <c r="UYV200" s="104"/>
      <c r="UYW200" s="104"/>
      <c r="UYX200" s="104"/>
      <c r="UYY200" s="104"/>
      <c r="UYZ200" s="104"/>
      <c r="UZA200" s="104"/>
      <c r="UZB200" s="104"/>
      <c r="UZC200" s="104"/>
      <c r="UZD200" s="104"/>
      <c r="UZE200" s="104"/>
      <c r="UZF200" s="104"/>
      <c r="UZG200" s="104"/>
      <c r="UZH200" s="104"/>
      <c r="UZI200" s="104"/>
      <c r="UZJ200" s="104"/>
      <c r="UZK200" s="104"/>
      <c r="UZL200" s="104"/>
      <c r="UZM200" s="104"/>
      <c r="UZN200" s="104"/>
      <c r="UZO200" s="104"/>
      <c r="UZP200" s="104"/>
      <c r="UZQ200" s="104"/>
      <c r="UZR200" s="104"/>
      <c r="UZS200" s="104"/>
      <c r="UZT200" s="104"/>
      <c r="UZU200" s="104"/>
      <c r="UZV200" s="104"/>
      <c r="UZW200" s="104"/>
      <c r="UZX200" s="104"/>
      <c r="UZY200" s="104"/>
      <c r="UZZ200" s="104"/>
      <c r="VAA200" s="104"/>
      <c r="VAB200" s="104"/>
      <c r="VAC200" s="104"/>
      <c r="VAD200" s="104"/>
      <c r="VAE200" s="104"/>
      <c r="VAF200" s="104"/>
      <c r="VAG200" s="104"/>
      <c r="VAH200" s="104"/>
      <c r="VAI200" s="104"/>
      <c r="VAJ200" s="104"/>
      <c r="VAK200" s="104"/>
      <c r="VAL200" s="104"/>
      <c r="VAM200" s="104"/>
      <c r="VAN200" s="104"/>
      <c r="VAO200" s="104"/>
      <c r="VAP200" s="104"/>
      <c r="VAQ200" s="104"/>
      <c r="VAR200" s="104"/>
      <c r="VAS200" s="104"/>
      <c r="VAT200" s="104"/>
      <c r="VAU200" s="104"/>
      <c r="VAV200" s="104"/>
      <c r="VAW200" s="104"/>
      <c r="VAX200" s="104"/>
      <c r="VAY200" s="104"/>
      <c r="VAZ200" s="104"/>
      <c r="VBA200" s="104"/>
      <c r="VBB200" s="104"/>
      <c r="VBC200" s="104"/>
      <c r="VBD200" s="104"/>
      <c r="VBE200" s="104"/>
      <c r="VBF200" s="104"/>
      <c r="VBG200" s="104"/>
      <c r="VBH200" s="104"/>
      <c r="VBI200" s="104"/>
      <c r="VBJ200" s="104"/>
      <c r="VBK200" s="104"/>
      <c r="VBL200" s="104"/>
      <c r="VBM200" s="104"/>
      <c r="VBN200" s="104"/>
      <c r="VBO200" s="104"/>
      <c r="VBP200" s="104"/>
      <c r="VBQ200" s="104"/>
      <c r="VBR200" s="104"/>
      <c r="VBS200" s="104"/>
      <c r="VBT200" s="104"/>
      <c r="VBU200" s="104"/>
      <c r="VBV200" s="104"/>
      <c r="VBW200" s="104"/>
      <c r="VBX200" s="104"/>
      <c r="VBY200" s="104"/>
      <c r="VBZ200" s="104"/>
      <c r="VCA200" s="104"/>
      <c r="VCB200" s="104"/>
      <c r="VCC200" s="104"/>
      <c r="VCD200" s="104"/>
      <c r="VCE200" s="104"/>
      <c r="VCF200" s="104"/>
      <c r="VCG200" s="104"/>
      <c r="VCH200" s="104"/>
      <c r="VCI200" s="104"/>
      <c r="VCJ200" s="104"/>
      <c r="VCK200" s="104"/>
      <c r="VCL200" s="104"/>
      <c r="VCM200" s="104"/>
      <c r="VCN200" s="104"/>
      <c r="VCO200" s="104"/>
      <c r="VCP200" s="104"/>
      <c r="VCQ200" s="104"/>
      <c r="VCR200" s="104"/>
      <c r="VCS200" s="104"/>
      <c r="VCT200" s="104"/>
      <c r="VCU200" s="104"/>
      <c r="VCV200" s="104"/>
      <c r="VCW200" s="104"/>
      <c r="VCX200" s="104"/>
      <c r="VCY200" s="104"/>
      <c r="VCZ200" s="104"/>
      <c r="VDA200" s="104"/>
      <c r="VDB200" s="104"/>
      <c r="VDC200" s="104"/>
      <c r="VDD200" s="104"/>
      <c r="VDE200" s="104"/>
      <c r="VDF200" s="104"/>
      <c r="VDG200" s="104"/>
      <c r="VDH200" s="104"/>
      <c r="VDI200" s="104"/>
      <c r="VDJ200" s="104"/>
      <c r="VDK200" s="104"/>
      <c r="VDL200" s="104"/>
      <c r="VDM200" s="104"/>
      <c r="VDN200" s="104"/>
      <c r="VDO200" s="104"/>
      <c r="VDP200" s="104"/>
      <c r="VDQ200" s="104"/>
      <c r="VDR200" s="104"/>
      <c r="VDS200" s="104"/>
      <c r="VDT200" s="104"/>
      <c r="VDU200" s="104"/>
      <c r="VDV200" s="104"/>
      <c r="VDW200" s="104"/>
      <c r="VDX200" s="104"/>
      <c r="VDY200" s="104"/>
      <c r="VDZ200" s="104"/>
      <c r="VEA200" s="104"/>
      <c r="VEB200" s="104"/>
      <c r="VEC200" s="104"/>
      <c r="VED200" s="104"/>
      <c r="VEE200" s="104"/>
      <c r="VEF200" s="104"/>
      <c r="VEG200" s="104"/>
      <c r="VEH200" s="104"/>
      <c r="VEI200" s="104"/>
      <c r="VEJ200" s="104"/>
      <c r="VEK200" s="104"/>
      <c r="VEL200" s="104"/>
      <c r="VEM200" s="104"/>
      <c r="VEN200" s="104"/>
      <c r="VEO200" s="104"/>
      <c r="VEP200" s="104"/>
      <c r="VEQ200" s="104"/>
      <c r="VER200" s="104"/>
      <c r="VES200" s="104"/>
      <c r="VET200" s="104"/>
      <c r="VEU200" s="104"/>
      <c r="VEV200" s="104"/>
      <c r="VEW200" s="104"/>
      <c r="VEX200" s="104"/>
      <c r="VEY200" s="104"/>
      <c r="VEZ200" s="104"/>
      <c r="VFA200" s="104"/>
      <c r="VFB200" s="104"/>
      <c r="VFC200" s="104"/>
      <c r="VFD200" s="104"/>
      <c r="VFE200" s="104"/>
      <c r="VFF200" s="104"/>
      <c r="VFG200" s="104"/>
      <c r="VFH200" s="104"/>
      <c r="VFI200" s="104"/>
      <c r="VFJ200" s="104"/>
      <c r="VFK200" s="104"/>
      <c r="VFL200" s="104"/>
      <c r="VFM200" s="104"/>
      <c r="VFN200" s="104"/>
      <c r="VFO200" s="104"/>
      <c r="VFP200" s="104"/>
      <c r="VFQ200" s="104"/>
      <c r="VFR200" s="104"/>
      <c r="VFS200" s="104"/>
      <c r="VFT200" s="104"/>
      <c r="VFU200" s="104"/>
      <c r="VFV200" s="104"/>
      <c r="VFW200" s="104"/>
      <c r="VFX200" s="104"/>
      <c r="VFY200" s="104"/>
      <c r="VFZ200" s="104"/>
      <c r="VGA200" s="104"/>
      <c r="VGB200" s="104"/>
      <c r="VGC200" s="104"/>
      <c r="VGD200" s="104"/>
      <c r="VGE200" s="104"/>
      <c r="VGF200" s="104"/>
      <c r="VGG200" s="104"/>
      <c r="VGH200" s="104"/>
      <c r="VGI200" s="104"/>
      <c r="VGJ200" s="104"/>
      <c r="VGK200" s="104"/>
      <c r="VGL200" s="104"/>
      <c r="VGM200" s="104"/>
      <c r="VGN200" s="104"/>
      <c r="VGO200" s="104"/>
      <c r="VGP200" s="104"/>
      <c r="VGQ200" s="104"/>
      <c r="VGR200" s="104"/>
      <c r="VGS200" s="104"/>
      <c r="VGT200" s="104"/>
      <c r="VGU200" s="104"/>
      <c r="VGV200" s="104"/>
      <c r="VGW200" s="104"/>
      <c r="VGX200" s="104"/>
      <c r="VGY200" s="104"/>
      <c r="VGZ200" s="104"/>
      <c r="VHA200" s="104"/>
      <c r="VHB200" s="104"/>
      <c r="VHC200" s="104"/>
      <c r="VHD200" s="104"/>
      <c r="VHE200" s="104"/>
      <c r="VHF200" s="104"/>
      <c r="VHG200" s="104"/>
      <c r="VHH200" s="104"/>
      <c r="VHI200" s="104"/>
      <c r="VHJ200" s="104"/>
      <c r="VHK200" s="104"/>
      <c r="VHL200" s="104"/>
      <c r="VHM200" s="104"/>
      <c r="VHN200" s="104"/>
      <c r="VHO200" s="104"/>
      <c r="VHP200" s="104"/>
      <c r="VHQ200" s="104"/>
      <c r="VHR200" s="104"/>
      <c r="VHS200" s="104"/>
      <c r="VHT200" s="104"/>
      <c r="VHU200" s="104"/>
      <c r="VHV200" s="104"/>
      <c r="VHW200" s="104"/>
      <c r="VHX200" s="104"/>
      <c r="VHY200" s="104"/>
      <c r="VHZ200" s="104"/>
      <c r="VIA200" s="104"/>
      <c r="VIB200" s="104"/>
      <c r="VIC200" s="104"/>
      <c r="VID200" s="104"/>
      <c r="VIE200" s="104"/>
      <c r="VIF200" s="104"/>
      <c r="VIG200" s="104"/>
      <c r="VIH200" s="104"/>
      <c r="VII200" s="104"/>
      <c r="VIJ200" s="104"/>
      <c r="VIK200" s="104"/>
      <c r="VIL200" s="104"/>
      <c r="VIM200" s="104"/>
      <c r="VIN200" s="104"/>
      <c r="VIO200" s="104"/>
      <c r="VIP200" s="104"/>
      <c r="VIQ200" s="104"/>
      <c r="VIR200" s="104"/>
      <c r="VIS200" s="104"/>
      <c r="VIT200" s="104"/>
      <c r="VIU200" s="104"/>
      <c r="VIV200" s="104"/>
      <c r="VIW200" s="104"/>
      <c r="VIX200" s="104"/>
      <c r="VIY200" s="104"/>
      <c r="VIZ200" s="104"/>
      <c r="VJA200" s="104"/>
      <c r="VJB200" s="104"/>
      <c r="VJC200" s="104"/>
      <c r="VJD200" s="104"/>
      <c r="VJE200" s="104"/>
      <c r="VJF200" s="104"/>
      <c r="VJG200" s="104"/>
      <c r="VJH200" s="104"/>
      <c r="VJI200" s="104"/>
      <c r="VJJ200" s="104"/>
      <c r="VJK200" s="104"/>
      <c r="VJL200" s="104"/>
      <c r="VJM200" s="104"/>
      <c r="VJN200" s="104"/>
      <c r="VJO200" s="104"/>
      <c r="VJP200" s="104"/>
      <c r="VJQ200" s="104"/>
      <c r="VJR200" s="104"/>
      <c r="VJS200" s="104"/>
      <c r="VJT200" s="104"/>
      <c r="VJU200" s="104"/>
      <c r="VJV200" s="104"/>
      <c r="VJW200" s="104"/>
      <c r="VJX200" s="104"/>
      <c r="VJY200" s="104"/>
      <c r="VJZ200" s="104"/>
      <c r="VKA200" s="104"/>
      <c r="VKB200" s="104"/>
      <c r="VKC200" s="104"/>
      <c r="VKD200" s="104"/>
      <c r="VKE200" s="104"/>
      <c r="VKF200" s="104"/>
      <c r="VKG200" s="104"/>
      <c r="VKH200" s="104"/>
      <c r="VKI200" s="104"/>
      <c r="VKJ200" s="104"/>
      <c r="VKK200" s="104"/>
      <c r="VKL200" s="104"/>
      <c r="VKM200" s="104"/>
      <c r="VKN200" s="104"/>
      <c r="VKO200" s="104"/>
      <c r="VKP200" s="104"/>
      <c r="VKQ200" s="104"/>
      <c r="VKR200" s="104"/>
      <c r="VKS200" s="104"/>
      <c r="VKT200" s="104"/>
      <c r="VKU200" s="104"/>
      <c r="VKV200" s="104"/>
      <c r="VKW200" s="104"/>
      <c r="VKX200" s="104"/>
      <c r="VKY200" s="104"/>
      <c r="VKZ200" s="104"/>
      <c r="VLA200" s="104"/>
      <c r="VLB200" s="104"/>
      <c r="VLC200" s="104"/>
      <c r="VLD200" s="104"/>
      <c r="VLE200" s="104"/>
      <c r="VLF200" s="104"/>
      <c r="VLG200" s="104"/>
      <c r="VLH200" s="104"/>
      <c r="VLI200" s="104"/>
      <c r="VLJ200" s="104"/>
      <c r="VLK200" s="104"/>
      <c r="VLL200" s="104"/>
      <c r="VLM200" s="104"/>
      <c r="VLN200" s="104"/>
      <c r="VLO200" s="104"/>
      <c r="VLP200" s="104"/>
      <c r="VLQ200" s="104"/>
      <c r="VLR200" s="104"/>
      <c r="VLS200" s="104"/>
      <c r="VLT200" s="104"/>
      <c r="VLU200" s="104"/>
      <c r="VLV200" s="104"/>
      <c r="VLW200" s="104"/>
      <c r="VLX200" s="104"/>
      <c r="VLY200" s="104"/>
      <c r="VLZ200" s="104"/>
      <c r="VMA200" s="104"/>
      <c r="VMB200" s="104"/>
      <c r="VMC200" s="104"/>
      <c r="VMD200" s="104"/>
      <c r="VME200" s="104"/>
      <c r="VMF200" s="104"/>
      <c r="VMG200" s="104"/>
      <c r="VMH200" s="104"/>
      <c r="VMI200" s="104"/>
      <c r="VMJ200" s="104"/>
      <c r="VMK200" s="104"/>
      <c r="VML200" s="104"/>
      <c r="VMM200" s="104"/>
      <c r="VMN200" s="104"/>
      <c r="VMO200" s="104"/>
      <c r="VMP200" s="104"/>
      <c r="VMQ200" s="104"/>
      <c r="VMR200" s="104"/>
      <c r="VMS200" s="104"/>
      <c r="VMT200" s="104"/>
      <c r="VMU200" s="104"/>
      <c r="VMV200" s="104"/>
      <c r="VMW200" s="104"/>
      <c r="VMX200" s="104"/>
      <c r="VMY200" s="104"/>
      <c r="VMZ200" s="104"/>
      <c r="VNA200" s="104"/>
      <c r="VNB200" s="104"/>
      <c r="VNC200" s="104"/>
      <c r="VND200" s="104"/>
      <c r="VNE200" s="104"/>
      <c r="VNF200" s="104"/>
      <c r="VNG200" s="104"/>
      <c r="VNH200" s="104"/>
      <c r="VNI200" s="104"/>
      <c r="VNJ200" s="104"/>
      <c r="VNK200" s="104"/>
      <c r="VNL200" s="104"/>
      <c r="VNM200" s="104"/>
      <c r="VNN200" s="104"/>
      <c r="VNO200" s="104"/>
      <c r="VNP200" s="104"/>
      <c r="VNQ200" s="104"/>
      <c r="VNR200" s="104"/>
      <c r="VNS200" s="104"/>
      <c r="VNT200" s="104"/>
      <c r="VNU200" s="104"/>
      <c r="VNV200" s="104"/>
      <c r="VNW200" s="104"/>
      <c r="VNX200" s="104"/>
      <c r="VNY200" s="104"/>
      <c r="VNZ200" s="104"/>
      <c r="VOA200" s="104"/>
      <c r="VOB200" s="104"/>
      <c r="VOC200" s="104"/>
      <c r="VOD200" s="104"/>
      <c r="VOE200" s="104"/>
      <c r="VOF200" s="104"/>
      <c r="VOG200" s="104"/>
      <c r="VOH200" s="104"/>
      <c r="VOI200" s="104"/>
      <c r="VOJ200" s="104"/>
      <c r="VOK200" s="104"/>
      <c r="VOL200" s="104"/>
      <c r="VOM200" s="104"/>
      <c r="VON200" s="104"/>
      <c r="VOO200" s="104"/>
      <c r="VOP200" s="104"/>
      <c r="VOQ200" s="104"/>
      <c r="VOR200" s="104"/>
      <c r="VOS200" s="104"/>
      <c r="VOT200" s="104"/>
      <c r="VOU200" s="104"/>
      <c r="VOV200" s="104"/>
      <c r="VOW200" s="104"/>
      <c r="VOX200" s="104"/>
      <c r="VOY200" s="104"/>
      <c r="VOZ200" s="104"/>
      <c r="VPA200" s="104"/>
      <c r="VPB200" s="104"/>
      <c r="VPC200" s="104"/>
      <c r="VPD200" s="104"/>
      <c r="VPE200" s="104"/>
      <c r="VPF200" s="104"/>
      <c r="VPG200" s="104"/>
      <c r="VPH200" s="104"/>
      <c r="VPI200" s="104"/>
      <c r="VPJ200" s="104"/>
      <c r="VPK200" s="104"/>
      <c r="VPL200" s="104"/>
      <c r="VPM200" s="104"/>
      <c r="VPN200" s="104"/>
      <c r="VPO200" s="104"/>
      <c r="VPP200" s="104"/>
      <c r="VPQ200" s="104"/>
      <c r="VPR200" s="104"/>
      <c r="VPS200" s="104"/>
      <c r="VPT200" s="104"/>
      <c r="VPU200" s="104"/>
      <c r="VPV200" s="104"/>
      <c r="VPW200" s="104"/>
      <c r="VPX200" s="104"/>
      <c r="VPY200" s="104"/>
      <c r="VPZ200" s="104"/>
      <c r="VQA200" s="104"/>
      <c r="VQB200" s="104"/>
      <c r="VQC200" s="104"/>
      <c r="VQD200" s="104"/>
      <c r="VQE200" s="104"/>
      <c r="VQF200" s="104"/>
      <c r="VQG200" s="104"/>
      <c r="VQH200" s="104"/>
      <c r="VQI200" s="104"/>
      <c r="VQJ200" s="104"/>
      <c r="VQK200" s="104"/>
      <c r="VQL200" s="104"/>
      <c r="VQM200" s="104"/>
      <c r="VQN200" s="104"/>
      <c r="VQO200" s="104"/>
      <c r="VQP200" s="104"/>
      <c r="VQQ200" s="104"/>
      <c r="VQR200" s="104"/>
      <c r="VQS200" s="104"/>
      <c r="VQT200" s="104"/>
      <c r="VQU200" s="104"/>
      <c r="VQV200" s="104"/>
      <c r="VQW200" s="104"/>
      <c r="VQX200" s="104"/>
      <c r="VQY200" s="104"/>
      <c r="VQZ200" s="104"/>
      <c r="VRA200" s="104"/>
      <c r="VRB200" s="104"/>
      <c r="VRC200" s="104"/>
      <c r="VRD200" s="104"/>
      <c r="VRE200" s="104"/>
      <c r="VRF200" s="104"/>
      <c r="VRG200" s="104"/>
      <c r="VRH200" s="104"/>
      <c r="VRI200" s="104"/>
      <c r="VRJ200" s="104"/>
      <c r="VRK200" s="104"/>
      <c r="VRL200" s="104"/>
      <c r="VRM200" s="104"/>
      <c r="VRN200" s="104"/>
      <c r="VRO200" s="104"/>
      <c r="VRP200" s="104"/>
      <c r="VRQ200" s="104"/>
      <c r="VRR200" s="104"/>
      <c r="VRS200" s="104"/>
      <c r="VRT200" s="104"/>
      <c r="VRU200" s="104"/>
      <c r="VRV200" s="104"/>
      <c r="VRW200" s="104"/>
      <c r="VRX200" s="104"/>
      <c r="VRY200" s="104"/>
      <c r="VRZ200" s="104"/>
      <c r="VSA200" s="104"/>
      <c r="VSB200" s="104"/>
      <c r="VSC200" s="104"/>
      <c r="VSD200" s="104"/>
      <c r="VSE200" s="104"/>
      <c r="VSF200" s="104"/>
      <c r="VSG200" s="104"/>
      <c r="VSH200" s="104"/>
      <c r="VSI200" s="104"/>
      <c r="VSJ200" s="104"/>
      <c r="VSK200" s="104"/>
      <c r="VSL200" s="104"/>
      <c r="VSM200" s="104"/>
      <c r="VSN200" s="104"/>
      <c r="VSO200" s="104"/>
      <c r="VSP200" s="104"/>
      <c r="VSQ200" s="104"/>
      <c r="VSR200" s="104"/>
      <c r="VSS200" s="104"/>
      <c r="VST200" s="104"/>
      <c r="VSU200" s="104"/>
      <c r="VSV200" s="104"/>
      <c r="VSW200" s="104"/>
      <c r="VSX200" s="104"/>
      <c r="VSY200" s="104"/>
      <c r="VSZ200" s="104"/>
      <c r="VTA200" s="104"/>
      <c r="VTB200" s="104"/>
      <c r="VTC200" s="104"/>
      <c r="VTD200" s="104"/>
      <c r="VTE200" s="104"/>
      <c r="VTF200" s="104"/>
      <c r="VTG200" s="104"/>
      <c r="VTH200" s="104"/>
      <c r="VTI200" s="104"/>
      <c r="VTJ200" s="104"/>
      <c r="VTK200" s="104"/>
      <c r="VTL200" s="104"/>
      <c r="VTM200" s="104"/>
      <c r="VTN200" s="104"/>
      <c r="VTO200" s="104"/>
      <c r="VTP200" s="104"/>
      <c r="VTQ200" s="104"/>
      <c r="VTR200" s="104"/>
      <c r="VTS200" s="104"/>
      <c r="VTT200" s="104"/>
      <c r="VTU200" s="104"/>
      <c r="VTV200" s="104"/>
      <c r="VTW200" s="104"/>
      <c r="VTX200" s="104"/>
      <c r="VTY200" s="104"/>
      <c r="VTZ200" s="104"/>
      <c r="VUA200" s="104"/>
      <c r="VUB200" s="104"/>
      <c r="VUC200" s="104"/>
      <c r="VUD200" s="104"/>
      <c r="VUE200" s="104"/>
      <c r="VUF200" s="104"/>
      <c r="VUG200" s="104"/>
      <c r="VUH200" s="104"/>
      <c r="VUI200" s="104"/>
      <c r="VUJ200" s="104"/>
      <c r="VUK200" s="104"/>
      <c r="VUL200" s="104"/>
      <c r="VUM200" s="104"/>
      <c r="VUN200" s="104"/>
      <c r="VUO200" s="104"/>
      <c r="VUP200" s="104"/>
      <c r="VUQ200" s="104"/>
      <c r="VUR200" s="104"/>
      <c r="VUS200" s="104"/>
      <c r="VUT200" s="104"/>
      <c r="VUU200" s="104"/>
      <c r="VUV200" s="104"/>
      <c r="VUW200" s="104"/>
      <c r="VUX200" s="104"/>
      <c r="VUY200" s="104"/>
      <c r="VUZ200" s="104"/>
      <c r="VVA200" s="104"/>
      <c r="VVB200" s="104"/>
      <c r="VVC200" s="104"/>
      <c r="VVD200" s="104"/>
      <c r="VVE200" s="104"/>
      <c r="VVF200" s="104"/>
      <c r="VVG200" s="104"/>
      <c r="VVH200" s="104"/>
      <c r="VVI200" s="104"/>
      <c r="VVJ200" s="104"/>
      <c r="VVK200" s="104"/>
      <c r="VVL200" s="104"/>
      <c r="VVM200" s="104"/>
      <c r="VVN200" s="104"/>
      <c r="VVO200" s="104"/>
      <c r="VVP200" s="104"/>
      <c r="VVQ200" s="104"/>
      <c r="VVR200" s="104"/>
      <c r="VVS200" s="104"/>
      <c r="VVT200" s="104"/>
      <c r="VVU200" s="104"/>
      <c r="VVV200" s="104"/>
      <c r="VVW200" s="104"/>
      <c r="VVX200" s="104"/>
      <c r="VVY200" s="104"/>
      <c r="VVZ200" s="104"/>
      <c r="VWA200" s="104"/>
      <c r="VWB200" s="104"/>
      <c r="VWC200" s="104"/>
      <c r="VWD200" s="104"/>
      <c r="VWE200" s="104"/>
      <c r="VWF200" s="104"/>
      <c r="VWG200" s="104"/>
      <c r="VWH200" s="104"/>
      <c r="VWI200" s="104"/>
      <c r="VWJ200" s="104"/>
      <c r="VWK200" s="104"/>
      <c r="VWL200" s="104"/>
      <c r="VWM200" s="104"/>
      <c r="VWN200" s="104"/>
      <c r="VWO200" s="104"/>
      <c r="VWP200" s="104"/>
      <c r="VWQ200" s="104"/>
      <c r="VWR200" s="104"/>
      <c r="VWS200" s="104"/>
      <c r="VWT200" s="104"/>
      <c r="VWU200" s="104"/>
      <c r="VWV200" s="104"/>
      <c r="VWW200" s="104"/>
      <c r="VWX200" s="104"/>
      <c r="VWY200" s="104"/>
      <c r="VWZ200" s="104"/>
      <c r="VXA200" s="104"/>
      <c r="VXB200" s="104"/>
      <c r="VXC200" s="104"/>
      <c r="VXD200" s="104"/>
      <c r="VXE200" s="104"/>
      <c r="VXF200" s="104"/>
      <c r="VXG200" s="104"/>
      <c r="VXH200" s="104"/>
      <c r="VXI200" s="104"/>
      <c r="VXJ200" s="104"/>
      <c r="VXK200" s="104"/>
      <c r="VXL200" s="104"/>
      <c r="VXM200" s="104"/>
      <c r="VXN200" s="104"/>
      <c r="VXO200" s="104"/>
      <c r="VXP200" s="104"/>
      <c r="VXQ200" s="104"/>
      <c r="VXR200" s="104"/>
      <c r="VXS200" s="104"/>
      <c r="VXT200" s="104"/>
      <c r="VXU200" s="104"/>
      <c r="VXV200" s="104"/>
      <c r="VXW200" s="104"/>
      <c r="VXX200" s="104"/>
      <c r="VXY200" s="104"/>
      <c r="VXZ200" s="104"/>
      <c r="VYA200" s="104"/>
      <c r="VYB200" s="104"/>
      <c r="VYC200" s="104"/>
      <c r="VYD200" s="104"/>
      <c r="VYE200" s="104"/>
      <c r="VYF200" s="104"/>
      <c r="VYG200" s="104"/>
      <c r="VYH200" s="104"/>
      <c r="VYI200" s="104"/>
      <c r="VYJ200" s="104"/>
      <c r="VYK200" s="104"/>
      <c r="VYL200" s="104"/>
      <c r="VYM200" s="104"/>
      <c r="VYN200" s="104"/>
      <c r="VYO200" s="104"/>
      <c r="VYP200" s="104"/>
      <c r="VYQ200" s="104"/>
      <c r="VYR200" s="104"/>
      <c r="VYS200" s="104"/>
      <c r="VYT200" s="104"/>
      <c r="VYU200" s="104"/>
      <c r="VYV200" s="104"/>
      <c r="VYW200" s="104"/>
      <c r="VYX200" s="104"/>
      <c r="VYY200" s="104"/>
      <c r="VYZ200" s="104"/>
      <c r="VZA200" s="104"/>
      <c r="VZB200" s="104"/>
      <c r="VZC200" s="104"/>
      <c r="VZD200" s="104"/>
      <c r="VZE200" s="104"/>
      <c r="VZF200" s="104"/>
      <c r="VZG200" s="104"/>
      <c r="VZH200" s="104"/>
      <c r="VZI200" s="104"/>
      <c r="VZJ200" s="104"/>
      <c r="VZK200" s="104"/>
      <c r="VZL200" s="104"/>
      <c r="VZM200" s="104"/>
      <c r="VZN200" s="104"/>
      <c r="VZO200" s="104"/>
      <c r="VZP200" s="104"/>
      <c r="VZQ200" s="104"/>
      <c r="VZR200" s="104"/>
      <c r="VZS200" s="104"/>
      <c r="VZT200" s="104"/>
      <c r="VZU200" s="104"/>
      <c r="VZV200" s="104"/>
      <c r="VZW200" s="104"/>
      <c r="VZX200" s="104"/>
      <c r="VZY200" s="104"/>
      <c r="VZZ200" s="104"/>
      <c r="WAA200" s="104"/>
      <c r="WAB200" s="104"/>
      <c r="WAC200" s="104"/>
      <c r="WAD200" s="104"/>
      <c r="WAE200" s="104"/>
      <c r="WAF200" s="104"/>
      <c r="WAG200" s="104"/>
      <c r="WAH200" s="104"/>
      <c r="WAI200" s="104"/>
      <c r="WAJ200" s="104"/>
      <c r="WAK200" s="104"/>
      <c r="WAL200" s="104"/>
      <c r="WAM200" s="104"/>
      <c r="WAN200" s="104"/>
      <c r="WAO200" s="104"/>
      <c r="WAP200" s="104"/>
      <c r="WAQ200" s="104"/>
      <c r="WAR200" s="104"/>
      <c r="WAS200" s="104"/>
      <c r="WAT200" s="104"/>
      <c r="WAU200" s="104"/>
      <c r="WAV200" s="104"/>
      <c r="WAW200" s="104"/>
      <c r="WAX200" s="104"/>
      <c r="WAY200" s="104"/>
      <c r="WAZ200" s="104"/>
      <c r="WBA200" s="104"/>
      <c r="WBB200" s="104"/>
      <c r="WBC200" s="104"/>
      <c r="WBD200" s="104"/>
      <c r="WBE200" s="104"/>
      <c r="WBF200" s="104"/>
      <c r="WBG200" s="104"/>
      <c r="WBH200" s="104"/>
      <c r="WBI200" s="104"/>
      <c r="WBJ200" s="104"/>
      <c r="WBK200" s="104"/>
      <c r="WBL200" s="104"/>
      <c r="WBM200" s="104"/>
      <c r="WBN200" s="104"/>
      <c r="WBO200" s="104"/>
      <c r="WBP200" s="104"/>
      <c r="WBQ200" s="104"/>
      <c r="WBR200" s="104"/>
      <c r="WBS200" s="104"/>
      <c r="WBT200" s="104"/>
      <c r="WBU200" s="104"/>
      <c r="WBV200" s="104"/>
      <c r="WBW200" s="104"/>
      <c r="WBX200" s="104"/>
      <c r="WBY200" s="104"/>
      <c r="WBZ200" s="104"/>
      <c r="WCA200" s="104"/>
      <c r="WCB200" s="104"/>
      <c r="WCC200" s="104"/>
      <c r="WCD200" s="104"/>
      <c r="WCE200" s="104"/>
      <c r="WCF200" s="104"/>
      <c r="WCG200" s="104"/>
      <c r="WCH200" s="104"/>
      <c r="WCI200" s="104"/>
      <c r="WCJ200" s="104"/>
      <c r="WCK200" s="104"/>
      <c r="WCL200" s="104"/>
      <c r="WCM200" s="104"/>
      <c r="WCN200" s="104"/>
      <c r="WCO200" s="104"/>
      <c r="WCP200" s="104"/>
      <c r="WCQ200" s="104"/>
      <c r="WCR200" s="104"/>
      <c r="WCS200" s="104"/>
      <c r="WCT200" s="104"/>
      <c r="WCU200" s="104"/>
      <c r="WCV200" s="104"/>
      <c r="WCW200" s="104"/>
      <c r="WCX200" s="104"/>
      <c r="WCY200" s="104"/>
      <c r="WCZ200" s="104"/>
      <c r="WDA200" s="104"/>
      <c r="WDB200" s="104"/>
      <c r="WDC200" s="104"/>
      <c r="WDD200" s="104"/>
      <c r="WDE200" s="104"/>
      <c r="WDF200" s="104"/>
      <c r="WDG200" s="104"/>
      <c r="WDH200" s="104"/>
      <c r="WDI200" s="104"/>
      <c r="WDJ200" s="104"/>
      <c r="WDK200" s="104"/>
      <c r="WDL200" s="104"/>
      <c r="WDM200" s="104"/>
      <c r="WDN200" s="104"/>
      <c r="WDO200" s="104"/>
      <c r="WDP200" s="104"/>
      <c r="WDQ200" s="104"/>
      <c r="WDR200" s="104"/>
      <c r="WDS200" s="104"/>
      <c r="WDT200" s="104"/>
      <c r="WDU200" s="104"/>
      <c r="WDV200" s="104"/>
      <c r="WDW200" s="104"/>
      <c r="WDX200" s="104"/>
      <c r="WDY200" s="104"/>
      <c r="WDZ200" s="104"/>
      <c r="WEA200" s="104"/>
      <c r="WEB200" s="104"/>
      <c r="WEC200" s="104"/>
      <c r="WED200" s="104"/>
      <c r="WEE200" s="104"/>
      <c r="WEF200" s="104"/>
      <c r="WEG200" s="104"/>
      <c r="WEH200" s="104"/>
      <c r="WEI200" s="104"/>
      <c r="WEJ200" s="104"/>
      <c r="WEK200" s="104"/>
      <c r="WEL200" s="104"/>
      <c r="WEM200" s="104"/>
      <c r="WEN200" s="104"/>
      <c r="WEO200" s="104"/>
      <c r="WEP200" s="104"/>
      <c r="WEQ200" s="104"/>
      <c r="WER200" s="104"/>
      <c r="WES200" s="104"/>
      <c r="WET200" s="104"/>
      <c r="WEU200" s="104"/>
      <c r="WEV200" s="104"/>
      <c r="WEW200" s="104"/>
      <c r="WEX200" s="104"/>
      <c r="WEY200" s="104"/>
      <c r="WEZ200" s="104"/>
      <c r="WFA200" s="104"/>
      <c r="WFB200" s="104"/>
      <c r="WFC200" s="104"/>
      <c r="WFD200" s="104"/>
      <c r="WFE200" s="104"/>
      <c r="WFF200" s="104"/>
      <c r="WFG200" s="104"/>
      <c r="WFH200" s="104"/>
      <c r="WFI200" s="104"/>
      <c r="WFJ200" s="104"/>
      <c r="WFK200" s="104"/>
      <c r="WFL200" s="104"/>
      <c r="WFM200" s="104"/>
      <c r="WFN200" s="104"/>
      <c r="WFO200" s="104"/>
      <c r="WFP200" s="104"/>
      <c r="WFQ200" s="104"/>
      <c r="WFR200" s="104"/>
      <c r="WFS200" s="104"/>
      <c r="WFT200" s="104"/>
      <c r="WFU200" s="104"/>
      <c r="WFV200" s="104"/>
      <c r="WFW200" s="104"/>
      <c r="WFX200" s="104"/>
      <c r="WFY200" s="104"/>
      <c r="WFZ200" s="104"/>
      <c r="WGA200" s="104"/>
      <c r="WGB200" s="104"/>
      <c r="WGC200" s="104"/>
      <c r="WGD200" s="104"/>
      <c r="WGE200" s="104"/>
      <c r="WGF200" s="104"/>
      <c r="WGG200" s="104"/>
      <c r="WGH200" s="104"/>
      <c r="WGI200" s="104"/>
      <c r="WGJ200" s="104"/>
      <c r="WGK200" s="104"/>
      <c r="WGL200" s="104"/>
      <c r="WGM200" s="104"/>
      <c r="WGN200" s="104"/>
      <c r="WGO200" s="104"/>
      <c r="WGP200" s="104"/>
      <c r="WGQ200" s="104"/>
      <c r="WGR200" s="104"/>
      <c r="WGS200" s="104"/>
      <c r="WGT200" s="104"/>
      <c r="WGU200" s="104"/>
      <c r="WGV200" s="104"/>
      <c r="WGW200" s="104"/>
      <c r="WGX200" s="104"/>
      <c r="WGY200" s="104"/>
      <c r="WGZ200" s="104"/>
      <c r="WHA200" s="104"/>
      <c r="WHB200" s="104"/>
      <c r="WHC200" s="104"/>
      <c r="WHD200" s="104"/>
      <c r="WHE200" s="104"/>
      <c r="WHF200" s="104"/>
      <c r="WHG200" s="104"/>
      <c r="WHH200" s="104"/>
      <c r="WHI200" s="104"/>
      <c r="WHJ200" s="104"/>
      <c r="WHK200" s="104"/>
      <c r="WHL200" s="104"/>
      <c r="WHM200" s="104"/>
      <c r="WHN200" s="104"/>
      <c r="WHO200" s="104"/>
      <c r="WHP200" s="104"/>
      <c r="WHQ200" s="104"/>
      <c r="WHR200" s="104"/>
      <c r="WHS200" s="104"/>
      <c r="WHT200" s="104"/>
      <c r="WHU200" s="104"/>
      <c r="WHV200" s="104"/>
      <c r="WHW200" s="104"/>
      <c r="WHX200" s="104"/>
      <c r="WHY200" s="104"/>
      <c r="WHZ200" s="104"/>
      <c r="WIA200" s="104"/>
      <c r="WIB200" s="104"/>
      <c r="WIC200" s="104"/>
      <c r="WID200" s="104"/>
      <c r="WIE200" s="104"/>
      <c r="WIF200" s="104"/>
      <c r="WIG200" s="104"/>
      <c r="WIH200" s="104"/>
      <c r="WII200" s="104"/>
      <c r="WIJ200" s="104"/>
      <c r="WIK200" s="104"/>
      <c r="WIL200" s="104"/>
      <c r="WIM200" s="104"/>
      <c r="WIN200" s="104"/>
      <c r="WIO200" s="104"/>
      <c r="WIP200" s="104"/>
      <c r="WIQ200" s="104"/>
      <c r="WIR200" s="104"/>
      <c r="WIS200" s="104"/>
      <c r="WIT200" s="104"/>
      <c r="WIU200" s="104"/>
      <c r="WIV200" s="104"/>
      <c r="WIW200" s="104"/>
      <c r="WIX200" s="104"/>
      <c r="WIY200" s="104"/>
      <c r="WIZ200" s="104"/>
      <c r="WJA200" s="104"/>
      <c r="WJB200" s="104"/>
      <c r="WJC200" s="104"/>
      <c r="WJD200" s="104"/>
      <c r="WJE200" s="104"/>
      <c r="WJF200" s="104"/>
      <c r="WJG200" s="104"/>
      <c r="WJH200" s="104"/>
      <c r="WJI200" s="104"/>
      <c r="WJJ200" s="104"/>
      <c r="WJK200" s="104"/>
      <c r="WJL200" s="104"/>
      <c r="WJM200" s="104"/>
      <c r="WJN200" s="104"/>
      <c r="WJO200" s="104"/>
      <c r="WJP200" s="104"/>
      <c r="WJQ200" s="104"/>
      <c r="WJR200" s="104"/>
      <c r="WJS200" s="104"/>
      <c r="WJT200" s="104"/>
      <c r="WJU200" s="104"/>
      <c r="WJV200" s="104"/>
      <c r="WJW200" s="104"/>
      <c r="WJX200" s="104"/>
      <c r="WJY200" s="104"/>
      <c r="WJZ200" s="104"/>
      <c r="WKA200" s="104"/>
      <c r="WKB200" s="104"/>
      <c r="WKC200" s="104"/>
      <c r="WKD200" s="104"/>
      <c r="WKE200" s="104"/>
      <c r="WKF200" s="104"/>
      <c r="WKG200" s="104"/>
      <c r="WKH200" s="104"/>
      <c r="WKI200" s="104"/>
      <c r="WKJ200" s="104"/>
      <c r="WKK200" s="104"/>
      <c r="WKL200" s="104"/>
      <c r="WKM200" s="104"/>
      <c r="WKN200" s="104"/>
      <c r="WKO200" s="104"/>
      <c r="WKP200" s="104"/>
      <c r="WKQ200" s="104"/>
      <c r="WKR200" s="104"/>
      <c r="WKS200" s="104"/>
      <c r="WKT200" s="104"/>
      <c r="WKU200" s="104"/>
      <c r="WKV200" s="104"/>
      <c r="WKW200" s="104"/>
      <c r="WKX200" s="104"/>
      <c r="WKY200" s="104"/>
      <c r="WKZ200" s="104"/>
      <c r="WLA200" s="104"/>
      <c r="WLB200" s="104"/>
      <c r="WLC200" s="104"/>
      <c r="WLD200" s="104"/>
      <c r="WLE200" s="104"/>
      <c r="WLF200" s="104"/>
      <c r="WLG200" s="104"/>
      <c r="WLH200" s="104"/>
      <c r="WLI200" s="104"/>
      <c r="WLJ200" s="104"/>
      <c r="WLK200" s="104"/>
      <c r="WLL200" s="104"/>
      <c r="WLM200" s="104"/>
      <c r="WLN200" s="104"/>
      <c r="WLO200" s="104"/>
      <c r="WLP200" s="104"/>
      <c r="WLQ200" s="104"/>
      <c r="WLR200" s="104"/>
      <c r="WLS200" s="104"/>
      <c r="WLT200" s="104"/>
      <c r="WLU200" s="104"/>
      <c r="WLV200" s="104"/>
      <c r="WLW200" s="104"/>
      <c r="WLX200" s="104"/>
      <c r="WLY200" s="104"/>
      <c r="WLZ200" s="104"/>
      <c r="WMA200" s="104"/>
      <c r="WMB200" s="104"/>
      <c r="WMC200" s="104"/>
      <c r="WMD200" s="104"/>
      <c r="WME200" s="104"/>
      <c r="WMF200" s="104"/>
      <c r="WMG200" s="104"/>
      <c r="WMH200" s="104"/>
      <c r="WMI200" s="104"/>
      <c r="WMJ200" s="104"/>
      <c r="WMK200" s="104"/>
      <c r="WML200" s="104"/>
      <c r="WMM200" s="104"/>
      <c r="WMN200" s="104"/>
      <c r="WMO200" s="104"/>
      <c r="WMP200" s="104"/>
      <c r="WMQ200" s="104"/>
      <c r="WMR200" s="104"/>
      <c r="WMS200" s="104"/>
      <c r="WMT200" s="104"/>
      <c r="WMU200" s="104"/>
      <c r="WMV200" s="104"/>
      <c r="WMW200" s="104"/>
      <c r="WMX200" s="104"/>
      <c r="WMY200" s="104"/>
      <c r="WMZ200" s="104"/>
      <c r="WNA200" s="104"/>
      <c r="WNB200" s="104"/>
      <c r="WNC200" s="104"/>
      <c r="WND200" s="104"/>
      <c r="WNE200" s="104"/>
      <c r="WNF200" s="104"/>
      <c r="WNG200" s="104"/>
      <c r="WNH200" s="104"/>
      <c r="WNI200" s="104"/>
      <c r="WNJ200" s="104"/>
      <c r="WNK200" s="104"/>
      <c r="WNL200" s="104"/>
      <c r="WNM200" s="104"/>
      <c r="WNN200" s="104"/>
      <c r="WNO200" s="104"/>
      <c r="WNP200" s="104"/>
      <c r="WNQ200" s="104"/>
      <c r="WNR200" s="104"/>
      <c r="WNS200" s="104"/>
      <c r="WNT200" s="104"/>
      <c r="WNU200" s="104"/>
      <c r="WNV200" s="104"/>
      <c r="WNW200" s="104"/>
      <c r="WNX200" s="104"/>
      <c r="WNY200" s="104"/>
      <c r="WNZ200" s="104"/>
      <c r="WOA200" s="104"/>
      <c r="WOB200" s="104"/>
      <c r="WOC200" s="104"/>
      <c r="WOD200" s="104"/>
      <c r="WOE200" s="104"/>
      <c r="WOF200" s="104"/>
      <c r="WOG200" s="104"/>
      <c r="WOH200" s="104"/>
      <c r="WOI200" s="104"/>
      <c r="WOJ200" s="104"/>
      <c r="WOK200" s="104"/>
      <c r="WOL200" s="104"/>
      <c r="WOM200" s="104"/>
      <c r="WON200" s="104"/>
      <c r="WOO200" s="104"/>
      <c r="WOP200" s="104"/>
      <c r="WOQ200" s="104"/>
      <c r="WOR200" s="104"/>
      <c r="WOS200" s="104"/>
      <c r="WOT200" s="104"/>
      <c r="WOU200" s="104"/>
      <c r="WOV200" s="104"/>
      <c r="WOW200" s="104"/>
      <c r="WOX200" s="104"/>
      <c r="WOY200" s="104"/>
      <c r="WOZ200" s="104"/>
      <c r="WPA200" s="104"/>
      <c r="WPB200" s="104"/>
      <c r="WPC200" s="104"/>
      <c r="WPD200" s="104"/>
      <c r="WPE200" s="104"/>
      <c r="WPF200" s="104"/>
      <c r="WPG200" s="104"/>
      <c r="WPH200" s="104"/>
      <c r="WPI200" s="104"/>
      <c r="WPJ200" s="104"/>
      <c r="WPK200" s="104"/>
      <c r="WPL200" s="104"/>
      <c r="WPM200" s="104"/>
      <c r="WPN200" s="104"/>
      <c r="WPO200" s="104"/>
      <c r="WPP200" s="104"/>
      <c r="WPQ200" s="104"/>
      <c r="WPR200" s="104"/>
      <c r="WPS200" s="104"/>
      <c r="WPT200" s="104"/>
      <c r="WPU200" s="104"/>
      <c r="WPV200" s="104"/>
      <c r="WPW200" s="104"/>
      <c r="WPX200" s="104"/>
      <c r="WPY200" s="104"/>
      <c r="WPZ200" s="104"/>
      <c r="WQA200" s="104"/>
      <c r="WQB200" s="104"/>
      <c r="WQC200" s="104"/>
      <c r="WQD200" s="104"/>
      <c r="WQE200" s="104"/>
      <c r="WQF200" s="104"/>
      <c r="WQG200" s="104"/>
      <c r="WQH200" s="104"/>
      <c r="WQI200" s="104"/>
      <c r="WQJ200" s="104"/>
      <c r="WQK200" s="104"/>
      <c r="WQL200" s="104"/>
      <c r="WQM200" s="104"/>
      <c r="WQN200" s="104"/>
      <c r="WQO200" s="104"/>
      <c r="WQP200" s="104"/>
      <c r="WQQ200" s="104"/>
      <c r="WQR200" s="104"/>
      <c r="WQS200" s="104"/>
      <c r="WQT200" s="104"/>
      <c r="WQU200" s="104"/>
      <c r="WQV200" s="104"/>
      <c r="WQW200" s="104"/>
      <c r="WQX200" s="104"/>
      <c r="WQY200" s="104"/>
      <c r="WQZ200" s="104"/>
      <c r="WRA200" s="104"/>
      <c r="WRB200" s="104"/>
      <c r="WRC200" s="104"/>
      <c r="WRD200" s="104"/>
      <c r="WRE200" s="104"/>
      <c r="WRF200" s="104"/>
      <c r="WRG200" s="104"/>
      <c r="WRH200" s="104"/>
      <c r="WRI200" s="104"/>
      <c r="WRJ200" s="104"/>
      <c r="WRK200" s="104"/>
      <c r="WRL200" s="104"/>
      <c r="WRM200" s="104"/>
      <c r="WRN200" s="104"/>
      <c r="WRO200" s="104"/>
      <c r="WRP200" s="104"/>
      <c r="WRQ200" s="104"/>
      <c r="WRR200" s="104"/>
      <c r="WRS200" s="104"/>
      <c r="WRT200" s="104"/>
      <c r="WRU200" s="104"/>
      <c r="WRV200" s="104"/>
      <c r="WRW200" s="104"/>
      <c r="WRX200" s="104"/>
      <c r="WRY200" s="104"/>
      <c r="WRZ200" s="104"/>
      <c r="WSA200" s="104"/>
      <c r="WSB200" s="104"/>
      <c r="WSC200" s="104"/>
      <c r="WSD200" s="104"/>
      <c r="WSE200" s="104"/>
      <c r="WSF200" s="104"/>
      <c r="WSG200" s="104"/>
      <c r="WSH200" s="104"/>
      <c r="WSI200" s="104"/>
      <c r="WSJ200" s="104"/>
      <c r="WSK200" s="104"/>
      <c r="WSL200" s="104"/>
      <c r="WSM200" s="104"/>
      <c r="WSN200" s="104"/>
      <c r="WSO200" s="104"/>
      <c r="WSP200" s="104"/>
      <c r="WSQ200" s="104"/>
      <c r="WSR200" s="104"/>
      <c r="WSS200" s="104"/>
      <c r="WST200" s="104"/>
      <c r="WSU200" s="104"/>
      <c r="WSV200" s="104"/>
      <c r="WSW200" s="104"/>
      <c r="WSX200" s="104"/>
      <c r="WSY200" s="104"/>
      <c r="WSZ200" s="104"/>
      <c r="WTA200" s="104"/>
      <c r="WTB200" s="104"/>
      <c r="WTC200" s="104"/>
      <c r="WTD200" s="104"/>
      <c r="WTE200" s="104"/>
      <c r="WTF200" s="104"/>
      <c r="WTG200" s="104"/>
      <c r="WTH200" s="104"/>
      <c r="WTI200" s="104"/>
      <c r="WTJ200" s="104"/>
      <c r="WTK200" s="104"/>
      <c r="WTL200" s="104"/>
      <c r="WTM200" s="104"/>
      <c r="WTN200" s="104"/>
      <c r="WTO200" s="104"/>
      <c r="WTP200" s="104"/>
      <c r="WTQ200" s="104"/>
      <c r="WTR200" s="104"/>
      <c r="WTS200" s="104"/>
      <c r="WTT200" s="104"/>
      <c r="WTU200" s="104"/>
      <c r="WTV200" s="104"/>
      <c r="WTW200" s="104"/>
      <c r="WTX200" s="104"/>
      <c r="WTY200" s="104"/>
      <c r="WTZ200" s="104"/>
      <c r="WUA200" s="104"/>
      <c r="WUB200" s="104"/>
      <c r="WUC200" s="104"/>
      <c r="WUD200" s="104"/>
      <c r="WUE200" s="104"/>
      <c r="WUF200" s="104"/>
      <c r="WUG200" s="104"/>
      <c r="WUH200" s="104"/>
      <c r="WUI200" s="104"/>
      <c r="WUJ200" s="104"/>
      <c r="WUK200" s="104"/>
      <c r="WUL200" s="104"/>
      <c r="WUM200" s="104"/>
      <c r="WUN200" s="104"/>
      <c r="WUO200" s="104"/>
      <c r="WUP200" s="104"/>
      <c r="WUQ200" s="104"/>
      <c r="WUR200" s="104"/>
      <c r="WUS200" s="104"/>
      <c r="WUT200" s="104"/>
      <c r="WUU200" s="104"/>
      <c r="WUV200" s="104"/>
      <c r="WUW200" s="104"/>
      <c r="WUX200" s="104"/>
      <c r="WUY200" s="104"/>
      <c r="WUZ200" s="104"/>
      <c r="WVA200" s="104"/>
      <c r="WVB200" s="104"/>
      <c r="WVC200" s="104"/>
      <c r="WVD200" s="104"/>
      <c r="WVE200" s="104"/>
      <c r="WVF200" s="104"/>
      <c r="WVG200" s="104"/>
      <c r="WVH200" s="104"/>
      <c r="WVI200" s="104"/>
      <c r="WVJ200" s="104"/>
      <c r="WVK200" s="104"/>
      <c r="WVL200" s="104"/>
      <c r="WVM200" s="104"/>
      <c r="WVN200" s="104"/>
      <c r="WVO200" s="104"/>
      <c r="WVP200" s="104"/>
      <c r="WVQ200" s="104"/>
      <c r="WVR200" s="104"/>
      <c r="WVS200" s="104"/>
      <c r="WVT200" s="104"/>
      <c r="WVU200" s="104"/>
      <c r="WVV200" s="104"/>
      <c r="WVW200" s="104"/>
      <c r="WVX200" s="104"/>
      <c r="WVY200" s="104"/>
      <c r="WVZ200" s="104"/>
      <c r="WWA200" s="104"/>
      <c r="WWB200" s="104"/>
      <c r="WWC200" s="104"/>
      <c r="WWD200" s="104"/>
      <c r="WWE200" s="104"/>
      <c r="WWF200" s="104"/>
      <c r="WWG200" s="104"/>
      <c r="WWH200" s="104"/>
      <c r="WWI200" s="104"/>
      <c r="WWJ200" s="104"/>
      <c r="WWK200" s="104"/>
      <c r="WWL200" s="104"/>
      <c r="WWM200" s="104"/>
      <c r="WWN200" s="104"/>
      <c r="WWO200" s="104"/>
      <c r="WWP200" s="104"/>
      <c r="WWQ200" s="104"/>
      <c r="WWR200" s="104"/>
      <c r="WWS200" s="104"/>
      <c r="WWT200" s="104"/>
      <c r="WWU200" s="104"/>
      <c r="WWV200" s="104"/>
      <c r="WWW200" s="104"/>
      <c r="WWX200" s="104"/>
      <c r="WWY200" s="104"/>
      <c r="WWZ200" s="104"/>
      <c r="WXA200" s="104"/>
      <c r="WXB200" s="104"/>
      <c r="WXC200" s="104"/>
      <c r="WXD200" s="104"/>
      <c r="WXE200" s="104"/>
      <c r="WXF200" s="104"/>
      <c r="WXG200" s="104"/>
      <c r="WXH200" s="104"/>
      <c r="WXI200" s="104"/>
      <c r="WXJ200" s="104"/>
      <c r="WXK200" s="104"/>
      <c r="WXL200" s="104"/>
      <c r="WXM200" s="104"/>
      <c r="WXN200" s="104"/>
      <c r="WXO200" s="104"/>
      <c r="WXP200" s="104"/>
      <c r="WXQ200" s="104"/>
      <c r="WXR200" s="104"/>
      <c r="WXS200" s="104"/>
      <c r="WXT200" s="104"/>
      <c r="WXU200" s="104"/>
      <c r="WXV200" s="104"/>
      <c r="WXW200" s="104"/>
      <c r="WXX200" s="104"/>
      <c r="WXY200" s="104"/>
      <c r="WXZ200" s="104"/>
      <c r="WYA200" s="104"/>
      <c r="WYB200" s="104"/>
      <c r="WYC200" s="104"/>
      <c r="WYD200" s="104"/>
      <c r="WYE200" s="104"/>
      <c r="WYF200" s="104"/>
      <c r="WYG200" s="104"/>
      <c r="WYH200" s="104"/>
      <c r="WYI200" s="104"/>
      <c r="WYJ200" s="104"/>
      <c r="WYK200" s="104"/>
      <c r="WYL200" s="104"/>
      <c r="WYM200" s="104"/>
      <c r="WYN200" s="104"/>
      <c r="WYO200" s="104"/>
      <c r="WYP200" s="104"/>
      <c r="WYQ200" s="104"/>
      <c r="WYR200" s="104"/>
      <c r="WYS200" s="104"/>
      <c r="WYT200" s="104"/>
      <c r="WYU200" s="104"/>
      <c r="WYV200" s="104"/>
      <c r="WYW200" s="104"/>
      <c r="WYX200" s="104"/>
      <c r="WYY200" s="104"/>
      <c r="WYZ200" s="104"/>
      <c r="WZA200" s="104"/>
      <c r="WZB200" s="104"/>
      <c r="WZC200" s="104"/>
      <c r="WZD200" s="104"/>
      <c r="WZE200" s="104"/>
      <c r="WZF200" s="104"/>
      <c r="WZG200" s="104"/>
      <c r="WZH200" s="104"/>
      <c r="WZI200" s="104"/>
      <c r="WZJ200" s="104"/>
      <c r="WZK200" s="104"/>
      <c r="WZL200" s="104"/>
      <c r="WZM200" s="104"/>
      <c r="WZN200" s="104"/>
      <c r="WZO200" s="104"/>
      <c r="WZP200" s="104"/>
      <c r="WZQ200" s="104"/>
      <c r="WZR200" s="104"/>
      <c r="WZS200" s="104"/>
      <c r="WZT200" s="104"/>
      <c r="WZU200" s="104"/>
      <c r="WZV200" s="104"/>
      <c r="WZW200" s="104"/>
      <c r="WZX200" s="104"/>
      <c r="WZY200" s="104"/>
      <c r="WZZ200" s="104"/>
      <c r="XAA200" s="104"/>
      <c r="XAB200" s="104"/>
      <c r="XAC200" s="104"/>
      <c r="XAD200" s="104"/>
      <c r="XAE200" s="104"/>
      <c r="XAF200" s="104"/>
      <c r="XAG200" s="104"/>
      <c r="XAH200" s="104"/>
      <c r="XAI200" s="104"/>
      <c r="XAJ200" s="104"/>
      <c r="XAK200" s="104"/>
      <c r="XAL200" s="104"/>
      <c r="XAM200" s="104"/>
      <c r="XAN200" s="104"/>
      <c r="XAO200" s="104"/>
      <c r="XAP200" s="104"/>
      <c r="XAQ200" s="104"/>
      <c r="XAR200" s="104"/>
      <c r="XAS200" s="104"/>
      <c r="XAT200" s="104"/>
      <c r="XAU200" s="104"/>
      <c r="XAV200" s="104"/>
      <c r="XAW200" s="104"/>
      <c r="XAX200" s="104"/>
      <c r="XAY200" s="104"/>
      <c r="XAZ200" s="104"/>
      <c r="XBA200" s="104"/>
      <c r="XBB200" s="104"/>
      <c r="XBC200" s="104"/>
      <c r="XBD200" s="104"/>
      <c r="XBE200" s="104"/>
      <c r="XBF200" s="104"/>
      <c r="XBG200" s="104"/>
      <c r="XBH200" s="104"/>
      <c r="XBI200" s="104"/>
      <c r="XBJ200" s="104"/>
      <c r="XBK200" s="104"/>
      <c r="XBL200" s="104"/>
      <c r="XBM200" s="104"/>
      <c r="XBN200" s="104"/>
      <c r="XBO200" s="104"/>
      <c r="XBP200" s="104"/>
      <c r="XBQ200" s="104"/>
      <c r="XBR200" s="104"/>
      <c r="XBS200" s="104"/>
      <c r="XBT200" s="104"/>
      <c r="XBU200" s="104"/>
      <c r="XBV200" s="104"/>
      <c r="XBW200" s="104"/>
      <c r="XBX200" s="104"/>
      <c r="XBY200" s="104"/>
      <c r="XBZ200" s="104"/>
      <c r="XCA200" s="104"/>
      <c r="XCB200" s="104"/>
      <c r="XCC200" s="104"/>
      <c r="XCD200" s="104"/>
      <c r="XCE200" s="104"/>
      <c r="XCF200" s="104"/>
      <c r="XCG200" s="104"/>
      <c r="XCH200" s="104"/>
      <c r="XCI200" s="104"/>
      <c r="XCJ200" s="104"/>
      <c r="XCK200" s="104"/>
      <c r="XCL200" s="104"/>
      <c r="XCM200" s="104"/>
      <c r="XCN200" s="104"/>
      <c r="XCO200" s="104"/>
      <c r="XCP200" s="104"/>
      <c r="XCQ200" s="104"/>
      <c r="XCR200" s="104"/>
      <c r="XCS200" s="104"/>
      <c r="XCT200" s="104"/>
      <c r="XCU200" s="104"/>
      <c r="XCV200" s="104"/>
      <c r="XCW200" s="104"/>
      <c r="XCX200" s="104"/>
      <c r="XCY200" s="104"/>
      <c r="XCZ200" s="104"/>
      <c r="XDA200" s="104"/>
      <c r="XDB200" s="104"/>
      <c r="XDC200" s="104"/>
      <c r="XDD200" s="104"/>
      <c r="XDE200" s="104"/>
      <c r="XDF200" s="104"/>
      <c r="XDG200" s="104"/>
      <c r="XDH200" s="104"/>
      <c r="XDI200" s="104"/>
      <c r="XDJ200" s="104"/>
      <c r="XDK200" s="104"/>
      <c r="XDL200" s="104"/>
      <c r="XDM200" s="104"/>
      <c r="XDN200" s="104"/>
      <c r="XDO200" s="104"/>
      <c r="XDP200" s="104"/>
      <c r="XDQ200" s="104"/>
      <c r="XDR200" s="104"/>
      <c r="XDS200" s="104"/>
      <c r="XDT200" s="104"/>
      <c r="XDU200" s="104"/>
      <c r="XDV200" s="104"/>
      <c r="XDW200" s="104"/>
      <c r="XDX200" s="104"/>
      <c r="XDY200" s="104"/>
      <c r="XDZ200" s="104"/>
      <c r="XEA200" s="104"/>
      <c r="XEB200" s="104"/>
      <c r="XEC200" s="104"/>
      <c r="XED200" s="104"/>
      <c r="XEE200" s="104"/>
      <c r="XEF200" s="104"/>
      <c r="XEG200" s="104"/>
      <c r="XEH200" s="104"/>
      <c r="XEI200" s="104"/>
      <c r="XEJ200" s="104"/>
      <c r="XEK200" s="104"/>
      <c r="XEL200" s="104"/>
      <c r="XEM200" s="104"/>
      <c r="XEN200" s="104"/>
      <c r="XEO200" s="104"/>
      <c r="XEP200" s="104"/>
      <c r="XEQ200" s="104"/>
      <c r="XER200" s="104"/>
      <c r="XES200" s="104"/>
      <c r="XET200" s="104"/>
      <c r="XEU200" s="104"/>
      <c r="XEV200" s="104"/>
      <c r="XEW200" s="104"/>
      <c r="XEX200" s="104"/>
      <c r="XEY200" s="104"/>
      <c r="XEZ200" s="104"/>
      <c r="XFA200" s="104"/>
      <c r="XFB200" s="104"/>
      <c r="XFC200" s="104"/>
      <c r="XFD200" s="104"/>
    </row>
    <row r="201" spans="1:16384" ht="12.75" hidden="1" customHeight="1">
      <c r="A201" s="147">
        <v>200</v>
      </c>
      <c r="B201" s="223">
        <v>194254</v>
      </c>
      <c r="C201" s="221" t="s">
        <v>121</v>
      </c>
      <c r="D201" s="57">
        <v>42879</v>
      </c>
      <c r="E201" s="58" t="s">
        <v>487</v>
      </c>
      <c r="F201" s="222">
        <v>42897</v>
      </c>
      <c r="G201" s="221">
        <f t="shared" si="10"/>
        <v>18</v>
      </c>
      <c r="H201" s="221" t="s">
        <v>133</v>
      </c>
      <c r="I201" s="221"/>
      <c r="J201" s="60" t="s">
        <v>615</v>
      </c>
      <c r="K201" s="94">
        <v>2999</v>
      </c>
      <c r="L201" s="94">
        <v>2999</v>
      </c>
      <c r="M201" s="96">
        <v>310</v>
      </c>
      <c r="N201" s="97">
        <v>300</v>
      </c>
      <c r="O201" s="93">
        <f t="shared" si="9"/>
        <v>2509.06</v>
      </c>
      <c r="P201" s="224" t="s">
        <v>264</v>
      </c>
      <c r="Q201" s="119" t="s">
        <v>1342</v>
      </c>
      <c r="R201" s="221" t="s">
        <v>134</v>
      </c>
      <c r="S201" s="62" t="s">
        <v>465</v>
      </c>
      <c r="T201" s="221" t="s">
        <v>88</v>
      </c>
      <c r="U201" s="148" t="s">
        <v>449</v>
      </c>
      <c r="V201" s="221" t="s">
        <v>429</v>
      </c>
      <c r="W201" s="221"/>
      <c r="X201" s="221"/>
      <c r="Y201" s="221" t="s">
        <v>316</v>
      </c>
      <c r="Z201" s="221" t="s">
        <v>434</v>
      </c>
      <c r="AA201" s="222">
        <v>42879</v>
      </c>
      <c r="AB201" s="221" t="s">
        <v>127</v>
      </c>
      <c r="AC201" s="63">
        <f t="shared" si="11"/>
        <v>1</v>
      </c>
      <c r="AD201" s="221" t="s">
        <v>217</v>
      </c>
      <c r="AE201" s="221" t="s">
        <v>218</v>
      </c>
      <c r="AF201" s="221"/>
      <c r="AG201" s="221" t="s">
        <v>142</v>
      </c>
      <c r="AH201" s="64"/>
      <c r="AI201" s="221" t="s">
        <v>184</v>
      </c>
      <c r="AJ201" s="221"/>
      <c r="AK201" s="225" t="s">
        <v>714</v>
      </c>
      <c r="AL201" s="221" t="s">
        <v>645</v>
      </c>
      <c r="AM201" s="117"/>
    </row>
    <row r="202" spans="1:16384" ht="12.75" hidden="1" customHeight="1">
      <c r="A202" s="147">
        <v>201</v>
      </c>
      <c r="B202" s="223">
        <v>196223</v>
      </c>
      <c r="C202" s="221" t="s">
        <v>86</v>
      </c>
      <c r="D202" s="57">
        <v>42879</v>
      </c>
      <c r="E202" s="58" t="s">
        <v>487</v>
      </c>
      <c r="F202" s="222">
        <v>42899</v>
      </c>
      <c r="G202" s="221">
        <f t="shared" si="10"/>
        <v>20</v>
      </c>
      <c r="H202" s="221" t="s">
        <v>133</v>
      </c>
      <c r="I202" s="221"/>
      <c r="J202" s="60" t="s">
        <v>614</v>
      </c>
      <c r="K202" s="94">
        <v>999</v>
      </c>
      <c r="L202" s="94">
        <v>999</v>
      </c>
      <c r="M202" s="96">
        <v>130</v>
      </c>
      <c r="N202" s="97">
        <v>110</v>
      </c>
      <c r="O202" s="93">
        <f t="shared" si="9"/>
        <v>809.06</v>
      </c>
      <c r="P202" s="224" t="s">
        <v>261</v>
      </c>
      <c r="Q202" s="119" t="s">
        <v>1341</v>
      </c>
      <c r="R202" s="221" t="s">
        <v>143</v>
      </c>
      <c r="S202" s="62" t="s">
        <v>465</v>
      </c>
      <c r="T202" s="221" t="s">
        <v>88</v>
      </c>
      <c r="U202" s="224" t="s">
        <v>334</v>
      </c>
      <c r="V202" s="221" t="s">
        <v>432</v>
      </c>
      <c r="W202" s="221"/>
      <c r="X202" s="221"/>
      <c r="Y202" s="221" t="s">
        <v>316</v>
      </c>
      <c r="Z202" s="221" t="s">
        <v>189</v>
      </c>
      <c r="AA202" s="222">
        <v>42884</v>
      </c>
      <c r="AB202" s="221" t="s">
        <v>140</v>
      </c>
      <c r="AC202" s="63">
        <f t="shared" si="11"/>
        <v>1</v>
      </c>
      <c r="AD202" s="221" t="s">
        <v>217</v>
      </c>
      <c r="AE202" s="221" t="s">
        <v>218</v>
      </c>
      <c r="AF202" s="221"/>
      <c r="AG202" s="221"/>
      <c r="AH202" s="64" t="s">
        <v>706</v>
      </c>
      <c r="AI202" s="221" t="s">
        <v>184</v>
      </c>
      <c r="AJ202" s="221"/>
      <c r="AK202" s="225" t="s">
        <v>913</v>
      </c>
      <c r="AL202" s="221" t="s">
        <v>645</v>
      </c>
      <c r="AM202" s="221"/>
    </row>
    <row r="203" spans="1:16384" ht="12.75" hidden="1" customHeight="1">
      <c r="A203" s="147">
        <v>202</v>
      </c>
      <c r="B203" s="223">
        <v>196246</v>
      </c>
      <c r="C203" s="221" t="s">
        <v>86</v>
      </c>
      <c r="D203" s="57">
        <v>42879</v>
      </c>
      <c r="E203" s="58" t="s">
        <v>487</v>
      </c>
      <c r="F203" s="222">
        <v>42903</v>
      </c>
      <c r="G203" s="221">
        <f t="shared" si="10"/>
        <v>24</v>
      </c>
      <c r="H203" s="221" t="s">
        <v>133</v>
      </c>
      <c r="I203" s="221"/>
      <c r="J203" s="60" t="s">
        <v>614</v>
      </c>
      <c r="K203" s="94">
        <v>1099</v>
      </c>
      <c r="L203" s="94">
        <v>1099</v>
      </c>
      <c r="M203" s="221">
        <v>140</v>
      </c>
      <c r="N203" s="221">
        <v>80</v>
      </c>
      <c r="O203" s="93">
        <f t="shared" si="9"/>
        <v>893.06</v>
      </c>
      <c r="P203" s="224" t="s">
        <v>262</v>
      </c>
      <c r="Q203" s="119" t="s">
        <v>1342</v>
      </c>
      <c r="R203" s="221" t="s">
        <v>143</v>
      </c>
      <c r="S203" s="62" t="s">
        <v>465</v>
      </c>
      <c r="T203" s="221" t="s">
        <v>88</v>
      </c>
      <c r="U203" s="221" t="s">
        <v>431</v>
      </c>
      <c r="V203" s="221" t="s">
        <v>432</v>
      </c>
      <c r="W203" s="221"/>
      <c r="X203" s="221"/>
      <c r="Y203" s="221" t="s">
        <v>316</v>
      </c>
      <c r="Z203" s="221" t="s">
        <v>189</v>
      </c>
      <c r="AA203" s="222">
        <v>42884</v>
      </c>
      <c r="AB203" s="221" t="s">
        <v>140</v>
      </c>
      <c r="AC203" s="63">
        <f t="shared" si="11"/>
        <v>1</v>
      </c>
      <c r="AD203" s="221" t="s">
        <v>217</v>
      </c>
      <c r="AE203" s="221" t="s">
        <v>218</v>
      </c>
      <c r="AF203" s="221"/>
      <c r="AG203" s="221" t="s">
        <v>142</v>
      </c>
      <c r="AH203" s="64" t="s">
        <v>706</v>
      </c>
      <c r="AI203" s="221" t="s">
        <v>184</v>
      </c>
      <c r="AJ203" s="221"/>
      <c r="AK203" s="225" t="s">
        <v>912</v>
      </c>
      <c r="AL203" s="221" t="s">
        <v>645</v>
      </c>
      <c r="AM203" s="146"/>
    </row>
    <row r="204" spans="1:16384" ht="12.75" hidden="1" customHeight="1">
      <c r="A204" s="147">
        <v>203</v>
      </c>
      <c r="B204" s="223">
        <v>196409</v>
      </c>
      <c r="C204" s="221" t="s">
        <v>86</v>
      </c>
      <c r="D204" s="57">
        <v>42879</v>
      </c>
      <c r="E204" s="58" t="s">
        <v>487</v>
      </c>
      <c r="F204" s="222">
        <v>42894</v>
      </c>
      <c r="G204" s="221">
        <f t="shared" si="10"/>
        <v>15</v>
      </c>
      <c r="H204" s="221" t="s">
        <v>133</v>
      </c>
      <c r="I204" s="222"/>
      <c r="J204" s="60" t="s">
        <v>615</v>
      </c>
      <c r="K204" s="94">
        <v>2699</v>
      </c>
      <c r="L204" s="94">
        <v>2699</v>
      </c>
      <c r="M204" s="96">
        <v>290</v>
      </c>
      <c r="N204" s="97">
        <v>220</v>
      </c>
      <c r="O204" s="93">
        <f t="shared" si="9"/>
        <v>2247.06</v>
      </c>
      <c r="P204" s="224" t="s">
        <v>264</v>
      </c>
      <c r="Q204" s="119" t="s">
        <v>1342</v>
      </c>
      <c r="R204" s="221" t="s">
        <v>134</v>
      </c>
      <c r="S204" s="62" t="s">
        <v>465</v>
      </c>
      <c r="T204" s="221" t="s">
        <v>88</v>
      </c>
      <c r="U204" s="148" t="s">
        <v>449</v>
      </c>
      <c r="V204" s="221" t="s">
        <v>429</v>
      </c>
      <c r="W204" s="224"/>
      <c r="X204" s="221"/>
      <c r="Y204" s="221" t="s">
        <v>316</v>
      </c>
      <c r="Z204" s="221" t="s">
        <v>189</v>
      </c>
      <c r="AA204" s="222">
        <v>42879</v>
      </c>
      <c r="AB204" s="221" t="s">
        <v>127</v>
      </c>
      <c r="AC204" s="63">
        <f t="shared" si="11"/>
        <v>1</v>
      </c>
      <c r="AD204" s="221" t="s">
        <v>217</v>
      </c>
      <c r="AE204" s="221" t="s">
        <v>218</v>
      </c>
      <c r="AF204" s="221"/>
      <c r="AG204" s="221" t="s">
        <v>142</v>
      </c>
      <c r="AH204" s="64"/>
      <c r="AI204" s="221" t="s">
        <v>184</v>
      </c>
      <c r="AJ204" s="221"/>
      <c r="AK204" s="225" t="s">
        <v>711</v>
      </c>
      <c r="AL204" s="221" t="s">
        <v>645</v>
      </c>
      <c r="AM204" s="221"/>
    </row>
    <row r="205" spans="1:16384" ht="12.75" hidden="1" customHeight="1">
      <c r="A205" s="147">
        <v>204</v>
      </c>
      <c r="B205" s="223">
        <v>196472</v>
      </c>
      <c r="C205" s="221" t="s">
        <v>121</v>
      </c>
      <c r="D205" s="57">
        <v>42879</v>
      </c>
      <c r="E205" s="58" t="s">
        <v>487</v>
      </c>
      <c r="F205" s="222">
        <v>42906</v>
      </c>
      <c r="G205" s="221">
        <f t="shared" si="10"/>
        <v>27</v>
      </c>
      <c r="H205" s="221" t="s">
        <v>133</v>
      </c>
      <c r="I205" s="221"/>
      <c r="J205" s="60" t="s">
        <v>614</v>
      </c>
      <c r="K205" s="94">
        <v>1549</v>
      </c>
      <c r="L205" s="94">
        <v>1549</v>
      </c>
      <c r="M205" s="221">
        <v>180</v>
      </c>
      <c r="N205" s="221">
        <v>80</v>
      </c>
      <c r="O205" s="151">
        <f t="shared" si="9"/>
        <v>1276.06</v>
      </c>
      <c r="P205" s="224" t="s">
        <v>261</v>
      </c>
      <c r="Q205" s="119" t="s">
        <v>1341</v>
      </c>
      <c r="R205" s="221" t="s">
        <v>143</v>
      </c>
      <c r="S205" s="62" t="s">
        <v>465</v>
      </c>
      <c r="T205" s="221" t="s">
        <v>88</v>
      </c>
      <c r="U205" s="224" t="s">
        <v>334</v>
      </c>
      <c r="V205" s="224" t="s">
        <v>90</v>
      </c>
      <c r="W205" s="221"/>
      <c r="X205" s="221"/>
      <c r="Y205" s="221" t="s">
        <v>316</v>
      </c>
      <c r="Z205" s="221" t="s">
        <v>124</v>
      </c>
      <c r="AA205" s="222">
        <v>42886</v>
      </c>
      <c r="AB205" s="221" t="s">
        <v>140</v>
      </c>
      <c r="AC205" s="63">
        <f t="shared" si="11"/>
        <v>1</v>
      </c>
      <c r="AD205" s="221" t="s">
        <v>217</v>
      </c>
      <c r="AE205" s="221" t="s">
        <v>218</v>
      </c>
      <c r="AF205" s="221"/>
      <c r="AG205" s="221"/>
      <c r="AH205" s="64" t="s">
        <v>766</v>
      </c>
      <c r="AI205" s="221" t="s">
        <v>184</v>
      </c>
      <c r="AJ205" s="221"/>
      <c r="AK205" s="225" t="s">
        <v>901</v>
      </c>
      <c r="AL205" s="221" t="s">
        <v>645</v>
      </c>
      <c r="AM205" s="221"/>
    </row>
    <row r="206" spans="1:16384" ht="12.75" hidden="1" customHeight="1">
      <c r="A206" s="147">
        <v>205</v>
      </c>
      <c r="B206" s="223">
        <v>196513</v>
      </c>
      <c r="C206" s="221" t="s">
        <v>86</v>
      </c>
      <c r="D206" s="57">
        <v>42879</v>
      </c>
      <c r="E206" s="58" t="s">
        <v>487</v>
      </c>
      <c r="F206" s="222">
        <v>42904</v>
      </c>
      <c r="G206" s="221">
        <f t="shared" si="10"/>
        <v>25</v>
      </c>
      <c r="H206" s="221" t="s">
        <v>363</v>
      </c>
      <c r="I206" s="221"/>
      <c r="J206" s="223" t="s">
        <v>614</v>
      </c>
      <c r="K206" s="94">
        <v>1399</v>
      </c>
      <c r="L206" s="94">
        <v>1399</v>
      </c>
      <c r="M206" s="96">
        <v>0</v>
      </c>
      <c r="N206" s="221"/>
      <c r="O206" s="151">
        <f t="shared" si="9"/>
        <v>1315.06</v>
      </c>
      <c r="P206" s="224" t="s">
        <v>261</v>
      </c>
      <c r="Q206" s="119" t="s">
        <v>1341</v>
      </c>
      <c r="R206" s="221" t="s">
        <v>143</v>
      </c>
      <c r="S206" s="62" t="s">
        <v>465</v>
      </c>
      <c r="T206" s="221" t="s">
        <v>88</v>
      </c>
      <c r="U206" s="224" t="s">
        <v>662</v>
      </c>
      <c r="V206" s="224" t="s">
        <v>90</v>
      </c>
      <c r="W206" s="221"/>
      <c r="X206" s="221"/>
      <c r="Y206" s="221"/>
      <c r="Z206" s="221" t="s">
        <v>189</v>
      </c>
      <c r="AA206" s="221"/>
      <c r="AB206" s="221"/>
      <c r="AC206" s="63">
        <f t="shared" si="11"/>
        <v>1</v>
      </c>
      <c r="AD206" s="221"/>
      <c r="AE206" s="221" t="s">
        <v>1553</v>
      </c>
      <c r="AF206" s="221"/>
      <c r="AG206" s="221"/>
      <c r="AH206" s="64" t="s">
        <v>689</v>
      </c>
      <c r="AI206" s="221"/>
      <c r="AJ206" s="221"/>
      <c r="AK206" s="221"/>
      <c r="AL206" s="221"/>
      <c r="AM206" s="146"/>
    </row>
    <row r="207" spans="1:16384" ht="12.75" hidden="1" customHeight="1">
      <c r="A207" s="147">
        <v>206</v>
      </c>
      <c r="B207" s="223">
        <v>196574</v>
      </c>
      <c r="C207" s="221" t="s">
        <v>86</v>
      </c>
      <c r="D207" s="57">
        <v>42879</v>
      </c>
      <c r="E207" s="58" t="s">
        <v>487</v>
      </c>
      <c r="F207" s="222">
        <v>42896</v>
      </c>
      <c r="G207" s="221">
        <f t="shared" si="10"/>
        <v>17</v>
      </c>
      <c r="H207" s="221" t="s">
        <v>133</v>
      </c>
      <c r="I207" s="221"/>
      <c r="J207" s="60" t="s">
        <v>615</v>
      </c>
      <c r="K207" s="94">
        <v>2999</v>
      </c>
      <c r="L207" s="94">
        <v>2999</v>
      </c>
      <c r="M207" s="96">
        <v>290</v>
      </c>
      <c r="N207" s="97">
        <v>220</v>
      </c>
      <c r="O207" s="93">
        <f t="shared" ref="O207:O270" si="12">IF(AE207="Reemplazo",0,K207-(K207*0.12*0.5)-(MAX(M207,N207)))</f>
        <v>2529.06</v>
      </c>
      <c r="P207" s="224" t="s">
        <v>262</v>
      </c>
      <c r="Q207" s="119" t="s">
        <v>1342</v>
      </c>
      <c r="R207" s="221" t="s">
        <v>134</v>
      </c>
      <c r="S207" s="225" t="s">
        <v>465</v>
      </c>
      <c r="T207" s="221" t="s">
        <v>88</v>
      </c>
      <c r="U207" s="224" t="s">
        <v>482</v>
      </c>
      <c r="V207" s="221" t="s">
        <v>429</v>
      </c>
      <c r="W207" s="221"/>
      <c r="X207" s="221"/>
      <c r="Y207" s="221" t="s">
        <v>316</v>
      </c>
      <c r="Z207" s="221" t="s">
        <v>189</v>
      </c>
      <c r="AA207" s="222">
        <v>42879</v>
      </c>
      <c r="AB207" s="221" t="s">
        <v>127</v>
      </c>
      <c r="AC207" s="63">
        <f t="shared" si="11"/>
        <v>1</v>
      </c>
      <c r="AD207" s="221" t="s">
        <v>217</v>
      </c>
      <c r="AE207" s="221" t="s">
        <v>218</v>
      </c>
      <c r="AF207" s="221"/>
      <c r="AG207" s="221" t="s">
        <v>142</v>
      </c>
      <c r="AH207" s="64"/>
      <c r="AI207" s="221" t="s">
        <v>184</v>
      </c>
      <c r="AJ207" s="221"/>
      <c r="AK207" s="225" t="s">
        <v>712</v>
      </c>
      <c r="AL207" s="221" t="s">
        <v>645</v>
      </c>
      <c r="AM207" s="221"/>
    </row>
    <row r="208" spans="1:16384" ht="12.75" hidden="1" customHeight="1">
      <c r="A208" s="147">
        <v>207</v>
      </c>
      <c r="B208" s="223">
        <v>196581</v>
      </c>
      <c r="C208" s="52" t="s">
        <v>86</v>
      </c>
      <c r="D208" s="57">
        <v>42879</v>
      </c>
      <c r="E208" s="58" t="s">
        <v>487</v>
      </c>
      <c r="F208" s="59">
        <v>42895</v>
      </c>
      <c r="G208" s="221">
        <f t="shared" si="10"/>
        <v>16</v>
      </c>
      <c r="H208" s="52" t="s">
        <v>133</v>
      </c>
      <c r="I208" s="222"/>
      <c r="J208" s="60" t="s">
        <v>615</v>
      </c>
      <c r="K208" s="94">
        <v>2899</v>
      </c>
      <c r="L208" s="94">
        <v>2899</v>
      </c>
      <c r="M208" s="96">
        <v>290</v>
      </c>
      <c r="N208" s="97">
        <v>220</v>
      </c>
      <c r="O208" s="93">
        <f t="shared" si="12"/>
        <v>2435.06</v>
      </c>
      <c r="P208" s="61" t="s">
        <v>264</v>
      </c>
      <c r="Q208" s="119" t="s">
        <v>1342</v>
      </c>
      <c r="R208" s="146" t="s">
        <v>134</v>
      </c>
      <c r="S208" s="62" t="s">
        <v>465</v>
      </c>
      <c r="T208" s="221" t="s">
        <v>88</v>
      </c>
      <c r="U208" s="148" t="s">
        <v>449</v>
      </c>
      <c r="V208" s="221" t="s">
        <v>429</v>
      </c>
      <c r="W208" s="117"/>
      <c r="X208" s="117"/>
      <c r="Y208" s="117" t="s">
        <v>316</v>
      </c>
      <c r="Z208" s="146" t="s">
        <v>189</v>
      </c>
      <c r="AA208" s="222">
        <v>42879</v>
      </c>
      <c r="AB208" s="117" t="s">
        <v>127</v>
      </c>
      <c r="AC208" s="63">
        <f t="shared" si="11"/>
        <v>1</v>
      </c>
      <c r="AD208" s="221" t="s">
        <v>217</v>
      </c>
      <c r="AE208" s="221" t="s">
        <v>218</v>
      </c>
      <c r="AF208" s="117"/>
      <c r="AG208" s="117" t="s">
        <v>142</v>
      </c>
      <c r="AH208" s="64"/>
      <c r="AI208" s="117" t="s">
        <v>184</v>
      </c>
      <c r="AJ208" s="221"/>
      <c r="AK208" s="225" t="s">
        <v>713</v>
      </c>
      <c r="AL208" s="117" t="s">
        <v>645</v>
      </c>
      <c r="AM208" s="221"/>
    </row>
    <row r="209" spans="1:39" ht="12.75" hidden="1" customHeight="1">
      <c r="A209" s="147">
        <v>208</v>
      </c>
      <c r="B209" s="223">
        <v>196605</v>
      </c>
      <c r="C209" s="221" t="s">
        <v>86</v>
      </c>
      <c r="D209" s="57">
        <v>42879</v>
      </c>
      <c r="E209" s="58" t="s">
        <v>487</v>
      </c>
      <c r="F209" s="222">
        <v>42905</v>
      </c>
      <c r="G209" s="221">
        <f t="shared" si="10"/>
        <v>26</v>
      </c>
      <c r="H209" s="221" t="s">
        <v>363</v>
      </c>
      <c r="I209" s="221"/>
      <c r="J209" s="60" t="s">
        <v>614</v>
      </c>
      <c r="K209" s="94">
        <v>1899</v>
      </c>
      <c r="L209" s="94">
        <v>1899</v>
      </c>
      <c r="M209" s="96">
        <v>0</v>
      </c>
      <c r="N209" s="221"/>
      <c r="O209" s="93">
        <f t="shared" si="12"/>
        <v>1785.06</v>
      </c>
      <c r="P209" s="224" t="s">
        <v>264</v>
      </c>
      <c r="Q209" s="119" t="s">
        <v>1342</v>
      </c>
      <c r="R209" s="221" t="s">
        <v>143</v>
      </c>
      <c r="S209" s="62" t="s">
        <v>465</v>
      </c>
      <c r="T209" s="221" t="s">
        <v>88</v>
      </c>
      <c r="U209" s="224" t="s">
        <v>352</v>
      </c>
      <c r="V209" s="148" t="s">
        <v>136</v>
      </c>
      <c r="W209" s="221"/>
      <c r="X209" s="221"/>
      <c r="Y209" s="221"/>
      <c r="Z209" s="221" t="s">
        <v>189</v>
      </c>
      <c r="AA209" s="221"/>
      <c r="AB209" s="221"/>
      <c r="AC209" s="63">
        <f t="shared" si="11"/>
        <v>1</v>
      </c>
      <c r="AD209" s="221"/>
      <c r="AE209" s="221" t="s">
        <v>1553</v>
      </c>
      <c r="AF209" s="221"/>
      <c r="AG209" s="221"/>
      <c r="AH209" s="64" t="s">
        <v>689</v>
      </c>
      <c r="AI209" s="221"/>
      <c r="AJ209" s="221"/>
      <c r="AK209" s="221"/>
      <c r="AL209" s="221"/>
      <c r="AM209" s="146"/>
    </row>
    <row r="210" spans="1:39" ht="12.75" hidden="1" customHeight="1">
      <c r="A210" s="147">
        <v>209</v>
      </c>
      <c r="B210" s="223">
        <v>196655</v>
      </c>
      <c r="C210" s="221" t="s">
        <v>86</v>
      </c>
      <c r="D210" s="57">
        <v>42879</v>
      </c>
      <c r="E210" s="58" t="s">
        <v>487</v>
      </c>
      <c r="F210" s="222">
        <v>42902</v>
      </c>
      <c r="G210" s="221">
        <f t="shared" si="10"/>
        <v>23</v>
      </c>
      <c r="H210" s="221" t="s">
        <v>363</v>
      </c>
      <c r="I210" s="221"/>
      <c r="J210" s="60" t="s">
        <v>614</v>
      </c>
      <c r="K210" s="94">
        <v>1899</v>
      </c>
      <c r="L210" s="94">
        <v>1899</v>
      </c>
      <c r="M210" s="96">
        <v>0</v>
      </c>
      <c r="N210" s="221"/>
      <c r="O210" s="93">
        <f t="shared" si="12"/>
        <v>1785.06</v>
      </c>
      <c r="P210" s="224" t="s">
        <v>264</v>
      </c>
      <c r="Q210" s="119" t="s">
        <v>1342</v>
      </c>
      <c r="R210" s="221" t="s">
        <v>143</v>
      </c>
      <c r="S210" s="62" t="s">
        <v>465</v>
      </c>
      <c r="T210" s="221" t="s">
        <v>88</v>
      </c>
      <c r="U210" s="224" t="s">
        <v>89</v>
      </c>
      <c r="V210" s="224" t="s">
        <v>90</v>
      </c>
      <c r="W210" s="221"/>
      <c r="X210" s="221"/>
      <c r="Y210" s="221"/>
      <c r="Z210" s="221" t="s">
        <v>189</v>
      </c>
      <c r="AA210" s="221"/>
      <c r="AB210" s="221"/>
      <c r="AC210" s="63">
        <f t="shared" si="11"/>
        <v>1</v>
      </c>
      <c r="AD210" s="221"/>
      <c r="AE210" s="221" t="s">
        <v>1553</v>
      </c>
      <c r="AF210" s="221"/>
      <c r="AG210" s="221"/>
      <c r="AH210" s="64" t="s">
        <v>689</v>
      </c>
      <c r="AI210" s="221"/>
      <c r="AJ210" s="221"/>
      <c r="AK210" s="221"/>
      <c r="AL210" s="221"/>
      <c r="AM210" s="146"/>
    </row>
    <row r="211" spans="1:39" ht="12.75" hidden="1" customHeight="1">
      <c r="A211" s="147">
        <v>210</v>
      </c>
      <c r="B211" s="223">
        <v>196667</v>
      </c>
      <c r="C211" s="221" t="s">
        <v>86</v>
      </c>
      <c r="D211" s="57">
        <v>42879</v>
      </c>
      <c r="E211" s="58" t="s">
        <v>487</v>
      </c>
      <c r="F211" s="222">
        <v>42901</v>
      </c>
      <c r="G211" s="221">
        <f t="shared" si="10"/>
        <v>22</v>
      </c>
      <c r="H211" s="221" t="s">
        <v>133</v>
      </c>
      <c r="I211" s="221"/>
      <c r="J211" s="60" t="s">
        <v>614</v>
      </c>
      <c r="K211" s="94">
        <v>999</v>
      </c>
      <c r="L211" s="94">
        <v>999</v>
      </c>
      <c r="M211" s="221">
        <v>320</v>
      </c>
      <c r="N211" s="221">
        <v>160</v>
      </c>
      <c r="O211" s="93">
        <f t="shared" si="12"/>
        <v>619.05999999999995</v>
      </c>
      <c r="P211" s="224" t="s">
        <v>262</v>
      </c>
      <c r="Q211" s="119" t="s">
        <v>1342</v>
      </c>
      <c r="R211" s="224" t="s">
        <v>122</v>
      </c>
      <c r="S211" s="225" t="s">
        <v>469</v>
      </c>
      <c r="T211" s="224" t="s">
        <v>114</v>
      </c>
      <c r="U211" s="224" t="s">
        <v>305</v>
      </c>
      <c r="V211" s="222" t="s">
        <v>169</v>
      </c>
      <c r="W211" s="221"/>
      <c r="X211" s="221"/>
      <c r="Y211" s="221" t="s">
        <v>316</v>
      </c>
      <c r="Z211" s="221" t="s">
        <v>170</v>
      </c>
      <c r="AA211" s="222">
        <v>42880</v>
      </c>
      <c r="AB211" s="221" t="s">
        <v>140</v>
      </c>
      <c r="AC211" s="63">
        <f t="shared" si="11"/>
        <v>1</v>
      </c>
      <c r="AD211" s="221" t="s">
        <v>217</v>
      </c>
      <c r="AE211" s="221" t="s">
        <v>218</v>
      </c>
      <c r="AF211" s="221"/>
      <c r="AG211" s="221" t="s">
        <v>142</v>
      </c>
      <c r="AH211" s="64"/>
      <c r="AI211" s="221" t="s">
        <v>184</v>
      </c>
      <c r="AJ211" s="221"/>
      <c r="AK211" s="225" t="s">
        <v>716</v>
      </c>
      <c r="AL211" s="221" t="s">
        <v>645</v>
      </c>
      <c r="AM211" s="146"/>
    </row>
    <row r="212" spans="1:39" ht="12.75" hidden="1" customHeight="1">
      <c r="A212" s="147">
        <v>211</v>
      </c>
      <c r="B212" s="223">
        <v>196755</v>
      </c>
      <c r="C212" s="221" t="s">
        <v>86</v>
      </c>
      <c r="D212" s="57">
        <v>42879</v>
      </c>
      <c r="E212" s="58" t="s">
        <v>487</v>
      </c>
      <c r="F212" s="222">
        <v>42898</v>
      </c>
      <c r="G212" s="221">
        <f t="shared" si="10"/>
        <v>19</v>
      </c>
      <c r="H212" s="221" t="s">
        <v>133</v>
      </c>
      <c r="I212" s="221"/>
      <c r="J212" s="60" t="s">
        <v>614</v>
      </c>
      <c r="K212" s="94">
        <v>1599</v>
      </c>
      <c r="L212" s="94">
        <v>1599</v>
      </c>
      <c r="M212" s="96">
        <v>402.55</v>
      </c>
      <c r="N212" s="97">
        <v>91</v>
      </c>
      <c r="O212" s="93">
        <f t="shared" si="12"/>
        <v>1100.51</v>
      </c>
      <c r="P212" s="224" t="s">
        <v>261</v>
      </c>
      <c r="Q212" s="119" t="s">
        <v>1341</v>
      </c>
      <c r="R212" s="224" t="s">
        <v>501</v>
      </c>
      <c r="S212" s="225" t="s">
        <v>466</v>
      </c>
      <c r="T212" s="224" t="s">
        <v>114</v>
      </c>
      <c r="U212" s="224" t="s">
        <v>643</v>
      </c>
      <c r="V212" s="224" t="s">
        <v>222</v>
      </c>
      <c r="W212" s="221" t="s">
        <v>660</v>
      </c>
      <c r="X212" s="221"/>
      <c r="Y212" s="221" t="s">
        <v>91</v>
      </c>
      <c r="Z212" s="221" t="s">
        <v>315</v>
      </c>
      <c r="AA212" s="222">
        <v>42879</v>
      </c>
      <c r="AB212" s="221" t="s">
        <v>195</v>
      </c>
      <c r="AC212" s="63">
        <f t="shared" si="11"/>
        <v>1</v>
      </c>
      <c r="AD212" s="221" t="s">
        <v>217</v>
      </c>
      <c r="AE212" s="221" t="s">
        <v>218</v>
      </c>
      <c r="AF212" s="221"/>
      <c r="AG212" s="221"/>
      <c r="AH212" s="64"/>
      <c r="AI212" s="221" t="s">
        <v>82</v>
      </c>
      <c r="AJ212" s="221"/>
      <c r="AK212" s="221" t="s">
        <v>727</v>
      </c>
      <c r="AL212" s="221" t="s">
        <v>645</v>
      </c>
      <c r="AM212" s="117"/>
    </row>
    <row r="213" spans="1:39" ht="12.75" hidden="1" customHeight="1">
      <c r="A213" s="147">
        <v>212</v>
      </c>
      <c r="B213" s="223">
        <v>196869</v>
      </c>
      <c r="C213" s="221" t="s">
        <v>86</v>
      </c>
      <c r="D213" s="57">
        <v>42879</v>
      </c>
      <c r="E213" s="58" t="s">
        <v>487</v>
      </c>
      <c r="F213" s="222">
        <v>42900</v>
      </c>
      <c r="G213" s="221">
        <f t="shared" si="10"/>
        <v>21</v>
      </c>
      <c r="H213" s="221" t="s">
        <v>133</v>
      </c>
      <c r="I213" s="221"/>
      <c r="J213" s="60" t="s">
        <v>614</v>
      </c>
      <c r="K213" s="94">
        <v>1160</v>
      </c>
      <c r="L213" s="94">
        <v>1160.3900000000001</v>
      </c>
      <c r="M213" s="221">
        <v>320</v>
      </c>
      <c r="N213" s="221">
        <v>160</v>
      </c>
      <c r="O213" s="93">
        <f t="shared" si="12"/>
        <v>770.40000000000009</v>
      </c>
      <c r="P213" s="224" t="s">
        <v>264</v>
      </c>
      <c r="Q213" s="119" t="s">
        <v>1342</v>
      </c>
      <c r="R213" s="224" t="s">
        <v>122</v>
      </c>
      <c r="S213" s="225" t="s">
        <v>469</v>
      </c>
      <c r="T213" s="224" t="s">
        <v>114</v>
      </c>
      <c r="U213" s="224" t="s">
        <v>305</v>
      </c>
      <c r="V213" s="222" t="s">
        <v>169</v>
      </c>
      <c r="W213" s="221"/>
      <c r="X213" s="221"/>
      <c r="Y213" s="221" t="s">
        <v>316</v>
      </c>
      <c r="Z213" s="221" t="s">
        <v>170</v>
      </c>
      <c r="AA213" s="222">
        <v>42880</v>
      </c>
      <c r="AB213" s="221" t="s">
        <v>140</v>
      </c>
      <c r="AC213" s="63">
        <f t="shared" si="11"/>
        <v>1</v>
      </c>
      <c r="AD213" s="221" t="s">
        <v>217</v>
      </c>
      <c r="AE213" s="221" t="s">
        <v>218</v>
      </c>
      <c r="AF213" s="221"/>
      <c r="AG213" s="221"/>
      <c r="AH213" s="64"/>
      <c r="AI213" s="221" t="s">
        <v>184</v>
      </c>
      <c r="AJ213" s="221"/>
      <c r="AK213" s="225" t="s">
        <v>715</v>
      </c>
      <c r="AL213" s="221" t="s">
        <v>645</v>
      </c>
      <c r="AM213" s="221"/>
    </row>
    <row r="214" spans="1:39" ht="25.5" hidden="1" customHeight="1">
      <c r="A214" s="147">
        <v>213</v>
      </c>
      <c r="B214" s="223">
        <v>196599</v>
      </c>
      <c r="C214" s="221" t="s">
        <v>121</v>
      </c>
      <c r="D214" s="57">
        <v>42880</v>
      </c>
      <c r="E214" s="58" t="s">
        <v>487</v>
      </c>
      <c r="F214" s="222">
        <v>42908</v>
      </c>
      <c r="G214" s="221">
        <f t="shared" si="10"/>
        <v>28</v>
      </c>
      <c r="H214" s="224" t="s">
        <v>363</v>
      </c>
      <c r="I214" s="221"/>
      <c r="J214" s="60" t="s">
        <v>614</v>
      </c>
      <c r="K214" s="94">
        <v>5599</v>
      </c>
      <c r="L214" s="94">
        <v>5599</v>
      </c>
      <c r="M214" s="96">
        <v>0</v>
      </c>
      <c r="N214" s="221"/>
      <c r="O214" s="151">
        <f t="shared" si="12"/>
        <v>0</v>
      </c>
      <c r="P214" s="224" t="s">
        <v>264</v>
      </c>
      <c r="Q214" s="119" t="s">
        <v>1342</v>
      </c>
      <c r="R214" s="221" t="s">
        <v>122</v>
      </c>
      <c r="S214" s="225" t="s">
        <v>469</v>
      </c>
      <c r="T214" s="224" t="s">
        <v>164</v>
      </c>
      <c r="U214" s="224" t="s">
        <v>667</v>
      </c>
      <c r="V214" s="222" t="s">
        <v>169</v>
      </c>
      <c r="W214" s="224" t="s">
        <v>668</v>
      </c>
      <c r="X214" s="221"/>
      <c r="Y214" s="221"/>
      <c r="Z214" s="221" t="s">
        <v>379</v>
      </c>
      <c r="AA214" s="221"/>
      <c r="AB214" s="221"/>
      <c r="AC214" s="63">
        <f t="shared" si="11"/>
        <v>0</v>
      </c>
      <c r="AD214" s="221" t="s">
        <v>217</v>
      </c>
      <c r="AE214" s="221" t="s">
        <v>217</v>
      </c>
      <c r="AF214" s="52" t="s">
        <v>690</v>
      </c>
      <c r="AG214" s="221" t="s">
        <v>142</v>
      </c>
      <c r="AH214" s="105" t="s">
        <v>422</v>
      </c>
      <c r="AI214" s="221"/>
      <c r="AJ214" s="221"/>
      <c r="AK214" s="145"/>
      <c r="AL214" s="221"/>
      <c r="AM214" s="221"/>
    </row>
    <row r="215" spans="1:39" ht="12.75" hidden="1" customHeight="1">
      <c r="A215" s="147">
        <v>214</v>
      </c>
      <c r="B215" s="223">
        <v>196681</v>
      </c>
      <c r="C215" s="221" t="s">
        <v>128</v>
      </c>
      <c r="D215" s="57">
        <v>42880</v>
      </c>
      <c r="E215" s="58" t="s">
        <v>487</v>
      </c>
      <c r="F215" s="222">
        <v>42907</v>
      </c>
      <c r="G215" s="221">
        <f t="shared" si="10"/>
        <v>27</v>
      </c>
      <c r="H215" s="221" t="s">
        <v>133</v>
      </c>
      <c r="I215" s="221"/>
      <c r="J215" s="60" t="s">
        <v>614</v>
      </c>
      <c r="K215" s="94">
        <v>1699</v>
      </c>
      <c r="L215" s="94">
        <v>1699</v>
      </c>
      <c r="M215" s="221"/>
      <c r="N215" s="221"/>
      <c r="O215" s="151">
        <f t="shared" si="12"/>
        <v>0</v>
      </c>
      <c r="P215" s="224" t="s">
        <v>261</v>
      </c>
      <c r="Q215" s="119" t="s">
        <v>1341</v>
      </c>
      <c r="R215" s="146" t="s">
        <v>335</v>
      </c>
      <c r="S215" s="225" t="s">
        <v>466</v>
      </c>
      <c r="T215" s="224" t="s">
        <v>302</v>
      </c>
      <c r="U215" s="224" t="s">
        <v>663</v>
      </c>
      <c r="V215" s="148" t="s">
        <v>257</v>
      </c>
      <c r="W215" s="224" t="s">
        <v>664</v>
      </c>
      <c r="X215" s="221"/>
      <c r="Y215" s="221"/>
      <c r="Z215" s="221" t="s">
        <v>304</v>
      </c>
      <c r="AA215" s="221"/>
      <c r="AB215" s="221"/>
      <c r="AC215" s="63">
        <f t="shared" si="11"/>
        <v>0</v>
      </c>
      <c r="AD215" s="221" t="s">
        <v>217</v>
      </c>
      <c r="AE215" s="221" t="s">
        <v>217</v>
      </c>
      <c r="AF215" s="221" t="s">
        <v>225</v>
      </c>
      <c r="AG215" s="221"/>
      <c r="AH215" s="64"/>
      <c r="AI215" s="221"/>
      <c r="AJ215" s="221"/>
      <c r="AK215" s="221"/>
      <c r="AL215" s="221"/>
      <c r="AM215" s="117"/>
    </row>
    <row r="216" spans="1:39" ht="12.75" hidden="1" customHeight="1">
      <c r="A216" s="147">
        <v>215</v>
      </c>
      <c r="B216" s="223">
        <v>196938</v>
      </c>
      <c r="C216" s="221" t="s">
        <v>128</v>
      </c>
      <c r="D216" s="57">
        <v>42884</v>
      </c>
      <c r="E216" s="58" t="s">
        <v>487</v>
      </c>
      <c r="F216" s="222">
        <v>42910</v>
      </c>
      <c r="G216" s="221">
        <f t="shared" si="10"/>
        <v>26</v>
      </c>
      <c r="H216" s="221" t="s">
        <v>133</v>
      </c>
      <c r="I216" s="221"/>
      <c r="J216" s="60" t="s">
        <v>614</v>
      </c>
      <c r="K216" s="94">
        <v>1199.2</v>
      </c>
      <c r="L216" s="94">
        <v>1199.2</v>
      </c>
      <c r="M216" s="221"/>
      <c r="N216" s="221"/>
      <c r="O216" s="151">
        <f t="shared" si="12"/>
        <v>0</v>
      </c>
      <c r="P216" s="224" t="s">
        <v>264</v>
      </c>
      <c r="Q216" s="119" t="s">
        <v>1342</v>
      </c>
      <c r="R216" s="221" t="s">
        <v>501</v>
      </c>
      <c r="S216" s="225" t="s">
        <v>466</v>
      </c>
      <c r="T216" s="221" t="s">
        <v>405</v>
      </c>
      <c r="U216" s="224" t="s">
        <v>693</v>
      </c>
      <c r="V216" s="224" t="s">
        <v>222</v>
      </c>
      <c r="W216" s="221"/>
      <c r="X216" s="221"/>
      <c r="Y216" s="221"/>
      <c r="Z216" s="221" t="s">
        <v>1146</v>
      </c>
      <c r="AA216" s="221"/>
      <c r="AB216" s="221"/>
      <c r="AC216" s="63">
        <f t="shared" si="11"/>
        <v>0</v>
      </c>
      <c r="AD216" s="221" t="s">
        <v>217</v>
      </c>
      <c r="AE216" s="221" t="s">
        <v>217</v>
      </c>
      <c r="AF216" s="221" t="s">
        <v>225</v>
      </c>
      <c r="AG216" s="221"/>
      <c r="AH216" s="64"/>
      <c r="AI216" s="221"/>
      <c r="AJ216" s="221"/>
      <c r="AK216" s="221"/>
      <c r="AL216" s="221"/>
      <c r="AM216" s="146"/>
    </row>
    <row r="217" spans="1:39" ht="12.75" hidden="1" customHeight="1">
      <c r="A217" s="147">
        <v>216</v>
      </c>
      <c r="B217" s="223">
        <v>197018</v>
      </c>
      <c r="C217" s="221" t="s">
        <v>128</v>
      </c>
      <c r="D217" s="57">
        <v>42884</v>
      </c>
      <c r="E217" s="58" t="s">
        <v>487</v>
      </c>
      <c r="F217" s="222">
        <v>42911</v>
      </c>
      <c r="G217" s="221">
        <f t="shared" si="10"/>
        <v>27</v>
      </c>
      <c r="H217" s="221" t="s">
        <v>133</v>
      </c>
      <c r="I217" s="222"/>
      <c r="J217" s="60" t="s">
        <v>614</v>
      </c>
      <c r="K217" s="94">
        <v>1199</v>
      </c>
      <c r="L217" s="94">
        <v>1199</v>
      </c>
      <c r="M217" s="221"/>
      <c r="N217" s="221"/>
      <c r="O217" s="151">
        <f t="shared" si="12"/>
        <v>0</v>
      </c>
      <c r="P217" s="224" t="s">
        <v>262</v>
      </c>
      <c r="Q217" s="119" t="s">
        <v>1342</v>
      </c>
      <c r="R217" s="146" t="s">
        <v>501</v>
      </c>
      <c r="S217" s="225" t="s">
        <v>466</v>
      </c>
      <c r="T217" s="224" t="s">
        <v>593</v>
      </c>
      <c r="U217" s="224" t="s">
        <v>694</v>
      </c>
      <c r="V217" s="148" t="s">
        <v>257</v>
      </c>
      <c r="W217" s="221" t="s">
        <v>700</v>
      </c>
      <c r="X217" s="221"/>
      <c r="Y217" s="221"/>
      <c r="Z217" s="221" t="s">
        <v>259</v>
      </c>
      <c r="AA217" s="221"/>
      <c r="AB217" s="221"/>
      <c r="AC217" s="63">
        <f t="shared" si="11"/>
        <v>0</v>
      </c>
      <c r="AD217" s="221" t="s">
        <v>217</v>
      </c>
      <c r="AE217" s="221" t="s">
        <v>217</v>
      </c>
      <c r="AF217" s="221" t="s">
        <v>225</v>
      </c>
      <c r="AG217" s="221" t="s">
        <v>142</v>
      </c>
      <c r="AH217" s="64"/>
      <c r="AI217" s="221"/>
      <c r="AJ217" s="221"/>
      <c r="AK217" s="221"/>
      <c r="AL217" s="221"/>
      <c r="AM217" s="221"/>
    </row>
    <row r="218" spans="1:39" ht="12.75" hidden="1" customHeight="1">
      <c r="A218" s="147">
        <v>217</v>
      </c>
      <c r="B218" s="223">
        <v>197125</v>
      </c>
      <c r="C218" s="221" t="s">
        <v>128</v>
      </c>
      <c r="D218" s="57">
        <v>42884</v>
      </c>
      <c r="E218" s="58" t="s">
        <v>487</v>
      </c>
      <c r="F218" s="222">
        <v>42909</v>
      </c>
      <c r="G218" s="221">
        <f t="shared" si="10"/>
        <v>25</v>
      </c>
      <c r="H218" s="221" t="s">
        <v>133</v>
      </c>
      <c r="I218" s="221"/>
      <c r="J218" s="60" t="s">
        <v>614</v>
      </c>
      <c r="K218" s="94">
        <v>1799</v>
      </c>
      <c r="L218" s="94">
        <v>1799</v>
      </c>
      <c r="M218" s="221">
        <v>310</v>
      </c>
      <c r="N218" s="221">
        <v>230</v>
      </c>
      <c r="O218" s="93">
        <f t="shared" si="12"/>
        <v>1381.06</v>
      </c>
      <c r="P218" s="224" t="s">
        <v>264</v>
      </c>
      <c r="Q218" s="119" t="s">
        <v>1342</v>
      </c>
      <c r="R218" s="221" t="s">
        <v>122</v>
      </c>
      <c r="S218" s="225" t="s">
        <v>469</v>
      </c>
      <c r="T218" s="224" t="s">
        <v>376</v>
      </c>
      <c r="U218" s="224" t="s">
        <v>685</v>
      </c>
      <c r="V218" s="224" t="s">
        <v>249</v>
      </c>
      <c r="W218" s="224" t="s">
        <v>686</v>
      </c>
      <c r="X218" s="221" t="s">
        <v>141</v>
      </c>
      <c r="Y218" s="221" t="s">
        <v>316</v>
      </c>
      <c r="Z218" s="221" t="s">
        <v>687</v>
      </c>
      <c r="AA218" s="222">
        <v>42884</v>
      </c>
      <c r="AB218" s="221" t="s">
        <v>195</v>
      </c>
      <c r="AC218" s="63">
        <f t="shared" si="11"/>
        <v>1</v>
      </c>
      <c r="AD218" s="221" t="s">
        <v>217</v>
      </c>
      <c r="AE218" s="221" t="s">
        <v>218</v>
      </c>
      <c r="AF218" s="52"/>
      <c r="AG218" s="221" t="s">
        <v>142</v>
      </c>
      <c r="AH218" s="64"/>
      <c r="AI218" s="221" t="s">
        <v>184</v>
      </c>
      <c r="AJ218" s="221"/>
      <c r="AK218" s="225" t="s">
        <v>717</v>
      </c>
      <c r="AL218" s="221" t="s">
        <v>645</v>
      </c>
      <c r="AM218" s="146"/>
    </row>
    <row r="219" spans="1:39" hidden="1">
      <c r="A219" s="147">
        <v>218</v>
      </c>
      <c r="B219" s="223">
        <v>196679</v>
      </c>
      <c r="C219" s="221" t="s">
        <v>128</v>
      </c>
      <c r="D219" s="57">
        <v>42885</v>
      </c>
      <c r="E219" s="58" t="s">
        <v>487</v>
      </c>
      <c r="F219" s="222">
        <v>42912</v>
      </c>
      <c r="G219" s="221">
        <f t="shared" si="10"/>
        <v>27</v>
      </c>
      <c r="H219" s="221" t="s">
        <v>363</v>
      </c>
      <c r="I219" s="222"/>
      <c r="J219" s="60" t="s">
        <v>614</v>
      </c>
      <c r="K219" s="94">
        <v>1599</v>
      </c>
      <c r="L219" s="94">
        <v>1599</v>
      </c>
      <c r="M219" s="96">
        <v>0</v>
      </c>
      <c r="N219" s="221"/>
      <c r="O219" s="151">
        <f t="shared" si="12"/>
        <v>0</v>
      </c>
      <c r="P219" s="224" t="s">
        <v>264</v>
      </c>
      <c r="Q219" s="119" t="s">
        <v>1342</v>
      </c>
      <c r="R219" s="221" t="s">
        <v>143</v>
      </c>
      <c r="S219" s="62" t="s">
        <v>465</v>
      </c>
      <c r="T219" s="221" t="s">
        <v>88</v>
      </c>
      <c r="U219" s="224" t="s">
        <v>695</v>
      </c>
      <c r="V219" s="221" t="s">
        <v>432</v>
      </c>
      <c r="W219" s="221"/>
      <c r="X219" s="221"/>
      <c r="Y219" s="221"/>
      <c r="Z219" s="221" t="s">
        <v>510</v>
      </c>
      <c r="AA219" s="221"/>
      <c r="AB219" s="221" t="s">
        <v>707</v>
      </c>
      <c r="AC219" s="63">
        <f t="shared" si="11"/>
        <v>0</v>
      </c>
      <c r="AD219" s="221" t="s">
        <v>217</v>
      </c>
      <c r="AE219" s="221" t="s">
        <v>217</v>
      </c>
      <c r="AF219" s="148" t="s">
        <v>1625</v>
      </c>
      <c r="AG219" s="221"/>
      <c r="AH219" s="64" t="s">
        <v>736</v>
      </c>
      <c r="AI219" s="221"/>
      <c r="AJ219" s="221"/>
      <c r="AK219" s="145"/>
      <c r="AL219" s="221"/>
      <c r="AM219" s="117"/>
    </row>
    <row r="220" spans="1:39" ht="12.75" hidden="1" customHeight="1">
      <c r="A220" s="147">
        <v>219</v>
      </c>
      <c r="B220" s="223">
        <v>196764</v>
      </c>
      <c r="C220" s="221" t="s">
        <v>86</v>
      </c>
      <c r="D220" s="57">
        <v>42885</v>
      </c>
      <c r="E220" s="58" t="s">
        <v>487</v>
      </c>
      <c r="F220" s="222">
        <v>42915</v>
      </c>
      <c r="G220" s="221">
        <f t="shared" si="10"/>
        <v>30</v>
      </c>
      <c r="H220" s="221" t="s">
        <v>363</v>
      </c>
      <c r="I220" s="221"/>
      <c r="J220" s="60" t="s">
        <v>614</v>
      </c>
      <c r="K220" s="94">
        <v>501</v>
      </c>
      <c r="L220" s="94">
        <v>501</v>
      </c>
      <c r="M220" s="96">
        <v>0</v>
      </c>
      <c r="N220" s="221"/>
      <c r="O220" s="93">
        <f t="shared" si="12"/>
        <v>470.94</v>
      </c>
      <c r="P220" s="224" t="s">
        <v>264</v>
      </c>
      <c r="Q220" s="119" t="s">
        <v>1342</v>
      </c>
      <c r="R220" s="221" t="s">
        <v>692</v>
      </c>
      <c r="S220" s="62" t="s">
        <v>465</v>
      </c>
      <c r="T220" s="221" t="s">
        <v>88</v>
      </c>
      <c r="U220" s="224" t="s">
        <v>698</v>
      </c>
      <c r="V220" s="224" t="s">
        <v>90</v>
      </c>
      <c r="W220" s="224"/>
      <c r="X220" s="221"/>
      <c r="Y220" s="221"/>
      <c r="Z220" s="221" t="s">
        <v>189</v>
      </c>
      <c r="AA220" s="221"/>
      <c r="AB220" s="221"/>
      <c r="AC220" s="63">
        <f t="shared" si="11"/>
        <v>1</v>
      </c>
      <c r="AD220" s="221" t="s">
        <v>217</v>
      </c>
      <c r="AE220" s="52"/>
      <c r="AF220" s="221"/>
      <c r="AG220" s="221" t="s">
        <v>142</v>
      </c>
      <c r="AH220" s="105" t="s">
        <v>701</v>
      </c>
      <c r="AI220" s="221"/>
      <c r="AJ220" s="221"/>
      <c r="AK220" s="221"/>
      <c r="AL220" s="221"/>
      <c r="AM220" s="221"/>
    </row>
    <row r="221" spans="1:39" ht="12.75" hidden="1" customHeight="1">
      <c r="A221" s="147">
        <v>220</v>
      </c>
      <c r="B221" s="223">
        <v>196989</v>
      </c>
      <c r="C221" s="52" t="s">
        <v>128</v>
      </c>
      <c r="D221" s="57">
        <v>42885</v>
      </c>
      <c r="E221" s="58" t="s">
        <v>487</v>
      </c>
      <c r="F221" s="59">
        <v>42913</v>
      </c>
      <c r="G221" s="221">
        <f t="shared" si="10"/>
        <v>28</v>
      </c>
      <c r="H221" s="221" t="s">
        <v>133</v>
      </c>
      <c r="I221" s="221" t="s">
        <v>218</v>
      </c>
      <c r="J221" s="60" t="s">
        <v>611</v>
      </c>
      <c r="K221" s="94">
        <v>2149</v>
      </c>
      <c r="L221" s="94">
        <v>2149.1</v>
      </c>
      <c r="M221" s="221">
        <v>960</v>
      </c>
      <c r="N221" s="221">
        <v>65</v>
      </c>
      <c r="O221" s="93">
        <f t="shared" si="12"/>
        <v>1060.06</v>
      </c>
      <c r="P221" s="119" t="s">
        <v>264</v>
      </c>
      <c r="Q221" s="119" t="s">
        <v>1342</v>
      </c>
      <c r="R221" s="221" t="s">
        <v>691</v>
      </c>
      <c r="S221" s="225" t="s">
        <v>466</v>
      </c>
      <c r="T221" s="224" t="s">
        <v>302</v>
      </c>
      <c r="U221" s="224" t="s">
        <v>696</v>
      </c>
      <c r="V221" s="148" t="s">
        <v>257</v>
      </c>
      <c r="W221" s="221" t="s">
        <v>699</v>
      </c>
      <c r="X221" s="52"/>
      <c r="Y221" s="117" t="s">
        <v>316</v>
      </c>
      <c r="Z221" s="52" t="s">
        <v>304</v>
      </c>
      <c r="AA221" s="222">
        <v>42895</v>
      </c>
      <c r="AB221" s="52" t="s">
        <v>140</v>
      </c>
      <c r="AC221" s="63">
        <f t="shared" si="11"/>
        <v>1</v>
      </c>
      <c r="AD221" s="221" t="s">
        <v>217</v>
      </c>
      <c r="AE221" s="221" t="s">
        <v>218</v>
      </c>
      <c r="AF221" s="52"/>
      <c r="AG221" s="52"/>
      <c r="AH221" s="64" t="s">
        <v>770</v>
      </c>
      <c r="AI221" s="117" t="s">
        <v>184</v>
      </c>
      <c r="AJ221" s="221"/>
      <c r="AK221" s="225" t="s">
        <v>910</v>
      </c>
      <c r="AL221" s="117" t="s">
        <v>645</v>
      </c>
      <c r="AM221" s="221"/>
    </row>
    <row r="222" spans="1:39" ht="12.75" hidden="1" customHeight="1">
      <c r="A222" s="147">
        <v>221</v>
      </c>
      <c r="B222" s="223">
        <v>197067</v>
      </c>
      <c r="C222" s="52" t="s">
        <v>86</v>
      </c>
      <c r="D222" s="57">
        <v>42885</v>
      </c>
      <c r="E222" s="58" t="s">
        <v>487</v>
      </c>
      <c r="F222" s="59">
        <v>42914</v>
      </c>
      <c r="G222" s="221">
        <f t="shared" si="10"/>
        <v>29</v>
      </c>
      <c r="H222" s="117" t="s">
        <v>133</v>
      </c>
      <c r="I222" s="221"/>
      <c r="J222" s="60" t="s">
        <v>614</v>
      </c>
      <c r="K222" s="94">
        <v>1499</v>
      </c>
      <c r="L222" s="94">
        <v>1499</v>
      </c>
      <c r="M222" s="221"/>
      <c r="N222" s="221"/>
      <c r="O222" s="151">
        <f t="shared" si="12"/>
        <v>0</v>
      </c>
      <c r="P222" s="119" t="s">
        <v>264</v>
      </c>
      <c r="Q222" s="119" t="s">
        <v>1342</v>
      </c>
      <c r="R222" s="146" t="s">
        <v>122</v>
      </c>
      <c r="S222" s="225" t="s">
        <v>469</v>
      </c>
      <c r="T222" s="224" t="s">
        <v>114</v>
      </c>
      <c r="U222" s="224" t="s">
        <v>697</v>
      </c>
      <c r="V222" s="224" t="s">
        <v>222</v>
      </c>
      <c r="W222" s="224" t="s">
        <v>703</v>
      </c>
      <c r="X222" s="52"/>
      <c r="Y222" s="117" t="s">
        <v>91</v>
      </c>
      <c r="Z222" s="52" t="s">
        <v>170</v>
      </c>
      <c r="AA222" s="146"/>
      <c r="AB222" s="52"/>
      <c r="AC222" s="63">
        <f t="shared" si="11"/>
        <v>0</v>
      </c>
      <c r="AD222" s="221" t="s">
        <v>217</v>
      </c>
      <c r="AE222" s="221" t="s">
        <v>217</v>
      </c>
      <c r="AF222" s="146" t="s">
        <v>1021</v>
      </c>
      <c r="AG222" s="52"/>
      <c r="AH222" s="64"/>
      <c r="AI222" s="117"/>
      <c r="AJ222" s="117"/>
      <c r="AK222" s="146"/>
      <c r="AL222" s="117"/>
      <c r="AM222" s="221"/>
    </row>
    <row r="223" spans="1:39" ht="12.75" hidden="1" customHeight="1">
      <c r="A223" s="147">
        <v>222</v>
      </c>
      <c r="B223" s="223">
        <v>196482</v>
      </c>
      <c r="C223" s="52" t="s">
        <v>128</v>
      </c>
      <c r="D223" s="57">
        <v>42886</v>
      </c>
      <c r="E223" s="58" t="s">
        <v>487</v>
      </c>
      <c r="F223" s="59">
        <v>42916</v>
      </c>
      <c r="G223" s="221">
        <f t="shared" si="10"/>
        <v>30</v>
      </c>
      <c r="H223" s="52" t="s">
        <v>363</v>
      </c>
      <c r="I223" s="221"/>
      <c r="J223" s="60" t="s">
        <v>614</v>
      </c>
      <c r="K223" s="94">
        <v>3902.4</v>
      </c>
      <c r="L223" s="94">
        <v>3902.4</v>
      </c>
      <c r="M223" s="96">
        <v>0</v>
      </c>
      <c r="N223" s="221"/>
      <c r="O223" s="151">
        <f t="shared" si="12"/>
        <v>0</v>
      </c>
      <c r="P223" s="119" t="s">
        <v>264</v>
      </c>
      <c r="Q223" s="119" t="s">
        <v>1342</v>
      </c>
      <c r="R223" s="146" t="s">
        <v>143</v>
      </c>
      <c r="S223" s="62" t="s">
        <v>465</v>
      </c>
      <c r="T223" s="224" t="s">
        <v>120</v>
      </c>
      <c r="U223" s="224" t="s">
        <v>704</v>
      </c>
      <c r="V223" s="221" t="s">
        <v>309</v>
      </c>
      <c r="W223" s="224" t="s">
        <v>705</v>
      </c>
      <c r="X223" s="52"/>
      <c r="Y223" s="52"/>
      <c r="Z223" s="52" t="s">
        <v>137</v>
      </c>
      <c r="AA223" s="146"/>
      <c r="AB223" s="52"/>
      <c r="AC223" s="63">
        <f t="shared" si="11"/>
        <v>0</v>
      </c>
      <c r="AD223" s="221" t="s">
        <v>217</v>
      </c>
      <c r="AE223" s="221" t="s">
        <v>217</v>
      </c>
      <c r="AF223" s="52" t="s">
        <v>737</v>
      </c>
      <c r="AG223" s="52" t="s">
        <v>142</v>
      </c>
      <c r="AH223" s="64" t="s">
        <v>736</v>
      </c>
      <c r="AI223" s="117"/>
      <c r="AJ223" s="117"/>
      <c r="AK223" s="146"/>
      <c r="AL223" s="117"/>
      <c r="AM223" s="117"/>
    </row>
    <row r="224" spans="1:39" ht="25.5" hidden="1" customHeight="1">
      <c r="A224" s="147">
        <v>223</v>
      </c>
      <c r="B224" s="223">
        <v>197233</v>
      </c>
      <c r="C224" s="52" t="s">
        <v>128</v>
      </c>
      <c r="D224" s="57">
        <v>42886</v>
      </c>
      <c r="E224" s="58" t="s">
        <v>487</v>
      </c>
      <c r="F224" s="59">
        <v>42900</v>
      </c>
      <c r="G224" s="221">
        <f t="shared" si="10"/>
        <v>14</v>
      </c>
      <c r="H224" s="52" t="s">
        <v>133</v>
      </c>
      <c r="I224" s="221"/>
      <c r="J224" s="60" t="s">
        <v>614</v>
      </c>
      <c r="K224" s="94">
        <v>2299</v>
      </c>
      <c r="L224" s="94">
        <v>2299</v>
      </c>
      <c r="M224" s="221"/>
      <c r="N224" s="221"/>
      <c r="O224" s="151">
        <f t="shared" si="12"/>
        <v>0</v>
      </c>
      <c r="P224" s="119" t="s">
        <v>262</v>
      </c>
      <c r="Q224" s="119" t="s">
        <v>1342</v>
      </c>
      <c r="R224" s="117" t="s">
        <v>691</v>
      </c>
      <c r="S224" s="225" t="s">
        <v>466</v>
      </c>
      <c r="T224" s="224" t="s">
        <v>302</v>
      </c>
      <c r="U224" s="224" t="s">
        <v>719</v>
      </c>
      <c r="V224" s="224" t="s">
        <v>723</v>
      </c>
      <c r="W224" s="224" t="s">
        <v>724</v>
      </c>
      <c r="X224" s="52"/>
      <c r="Y224" s="221"/>
      <c r="Z224" s="52" t="s">
        <v>726</v>
      </c>
      <c r="AA224" s="221"/>
      <c r="AB224" s="52"/>
      <c r="AC224" s="63">
        <f t="shared" si="11"/>
        <v>0</v>
      </c>
      <c r="AD224" s="221" t="s">
        <v>217</v>
      </c>
      <c r="AE224" s="221" t="s">
        <v>217</v>
      </c>
      <c r="AF224" s="52" t="s">
        <v>225</v>
      </c>
      <c r="AG224" s="52"/>
      <c r="AH224" s="64"/>
      <c r="AI224" s="117"/>
      <c r="AJ224" s="221"/>
      <c r="AK224" s="221"/>
      <c r="AL224" s="117"/>
      <c r="AM224" s="221"/>
    </row>
    <row r="225" spans="1:16384" ht="12.75" hidden="1" customHeight="1">
      <c r="A225" s="147">
        <v>224</v>
      </c>
      <c r="B225" s="223">
        <v>196745</v>
      </c>
      <c r="C225" s="52" t="s">
        <v>121</v>
      </c>
      <c r="D225" s="57">
        <v>42887</v>
      </c>
      <c r="E225" s="58" t="s">
        <v>718</v>
      </c>
      <c r="F225" s="59">
        <v>42922</v>
      </c>
      <c r="G225" s="52">
        <f t="shared" si="10"/>
        <v>35</v>
      </c>
      <c r="H225" s="52" t="s">
        <v>363</v>
      </c>
      <c r="I225" s="222"/>
      <c r="J225" s="60" t="s">
        <v>614</v>
      </c>
      <c r="K225" s="94">
        <v>4799.04</v>
      </c>
      <c r="L225" s="94">
        <v>4799.04</v>
      </c>
      <c r="M225" s="96">
        <v>0</v>
      </c>
      <c r="N225" s="221"/>
      <c r="O225" s="93">
        <f t="shared" si="12"/>
        <v>4511.0976000000001</v>
      </c>
      <c r="P225" s="61" t="s">
        <v>264</v>
      </c>
      <c r="Q225" s="119" t="s">
        <v>1342</v>
      </c>
      <c r="R225" s="146" t="s">
        <v>122</v>
      </c>
      <c r="S225" s="225" t="s">
        <v>469</v>
      </c>
      <c r="T225" s="224" t="s">
        <v>164</v>
      </c>
      <c r="U225" s="224" t="s">
        <v>728</v>
      </c>
      <c r="V225" s="224" t="s">
        <v>249</v>
      </c>
      <c r="W225" s="224" t="s">
        <v>729</v>
      </c>
      <c r="X225" s="117"/>
      <c r="Y225" s="117"/>
      <c r="Z225" s="52" t="s">
        <v>253</v>
      </c>
      <c r="AA225" s="221"/>
      <c r="AB225" s="52"/>
      <c r="AC225" s="63">
        <f t="shared" si="11"/>
        <v>1</v>
      </c>
      <c r="AD225" s="221" t="s">
        <v>217</v>
      </c>
      <c r="AE225" s="52"/>
      <c r="AF225" s="52"/>
      <c r="AG225" s="52"/>
      <c r="AH225" s="105" t="s">
        <v>422</v>
      </c>
      <c r="AI225" s="117"/>
      <c r="AJ225" s="221"/>
      <c r="AK225" s="221"/>
      <c r="AL225" s="117"/>
      <c r="AM225" s="221"/>
    </row>
    <row r="226" spans="1:16384" ht="12.75" hidden="1" customHeight="1">
      <c r="A226" s="147">
        <v>225</v>
      </c>
      <c r="B226" s="223">
        <v>197353</v>
      </c>
      <c r="C226" s="52" t="s">
        <v>128</v>
      </c>
      <c r="D226" s="57">
        <v>42887</v>
      </c>
      <c r="E226" s="58" t="s">
        <v>718</v>
      </c>
      <c r="F226" s="59">
        <v>42921</v>
      </c>
      <c r="G226" s="221">
        <f t="shared" si="10"/>
        <v>34</v>
      </c>
      <c r="H226" s="52" t="s">
        <v>363</v>
      </c>
      <c r="I226" s="221"/>
      <c r="J226" s="60" t="s">
        <v>614</v>
      </c>
      <c r="K226" s="94">
        <v>1299</v>
      </c>
      <c r="L226" s="94">
        <v>1299</v>
      </c>
      <c r="M226" s="96">
        <v>0</v>
      </c>
      <c r="N226" s="221"/>
      <c r="O226" s="93">
        <f t="shared" si="12"/>
        <v>1221.06</v>
      </c>
      <c r="P226" s="61" t="s">
        <v>261</v>
      </c>
      <c r="Q226" s="119" t="s">
        <v>1341</v>
      </c>
      <c r="R226" s="117" t="s">
        <v>143</v>
      </c>
      <c r="S226" s="62" t="s">
        <v>465</v>
      </c>
      <c r="T226" s="224" t="s">
        <v>120</v>
      </c>
      <c r="U226" s="224" t="s">
        <v>722</v>
      </c>
      <c r="V226" s="224" t="s">
        <v>527</v>
      </c>
      <c r="W226" s="224">
        <v>240070640</v>
      </c>
      <c r="X226" s="52"/>
      <c r="Y226" s="146"/>
      <c r="Z226" s="52" t="s">
        <v>137</v>
      </c>
      <c r="AA226" s="221"/>
      <c r="AB226" s="52"/>
      <c r="AC226" s="63">
        <f t="shared" si="11"/>
        <v>1</v>
      </c>
      <c r="AD226" s="221" t="s">
        <v>217</v>
      </c>
      <c r="AE226" s="52"/>
      <c r="AF226" s="52"/>
      <c r="AG226" s="52"/>
      <c r="AH226" s="64" t="s">
        <v>443</v>
      </c>
      <c r="AI226" s="117"/>
      <c r="AJ226" s="221"/>
      <c r="AK226" s="221"/>
      <c r="AL226" s="117"/>
      <c r="AM226" s="221"/>
    </row>
    <row r="227" spans="1:16384" ht="12.75" hidden="1" customHeight="1">
      <c r="A227" s="147">
        <v>226</v>
      </c>
      <c r="B227" s="223">
        <v>197430</v>
      </c>
      <c r="C227" s="146" t="s">
        <v>128</v>
      </c>
      <c r="D227" s="57">
        <v>42887</v>
      </c>
      <c r="E227" s="58" t="s">
        <v>718</v>
      </c>
      <c r="F227" s="59">
        <v>42918</v>
      </c>
      <c r="G227" s="221">
        <f t="shared" si="10"/>
        <v>31</v>
      </c>
      <c r="H227" s="52" t="s">
        <v>133</v>
      </c>
      <c r="I227" s="221"/>
      <c r="J227" s="60" t="s">
        <v>614</v>
      </c>
      <c r="K227" s="94">
        <v>2099</v>
      </c>
      <c r="L227" s="94">
        <v>2099</v>
      </c>
      <c r="M227" s="221">
        <v>580</v>
      </c>
      <c r="N227" s="221">
        <v>107.1</v>
      </c>
      <c r="O227" s="93">
        <f t="shared" si="12"/>
        <v>1393.06</v>
      </c>
      <c r="P227" s="224" t="s">
        <v>262</v>
      </c>
      <c r="Q227" s="119" t="s">
        <v>1342</v>
      </c>
      <c r="R227" s="221" t="s">
        <v>691</v>
      </c>
      <c r="S227" s="225" t="s">
        <v>466</v>
      </c>
      <c r="T227" s="221" t="s">
        <v>405</v>
      </c>
      <c r="U227" s="224" t="s">
        <v>543</v>
      </c>
      <c r="V227" s="148" t="s">
        <v>257</v>
      </c>
      <c r="W227" s="224">
        <v>45103412010</v>
      </c>
      <c r="X227" s="117"/>
      <c r="Y227" s="221" t="s">
        <v>316</v>
      </c>
      <c r="Z227" s="117" t="s">
        <v>339</v>
      </c>
      <c r="AA227" s="222">
        <v>42891</v>
      </c>
      <c r="AB227" s="117" t="s">
        <v>140</v>
      </c>
      <c r="AC227" s="63">
        <f t="shared" si="11"/>
        <v>1</v>
      </c>
      <c r="AD227" s="221" t="s">
        <v>217</v>
      </c>
      <c r="AE227" s="221" t="s">
        <v>218</v>
      </c>
      <c r="AF227" s="117"/>
      <c r="AG227" s="117" t="s">
        <v>142</v>
      </c>
      <c r="AH227" s="64"/>
      <c r="AI227" s="117" t="s">
        <v>184</v>
      </c>
      <c r="AJ227" s="221"/>
      <c r="AK227" s="225" t="s">
        <v>900</v>
      </c>
      <c r="AL227" s="117" t="s">
        <v>645</v>
      </c>
      <c r="AM227" s="101"/>
      <c r="AN227" s="122"/>
      <c r="AO227" s="122"/>
      <c r="AP227" s="122"/>
      <c r="AQ227" s="122"/>
      <c r="AR227" s="122"/>
      <c r="AS227" s="122"/>
      <c r="AT227" s="122"/>
      <c r="AU227" s="122"/>
      <c r="AV227" s="122"/>
      <c r="AW227" s="122"/>
      <c r="AX227" s="122"/>
      <c r="AY227" s="122"/>
      <c r="AZ227" s="122"/>
      <c r="BA227" s="122"/>
      <c r="BB227" s="122"/>
      <c r="BC227" s="122"/>
      <c r="BD227" s="122"/>
      <c r="BE227" s="122"/>
      <c r="BF227" s="122"/>
      <c r="BG227" s="122"/>
      <c r="BH227" s="122"/>
      <c r="BI227" s="122"/>
      <c r="BJ227" s="122"/>
      <c r="BK227" s="122"/>
      <c r="BL227" s="122"/>
      <c r="BM227" s="122"/>
      <c r="BN227" s="122"/>
      <c r="BO227" s="122"/>
      <c r="BP227" s="122"/>
      <c r="BQ227" s="122"/>
      <c r="BR227" s="122"/>
      <c r="BS227" s="122"/>
      <c r="BT227" s="122"/>
      <c r="BU227" s="122"/>
      <c r="BV227" s="122"/>
      <c r="BW227" s="120"/>
      <c r="BX227" s="111"/>
      <c r="BY227" s="111"/>
      <c r="BZ227" s="111"/>
      <c r="CA227" s="111"/>
      <c r="CB227" s="111"/>
      <c r="CC227" s="111"/>
      <c r="CD227" s="111"/>
      <c r="CE227" s="111"/>
      <c r="CF227" s="111"/>
      <c r="CG227" s="111"/>
      <c r="CH227" s="111"/>
      <c r="CI227" s="111"/>
      <c r="CJ227" s="111"/>
      <c r="CK227" s="111"/>
      <c r="CL227" s="111"/>
      <c r="CM227" s="111"/>
      <c r="CN227" s="111"/>
      <c r="CO227" s="111"/>
      <c r="CP227" s="111"/>
      <c r="CQ227" s="111"/>
      <c r="CR227" s="111"/>
      <c r="CS227" s="111"/>
      <c r="CT227" s="111"/>
      <c r="CU227" s="111"/>
      <c r="CV227" s="111"/>
      <c r="CW227" s="111"/>
      <c r="CX227" s="111"/>
      <c r="CY227" s="111"/>
      <c r="CZ227" s="111"/>
      <c r="DA227" s="111"/>
      <c r="DB227" s="111"/>
      <c r="DC227" s="111"/>
      <c r="DD227" s="111"/>
      <c r="DE227" s="111"/>
      <c r="DF227" s="111"/>
      <c r="DG227" s="111"/>
      <c r="DH227" s="111"/>
      <c r="DI227" s="111"/>
      <c r="DJ227" s="111"/>
      <c r="DK227" s="111"/>
      <c r="DL227" s="111"/>
      <c r="DM227" s="111"/>
      <c r="DN227" s="111"/>
      <c r="DO227" s="111"/>
      <c r="DP227" s="111"/>
      <c r="DQ227" s="111"/>
      <c r="DR227" s="111"/>
      <c r="DS227" s="111"/>
      <c r="DT227" s="111"/>
      <c r="DU227" s="111"/>
      <c r="DV227" s="111"/>
      <c r="DW227" s="111"/>
      <c r="DX227" s="111"/>
      <c r="DY227" s="111"/>
      <c r="DZ227" s="111"/>
      <c r="EA227" s="111"/>
      <c r="EB227" s="111"/>
      <c r="EC227" s="111"/>
      <c r="ED227" s="111"/>
      <c r="EE227" s="111"/>
      <c r="EF227" s="111"/>
      <c r="EG227" s="111"/>
      <c r="EH227" s="111"/>
      <c r="EI227" s="111"/>
      <c r="EJ227" s="111"/>
      <c r="EK227" s="111"/>
      <c r="EL227" s="111"/>
      <c r="EM227" s="111"/>
      <c r="EN227" s="111"/>
      <c r="EO227" s="111"/>
      <c r="EP227" s="111"/>
      <c r="EQ227" s="111"/>
      <c r="ER227" s="111"/>
      <c r="ES227" s="111"/>
      <c r="ET227" s="111"/>
      <c r="EU227" s="111"/>
      <c r="EV227" s="111"/>
      <c r="EW227" s="111"/>
      <c r="EX227" s="111"/>
      <c r="EY227" s="111"/>
      <c r="EZ227" s="111"/>
      <c r="FA227" s="111"/>
      <c r="FB227" s="111"/>
      <c r="FC227" s="111"/>
      <c r="FD227" s="111"/>
      <c r="FE227" s="111"/>
      <c r="FF227" s="111"/>
      <c r="FG227" s="111"/>
      <c r="FH227" s="111"/>
      <c r="FI227" s="111"/>
      <c r="FJ227" s="111"/>
      <c r="FK227" s="111"/>
      <c r="FL227" s="111"/>
      <c r="FM227" s="111"/>
      <c r="FN227" s="111"/>
      <c r="FO227" s="111"/>
      <c r="FP227" s="111"/>
      <c r="FQ227" s="111"/>
      <c r="FR227" s="111"/>
      <c r="FS227" s="111"/>
      <c r="FT227" s="111"/>
      <c r="FU227" s="111"/>
      <c r="FV227" s="111"/>
      <c r="FW227" s="111"/>
      <c r="FX227" s="111"/>
      <c r="FY227" s="111"/>
      <c r="FZ227" s="111"/>
      <c r="GA227" s="111"/>
      <c r="GB227" s="111"/>
      <c r="GC227" s="111"/>
      <c r="GD227" s="111"/>
      <c r="GE227" s="111"/>
      <c r="GF227" s="111"/>
      <c r="GG227" s="111"/>
      <c r="GH227" s="111"/>
      <c r="GI227" s="111"/>
      <c r="GJ227" s="111"/>
      <c r="GK227" s="111"/>
      <c r="GL227" s="111"/>
      <c r="GM227" s="111"/>
      <c r="GN227" s="111"/>
      <c r="GO227" s="111"/>
      <c r="GP227" s="111"/>
      <c r="GQ227" s="111"/>
      <c r="GR227" s="111"/>
      <c r="GS227" s="111"/>
      <c r="GT227" s="111"/>
      <c r="GU227" s="111"/>
      <c r="GV227" s="111"/>
      <c r="GW227" s="111"/>
      <c r="GX227" s="111"/>
      <c r="GY227" s="111"/>
      <c r="GZ227" s="111"/>
      <c r="HA227" s="111"/>
      <c r="HB227" s="111"/>
      <c r="HC227" s="111"/>
      <c r="HD227" s="111"/>
      <c r="HE227" s="111"/>
      <c r="HF227" s="111"/>
      <c r="HG227" s="111"/>
      <c r="HH227" s="111"/>
      <c r="HI227" s="111"/>
      <c r="HJ227" s="111"/>
      <c r="HK227" s="111"/>
      <c r="HL227" s="111"/>
      <c r="HM227" s="111"/>
      <c r="HN227" s="111"/>
      <c r="HO227" s="111"/>
      <c r="HP227" s="111"/>
      <c r="HQ227" s="111"/>
      <c r="HR227" s="111"/>
      <c r="HS227" s="111"/>
      <c r="HT227" s="111"/>
      <c r="HU227" s="111"/>
      <c r="HV227" s="111"/>
      <c r="HW227" s="111"/>
      <c r="HX227" s="111"/>
      <c r="HY227" s="111"/>
      <c r="HZ227" s="111"/>
      <c r="IA227" s="111"/>
      <c r="IB227" s="111"/>
      <c r="IC227" s="111"/>
      <c r="ID227" s="111"/>
      <c r="IE227" s="111"/>
      <c r="IF227" s="111"/>
      <c r="IG227" s="111"/>
      <c r="IH227" s="111"/>
      <c r="II227" s="111"/>
      <c r="IJ227" s="111"/>
      <c r="IK227" s="111"/>
      <c r="IL227" s="111"/>
      <c r="IM227" s="111"/>
      <c r="IN227" s="111"/>
      <c r="IO227" s="111"/>
      <c r="IP227" s="111"/>
      <c r="IQ227" s="111"/>
      <c r="IR227" s="111"/>
      <c r="IS227" s="111"/>
      <c r="IT227" s="111"/>
      <c r="IU227" s="111"/>
      <c r="IV227" s="111"/>
      <c r="IW227" s="111"/>
      <c r="IX227" s="111"/>
      <c r="IY227" s="111"/>
      <c r="IZ227" s="111"/>
      <c r="JA227" s="111"/>
      <c r="JB227" s="111"/>
      <c r="JC227" s="111"/>
      <c r="JD227" s="111"/>
      <c r="JE227" s="111"/>
      <c r="JF227" s="111"/>
      <c r="JG227" s="111"/>
      <c r="JH227" s="111"/>
      <c r="JI227" s="111"/>
      <c r="JJ227" s="111"/>
      <c r="JK227" s="111"/>
      <c r="JL227" s="111"/>
      <c r="JM227" s="111"/>
      <c r="JN227" s="111"/>
      <c r="JO227" s="111"/>
      <c r="JP227" s="111"/>
      <c r="JQ227" s="111"/>
      <c r="JR227" s="111"/>
      <c r="JS227" s="111"/>
      <c r="JT227" s="111"/>
      <c r="JU227" s="111"/>
      <c r="JV227" s="111"/>
      <c r="JW227" s="111"/>
      <c r="JX227" s="111"/>
      <c r="JY227" s="111"/>
      <c r="JZ227" s="111"/>
      <c r="KA227" s="111"/>
      <c r="KB227" s="111"/>
      <c r="KC227" s="111"/>
      <c r="KD227" s="111"/>
      <c r="KE227" s="111"/>
      <c r="KF227" s="111"/>
      <c r="KG227" s="111"/>
      <c r="KH227" s="111"/>
      <c r="KI227" s="111"/>
      <c r="KJ227" s="111"/>
      <c r="KK227" s="111"/>
      <c r="KL227" s="111"/>
      <c r="KM227" s="111"/>
      <c r="KN227" s="111"/>
      <c r="KO227" s="111"/>
      <c r="KP227" s="111"/>
      <c r="KQ227" s="111"/>
      <c r="KR227" s="111"/>
      <c r="KS227" s="111"/>
      <c r="KT227" s="111"/>
      <c r="KU227" s="111"/>
      <c r="KV227" s="111"/>
      <c r="KW227" s="111"/>
      <c r="KX227" s="111"/>
      <c r="KY227" s="111"/>
      <c r="KZ227" s="111"/>
      <c r="LA227" s="111"/>
      <c r="LB227" s="111"/>
      <c r="LC227" s="111"/>
      <c r="LD227" s="111"/>
      <c r="LE227" s="111"/>
      <c r="LF227" s="111"/>
      <c r="LG227" s="111"/>
      <c r="LH227" s="111"/>
      <c r="LI227" s="111"/>
      <c r="LJ227" s="111"/>
      <c r="LK227" s="111"/>
      <c r="LL227" s="111"/>
      <c r="LM227" s="111"/>
      <c r="LN227" s="111"/>
      <c r="LO227" s="111"/>
      <c r="LP227" s="111"/>
      <c r="LQ227" s="111"/>
      <c r="LR227" s="111"/>
      <c r="LS227" s="111"/>
      <c r="LT227" s="111"/>
      <c r="LU227" s="111"/>
      <c r="LV227" s="111"/>
      <c r="LW227" s="111"/>
      <c r="LX227" s="111"/>
      <c r="LY227" s="111"/>
      <c r="LZ227" s="111"/>
      <c r="MA227" s="111"/>
      <c r="MB227" s="111"/>
      <c r="MC227" s="111"/>
      <c r="MD227" s="111"/>
      <c r="ME227" s="111"/>
      <c r="MF227" s="111"/>
      <c r="MG227" s="111"/>
      <c r="MH227" s="111"/>
      <c r="MI227" s="111"/>
      <c r="MJ227" s="111"/>
      <c r="MK227" s="111"/>
      <c r="ML227" s="111"/>
      <c r="MM227" s="111"/>
      <c r="MN227" s="111"/>
      <c r="MO227" s="111"/>
      <c r="MP227" s="111"/>
      <c r="MQ227" s="111"/>
      <c r="MR227" s="111"/>
      <c r="MS227" s="111"/>
      <c r="MT227" s="111"/>
      <c r="MU227" s="111"/>
      <c r="MV227" s="111"/>
      <c r="MW227" s="111"/>
      <c r="MX227" s="111"/>
      <c r="MY227" s="111"/>
      <c r="MZ227" s="111"/>
      <c r="NA227" s="111"/>
      <c r="NB227" s="111"/>
      <c r="NC227" s="111"/>
      <c r="ND227" s="111"/>
      <c r="NE227" s="111"/>
      <c r="NF227" s="111"/>
      <c r="NG227" s="111"/>
      <c r="NH227" s="111"/>
      <c r="NI227" s="111"/>
      <c r="NJ227" s="111"/>
      <c r="NK227" s="111"/>
      <c r="NL227" s="111"/>
      <c r="NM227" s="111"/>
      <c r="NN227" s="111"/>
      <c r="NO227" s="111"/>
      <c r="NP227" s="111"/>
      <c r="NQ227" s="111"/>
      <c r="NR227" s="111"/>
      <c r="NS227" s="111"/>
      <c r="NT227" s="111"/>
      <c r="NU227" s="111"/>
      <c r="NV227" s="111"/>
      <c r="NW227" s="111"/>
      <c r="NX227" s="111"/>
      <c r="NY227" s="111"/>
      <c r="NZ227" s="111"/>
      <c r="OA227" s="111"/>
      <c r="OB227" s="111"/>
      <c r="OC227" s="111"/>
      <c r="OD227" s="111"/>
      <c r="OE227" s="111"/>
      <c r="OF227" s="111"/>
      <c r="OG227" s="111"/>
      <c r="OH227" s="111"/>
      <c r="OI227" s="111"/>
      <c r="OJ227" s="111"/>
      <c r="OK227" s="111"/>
      <c r="OL227" s="111"/>
      <c r="OM227" s="111"/>
      <c r="ON227" s="111"/>
      <c r="OO227" s="111"/>
      <c r="OP227" s="111"/>
      <c r="OQ227" s="111"/>
      <c r="OR227" s="111"/>
      <c r="OS227" s="111"/>
      <c r="OT227" s="111"/>
      <c r="OU227" s="111"/>
      <c r="OV227" s="111"/>
      <c r="OW227" s="111"/>
      <c r="OX227" s="111"/>
      <c r="OY227" s="111"/>
      <c r="OZ227" s="111"/>
      <c r="PA227" s="111"/>
      <c r="PB227" s="111"/>
      <c r="PC227" s="111"/>
      <c r="PD227" s="111"/>
      <c r="PE227" s="111"/>
      <c r="PF227" s="111"/>
      <c r="PG227" s="111"/>
      <c r="PH227" s="111"/>
      <c r="PI227" s="111"/>
      <c r="PJ227" s="111"/>
      <c r="PK227" s="111"/>
      <c r="PL227" s="111"/>
      <c r="PM227" s="111"/>
      <c r="PN227" s="111"/>
      <c r="PO227" s="111"/>
      <c r="PP227" s="111"/>
      <c r="PQ227" s="111"/>
      <c r="PR227" s="111"/>
      <c r="PS227" s="111"/>
      <c r="PT227" s="111"/>
      <c r="PU227" s="111"/>
      <c r="PV227" s="111"/>
      <c r="PW227" s="111"/>
      <c r="PX227" s="111"/>
      <c r="PY227" s="111"/>
      <c r="PZ227" s="111"/>
      <c r="QA227" s="111"/>
      <c r="QB227" s="111"/>
      <c r="QC227" s="111"/>
      <c r="QD227" s="111"/>
      <c r="QE227" s="111"/>
      <c r="QF227" s="111"/>
      <c r="QG227" s="111"/>
      <c r="QH227" s="111"/>
      <c r="QI227" s="111"/>
      <c r="QJ227" s="111"/>
      <c r="QK227" s="111"/>
      <c r="QL227" s="111"/>
      <c r="QM227" s="111"/>
      <c r="QN227" s="111"/>
      <c r="QO227" s="111"/>
      <c r="QP227" s="111"/>
      <c r="QQ227" s="111"/>
      <c r="QR227" s="111"/>
      <c r="QS227" s="111"/>
      <c r="QT227" s="111"/>
      <c r="QU227" s="111"/>
      <c r="QV227" s="111"/>
      <c r="QW227" s="111"/>
      <c r="QX227" s="111"/>
      <c r="QY227" s="111"/>
      <c r="QZ227" s="111"/>
      <c r="RA227" s="111"/>
      <c r="RB227" s="111"/>
      <c r="RC227" s="111"/>
      <c r="RD227" s="111"/>
      <c r="RE227" s="111"/>
      <c r="RF227" s="111"/>
      <c r="RG227" s="111"/>
      <c r="RH227" s="111"/>
      <c r="RI227" s="111"/>
      <c r="RJ227" s="111"/>
      <c r="RK227" s="111"/>
      <c r="RL227" s="111"/>
      <c r="RM227" s="111"/>
      <c r="RN227" s="111"/>
      <c r="RO227" s="111"/>
      <c r="RP227" s="111"/>
      <c r="RQ227" s="111"/>
      <c r="RR227" s="111"/>
      <c r="RS227" s="111"/>
      <c r="RT227" s="111"/>
      <c r="RU227" s="111"/>
      <c r="RV227" s="111"/>
      <c r="RW227" s="111"/>
      <c r="RX227" s="111"/>
      <c r="RY227" s="111"/>
      <c r="RZ227" s="111"/>
      <c r="SA227" s="111"/>
      <c r="SB227" s="111"/>
      <c r="SC227" s="111"/>
      <c r="SD227" s="111"/>
      <c r="SE227" s="111"/>
      <c r="SF227" s="111"/>
      <c r="SG227" s="111"/>
      <c r="SH227" s="111"/>
      <c r="SI227" s="111"/>
      <c r="SJ227" s="111"/>
      <c r="SK227" s="111"/>
      <c r="SL227" s="111"/>
      <c r="SM227" s="111"/>
      <c r="SN227" s="111"/>
      <c r="SO227" s="111"/>
      <c r="SP227" s="111"/>
      <c r="SQ227" s="111"/>
      <c r="SR227" s="111"/>
      <c r="SS227" s="111"/>
      <c r="ST227" s="111"/>
      <c r="SU227" s="111"/>
      <c r="SV227" s="111"/>
      <c r="SW227" s="111"/>
      <c r="SX227" s="111"/>
      <c r="SY227" s="111"/>
      <c r="SZ227" s="111"/>
      <c r="TA227" s="111"/>
      <c r="TB227" s="111"/>
      <c r="TC227" s="111"/>
      <c r="TD227" s="111"/>
      <c r="TE227" s="111"/>
      <c r="TF227" s="111"/>
      <c r="TG227" s="111"/>
      <c r="TH227" s="111"/>
      <c r="TI227" s="111"/>
      <c r="TJ227" s="111"/>
      <c r="TK227" s="111"/>
      <c r="TL227" s="111"/>
      <c r="TM227" s="111"/>
      <c r="TN227" s="111"/>
      <c r="TO227" s="111"/>
      <c r="TP227" s="111"/>
      <c r="TQ227" s="111"/>
      <c r="TR227" s="111"/>
      <c r="TS227" s="111"/>
      <c r="TT227" s="111"/>
      <c r="TU227" s="111"/>
      <c r="TV227" s="111"/>
      <c r="TW227" s="111"/>
      <c r="TX227" s="111"/>
      <c r="TY227" s="111"/>
      <c r="TZ227" s="111"/>
      <c r="UA227" s="111"/>
      <c r="UB227" s="111"/>
      <c r="UC227" s="111"/>
      <c r="UD227" s="111"/>
      <c r="UE227" s="111"/>
      <c r="UF227" s="111"/>
      <c r="UG227" s="111"/>
      <c r="UH227" s="111"/>
      <c r="UI227" s="111"/>
      <c r="UJ227" s="111"/>
      <c r="UK227" s="111"/>
      <c r="UL227" s="111"/>
      <c r="UM227" s="111"/>
      <c r="UN227" s="111"/>
      <c r="UO227" s="111"/>
      <c r="UP227" s="111"/>
      <c r="UQ227" s="111"/>
      <c r="UR227" s="111"/>
      <c r="US227" s="111"/>
      <c r="UT227" s="111"/>
      <c r="UU227" s="111"/>
      <c r="UV227" s="111"/>
      <c r="UW227" s="111"/>
      <c r="UX227" s="111"/>
      <c r="UY227" s="111"/>
      <c r="UZ227" s="111"/>
      <c r="VA227" s="111"/>
      <c r="VB227" s="111"/>
      <c r="VC227" s="111"/>
      <c r="VD227" s="111"/>
      <c r="VE227" s="111"/>
      <c r="VF227" s="111"/>
      <c r="VG227" s="111"/>
      <c r="VH227" s="111"/>
      <c r="VI227" s="111"/>
      <c r="VJ227" s="111"/>
      <c r="VK227" s="111"/>
      <c r="VL227" s="111"/>
      <c r="VM227" s="111"/>
      <c r="VN227" s="111"/>
      <c r="VO227" s="111"/>
      <c r="VP227" s="111"/>
      <c r="VQ227" s="111"/>
      <c r="VR227" s="111"/>
      <c r="VS227" s="111"/>
      <c r="VT227" s="111"/>
      <c r="VU227" s="111"/>
      <c r="VV227" s="111"/>
      <c r="VW227" s="111"/>
      <c r="VX227" s="111"/>
      <c r="VY227" s="111"/>
      <c r="VZ227" s="111"/>
      <c r="WA227" s="111"/>
      <c r="WB227" s="111"/>
      <c r="WC227" s="111"/>
      <c r="WD227" s="111"/>
      <c r="WE227" s="111"/>
      <c r="WF227" s="111"/>
      <c r="WG227" s="111"/>
      <c r="WH227" s="111"/>
      <c r="WI227" s="111"/>
      <c r="WJ227" s="111"/>
      <c r="WK227" s="111"/>
      <c r="WL227" s="111"/>
      <c r="WM227" s="111"/>
      <c r="WN227" s="111"/>
      <c r="WO227" s="111"/>
      <c r="WP227" s="111"/>
      <c r="WQ227" s="111"/>
      <c r="WR227" s="111"/>
      <c r="WS227" s="111"/>
      <c r="WT227" s="111"/>
      <c r="WU227" s="111"/>
      <c r="WV227" s="111"/>
      <c r="WW227" s="111"/>
      <c r="WX227" s="111"/>
      <c r="WY227" s="111"/>
      <c r="WZ227" s="111"/>
      <c r="XA227" s="111"/>
      <c r="XB227" s="111"/>
      <c r="XC227" s="111"/>
      <c r="XD227" s="111"/>
      <c r="XE227" s="111"/>
      <c r="XF227" s="111"/>
      <c r="XG227" s="111"/>
      <c r="XH227" s="111"/>
      <c r="XI227" s="111"/>
      <c r="XJ227" s="111"/>
      <c r="XK227" s="111"/>
      <c r="XL227" s="111"/>
      <c r="XM227" s="111"/>
      <c r="XN227" s="111"/>
      <c r="XO227" s="111"/>
      <c r="XP227" s="111"/>
      <c r="XQ227" s="111"/>
      <c r="XR227" s="111"/>
      <c r="XS227" s="111"/>
      <c r="XT227" s="111"/>
      <c r="XU227" s="111"/>
      <c r="XV227" s="111"/>
      <c r="XW227" s="111"/>
      <c r="XX227" s="111"/>
      <c r="XY227" s="111"/>
      <c r="XZ227" s="111"/>
      <c r="YA227" s="111"/>
      <c r="YB227" s="111"/>
      <c r="YC227" s="111"/>
      <c r="YD227" s="111"/>
      <c r="YE227" s="111"/>
      <c r="YF227" s="111"/>
      <c r="YG227" s="111"/>
      <c r="YH227" s="111"/>
      <c r="YI227" s="111"/>
      <c r="YJ227" s="111"/>
      <c r="YK227" s="111"/>
      <c r="YL227" s="111"/>
      <c r="YM227" s="111"/>
      <c r="YN227" s="111"/>
      <c r="YO227" s="111"/>
      <c r="YP227" s="111"/>
      <c r="YQ227" s="111"/>
      <c r="YR227" s="111"/>
      <c r="YS227" s="111"/>
      <c r="YT227" s="111"/>
      <c r="YU227" s="111"/>
      <c r="YV227" s="111"/>
      <c r="YW227" s="111"/>
      <c r="YX227" s="111"/>
      <c r="YY227" s="111"/>
      <c r="YZ227" s="111"/>
      <c r="ZA227" s="111"/>
      <c r="ZB227" s="111"/>
      <c r="ZC227" s="111"/>
      <c r="ZD227" s="111"/>
      <c r="ZE227" s="111"/>
      <c r="ZF227" s="111"/>
      <c r="ZG227" s="111"/>
      <c r="ZH227" s="111"/>
      <c r="ZI227" s="111"/>
      <c r="ZJ227" s="111"/>
      <c r="ZK227" s="111"/>
      <c r="ZL227" s="111"/>
      <c r="ZM227" s="111"/>
      <c r="ZN227" s="111"/>
      <c r="ZO227" s="111"/>
      <c r="ZP227" s="111"/>
      <c r="ZQ227" s="111"/>
      <c r="ZR227" s="111"/>
      <c r="ZS227" s="111"/>
      <c r="ZT227" s="111"/>
      <c r="ZU227" s="111"/>
      <c r="ZV227" s="111"/>
      <c r="ZW227" s="111"/>
      <c r="ZX227" s="111"/>
      <c r="ZY227" s="111"/>
      <c r="ZZ227" s="111"/>
      <c r="AAA227" s="111"/>
      <c r="AAB227" s="111"/>
      <c r="AAC227" s="111"/>
      <c r="AAD227" s="111"/>
      <c r="AAE227" s="111"/>
      <c r="AAF227" s="111"/>
      <c r="AAG227" s="111"/>
      <c r="AAH227" s="111"/>
      <c r="AAI227" s="111"/>
      <c r="AAJ227" s="111"/>
      <c r="AAK227" s="111"/>
      <c r="AAL227" s="111"/>
      <c r="AAM227" s="111"/>
      <c r="AAN227" s="111"/>
      <c r="AAO227" s="111"/>
      <c r="AAP227" s="111"/>
      <c r="AAQ227" s="111"/>
      <c r="AAR227" s="111"/>
      <c r="AAS227" s="111"/>
      <c r="AAT227" s="111"/>
      <c r="AAU227" s="111"/>
      <c r="AAV227" s="111"/>
      <c r="AAW227" s="111"/>
      <c r="AAX227" s="111"/>
      <c r="AAY227" s="111"/>
      <c r="AAZ227" s="111"/>
      <c r="ABA227" s="111"/>
      <c r="ABB227" s="111"/>
      <c r="ABC227" s="111"/>
      <c r="ABD227" s="111"/>
      <c r="ABE227" s="111"/>
      <c r="ABF227" s="111"/>
      <c r="ABG227" s="111"/>
      <c r="ABH227" s="111"/>
      <c r="ABI227" s="111"/>
      <c r="ABJ227" s="111"/>
      <c r="ABK227" s="111"/>
      <c r="ABL227" s="111"/>
      <c r="ABM227" s="111"/>
      <c r="ABN227" s="111"/>
      <c r="ABO227" s="111"/>
      <c r="ABP227" s="111"/>
      <c r="ABQ227" s="111"/>
      <c r="ABR227" s="111"/>
      <c r="ABS227" s="111"/>
      <c r="ABT227" s="111"/>
      <c r="ABU227" s="111"/>
      <c r="ABV227" s="111"/>
      <c r="ABW227" s="111"/>
      <c r="ABX227" s="111"/>
      <c r="ABY227" s="111"/>
      <c r="ABZ227" s="111"/>
      <c r="ACA227" s="111"/>
      <c r="ACB227" s="111"/>
      <c r="ACC227" s="111"/>
      <c r="ACD227" s="111"/>
      <c r="ACE227" s="111"/>
      <c r="ACF227" s="111"/>
      <c r="ACG227" s="111"/>
      <c r="ACH227" s="111"/>
      <c r="ACI227" s="111"/>
      <c r="ACJ227" s="111"/>
      <c r="ACK227" s="111"/>
      <c r="ACL227" s="111"/>
      <c r="ACM227" s="111"/>
      <c r="ACN227" s="111"/>
      <c r="ACO227" s="111"/>
      <c r="ACP227" s="111"/>
      <c r="ACQ227" s="111"/>
      <c r="ACR227" s="111"/>
      <c r="ACS227" s="111"/>
      <c r="ACT227" s="111"/>
      <c r="ACU227" s="111"/>
      <c r="ACV227" s="111"/>
      <c r="ACW227" s="111"/>
      <c r="ACX227" s="111"/>
      <c r="ACY227" s="111"/>
      <c r="ACZ227" s="111"/>
      <c r="ADA227" s="111"/>
      <c r="ADB227" s="111"/>
      <c r="ADC227" s="111"/>
      <c r="ADD227" s="111"/>
      <c r="ADE227" s="111"/>
      <c r="ADF227" s="111"/>
      <c r="ADG227" s="111"/>
      <c r="ADH227" s="111"/>
      <c r="ADI227" s="111"/>
      <c r="ADJ227" s="111"/>
      <c r="ADK227" s="111"/>
      <c r="ADL227" s="111"/>
      <c r="ADM227" s="111"/>
      <c r="ADN227" s="111"/>
      <c r="ADO227" s="111"/>
      <c r="ADP227" s="111"/>
      <c r="ADQ227" s="111"/>
      <c r="ADR227" s="111"/>
      <c r="ADS227" s="111"/>
      <c r="ADT227" s="111"/>
      <c r="ADU227" s="111"/>
      <c r="ADV227" s="111"/>
      <c r="ADW227" s="111"/>
      <c r="ADX227" s="111"/>
      <c r="ADY227" s="111"/>
      <c r="ADZ227" s="111"/>
      <c r="AEA227" s="111"/>
      <c r="AEB227" s="111"/>
      <c r="AEC227" s="111"/>
      <c r="AED227" s="111"/>
      <c r="AEE227" s="111"/>
      <c r="AEF227" s="111"/>
      <c r="AEG227" s="111"/>
      <c r="AEH227" s="111"/>
      <c r="AEI227" s="111"/>
      <c r="AEJ227" s="111"/>
      <c r="AEK227" s="111"/>
      <c r="AEL227" s="111"/>
      <c r="AEM227" s="111"/>
      <c r="AEN227" s="111"/>
      <c r="AEO227" s="111"/>
      <c r="AEP227" s="111"/>
      <c r="AEQ227" s="111"/>
      <c r="AER227" s="111"/>
      <c r="AES227" s="111"/>
      <c r="AET227" s="111"/>
      <c r="AEU227" s="111"/>
      <c r="AEV227" s="111"/>
      <c r="AEW227" s="111"/>
      <c r="AEX227" s="111"/>
      <c r="AEY227" s="111"/>
      <c r="AEZ227" s="111"/>
      <c r="AFA227" s="111"/>
      <c r="AFB227" s="111"/>
      <c r="AFC227" s="111"/>
      <c r="AFD227" s="111"/>
      <c r="AFE227" s="111"/>
      <c r="AFF227" s="111"/>
      <c r="AFG227" s="111"/>
      <c r="AFH227" s="111"/>
      <c r="AFI227" s="111"/>
      <c r="AFJ227" s="111"/>
      <c r="AFK227" s="111"/>
      <c r="AFL227" s="111"/>
      <c r="AFM227" s="111"/>
      <c r="AFN227" s="111"/>
      <c r="AFO227" s="111"/>
      <c r="AFP227" s="111"/>
      <c r="AFQ227" s="111"/>
      <c r="AFR227" s="111"/>
      <c r="AFS227" s="111"/>
      <c r="AFT227" s="111"/>
      <c r="AFU227" s="111"/>
      <c r="AFV227" s="111"/>
      <c r="AFW227" s="111"/>
      <c r="AFX227" s="111"/>
      <c r="AFY227" s="111"/>
      <c r="AFZ227" s="111"/>
      <c r="AGA227" s="111"/>
      <c r="AGB227" s="111"/>
      <c r="AGC227" s="111"/>
      <c r="AGD227" s="111"/>
      <c r="AGE227" s="111"/>
      <c r="AGF227" s="111"/>
      <c r="AGG227" s="111"/>
      <c r="AGH227" s="111"/>
      <c r="AGI227" s="111"/>
      <c r="AGJ227" s="111"/>
      <c r="AGK227" s="111"/>
      <c r="AGL227" s="111"/>
      <c r="AGM227" s="111"/>
      <c r="AGN227" s="111"/>
      <c r="AGO227" s="111"/>
      <c r="AGP227" s="111"/>
      <c r="AGQ227" s="111"/>
      <c r="AGR227" s="111"/>
      <c r="AGS227" s="111"/>
      <c r="AGT227" s="111"/>
      <c r="AGU227" s="111"/>
      <c r="AGV227" s="111"/>
      <c r="AGW227" s="111"/>
      <c r="AGX227" s="111"/>
      <c r="AGY227" s="111"/>
      <c r="AGZ227" s="111"/>
      <c r="AHA227" s="111"/>
      <c r="AHB227" s="111"/>
      <c r="AHC227" s="111"/>
      <c r="AHD227" s="111"/>
      <c r="AHE227" s="111"/>
      <c r="AHF227" s="111"/>
      <c r="AHG227" s="111"/>
      <c r="AHH227" s="111"/>
      <c r="AHI227" s="111"/>
      <c r="AHJ227" s="111"/>
      <c r="AHK227" s="111"/>
      <c r="AHL227" s="111"/>
      <c r="AHM227" s="111"/>
      <c r="AHN227" s="111"/>
      <c r="AHO227" s="111"/>
      <c r="AHP227" s="111"/>
      <c r="AHQ227" s="111"/>
      <c r="AHR227" s="111"/>
      <c r="AHS227" s="111"/>
      <c r="AHT227" s="111"/>
      <c r="AHU227" s="111"/>
      <c r="AHV227" s="111"/>
      <c r="AHW227" s="111"/>
      <c r="AHX227" s="111"/>
      <c r="AHY227" s="111"/>
      <c r="AHZ227" s="111"/>
      <c r="AIA227" s="111"/>
      <c r="AIB227" s="111"/>
      <c r="AIC227" s="111"/>
      <c r="AID227" s="111"/>
      <c r="AIE227" s="111"/>
      <c r="AIF227" s="111"/>
      <c r="AIG227" s="111"/>
      <c r="AIH227" s="111"/>
      <c r="AII227" s="111"/>
      <c r="AIJ227" s="111"/>
      <c r="AIK227" s="111"/>
      <c r="AIL227" s="111"/>
      <c r="AIM227" s="111"/>
      <c r="AIN227" s="111"/>
      <c r="AIO227" s="111"/>
      <c r="AIP227" s="111"/>
      <c r="AIQ227" s="111"/>
      <c r="AIR227" s="111"/>
      <c r="AIS227" s="111"/>
      <c r="AIT227" s="111"/>
      <c r="AIU227" s="111"/>
      <c r="AIV227" s="111"/>
      <c r="AIW227" s="111"/>
      <c r="AIX227" s="111"/>
      <c r="AIY227" s="111"/>
      <c r="AIZ227" s="111"/>
      <c r="AJA227" s="111"/>
      <c r="AJB227" s="111"/>
      <c r="AJC227" s="111"/>
      <c r="AJD227" s="111"/>
      <c r="AJE227" s="111"/>
      <c r="AJF227" s="111"/>
      <c r="AJG227" s="111"/>
      <c r="AJH227" s="111"/>
      <c r="AJI227" s="111"/>
      <c r="AJJ227" s="111"/>
      <c r="AJK227" s="111"/>
      <c r="AJL227" s="111"/>
      <c r="AJM227" s="111"/>
      <c r="AJN227" s="111"/>
      <c r="AJO227" s="111"/>
      <c r="AJP227" s="111"/>
      <c r="AJQ227" s="111"/>
      <c r="AJR227" s="111"/>
      <c r="AJS227" s="111"/>
      <c r="AJT227" s="111"/>
      <c r="AJU227" s="111"/>
      <c r="AJV227" s="111"/>
      <c r="AJW227" s="111"/>
      <c r="AJX227" s="111"/>
      <c r="AJY227" s="111"/>
      <c r="AJZ227" s="111"/>
      <c r="AKA227" s="111"/>
      <c r="AKB227" s="111"/>
      <c r="AKC227" s="111"/>
      <c r="AKD227" s="111"/>
      <c r="AKE227" s="111"/>
      <c r="AKF227" s="111"/>
      <c r="AKG227" s="111"/>
      <c r="AKH227" s="111"/>
      <c r="AKI227" s="111"/>
      <c r="AKJ227" s="111"/>
      <c r="AKK227" s="111"/>
      <c r="AKL227" s="111"/>
      <c r="AKM227" s="111"/>
      <c r="AKN227" s="111"/>
      <c r="AKO227" s="111"/>
      <c r="AKP227" s="111"/>
      <c r="AKQ227" s="111"/>
      <c r="AKR227" s="111"/>
      <c r="AKS227" s="111"/>
      <c r="AKT227" s="111"/>
      <c r="AKU227" s="111"/>
      <c r="AKV227" s="111"/>
      <c r="AKW227" s="111"/>
      <c r="AKX227" s="111"/>
      <c r="AKY227" s="111"/>
      <c r="AKZ227" s="111"/>
      <c r="ALA227" s="111"/>
      <c r="ALB227" s="111"/>
      <c r="ALC227" s="111"/>
      <c r="ALD227" s="111"/>
      <c r="ALE227" s="111"/>
      <c r="ALF227" s="111"/>
      <c r="ALG227" s="111"/>
      <c r="ALH227" s="111"/>
      <c r="ALI227" s="111"/>
      <c r="ALJ227" s="111"/>
      <c r="ALK227" s="111"/>
      <c r="ALL227" s="111"/>
      <c r="ALM227" s="111"/>
      <c r="ALN227" s="111"/>
      <c r="ALO227" s="111"/>
      <c r="ALP227" s="111"/>
      <c r="ALQ227" s="111"/>
      <c r="ALR227" s="111"/>
      <c r="ALS227" s="111"/>
      <c r="ALT227" s="111"/>
      <c r="ALU227" s="111"/>
      <c r="ALV227" s="111"/>
      <c r="ALW227" s="111"/>
      <c r="ALX227" s="111"/>
      <c r="ALY227" s="111"/>
      <c r="ALZ227" s="111"/>
      <c r="AMA227" s="111"/>
      <c r="AMB227" s="111"/>
      <c r="AMC227" s="111"/>
      <c r="AMD227" s="111"/>
      <c r="AME227" s="111"/>
      <c r="AMF227" s="111"/>
      <c r="AMG227" s="111"/>
      <c r="AMH227" s="111"/>
      <c r="AMI227" s="111"/>
      <c r="AMJ227" s="111"/>
      <c r="AMK227" s="111"/>
      <c r="AML227" s="111"/>
      <c r="AMM227" s="111"/>
      <c r="AMN227" s="111"/>
      <c r="AMO227" s="111"/>
      <c r="AMP227" s="111"/>
      <c r="AMQ227" s="111"/>
      <c r="AMR227" s="111"/>
      <c r="AMS227" s="111"/>
      <c r="AMT227" s="111"/>
      <c r="AMU227" s="111"/>
      <c r="AMV227" s="111"/>
      <c r="AMW227" s="111"/>
      <c r="AMX227" s="111"/>
      <c r="AMY227" s="111"/>
      <c r="AMZ227" s="111"/>
      <c r="ANA227" s="111"/>
      <c r="ANB227" s="111"/>
      <c r="ANC227" s="111"/>
      <c r="AND227" s="111"/>
      <c r="ANE227" s="111"/>
      <c r="ANF227" s="111"/>
      <c r="ANG227" s="111"/>
      <c r="ANH227" s="111"/>
      <c r="ANI227" s="111"/>
      <c r="ANJ227" s="111"/>
      <c r="ANK227" s="111"/>
      <c r="ANL227" s="111"/>
      <c r="ANM227" s="111"/>
      <c r="ANN227" s="111"/>
      <c r="ANO227" s="111"/>
      <c r="ANP227" s="111"/>
      <c r="ANQ227" s="111"/>
      <c r="ANR227" s="111"/>
      <c r="ANS227" s="111"/>
      <c r="ANT227" s="111"/>
      <c r="ANU227" s="111"/>
      <c r="ANV227" s="111"/>
      <c r="ANW227" s="111"/>
      <c r="ANX227" s="111"/>
      <c r="ANY227" s="111"/>
      <c r="ANZ227" s="111"/>
      <c r="AOA227" s="111"/>
      <c r="AOB227" s="111"/>
      <c r="AOC227" s="111"/>
      <c r="AOD227" s="111"/>
      <c r="AOE227" s="111"/>
      <c r="AOF227" s="111"/>
      <c r="AOG227" s="111"/>
      <c r="AOH227" s="111"/>
      <c r="AOI227" s="111"/>
      <c r="AOJ227" s="111"/>
      <c r="AOK227" s="111"/>
      <c r="AOL227" s="111"/>
      <c r="AOM227" s="111"/>
      <c r="AON227" s="111"/>
      <c r="AOO227" s="111"/>
      <c r="AOP227" s="111"/>
      <c r="AOQ227" s="111"/>
      <c r="AOR227" s="111"/>
      <c r="AOS227" s="111"/>
      <c r="AOT227" s="111"/>
      <c r="AOU227" s="111"/>
      <c r="AOV227" s="111"/>
      <c r="AOW227" s="111"/>
      <c r="AOX227" s="111"/>
      <c r="AOY227" s="111"/>
      <c r="AOZ227" s="111"/>
      <c r="APA227" s="111"/>
      <c r="APB227" s="111"/>
      <c r="APC227" s="111"/>
      <c r="APD227" s="111"/>
      <c r="APE227" s="111"/>
      <c r="APF227" s="111"/>
      <c r="APG227" s="111"/>
      <c r="APH227" s="111"/>
      <c r="API227" s="111"/>
      <c r="APJ227" s="111"/>
      <c r="APK227" s="111"/>
      <c r="APL227" s="111"/>
      <c r="APM227" s="111"/>
      <c r="APN227" s="111"/>
      <c r="APO227" s="111"/>
      <c r="APP227" s="111"/>
      <c r="APQ227" s="111"/>
      <c r="APR227" s="111"/>
      <c r="APS227" s="111"/>
      <c r="APT227" s="111"/>
      <c r="APU227" s="111"/>
      <c r="APV227" s="111"/>
      <c r="APW227" s="111"/>
      <c r="APX227" s="111"/>
      <c r="APY227" s="111"/>
      <c r="APZ227" s="111"/>
      <c r="AQA227" s="111"/>
      <c r="AQB227" s="111"/>
      <c r="AQC227" s="111"/>
      <c r="AQD227" s="111"/>
      <c r="AQE227" s="111"/>
      <c r="AQF227" s="111"/>
      <c r="AQG227" s="111"/>
      <c r="AQH227" s="111"/>
      <c r="AQI227" s="111"/>
      <c r="AQJ227" s="111"/>
      <c r="AQK227" s="111"/>
      <c r="AQL227" s="111"/>
      <c r="AQM227" s="111"/>
      <c r="AQN227" s="111"/>
      <c r="AQO227" s="111"/>
      <c r="AQP227" s="111"/>
      <c r="AQQ227" s="111"/>
      <c r="AQR227" s="111"/>
      <c r="AQS227" s="111"/>
      <c r="AQT227" s="111"/>
      <c r="AQU227" s="111"/>
      <c r="AQV227" s="111"/>
      <c r="AQW227" s="111"/>
      <c r="AQX227" s="111"/>
      <c r="AQY227" s="111"/>
      <c r="AQZ227" s="111"/>
      <c r="ARA227" s="111"/>
      <c r="ARB227" s="111"/>
      <c r="ARC227" s="111"/>
      <c r="ARD227" s="111"/>
      <c r="ARE227" s="111"/>
      <c r="ARF227" s="111"/>
      <c r="ARG227" s="111"/>
      <c r="ARH227" s="111"/>
      <c r="ARI227" s="111"/>
      <c r="ARJ227" s="111"/>
      <c r="ARK227" s="111"/>
      <c r="ARL227" s="111"/>
      <c r="ARM227" s="111"/>
      <c r="ARN227" s="111"/>
      <c r="ARO227" s="111"/>
      <c r="ARP227" s="111"/>
      <c r="ARQ227" s="111"/>
      <c r="ARR227" s="111"/>
      <c r="ARS227" s="111"/>
      <c r="ART227" s="111"/>
      <c r="ARU227" s="111"/>
      <c r="ARV227" s="111"/>
      <c r="ARW227" s="111"/>
      <c r="ARX227" s="111"/>
      <c r="ARY227" s="111"/>
      <c r="ARZ227" s="111"/>
      <c r="ASA227" s="111"/>
      <c r="ASB227" s="111"/>
      <c r="ASC227" s="111"/>
      <c r="ASD227" s="111"/>
      <c r="ASE227" s="111"/>
      <c r="ASF227" s="111"/>
      <c r="ASG227" s="111"/>
      <c r="ASH227" s="111"/>
      <c r="ASI227" s="111"/>
      <c r="ASJ227" s="111"/>
      <c r="ASK227" s="111"/>
      <c r="ASL227" s="111"/>
      <c r="ASM227" s="111"/>
      <c r="ASN227" s="111"/>
      <c r="ASO227" s="111"/>
      <c r="ASP227" s="111"/>
      <c r="ASQ227" s="111"/>
      <c r="ASR227" s="111"/>
      <c r="ASS227" s="111"/>
      <c r="AST227" s="111"/>
      <c r="ASU227" s="111"/>
      <c r="ASV227" s="111"/>
      <c r="ASW227" s="111"/>
      <c r="ASX227" s="111"/>
      <c r="ASY227" s="111"/>
      <c r="ASZ227" s="111"/>
      <c r="ATA227" s="111"/>
      <c r="ATB227" s="111"/>
      <c r="ATC227" s="111"/>
      <c r="ATD227" s="111"/>
      <c r="ATE227" s="111"/>
      <c r="ATF227" s="111"/>
      <c r="ATG227" s="111"/>
      <c r="ATH227" s="111"/>
      <c r="ATI227" s="111"/>
      <c r="ATJ227" s="111"/>
      <c r="ATK227" s="111"/>
      <c r="ATL227" s="111"/>
      <c r="ATM227" s="111"/>
      <c r="ATN227" s="111"/>
      <c r="ATO227" s="111"/>
      <c r="ATP227" s="111"/>
      <c r="ATQ227" s="111"/>
      <c r="ATR227" s="111"/>
      <c r="ATS227" s="111"/>
      <c r="ATT227" s="111"/>
      <c r="ATU227" s="111"/>
      <c r="ATV227" s="111"/>
      <c r="ATW227" s="111"/>
      <c r="ATX227" s="111"/>
      <c r="ATY227" s="111"/>
      <c r="ATZ227" s="111"/>
      <c r="AUA227" s="111"/>
      <c r="AUB227" s="111"/>
      <c r="AUC227" s="111"/>
      <c r="AUD227" s="111"/>
      <c r="AUE227" s="111"/>
      <c r="AUF227" s="111"/>
      <c r="AUG227" s="111"/>
      <c r="AUH227" s="111"/>
      <c r="AUI227" s="111"/>
      <c r="AUJ227" s="111"/>
      <c r="AUK227" s="111"/>
      <c r="AUL227" s="111"/>
      <c r="AUM227" s="111"/>
      <c r="AUN227" s="111"/>
      <c r="AUO227" s="111"/>
      <c r="AUP227" s="111"/>
      <c r="AUQ227" s="111"/>
      <c r="AUR227" s="111"/>
      <c r="AUS227" s="111"/>
      <c r="AUT227" s="111"/>
      <c r="AUU227" s="111"/>
      <c r="AUV227" s="111"/>
      <c r="AUW227" s="111"/>
      <c r="AUX227" s="111"/>
      <c r="AUY227" s="111"/>
      <c r="AUZ227" s="111"/>
      <c r="AVA227" s="111"/>
      <c r="AVB227" s="111"/>
      <c r="AVC227" s="111"/>
      <c r="AVD227" s="111"/>
      <c r="AVE227" s="111"/>
      <c r="AVF227" s="111"/>
      <c r="AVG227" s="111"/>
      <c r="AVH227" s="111"/>
      <c r="AVI227" s="111"/>
      <c r="AVJ227" s="111"/>
      <c r="AVK227" s="111"/>
      <c r="AVL227" s="111"/>
      <c r="AVM227" s="111"/>
      <c r="AVN227" s="111"/>
      <c r="AVO227" s="111"/>
      <c r="AVP227" s="111"/>
      <c r="AVQ227" s="111"/>
      <c r="AVR227" s="111"/>
      <c r="AVS227" s="111"/>
      <c r="AVT227" s="111"/>
      <c r="AVU227" s="111"/>
      <c r="AVV227" s="111"/>
      <c r="AVW227" s="111"/>
      <c r="AVX227" s="111"/>
      <c r="AVY227" s="111"/>
      <c r="AVZ227" s="111"/>
      <c r="AWA227" s="111"/>
      <c r="AWB227" s="111"/>
      <c r="AWC227" s="111"/>
      <c r="AWD227" s="111"/>
      <c r="AWE227" s="111"/>
      <c r="AWF227" s="111"/>
      <c r="AWG227" s="111"/>
      <c r="AWH227" s="111"/>
      <c r="AWI227" s="111"/>
      <c r="AWJ227" s="111"/>
      <c r="AWK227" s="111"/>
      <c r="AWL227" s="111"/>
      <c r="AWM227" s="111"/>
      <c r="AWN227" s="111"/>
      <c r="AWO227" s="111"/>
      <c r="AWP227" s="111"/>
      <c r="AWQ227" s="111"/>
      <c r="AWR227" s="111"/>
      <c r="AWS227" s="111"/>
      <c r="AWT227" s="111"/>
      <c r="AWU227" s="111"/>
      <c r="AWV227" s="111"/>
      <c r="AWW227" s="111"/>
      <c r="AWX227" s="111"/>
      <c r="AWY227" s="111"/>
      <c r="AWZ227" s="111"/>
      <c r="AXA227" s="111"/>
      <c r="AXB227" s="111"/>
      <c r="AXC227" s="111"/>
      <c r="AXD227" s="111"/>
      <c r="AXE227" s="111"/>
      <c r="AXF227" s="111"/>
      <c r="AXG227" s="111"/>
      <c r="AXH227" s="111"/>
      <c r="AXI227" s="111"/>
      <c r="AXJ227" s="111"/>
      <c r="AXK227" s="111"/>
      <c r="AXL227" s="111"/>
      <c r="AXM227" s="111"/>
      <c r="AXN227" s="111"/>
      <c r="AXO227" s="111"/>
      <c r="AXP227" s="111"/>
      <c r="AXQ227" s="111"/>
      <c r="AXR227" s="111"/>
      <c r="AXS227" s="111"/>
      <c r="AXT227" s="111"/>
      <c r="AXU227" s="111"/>
      <c r="AXV227" s="111"/>
      <c r="AXW227" s="111"/>
      <c r="AXX227" s="111"/>
      <c r="AXY227" s="111"/>
      <c r="AXZ227" s="111"/>
      <c r="AYA227" s="111"/>
      <c r="AYB227" s="111"/>
      <c r="AYC227" s="111"/>
      <c r="AYD227" s="111"/>
      <c r="AYE227" s="111"/>
      <c r="AYF227" s="111"/>
      <c r="AYG227" s="111"/>
      <c r="AYH227" s="111"/>
      <c r="AYI227" s="111"/>
      <c r="AYJ227" s="111"/>
      <c r="AYK227" s="111"/>
      <c r="AYL227" s="111"/>
      <c r="AYM227" s="111"/>
      <c r="AYN227" s="111"/>
      <c r="AYO227" s="111"/>
      <c r="AYP227" s="111"/>
      <c r="AYQ227" s="111"/>
      <c r="AYR227" s="111"/>
      <c r="AYS227" s="111"/>
      <c r="AYT227" s="111"/>
      <c r="AYU227" s="111"/>
      <c r="AYV227" s="111"/>
      <c r="AYW227" s="111"/>
      <c r="AYX227" s="111"/>
      <c r="AYY227" s="111"/>
      <c r="AYZ227" s="111"/>
      <c r="AZA227" s="111"/>
      <c r="AZB227" s="111"/>
      <c r="AZC227" s="111"/>
      <c r="AZD227" s="111"/>
      <c r="AZE227" s="111"/>
      <c r="AZF227" s="111"/>
      <c r="AZG227" s="111"/>
      <c r="AZH227" s="111"/>
      <c r="AZI227" s="111"/>
      <c r="AZJ227" s="111"/>
      <c r="AZK227" s="111"/>
      <c r="AZL227" s="111"/>
      <c r="AZM227" s="111"/>
      <c r="AZN227" s="111"/>
      <c r="AZO227" s="111"/>
      <c r="AZP227" s="111"/>
      <c r="AZQ227" s="111"/>
      <c r="AZR227" s="111"/>
      <c r="AZS227" s="111"/>
      <c r="AZT227" s="111"/>
      <c r="AZU227" s="111"/>
      <c r="AZV227" s="111"/>
      <c r="AZW227" s="111"/>
      <c r="AZX227" s="111"/>
      <c r="AZY227" s="111"/>
      <c r="AZZ227" s="111"/>
      <c r="BAA227" s="111"/>
      <c r="BAB227" s="111"/>
      <c r="BAC227" s="111"/>
      <c r="BAD227" s="111"/>
      <c r="BAE227" s="111"/>
      <c r="BAF227" s="111"/>
      <c r="BAG227" s="111"/>
      <c r="BAH227" s="111"/>
      <c r="BAI227" s="111"/>
      <c r="BAJ227" s="111"/>
      <c r="BAK227" s="111"/>
      <c r="BAL227" s="111"/>
      <c r="BAM227" s="111"/>
      <c r="BAN227" s="111"/>
      <c r="BAO227" s="111"/>
      <c r="BAP227" s="111"/>
      <c r="BAQ227" s="111"/>
      <c r="BAR227" s="111"/>
      <c r="BAS227" s="111"/>
      <c r="BAT227" s="111"/>
      <c r="BAU227" s="111"/>
      <c r="BAV227" s="111"/>
      <c r="BAW227" s="111"/>
      <c r="BAX227" s="111"/>
      <c r="BAY227" s="111"/>
      <c r="BAZ227" s="111"/>
      <c r="BBA227" s="111"/>
      <c r="BBB227" s="111"/>
      <c r="BBC227" s="111"/>
      <c r="BBD227" s="111"/>
      <c r="BBE227" s="111"/>
      <c r="BBF227" s="111"/>
      <c r="BBG227" s="111"/>
      <c r="BBH227" s="111"/>
      <c r="BBI227" s="111"/>
      <c r="BBJ227" s="111"/>
      <c r="BBK227" s="111"/>
      <c r="BBL227" s="111"/>
      <c r="BBM227" s="111"/>
      <c r="BBN227" s="111"/>
      <c r="BBO227" s="111"/>
      <c r="BBP227" s="111"/>
      <c r="BBQ227" s="111"/>
      <c r="BBR227" s="111"/>
      <c r="BBS227" s="111"/>
      <c r="BBT227" s="111"/>
      <c r="BBU227" s="111"/>
      <c r="BBV227" s="111"/>
      <c r="BBW227" s="111"/>
      <c r="BBX227" s="111"/>
      <c r="BBY227" s="111"/>
      <c r="BBZ227" s="111"/>
      <c r="BCA227" s="111"/>
      <c r="BCB227" s="111"/>
      <c r="BCC227" s="111"/>
      <c r="BCD227" s="111"/>
      <c r="BCE227" s="111"/>
      <c r="BCF227" s="111"/>
      <c r="BCG227" s="111"/>
      <c r="BCH227" s="111"/>
      <c r="BCI227" s="111"/>
      <c r="BCJ227" s="111"/>
      <c r="BCK227" s="111"/>
      <c r="BCL227" s="111"/>
      <c r="BCM227" s="111"/>
      <c r="BCN227" s="111"/>
      <c r="BCO227" s="111"/>
      <c r="BCP227" s="111"/>
      <c r="BCQ227" s="111"/>
      <c r="BCR227" s="111"/>
      <c r="BCS227" s="111"/>
      <c r="BCT227" s="111"/>
      <c r="BCU227" s="111"/>
      <c r="BCV227" s="111"/>
      <c r="BCW227" s="111"/>
      <c r="BCX227" s="111"/>
      <c r="BCY227" s="111"/>
      <c r="BCZ227" s="111"/>
      <c r="BDA227" s="111"/>
      <c r="BDB227" s="111"/>
      <c r="BDC227" s="111"/>
      <c r="BDD227" s="111"/>
      <c r="BDE227" s="111"/>
      <c r="BDF227" s="111"/>
      <c r="BDG227" s="111"/>
      <c r="BDH227" s="111"/>
      <c r="BDI227" s="111"/>
      <c r="BDJ227" s="111"/>
      <c r="BDK227" s="111"/>
      <c r="BDL227" s="111"/>
      <c r="BDM227" s="111"/>
      <c r="BDN227" s="111"/>
      <c r="BDO227" s="111"/>
      <c r="BDP227" s="111"/>
      <c r="BDQ227" s="111"/>
      <c r="BDR227" s="111"/>
      <c r="BDS227" s="111"/>
      <c r="BDT227" s="111"/>
      <c r="BDU227" s="111"/>
      <c r="BDV227" s="111"/>
      <c r="BDW227" s="111"/>
      <c r="BDX227" s="111"/>
      <c r="BDY227" s="111"/>
      <c r="BDZ227" s="111"/>
      <c r="BEA227" s="111"/>
      <c r="BEB227" s="111"/>
      <c r="BEC227" s="111"/>
      <c r="BED227" s="111"/>
      <c r="BEE227" s="111"/>
      <c r="BEF227" s="111"/>
      <c r="BEG227" s="111"/>
      <c r="BEH227" s="111"/>
      <c r="BEI227" s="111"/>
      <c r="BEJ227" s="111"/>
      <c r="BEK227" s="111"/>
      <c r="BEL227" s="111"/>
      <c r="BEM227" s="111"/>
      <c r="BEN227" s="111"/>
      <c r="BEO227" s="111"/>
      <c r="BEP227" s="111"/>
      <c r="BEQ227" s="111"/>
      <c r="BER227" s="111"/>
      <c r="BES227" s="111"/>
      <c r="BET227" s="111"/>
      <c r="BEU227" s="111"/>
      <c r="BEV227" s="111"/>
      <c r="BEW227" s="111"/>
      <c r="BEX227" s="111"/>
      <c r="BEY227" s="111"/>
      <c r="BEZ227" s="111"/>
      <c r="BFA227" s="111"/>
      <c r="BFB227" s="111"/>
      <c r="BFC227" s="111"/>
      <c r="BFD227" s="111"/>
      <c r="BFE227" s="111"/>
      <c r="BFF227" s="111"/>
      <c r="BFG227" s="111"/>
      <c r="BFH227" s="111"/>
      <c r="BFI227" s="111"/>
      <c r="BFJ227" s="111"/>
      <c r="BFK227" s="111"/>
      <c r="BFL227" s="111"/>
      <c r="BFM227" s="111"/>
      <c r="BFN227" s="111"/>
      <c r="BFO227" s="111"/>
      <c r="BFP227" s="111"/>
      <c r="BFQ227" s="111"/>
      <c r="BFR227" s="111"/>
      <c r="BFS227" s="111"/>
      <c r="BFT227" s="111"/>
      <c r="BFU227" s="111"/>
      <c r="BFV227" s="111"/>
      <c r="BFW227" s="111"/>
      <c r="BFX227" s="111"/>
      <c r="BFY227" s="111"/>
      <c r="BFZ227" s="111"/>
      <c r="BGA227" s="111"/>
      <c r="BGB227" s="111"/>
      <c r="BGC227" s="111"/>
      <c r="BGD227" s="111"/>
      <c r="BGE227" s="111"/>
      <c r="BGF227" s="111"/>
      <c r="BGG227" s="111"/>
      <c r="BGH227" s="111"/>
      <c r="BGI227" s="111"/>
      <c r="BGJ227" s="111"/>
      <c r="BGK227" s="111"/>
      <c r="BGL227" s="111"/>
      <c r="BGM227" s="111"/>
      <c r="BGN227" s="111"/>
      <c r="BGO227" s="111"/>
      <c r="BGP227" s="111"/>
      <c r="BGQ227" s="111"/>
      <c r="BGR227" s="111"/>
      <c r="BGS227" s="111"/>
      <c r="BGT227" s="111"/>
      <c r="BGU227" s="111"/>
      <c r="BGV227" s="111"/>
      <c r="BGW227" s="111"/>
      <c r="BGX227" s="111"/>
      <c r="BGY227" s="111"/>
      <c r="BGZ227" s="111"/>
      <c r="BHA227" s="111"/>
      <c r="BHB227" s="111"/>
      <c r="BHC227" s="111"/>
      <c r="BHD227" s="111"/>
      <c r="BHE227" s="111"/>
      <c r="BHF227" s="111"/>
      <c r="BHG227" s="111"/>
      <c r="BHH227" s="111"/>
      <c r="BHI227" s="111"/>
      <c r="BHJ227" s="111"/>
      <c r="BHK227" s="111"/>
      <c r="BHL227" s="111"/>
      <c r="BHM227" s="111"/>
      <c r="BHN227" s="111"/>
      <c r="BHO227" s="111"/>
      <c r="BHP227" s="111"/>
      <c r="BHQ227" s="111"/>
      <c r="BHR227" s="111"/>
      <c r="BHS227" s="111"/>
      <c r="BHT227" s="111"/>
      <c r="BHU227" s="111"/>
      <c r="BHV227" s="111"/>
      <c r="BHW227" s="111"/>
      <c r="BHX227" s="111"/>
      <c r="BHY227" s="111"/>
      <c r="BHZ227" s="111"/>
      <c r="BIA227" s="111"/>
      <c r="BIB227" s="111"/>
      <c r="BIC227" s="111"/>
      <c r="BID227" s="111"/>
      <c r="BIE227" s="111"/>
      <c r="BIF227" s="111"/>
      <c r="BIG227" s="111"/>
      <c r="BIH227" s="111"/>
      <c r="BII227" s="111"/>
      <c r="BIJ227" s="111"/>
      <c r="BIK227" s="111"/>
      <c r="BIL227" s="111"/>
      <c r="BIM227" s="111"/>
      <c r="BIN227" s="111"/>
      <c r="BIO227" s="111"/>
      <c r="BIP227" s="111"/>
      <c r="BIQ227" s="111"/>
      <c r="BIR227" s="111"/>
      <c r="BIS227" s="111"/>
      <c r="BIT227" s="111"/>
      <c r="BIU227" s="111"/>
      <c r="BIV227" s="111"/>
      <c r="BIW227" s="111"/>
      <c r="BIX227" s="111"/>
      <c r="BIY227" s="111"/>
      <c r="BIZ227" s="111"/>
      <c r="BJA227" s="111"/>
      <c r="BJB227" s="111"/>
      <c r="BJC227" s="111"/>
      <c r="BJD227" s="111"/>
      <c r="BJE227" s="111"/>
      <c r="BJF227" s="111"/>
      <c r="BJG227" s="111"/>
      <c r="BJH227" s="111"/>
      <c r="BJI227" s="111"/>
      <c r="BJJ227" s="111"/>
      <c r="BJK227" s="111"/>
      <c r="BJL227" s="111"/>
      <c r="BJM227" s="111"/>
      <c r="BJN227" s="111"/>
      <c r="BJO227" s="111"/>
      <c r="BJP227" s="111"/>
      <c r="BJQ227" s="111"/>
      <c r="BJR227" s="111"/>
      <c r="BJS227" s="111"/>
      <c r="BJT227" s="111"/>
      <c r="BJU227" s="111"/>
      <c r="BJV227" s="111"/>
      <c r="BJW227" s="111"/>
      <c r="BJX227" s="111"/>
      <c r="BJY227" s="111"/>
      <c r="BJZ227" s="111"/>
      <c r="BKA227" s="111"/>
      <c r="BKB227" s="111"/>
      <c r="BKC227" s="111"/>
      <c r="BKD227" s="111"/>
      <c r="BKE227" s="111"/>
      <c r="BKF227" s="111"/>
      <c r="BKG227" s="111"/>
      <c r="BKH227" s="111"/>
      <c r="BKI227" s="111"/>
      <c r="BKJ227" s="111"/>
      <c r="BKK227" s="111"/>
      <c r="BKL227" s="111"/>
      <c r="BKM227" s="111"/>
      <c r="BKN227" s="111"/>
      <c r="BKO227" s="111"/>
      <c r="BKP227" s="111"/>
      <c r="BKQ227" s="111"/>
      <c r="BKR227" s="111"/>
      <c r="BKS227" s="111"/>
      <c r="BKT227" s="111"/>
      <c r="BKU227" s="111"/>
      <c r="BKV227" s="111"/>
      <c r="BKW227" s="111"/>
      <c r="BKX227" s="111"/>
      <c r="BKY227" s="111"/>
      <c r="BKZ227" s="111"/>
      <c r="BLA227" s="111"/>
      <c r="BLB227" s="111"/>
      <c r="BLC227" s="111"/>
      <c r="BLD227" s="111"/>
      <c r="BLE227" s="111"/>
      <c r="BLF227" s="111"/>
      <c r="BLG227" s="111"/>
      <c r="BLH227" s="111"/>
      <c r="BLI227" s="111"/>
      <c r="BLJ227" s="111"/>
      <c r="BLK227" s="111"/>
      <c r="BLL227" s="111"/>
      <c r="BLM227" s="111"/>
      <c r="BLN227" s="111"/>
      <c r="BLO227" s="111"/>
      <c r="BLP227" s="111"/>
      <c r="BLQ227" s="111"/>
      <c r="BLR227" s="111"/>
      <c r="BLS227" s="111"/>
      <c r="BLT227" s="111"/>
      <c r="BLU227" s="111"/>
      <c r="BLV227" s="111"/>
      <c r="BLW227" s="111"/>
      <c r="BLX227" s="111"/>
      <c r="BLY227" s="111"/>
      <c r="BLZ227" s="111"/>
      <c r="BMA227" s="111"/>
      <c r="BMB227" s="111"/>
      <c r="BMC227" s="111"/>
      <c r="BMD227" s="111"/>
      <c r="BME227" s="111"/>
      <c r="BMF227" s="111"/>
      <c r="BMG227" s="111"/>
      <c r="BMH227" s="111"/>
      <c r="BMI227" s="111"/>
      <c r="BMJ227" s="111"/>
      <c r="BMK227" s="111"/>
      <c r="BML227" s="111"/>
      <c r="BMM227" s="111"/>
      <c r="BMN227" s="111"/>
      <c r="BMO227" s="111"/>
      <c r="BMP227" s="111"/>
      <c r="BMQ227" s="111"/>
      <c r="BMR227" s="111"/>
      <c r="BMS227" s="111"/>
      <c r="BMT227" s="111"/>
      <c r="BMU227" s="111"/>
      <c r="BMV227" s="111"/>
      <c r="BMW227" s="111"/>
      <c r="BMX227" s="111"/>
      <c r="BMY227" s="111"/>
      <c r="BMZ227" s="111"/>
      <c r="BNA227" s="111"/>
      <c r="BNB227" s="111"/>
      <c r="BNC227" s="111"/>
      <c r="BND227" s="111"/>
      <c r="BNE227" s="111"/>
      <c r="BNF227" s="111"/>
      <c r="BNG227" s="111"/>
      <c r="BNH227" s="111"/>
      <c r="BNI227" s="111"/>
      <c r="BNJ227" s="111"/>
      <c r="BNK227" s="111"/>
      <c r="BNL227" s="111"/>
      <c r="BNM227" s="111"/>
      <c r="BNN227" s="111"/>
      <c r="BNO227" s="111"/>
      <c r="BNP227" s="111"/>
      <c r="BNQ227" s="111"/>
      <c r="BNR227" s="111"/>
      <c r="BNS227" s="111"/>
      <c r="BNT227" s="111"/>
      <c r="BNU227" s="111"/>
      <c r="BNV227" s="111"/>
      <c r="BNW227" s="111"/>
      <c r="BNX227" s="111"/>
      <c r="BNY227" s="111"/>
      <c r="BNZ227" s="111"/>
      <c r="BOA227" s="111"/>
      <c r="BOB227" s="111"/>
      <c r="BOC227" s="111"/>
      <c r="BOD227" s="111"/>
      <c r="BOE227" s="111"/>
      <c r="BOF227" s="111"/>
      <c r="BOG227" s="111"/>
      <c r="BOH227" s="111"/>
      <c r="BOI227" s="111"/>
      <c r="BOJ227" s="111"/>
      <c r="BOK227" s="111"/>
      <c r="BOL227" s="111"/>
      <c r="BOM227" s="111"/>
      <c r="BON227" s="111"/>
      <c r="BOO227" s="111"/>
      <c r="BOP227" s="111"/>
      <c r="BOQ227" s="111"/>
      <c r="BOR227" s="111"/>
      <c r="BOS227" s="111"/>
      <c r="BOT227" s="111"/>
      <c r="BOU227" s="111"/>
      <c r="BOV227" s="111"/>
      <c r="BOW227" s="111"/>
      <c r="BOX227" s="111"/>
      <c r="BOY227" s="111"/>
      <c r="BOZ227" s="111"/>
      <c r="BPA227" s="111"/>
      <c r="BPB227" s="111"/>
      <c r="BPC227" s="111"/>
      <c r="BPD227" s="111"/>
      <c r="BPE227" s="111"/>
      <c r="BPF227" s="111"/>
      <c r="BPG227" s="111"/>
      <c r="BPH227" s="111"/>
      <c r="BPI227" s="111"/>
      <c r="BPJ227" s="111"/>
      <c r="BPK227" s="111"/>
      <c r="BPL227" s="111"/>
      <c r="BPM227" s="111"/>
      <c r="BPN227" s="111"/>
      <c r="BPO227" s="111"/>
      <c r="BPP227" s="111"/>
      <c r="BPQ227" s="111"/>
      <c r="BPR227" s="111"/>
      <c r="BPS227" s="111"/>
      <c r="BPT227" s="111"/>
      <c r="BPU227" s="111"/>
      <c r="BPV227" s="111"/>
      <c r="BPW227" s="111"/>
      <c r="BPX227" s="111"/>
      <c r="BPY227" s="111"/>
      <c r="BPZ227" s="111"/>
      <c r="BQA227" s="111"/>
      <c r="BQB227" s="111"/>
      <c r="BQC227" s="111"/>
      <c r="BQD227" s="111"/>
      <c r="BQE227" s="111"/>
      <c r="BQF227" s="111"/>
      <c r="BQG227" s="111"/>
      <c r="BQH227" s="111"/>
      <c r="BQI227" s="111"/>
      <c r="BQJ227" s="111"/>
      <c r="BQK227" s="111"/>
      <c r="BQL227" s="111"/>
      <c r="BQM227" s="111"/>
      <c r="BQN227" s="111"/>
      <c r="BQO227" s="111"/>
      <c r="BQP227" s="111"/>
      <c r="BQQ227" s="111"/>
      <c r="BQR227" s="111"/>
      <c r="BQS227" s="111"/>
      <c r="BQT227" s="111"/>
      <c r="BQU227" s="111"/>
      <c r="BQV227" s="111"/>
      <c r="BQW227" s="111"/>
      <c r="BQX227" s="111"/>
      <c r="BQY227" s="111"/>
      <c r="BQZ227" s="111"/>
      <c r="BRA227" s="111"/>
      <c r="BRB227" s="111"/>
      <c r="BRC227" s="111"/>
      <c r="BRD227" s="111"/>
      <c r="BRE227" s="111"/>
      <c r="BRF227" s="111"/>
      <c r="BRG227" s="111"/>
      <c r="BRH227" s="111"/>
      <c r="BRI227" s="111"/>
      <c r="BRJ227" s="111"/>
      <c r="BRK227" s="111"/>
      <c r="BRL227" s="111"/>
      <c r="BRM227" s="111"/>
      <c r="BRN227" s="111"/>
      <c r="BRO227" s="111"/>
      <c r="BRP227" s="111"/>
      <c r="BRQ227" s="111"/>
      <c r="BRR227" s="111"/>
      <c r="BRS227" s="111"/>
      <c r="BRT227" s="111"/>
      <c r="BRU227" s="111"/>
      <c r="BRV227" s="111"/>
      <c r="BRW227" s="111"/>
      <c r="BRX227" s="111"/>
      <c r="BRY227" s="111"/>
      <c r="BRZ227" s="111"/>
      <c r="BSA227" s="111"/>
      <c r="BSB227" s="111"/>
      <c r="BSC227" s="111"/>
      <c r="BSD227" s="111"/>
      <c r="BSE227" s="111"/>
      <c r="BSF227" s="111"/>
      <c r="BSG227" s="111"/>
      <c r="BSH227" s="111"/>
      <c r="BSI227" s="111"/>
      <c r="BSJ227" s="111"/>
      <c r="BSK227" s="111"/>
      <c r="BSL227" s="111"/>
      <c r="BSM227" s="111"/>
      <c r="BSN227" s="111"/>
      <c r="BSO227" s="111"/>
      <c r="BSP227" s="111"/>
      <c r="BSQ227" s="111"/>
      <c r="BSR227" s="111"/>
      <c r="BSS227" s="111"/>
      <c r="BST227" s="111"/>
      <c r="BSU227" s="111"/>
      <c r="BSV227" s="111"/>
      <c r="BSW227" s="111"/>
      <c r="BSX227" s="111"/>
      <c r="BSY227" s="111"/>
      <c r="BSZ227" s="111"/>
      <c r="BTA227" s="111"/>
      <c r="BTB227" s="111"/>
      <c r="BTC227" s="111"/>
      <c r="BTD227" s="111"/>
      <c r="BTE227" s="111"/>
      <c r="BTF227" s="111"/>
      <c r="BTG227" s="111"/>
      <c r="BTH227" s="111"/>
      <c r="BTI227" s="111"/>
      <c r="BTJ227" s="111"/>
      <c r="BTK227" s="111"/>
      <c r="BTL227" s="111"/>
      <c r="BTM227" s="111"/>
      <c r="BTN227" s="111"/>
      <c r="BTO227" s="111"/>
      <c r="BTP227" s="111"/>
      <c r="BTQ227" s="111"/>
      <c r="BTR227" s="111"/>
      <c r="BTS227" s="111"/>
      <c r="BTT227" s="111"/>
      <c r="BTU227" s="111"/>
      <c r="BTV227" s="111"/>
      <c r="BTW227" s="111"/>
      <c r="BTX227" s="111"/>
      <c r="BTY227" s="111"/>
      <c r="BTZ227" s="111"/>
      <c r="BUA227" s="111"/>
      <c r="BUB227" s="111"/>
      <c r="BUC227" s="111"/>
      <c r="BUD227" s="111"/>
      <c r="BUE227" s="111"/>
      <c r="BUF227" s="111"/>
      <c r="BUG227" s="111"/>
      <c r="BUH227" s="111"/>
      <c r="BUI227" s="111"/>
      <c r="BUJ227" s="111"/>
      <c r="BUK227" s="111"/>
      <c r="BUL227" s="111"/>
      <c r="BUM227" s="111"/>
      <c r="BUN227" s="111"/>
      <c r="BUO227" s="111"/>
      <c r="BUP227" s="111"/>
      <c r="BUQ227" s="111"/>
      <c r="BUR227" s="111"/>
      <c r="BUS227" s="111"/>
      <c r="BUT227" s="111"/>
      <c r="BUU227" s="111"/>
      <c r="BUV227" s="111"/>
      <c r="BUW227" s="111"/>
      <c r="BUX227" s="111"/>
      <c r="BUY227" s="111"/>
      <c r="BUZ227" s="111"/>
      <c r="BVA227" s="111"/>
      <c r="BVB227" s="111"/>
      <c r="BVC227" s="111"/>
      <c r="BVD227" s="111"/>
      <c r="BVE227" s="111"/>
      <c r="BVF227" s="111"/>
      <c r="BVG227" s="111"/>
      <c r="BVH227" s="111"/>
      <c r="BVI227" s="111"/>
      <c r="BVJ227" s="111"/>
      <c r="BVK227" s="111"/>
      <c r="BVL227" s="111"/>
      <c r="BVM227" s="111"/>
      <c r="BVN227" s="111"/>
      <c r="BVO227" s="111"/>
      <c r="BVP227" s="111"/>
      <c r="BVQ227" s="111"/>
      <c r="BVR227" s="111"/>
      <c r="BVS227" s="111"/>
      <c r="BVT227" s="111"/>
      <c r="BVU227" s="111"/>
      <c r="BVV227" s="111"/>
      <c r="BVW227" s="111"/>
      <c r="BVX227" s="111"/>
      <c r="BVY227" s="111"/>
      <c r="BVZ227" s="111"/>
      <c r="BWA227" s="111"/>
      <c r="BWB227" s="111"/>
      <c r="BWC227" s="111"/>
      <c r="BWD227" s="111"/>
      <c r="BWE227" s="111"/>
      <c r="BWF227" s="111"/>
      <c r="BWG227" s="111"/>
      <c r="BWH227" s="111"/>
      <c r="BWI227" s="111"/>
      <c r="BWJ227" s="111"/>
      <c r="BWK227" s="111"/>
      <c r="BWL227" s="111"/>
      <c r="BWM227" s="111"/>
      <c r="BWN227" s="111"/>
      <c r="BWO227" s="111"/>
      <c r="BWP227" s="111"/>
      <c r="BWQ227" s="111"/>
      <c r="BWR227" s="111"/>
      <c r="BWS227" s="111"/>
      <c r="BWT227" s="111"/>
      <c r="BWU227" s="111"/>
      <c r="BWV227" s="111"/>
      <c r="BWW227" s="111"/>
      <c r="BWX227" s="111"/>
      <c r="BWY227" s="111"/>
      <c r="BWZ227" s="111"/>
      <c r="BXA227" s="111"/>
      <c r="BXB227" s="111"/>
      <c r="BXC227" s="111"/>
      <c r="BXD227" s="111"/>
      <c r="BXE227" s="111"/>
      <c r="BXF227" s="111"/>
      <c r="BXG227" s="111"/>
      <c r="BXH227" s="111"/>
      <c r="BXI227" s="111"/>
      <c r="BXJ227" s="111"/>
      <c r="BXK227" s="111"/>
      <c r="BXL227" s="111"/>
      <c r="BXM227" s="111"/>
      <c r="BXN227" s="111"/>
      <c r="BXO227" s="111"/>
      <c r="BXP227" s="111"/>
      <c r="BXQ227" s="111"/>
      <c r="BXR227" s="111"/>
      <c r="BXS227" s="111"/>
      <c r="BXT227" s="111"/>
      <c r="BXU227" s="111"/>
      <c r="BXV227" s="111"/>
      <c r="BXW227" s="111"/>
      <c r="BXX227" s="111"/>
      <c r="BXY227" s="111"/>
      <c r="BXZ227" s="111"/>
      <c r="BYA227" s="111"/>
      <c r="BYB227" s="111"/>
      <c r="BYC227" s="111"/>
      <c r="BYD227" s="111"/>
      <c r="BYE227" s="111"/>
      <c r="BYF227" s="111"/>
      <c r="BYG227" s="111"/>
      <c r="BYH227" s="111"/>
      <c r="BYI227" s="111"/>
      <c r="BYJ227" s="111"/>
      <c r="BYK227" s="111"/>
      <c r="BYL227" s="111"/>
      <c r="BYM227" s="111"/>
      <c r="BYN227" s="111"/>
      <c r="BYO227" s="111"/>
      <c r="BYP227" s="111"/>
      <c r="BYQ227" s="111"/>
      <c r="BYR227" s="111"/>
      <c r="BYS227" s="111"/>
      <c r="BYT227" s="111"/>
      <c r="BYU227" s="111"/>
      <c r="BYV227" s="111"/>
      <c r="BYW227" s="111"/>
      <c r="BYX227" s="111"/>
      <c r="BYY227" s="111"/>
      <c r="BYZ227" s="111"/>
      <c r="BZA227" s="111"/>
      <c r="BZB227" s="111"/>
      <c r="BZC227" s="111"/>
      <c r="BZD227" s="111"/>
      <c r="BZE227" s="111"/>
      <c r="BZF227" s="111"/>
      <c r="BZG227" s="111"/>
      <c r="BZH227" s="111"/>
      <c r="BZI227" s="111"/>
      <c r="BZJ227" s="111"/>
      <c r="BZK227" s="111"/>
      <c r="BZL227" s="111"/>
      <c r="BZM227" s="111"/>
      <c r="BZN227" s="111"/>
      <c r="BZO227" s="111"/>
      <c r="BZP227" s="111"/>
      <c r="BZQ227" s="111"/>
      <c r="BZR227" s="111"/>
      <c r="BZS227" s="111"/>
      <c r="BZT227" s="111"/>
      <c r="BZU227" s="111"/>
      <c r="BZV227" s="111"/>
      <c r="BZW227" s="111"/>
      <c r="BZX227" s="111"/>
      <c r="BZY227" s="111"/>
      <c r="BZZ227" s="111"/>
      <c r="CAA227" s="111"/>
      <c r="CAB227" s="111"/>
      <c r="CAC227" s="111"/>
      <c r="CAD227" s="111"/>
      <c r="CAE227" s="111"/>
      <c r="CAF227" s="111"/>
      <c r="CAG227" s="111"/>
      <c r="CAH227" s="111"/>
      <c r="CAI227" s="111"/>
      <c r="CAJ227" s="111"/>
      <c r="CAK227" s="111"/>
      <c r="CAL227" s="111"/>
      <c r="CAM227" s="111"/>
      <c r="CAN227" s="111"/>
      <c r="CAO227" s="111"/>
      <c r="CAP227" s="111"/>
      <c r="CAQ227" s="111"/>
      <c r="CAR227" s="111"/>
      <c r="CAS227" s="111"/>
      <c r="CAT227" s="111"/>
      <c r="CAU227" s="111"/>
      <c r="CAV227" s="111"/>
      <c r="CAW227" s="111"/>
      <c r="CAX227" s="111"/>
      <c r="CAY227" s="111"/>
      <c r="CAZ227" s="111"/>
      <c r="CBA227" s="111"/>
      <c r="CBB227" s="111"/>
      <c r="CBC227" s="111"/>
      <c r="CBD227" s="111"/>
      <c r="CBE227" s="111"/>
      <c r="CBF227" s="111"/>
      <c r="CBG227" s="111"/>
      <c r="CBH227" s="111"/>
      <c r="CBI227" s="111"/>
      <c r="CBJ227" s="111"/>
      <c r="CBK227" s="111"/>
      <c r="CBL227" s="111"/>
      <c r="CBM227" s="111"/>
      <c r="CBN227" s="111"/>
      <c r="CBO227" s="111"/>
      <c r="CBP227" s="111"/>
      <c r="CBQ227" s="111"/>
      <c r="CBR227" s="111"/>
      <c r="CBS227" s="111"/>
      <c r="CBT227" s="111"/>
      <c r="CBU227" s="111"/>
      <c r="CBV227" s="111"/>
      <c r="CBW227" s="111"/>
      <c r="CBX227" s="111"/>
      <c r="CBY227" s="111"/>
      <c r="CBZ227" s="111"/>
      <c r="CCA227" s="111"/>
      <c r="CCB227" s="111"/>
      <c r="CCC227" s="111"/>
      <c r="CCD227" s="111"/>
      <c r="CCE227" s="111"/>
      <c r="CCF227" s="111"/>
      <c r="CCG227" s="111"/>
      <c r="CCH227" s="111"/>
      <c r="CCI227" s="111"/>
      <c r="CCJ227" s="111"/>
      <c r="CCK227" s="111"/>
      <c r="CCL227" s="111"/>
      <c r="CCM227" s="111"/>
      <c r="CCN227" s="111"/>
      <c r="CCO227" s="111"/>
      <c r="CCP227" s="111"/>
      <c r="CCQ227" s="111"/>
      <c r="CCR227" s="111"/>
      <c r="CCS227" s="111"/>
      <c r="CCT227" s="111"/>
      <c r="CCU227" s="111"/>
      <c r="CCV227" s="111"/>
      <c r="CCW227" s="111"/>
      <c r="CCX227" s="111"/>
      <c r="CCY227" s="111"/>
      <c r="CCZ227" s="111"/>
      <c r="CDA227" s="111"/>
      <c r="CDB227" s="111"/>
      <c r="CDC227" s="111"/>
      <c r="CDD227" s="111"/>
      <c r="CDE227" s="111"/>
      <c r="CDF227" s="111"/>
      <c r="CDG227" s="111"/>
      <c r="CDH227" s="111"/>
      <c r="CDI227" s="111"/>
      <c r="CDJ227" s="111"/>
      <c r="CDK227" s="111"/>
      <c r="CDL227" s="111"/>
      <c r="CDM227" s="111"/>
      <c r="CDN227" s="111"/>
      <c r="CDO227" s="111"/>
      <c r="CDP227" s="111"/>
      <c r="CDQ227" s="111"/>
      <c r="CDR227" s="111"/>
      <c r="CDS227" s="111"/>
      <c r="CDT227" s="111"/>
      <c r="CDU227" s="111"/>
      <c r="CDV227" s="111"/>
      <c r="CDW227" s="111"/>
      <c r="CDX227" s="111"/>
      <c r="CDY227" s="111"/>
      <c r="CDZ227" s="111"/>
      <c r="CEA227" s="111"/>
      <c r="CEB227" s="111"/>
      <c r="CEC227" s="111"/>
      <c r="CED227" s="111"/>
      <c r="CEE227" s="111"/>
      <c r="CEF227" s="111"/>
      <c r="CEG227" s="111"/>
      <c r="CEH227" s="111"/>
      <c r="CEI227" s="111"/>
      <c r="CEJ227" s="111"/>
      <c r="CEK227" s="111"/>
      <c r="CEL227" s="111"/>
      <c r="CEM227" s="111"/>
      <c r="CEN227" s="111"/>
      <c r="CEO227" s="111"/>
      <c r="CEP227" s="111"/>
      <c r="CEQ227" s="111"/>
      <c r="CER227" s="111"/>
      <c r="CES227" s="111"/>
      <c r="CET227" s="111"/>
      <c r="CEU227" s="111"/>
      <c r="CEV227" s="111"/>
      <c r="CEW227" s="111"/>
      <c r="CEX227" s="111"/>
      <c r="CEY227" s="111"/>
      <c r="CEZ227" s="111"/>
      <c r="CFA227" s="111"/>
      <c r="CFB227" s="111"/>
      <c r="CFC227" s="111"/>
      <c r="CFD227" s="111"/>
      <c r="CFE227" s="111"/>
      <c r="CFF227" s="111"/>
      <c r="CFG227" s="111"/>
      <c r="CFH227" s="111"/>
      <c r="CFI227" s="111"/>
      <c r="CFJ227" s="111"/>
      <c r="CFK227" s="111"/>
      <c r="CFL227" s="111"/>
      <c r="CFM227" s="111"/>
      <c r="CFN227" s="111"/>
      <c r="CFO227" s="111"/>
      <c r="CFP227" s="111"/>
      <c r="CFQ227" s="111"/>
      <c r="CFR227" s="111"/>
      <c r="CFS227" s="111"/>
      <c r="CFT227" s="111"/>
      <c r="CFU227" s="111"/>
      <c r="CFV227" s="111"/>
      <c r="CFW227" s="111"/>
      <c r="CFX227" s="111"/>
      <c r="CFY227" s="111"/>
      <c r="CFZ227" s="111"/>
      <c r="CGA227" s="111"/>
      <c r="CGB227" s="111"/>
      <c r="CGC227" s="111"/>
      <c r="CGD227" s="111"/>
      <c r="CGE227" s="111"/>
      <c r="CGF227" s="111"/>
      <c r="CGG227" s="111"/>
      <c r="CGH227" s="111"/>
      <c r="CGI227" s="111"/>
      <c r="CGJ227" s="111"/>
      <c r="CGK227" s="111"/>
      <c r="CGL227" s="111"/>
      <c r="CGM227" s="111"/>
      <c r="CGN227" s="111"/>
      <c r="CGO227" s="111"/>
      <c r="CGP227" s="111"/>
      <c r="CGQ227" s="111"/>
      <c r="CGR227" s="111"/>
      <c r="CGS227" s="111"/>
      <c r="CGT227" s="111"/>
      <c r="CGU227" s="111"/>
      <c r="CGV227" s="111"/>
      <c r="CGW227" s="111"/>
      <c r="CGX227" s="111"/>
      <c r="CGY227" s="111"/>
      <c r="CGZ227" s="111"/>
      <c r="CHA227" s="111"/>
      <c r="CHB227" s="111"/>
      <c r="CHC227" s="111"/>
      <c r="CHD227" s="111"/>
      <c r="CHE227" s="111"/>
      <c r="CHF227" s="111"/>
      <c r="CHG227" s="111"/>
      <c r="CHH227" s="111"/>
      <c r="CHI227" s="111"/>
      <c r="CHJ227" s="111"/>
      <c r="CHK227" s="111"/>
      <c r="CHL227" s="111"/>
      <c r="CHM227" s="111"/>
      <c r="CHN227" s="111"/>
      <c r="CHO227" s="111"/>
      <c r="CHP227" s="111"/>
      <c r="CHQ227" s="111"/>
      <c r="CHR227" s="111"/>
      <c r="CHS227" s="111"/>
      <c r="CHT227" s="111"/>
      <c r="CHU227" s="111"/>
      <c r="CHV227" s="111"/>
      <c r="CHW227" s="111"/>
      <c r="CHX227" s="111"/>
      <c r="CHY227" s="111"/>
      <c r="CHZ227" s="111"/>
      <c r="CIA227" s="111"/>
      <c r="CIB227" s="111"/>
      <c r="CIC227" s="111"/>
      <c r="CID227" s="111"/>
      <c r="CIE227" s="111"/>
      <c r="CIF227" s="111"/>
      <c r="CIG227" s="111"/>
      <c r="CIH227" s="111"/>
      <c r="CII227" s="111"/>
      <c r="CIJ227" s="111"/>
      <c r="CIK227" s="111"/>
      <c r="CIL227" s="111"/>
      <c r="CIM227" s="111"/>
      <c r="CIN227" s="111"/>
      <c r="CIO227" s="111"/>
      <c r="CIP227" s="111"/>
      <c r="CIQ227" s="111"/>
      <c r="CIR227" s="111"/>
      <c r="CIS227" s="111"/>
      <c r="CIT227" s="111"/>
      <c r="CIU227" s="111"/>
      <c r="CIV227" s="111"/>
      <c r="CIW227" s="111"/>
      <c r="CIX227" s="111"/>
      <c r="CIY227" s="111"/>
      <c r="CIZ227" s="111"/>
      <c r="CJA227" s="111"/>
      <c r="CJB227" s="111"/>
      <c r="CJC227" s="111"/>
      <c r="CJD227" s="111"/>
      <c r="CJE227" s="111"/>
      <c r="CJF227" s="111"/>
      <c r="CJG227" s="111"/>
      <c r="CJH227" s="111"/>
      <c r="CJI227" s="111"/>
      <c r="CJJ227" s="111"/>
      <c r="CJK227" s="111"/>
      <c r="CJL227" s="111"/>
      <c r="CJM227" s="111"/>
      <c r="CJN227" s="111"/>
      <c r="CJO227" s="111"/>
      <c r="CJP227" s="111"/>
      <c r="CJQ227" s="111"/>
      <c r="CJR227" s="111"/>
      <c r="CJS227" s="111"/>
      <c r="CJT227" s="111"/>
      <c r="CJU227" s="111"/>
      <c r="CJV227" s="111"/>
      <c r="CJW227" s="111"/>
      <c r="CJX227" s="111"/>
      <c r="CJY227" s="111"/>
      <c r="CJZ227" s="111"/>
      <c r="CKA227" s="111"/>
      <c r="CKB227" s="111"/>
      <c r="CKC227" s="111"/>
      <c r="CKD227" s="111"/>
      <c r="CKE227" s="111"/>
      <c r="CKF227" s="111"/>
      <c r="CKG227" s="111"/>
      <c r="CKH227" s="111"/>
      <c r="CKI227" s="111"/>
      <c r="CKJ227" s="111"/>
      <c r="CKK227" s="111"/>
      <c r="CKL227" s="111"/>
      <c r="CKM227" s="111"/>
      <c r="CKN227" s="111"/>
      <c r="CKO227" s="111"/>
      <c r="CKP227" s="111"/>
      <c r="CKQ227" s="111"/>
      <c r="CKR227" s="111"/>
      <c r="CKS227" s="111"/>
      <c r="CKT227" s="111"/>
      <c r="CKU227" s="111"/>
      <c r="CKV227" s="111"/>
      <c r="CKW227" s="111"/>
      <c r="CKX227" s="111"/>
      <c r="CKY227" s="111"/>
      <c r="CKZ227" s="111"/>
      <c r="CLA227" s="111"/>
      <c r="CLB227" s="111"/>
      <c r="CLC227" s="111"/>
      <c r="CLD227" s="111"/>
      <c r="CLE227" s="111"/>
      <c r="CLF227" s="111"/>
      <c r="CLG227" s="111"/>
      <c r="CLH227" s="111"/>
      <c r="CLI227" s="111"/>
      <c r="CLJ227" s="111"/>
      <c r="CLK227" s="111"/>
      <c r="CLL227" s="111"/>
      <c r="CLM227" s="111"/>
      <c r="CLN227" s="111"/>
      <c r="CLO227" s="111"/>
      <c r="CLP227" s="111"/>
      <c r="CLQ227" s="111"/>
      <c r="CLR227" s="111"/>
      <c r="CLS227" s="111"/>
      <c r="CLT227" s="111"/>
      <c r="CLU227" s="111"/>
      <c r="CLV227" s="111"/>
      <c r="CLW227" s="111"/>
      <c r="CLX227" s="111"/>
      <c r="CLY227" s="111"/>
      <c r="CLZ227" s="111"/>
      <c r="CMA227" s="111"/>
      <c r="CMB227" s="111"/>
      <c r="CMC227" s="111"/>
      <c r="CMD227" s="111"/>
      <c r="CME227" s="111"/>
      <c r="CMF227" s="111"/>
      <c r="CMG227" s="111"/>
      <c r="CMH227" s="111"/>
      <c r="CMI227" s="111"/>
      <c r="CMJ227" s="111"/>
      <c r="CMK227" s="111"/>
      <c r="CML227" s="111"/>
      <c r="CMM227" s="111"/>
      <c r="CMN227" s="111"/>
      <c r="CMO227" s="111"/>
      <c r="CMP227" s="111"/>
      <c r="CMQ227" s="111"/>
      <c r="CMR227" s="111"/>
      <c r="CMS227" s="111"/>
      <c r="CMT227" s="111"/>
      <c r="CMU227" s="111"/>
      <c r="CMV227" s="111"/>
      <c r="CMW227" s="111"/>
      <c r="CMX227" s="111"/>
      <c r="CMY227" s="111"/>
      <c r="CMZ227" s="111"/>
      <c r="CNA227" s="111"/>
      <c r="CNB227" s="111"/>
      <c r="CNC227" s="111"/>
      <c r="CND227" s="111"/>
      <c r="CNE227" s="111"/>
      <c r="CNF227" s="111"/>
      <c r="CNG227" s="111"/>
      <c r="CNH227" s="111"/>
      <c r="CNI227" s="111"/>
      <c r="CNJ227" s="111"/>
      <c r="CNK227" s="111"/>
      <c r="CNL227" s="111"/>
      <c r="CNM227" s="111"/>
      <c r="CNN227" s="111"/>
      <c r="CNO227" s="111"/>
      <c r="CNP227" s="111"/>
      <c r="CNQ227" s="111"/>
      <c r="CNR227" s="111"/>
      <c r="CNS227" s="111"/>
      <c r="CNT227" s="111"/>
      <c r="CNU227" s="111"/>
      <c r="CNV227" s="111"/>
      <c r="CNW227" s="111"/>
      <c r="CNX227" s="111"/>
      <c r="CNY227" s="111"/>
      <c r="CNZ227" s="111"/>
      <c r="COA227" s="111"/>
      <c r="COB227" s="111"/>
      <c r="COC227" s="111"/>
      <c r="COD227" s="111"/>
      <c r="COE227" s="111"/>
      <c r="COF227" s="111"/>
      <c r="COG227" s="111"/>
      <c r="COH227" s="111"/>
      <c r="COI227" s="111"/>
      <c r="COJ227" s="111"/>
      <c r="COK227" s="111"/>
      <c r="COL227" s="111"/>
      <c r="COM227" s="111"/>
      <c r="CON227" s="111"/>
      <c r="COO227" s="111"/>
      <c r="COP227" s="111"/>
      <c r="COQ227" s="111"/>
      <c r="COR227" s="111"/>
      <c r="COS227" s="111"/>
      <c r="COT227" s="111"/>
      <c r="COU227" s="111"/>
      <c r="COV227" s="111"/>
      <c r="COW227" s="111"/>
      <c r="COX227" s="111"/>
      <c r="COY227" s="111"/>
      <c r="COZ227" s="111"/>
      <c r="CPA227" s="111"/>
      <c r="CPB227" s="111"/>
      <c r="CPC227" s="111"/>
      <c r="CPD227" s="111"/>
      <c r="CPE227" s="111"/>
      <c r="CPF227" s="111"/>
      <c r="CPG227" s="111"/>
      <c r="CPH227" s="111"/>
      <c r="CPI227" s="111"/>
      <c r="CPJ227" s="111"/>
      <c r="CPK227" s="111"/>
      <c r="CPL227" s="111"/>
      <c r="CPM227" s="111"/>
      <c r="CPN227" s="111"/>
      <c r="CPO227" s="111"/>
      <c r="CPP227" s="111"/>
      <c r="CPQ227" s="111"/>
      <c r="CPR227" s="111"/>
      <c r="CPS227" s="111"/>
      <c r="CPT227" s="111"/>
      <c r="CPU227" s="111"/>
      <c r="CPV227" s="111"/>
      <c r="CPW227" s="111"/>
      <c r="CPX227" s="111"/>
      <c r="CPY227" s="111"/>
      <c r="CPZ227" s="111"/>
      <c r="CQA227" s="111"/>
      <c r="CQB227" s="111"/>
      <c r="CQC227" s="111"/>
      <c r="CQD227" s="111"/>
      <c r="CQE227" s="111"/>
      <c r="CQF227" s="111"/>
      <c r="CQG227" s="111"/>
      <c r="CQH227" s="111"/>
      <c r="CQI227" s="111"/>
      <c r="CQJ227" s="111"/>
      <c r="CQK227" s="111"/>
      <c r="CQL227" s="111"/>
      <c r="CQM227" s="111"/>
      <c r="CQN227" s="111"/>
      <c r="CQO227" s="111"/>
      <c r="CQP227" s="111"/>
      <c r="CQQ227" s="111"/>
      <c r="CQR227" s="111"/>
      <c r="CQS227" s="111"/>
      <c r="CQT227" s="111"/>
      <c r="CQU227" s="111"/>
      <c r="CQV227" s="111"/>
      <c r="CQW227" s="111"/>
      <c r="CQX227" s="111"/>
      <c r="CQY227" s="111"/>
      <c r="CQZ227" s="111"/>
      <c r="CRA227" s="111"/>
      <c r="CRB227" s="111"/>
      <c r="CRC227" s="111"/>
      <c r="CRD227" s="111"/>
      <c r="CRE227" s="111"/>
      <c r="CRF227" s="111"/>
      <c r="CRG227" s="111"/>
      <c r="CRH227" s="111"/>
      <c r="CRI227" s="111"/>
      <c r="CRJ227" s="111"/>
      <c r="CRK227" s="111"/>
      <c r="CRL227" s="111"/>
      <c r="CRM227" s="111"/>
      <c r="CRN227" s="111"/>
      <c r="CRO227" s="111"/>
      <c r="CRP227" s="111"/>
      <c r="CRQ227" s="111"/>
      <c r="CRR227" s="111"/>
      <c r="CRS227" s="111"/>
      <c r="CRT227" s="111"/>
      <c r="CRU227" s="111"/>
      <c r="CRV227" s="111"/>
      <c r="CRW227" s="111"/>
      <c r="CRX227" s="111"/>
      <c r="CRY227" s="111"/>
      <c r="CRZ227" s="111"/>
      <c r="CSA227" s="111"/>
      <c r="CSB227" s="111"/>
      <c r="CSC227" s="111"/>
      <c r="CSD227" s="111"/>
      <c r="CSE227" s="111"/>
      <c r="CSF227" s="111"/>
      <c r="CSG227" s="111"/>
      <c r="CSH227" s="111"/>
      <c r="CSI227" s="111"/>
      <c r="CSJ227" s="111"/>
      <c r="CSK227" s="111"/>
      <c r="CSL227" s="111"/>
      <c r="CSM227" s="111"/>
      <c r="CSN227" s="111"/>
      <c r="CSO227" s="111"/>
      <c r="CSP227" s="111"/>
      <c r="CSQ227" s="111"/>
      <c r="CSR227" s="111"/>
      <c r="CSS227" s="111"/>
      <c r="CST227" s="111"/>
      <c r="CSU227" s="111"/>
      <c r="CSV227" s="111"/>
      <c r="CSW227" s="111"/>
      <c r="CSX227" s="111"/>
      <c r="CSY227" s="111"/>
      <c r="CSZ227" s="111"/>
      <c r="CTA227" s="111"/>
      <c r="CTB227" s="111"/>
      <c r="CTC227" s="111"/>
      <c r="CTD227" s="111"/>
      <c r="CTE227" s="111"/>
      <c r="CTF227" s="111"/>
      <c r="CTG227" s="111"/>
      <c r="CTH227" s="111"/>
      <c r="CTI227" s="111"/>
      <c r="CTJ227" s="111"/>
      <c r="CTK227" s="111"/>
      <c r="CTL227" s="111"/>
      <c r="CTM227" s="111"/>
      <c r="CTN227" s="111"/>
      <c r="CTO227" s="111"/>
      <c r="CTP227" s="111"/>
      <c r="CTQ227" s="111"/>
      <c r="CTR227" s="111"/>
      <c r="CTS227" s="111"/>
      <c r="CTT227" s="111"/>
      <c r="CTU227" s="111"/>
      <c r="CTV227" s="111"/>
      <c r="CTW227" s="111"/>
      <c r="CTX227" s="111"/>
      <c r="CTY227" s="111"/>
      <c r="CTZ227" s="111"/>
      <c r="CUA227" s="111"/>
      <c r="CUB227" s="111"/>
      <c r="CUC227" s="111"/>
      <c r="CUD227" s="111"/>
      <c r="CUE227" s="111"/>
      <c r="CUF227" s="111"/>
      <c r="CUG227" s="111"/>
      <c r="CUH227" s="111"/>
      <c r="CUI227" s="111"/>
      <c r="CUJ227" s="111"/>
      <c r="CUK227" s="111"/>
      <c r="CUL227" s="111"/>
      <c r="CUM227" s="111"/>
      <c r="CUN227" s="111"/>
      <c r="CUO227" s="111"/>
      <c r="CUP227" s="111"/>
      <c r="CUQ227" s="111"/>
      <c r="CUR227" s="111"/>
      <c r="CUS227" s="111"/>
      <c r="CUT227" s="111"/>
      <c r="CUU227" s="111"/>
      <c r="CUV227" s="111"/>
      <c r="CUW227" s="111"/>
      <c r="CUX227" s="111"/>
      <c r="CUY227" s="111"/>
      <c r="CUZ227" s="111"/>
      <c r="CVA227" s="111"/>
      <c r="CVB227" s="111"/>
      <c r="CVC227" s="111"/>
      <c r="CVD227" s="111"/>
      <c r="CVE227" s="111"/>
      <c r="CVF227" s="111"/>
      <c r="CVG227" s="111"/>
      <c r="CVH227" s="111"/>
      <c r="CVI227" s="111"/>
      <c r="CVJ227" s="111"/>
      <c r="CVK227" s="111"/>
      <c r="CVL227" s="111"/>
      <c r="CVM227" s="111"/>
      <c r="CVN227" s="111"/>
      <c r="CVO227" s="111"/>
      <c r="CVP227" s="111"/>
      <c r="CVQ227" s="111"/>
      <c r="CVR227" s="111"/>
      <c r="CVS227" s="111"/>
      <c r="CVT227" s="111"/>
      <c r="CVU227" s="111"/>
      <c r="CVV227" s="111"/>
      <c r="CVW227" s="111"/>
      <c r="CVX227" s="111"/>
      <c r="CVY227" s="111"/>
      <c r="CVZ227" s="111"/>
      <c r="CWA227" s="111"/>
      <c r="CWB227" s="111"/>
      <c r="CWC227" s="111"/>
      <c r="CWD227" s="111"/>
      <c r="CWE227" s="111"/>
      <c r="CWF227" s="111"/>
      <c r="CWG227" s="111"/>
      <c r="CWH227" s="111"/>
      <c r="CWI227" s="111"/>
      <c r="CWJ227" s="111"/>
      <c r="CWK227" s="111"/>
      <c r="CWL227" s="111"/>
      <c r="CWM227" s="111"/>
      <c r="CWN227" s="111"/>
      <c r="CWO227" s="111"/>
      <c r="CWP227" s="111"/>
      <c r="CWQ227" s="111"/>
      <c r="CWR227" s="111"/>
      <c r="CWS227" s="111"/>
      <c r="CWT227" s="111"/>
      <c r="CWU227" s="111"/>
      <c r="CWV227" s="111"/>
      <c r="CWW227" s="111"/>
      <c r="CWX227" s="111"/>
      <c r="CWY227" s="111"/>
      <c r="CWZ227" s="111"/>
      <c r="CXA227" s="111"/>
      <c r="CXB227" s="111"/>
      <c r="CXC227" s="111"/>
      <c r="CXD227" s="111"/>
      <c r="CXE227" s="111"/>
      <c r="CXF227" s="111"/>
      <c r="CXG227" s="111"/>
      <c r="CXH227" s="111"/>
      <c r="CXI227" s="111"/>
      <c r="CXJ227" s="111"/>
      <c r="CXK227" s="111"/>
      <c r="CXL227" s="111"/>
      <c r="CXM227" s="111"/>
      <c r="CXN227" s="111"/>
      <c r="CXO227" s="111"/>
      <c r="CXP227" s="111"/>
      <c r="CXQ227" s="111"/>
      <c r="CXR227" s="111"/>
      <c r="CXS227" s="111"/>
      <c r="CXT227" s="111"/>
      <c r="CXU227" s="111"/>
      <c r="CXV227" s="111"/>
      <c r="CXW227" s="111"/>
      <c r="CXX227" s="111"/>
      <c r="CXY227" s="111"/>
      <c r="CXZ227" s="111"/>
      <c r="CYA227" s="111"/>
      <c r="CYB227" s="111"/>
      <c r="CYC227" s="111"/>
      <c r="CYD227" s="111"/>
      <c r="CYE227" s="111"/>
      <c r="CYF227" s="111"/>
      <c r="CYG227" s="111"/>
      <c r="CYH227" s="111"/>
      <c r="CYI227" s="111"/>
      <c r="CYJ227" s="111"/>
      <c r="CYK227" s="111"/>
      <c r="CYL227" s="111"/>
      <c r="CYM227" s="111"/>
      <c r="CYN227" s="111"/>
      <c r="CYO227" s="111"/>
      <c r="CYP227" s="111"/>
      <c r="CYQ227" s="111"/>
      <c r="CYR227" s="111"/>
      <c r="CYS227" s="111"/>
      <c r="CYT227" s="111"/>
      <c r="CYU227" s="111"/>
      <c r="CYV227" s="111"/>
      <c r="CYW227" s="111"/>
      <c r="CYX227" s="111"/>
      <c r="CYY227" s="111"/>
      <c r="CYZ227" s="111"/>
      <c r="CZA227" s="111"/>
      <c r="CZB227" s="111"/>
      <c r="CZC227" s="111"/>
      <c r="CZD227" s="111"/>
      <c r="CZE227" s="111"/>
      <c r="CZF227" s="111"/>
      <c r="CZG227" s="111"/>
      <c r="CZH227" s="111"/>
      <c r="CZI227" s="111"/>
      <c r="CZJ227" s="111"/>
      <c r="CZK227" s="111"/>
      <c r="CZL227" s="111"/>
      <c r="CZM227" s="111"/>
      <c r="CZN227" s="111"/>
      <c r="CZO227" s="111"/>
      <c r="CZP227" s="111"/>
      <c r="CZQ227" s="111"/>
      <c r="CZR227" s="111"/>
      <c r="CZS227" s="111"/>
      <c r="CZT227" s="111"/>
      <c r="CZU227" s="111"/>
      <c r="CZV227" s="111"/>
      <c r="CZW227" s="111"/>
      <c r="CZX227" s="111"/>
      <c r="CZY227" s="111"/>
      <c r="CZZ227" s="111"/>
      <c r="DAA227" s="111"/>
      <c r="DAB227" s="111"/>
      <c r="DAC227" s="111"/>
      <c r="DAD227" s="111"/>
      <c r="DAE227" s="111"/>
      <c r="DAF227" s="111"/>
      <c r="DAG227" s="111"/>
      <c r="DAH227" s="111"/>
      <c r="DAI227" s="111"/>
      <c r="DAJ227" s="111"/>
      <c r="DAK227" s="111"/>
      <c r="DAL227" s="111"/>
      <c r="DAM227" s="111"/>
      <c r="DAN227" s="111"/>
      <c r="DAO227" s="111"/>
      <c r="DAP227" s="111"/>
      <c r="DAQ227" s="111"/>
      <c r="DAR227" s="111"/>
      <c r="DAS227" s="111"/>
      <c r="DAT227" s="111"/>
      <c r="DAU227" s="111"/>
      <c r="DAV227" s="111"/>
      <c r="DAW227" s="111"/>
      <c r="DAX227" s="111"/>
      <c r="DAY227" s="111"/>
      <c r="DAZ227" s="111"/>
      <c r="DBA227" s="111"/>
      <c r="DBB227" s="111"/>
      <c r="DBC227" s="111"/>
      <c r="DBD227" s="111"/>
      <c r="DBE227" s="111"/>
      <c r="DBF227" s="111"/>
      <c r="DBG227" s="111"/>
      <c r="DBH227" s="111"/>
      <c r="DBI227" s="111"/>
      <c r="DBJ227" s="111"/>
      <c r="DBK227" s="111"/>
      <c r="DBL227" s="111"/>
      <c r="DBM227" s="111"/>
      <c r="DBN227" s="111"/>
      <c r="DBO227" s="111"/>
      <c r="DBP227" s="111"/>
      <c r="DBQ227" s="111"/>
      <c r="DBR227" s="111"/>
      <c r="DBS227" s="111"/>
      <c r="DBT227" s="111"/>
      <c r="DBU227" s="111"/>
      <c r="DBV227" s="111"/>
      <c r="DBW227" s="111"/>
      <c r="DBX227" s="111"/>
      <c r="DBY227" s="111"/>
      <c r="DBZ227" s="111"/>
      <c r="DCA227" s="111"/>
      <c r="DCB227" s="111"/>
      <c r="DCC227" s="111"/>
      <c r="DCD227" s="111"/>
      <c r="DCE227" s="111"/>
      <c r="DCF227" s="111"/>
      <c r="DCG227" s="111"/>
      <c r="DCH227" s="111"/>
      <c r="DCI227" s="111"/>
      <c r="DCJ227" s="111"/>
      <c r="DCK227" s="111"/>
      <c r="DCL227" s="111"/>
      <c r="DCM227" s="111"/>
      <c r="DCN227" s="111"/>
      <c r="DCO227" s="111"/>
      <c r="DCP227" s="111"/>
      <c r="DCQ227" s="111"/>
      <c r="DCR227" s="111"/>
      <c r="DCS227" s="111"/>
      <c r="DCT227" s="111"/>
      <c r="DCU227" s="111"/>
      <c r="DCV227" s="111"/>
      <c r="DCW227" s="111"/>
      <c r="DCX227" s="111"/>
      <c r="DCY227" s="111"/>
      <c r="DCZ227" s="111"/>
      <c r="DDA227" s="111"/>
      <c r="DDB227" s="111"/>
      <c r="DDC227" s="111"/>
      <c r="DDD227" s="111"/>
      <c r="DDE227" s="111"/>
      <c r="DDF227" s="111"/>
      <c r="DDG227" s="111"/>
      <c r="DDH227" s="111"/>
      <c r="DDI227" s="111"/>
      <c r="DDJ227" s="111"/>
      <c r="DDK227" s="111"/>
      <c r="DDL227" s="111"/>
      <c r="DDM227" s="111"/>
      <c r="DDN227" s="111"/>
      <c r="DDO227" s="111"/>
      <c r="DDP227" s="111"/>
      <c r="DDQ227" s="111"/>
      <c r="DDR227" s="111"/>
      <c r="DDS227" s="111"/>
      <c r="DDT227" s="111"/>
      <c r="DDU227" s="111"/>
      <c r="DDV227" s="111"/>
      <c r="DDW227" s="111"/>
      <c r="DDX227" s="111"/>
      <c r="DDY227" s="111"/>
      <c r="DDZ227" s="111"/>
      <c r="DEA227" s="111"/>
      <c r="DEB227" s="111"/>
      <c r="DEC227" s="111"/>
      <c r="DED227" s="111"/>
      <c r="DEE227" s="111"/>
      <c r="DEF227" s="111"/>
      <c r="DEG227" s="111"/>
      <c r="DEH227" s="111"/>
      <c r="DEI227" s="111"/>
      <c r="DEJ227" s="111"/>
      <c r="DEK227" s="111"/>
      <c r="DEL227" s="111"/>
      <c r="DEM227" s="111"/>
      <c r="DEN227" s="111"/>
      <c r="DEO227" s="111"/>
      <c r="DEP227" s="111"/>
      <c r="DEQ227" s="111"/>
      <c r="DER227" s="111"/>
      <c r="DES227" s="111"/>
      <c r="DET227" s="111"/>
      <c r="DEU227" s="111"/>
      <c r="DEV227" s="111"/>
      <c r="DEW227" s="111"/>
      <c r="DEX227" s="111"/>
      <c r="DEY227" s="111"/>
      <c r="DEZ227" s="111"/>
      <c r="DFA227" s="111"/>
      <c r="DFB227" s="111"/>
      <c r="DFC227" s="111"/>
      <c r="DFD227" s="111"/>
      <c r="DFE227" s="111"/>
      <c r="DFF227" s="111"/>
      <c r="DFG227" s="111"/>
      <c r="DFH227" s="111"/>
      <c r="DFI227" s="111"/>
      <c r="DFJ227" s="111"/>
      <c r="DFK227" s="111"/>
      <c r="DFL227" s="111"/>
      <c r="DFM227" s="111"/>
      <c r="DFN227" s="111"/>
      <c r="DFO227" s="111"/>
      <c r="DFP227" s="111"/>
      <c r="DFQ227" s="111"/>
      <c r="DFR227" s="111"/>
      <c r="DFS227" s="111"/>
      <c r="DFT227" s="111"/>
      <c r="DFU227" s="111"/>
      <c r="DFV227" s="111"/>
      <c r="DFW227" s="111"/>
      <c r="DFX227" s="111"/>
      <c r="DFY227" s="111"/>
      <c r="DFZ227" s="111"/>
      <c r="DGA227" s="111"/>
      <c r="DGB227" s="111"/>
      <c r="DGC227" s="111"/>
      <c r="DGD227" s="111"/>
      <c r="DGE227" s="111"/>
      <c r="DGF227" s="111"/>
      <c r="DGG227" s="111"/>
      <c r="DGH227" s="111"/>
      <c r="DGI227" s="111"/>
      <c r="DGJ227" s="111"/>
      <c r="DGK227" s="111"/>
      <c r="DGL227" s="111"/>
      <c r="DGM227" s="111"/>
      <c r="DGN227" s="111"/>
      <c r="DGO227" s="111"/>
      <c r="DGP227" s="111"/>
      <c r="DGQ227" s="111"/>
      <c r="DGR227" s="111"/>
      <c r="DGS227" s="111"/>
      <c r="DGT227" s="111"/>
      <c r="DGU227" s="111"/>
      <c r="DGV227" s="111"/>
      <c r="DGW227" s="111"/>
      <c r="DGX227" s="111"/>
      <c r="DGY227" s="111"/>
      <c r="DGZ227" s="111"/>
      <c r="DHA227" s="111"/>
      <c r="DHB227" s="111"/>
      <c r="DHC227" s="111"/>
      <c r="DHD227" s="111"/>
      <c r="DHE227" s="111"/>
      <c r="DHF227" s="111"/>
      <c r="DHG227" s="111"/>
      <c r="DHH227" s="111"/>
      <c r="DHI227" s="111"/>
      <c r="DHJ227" s="111"/>
      <c r="DHK227" s="111"/>
      <c r="DHL227" s="111"/>
      <c r="DHM227" s="111"/>
      <c r="DHN227" s="111"/>
      <c r="DHO227" s="111"/>
      <c r="DHP227" s="111"/>
      <c r="DHQ227" s="111"/>
      <c r="DHR227" s="111"/>
      <c r="DHS227" s="111"/>
      <c r="DHT227" s="111"/>
      <c r="DHU227" s="111"/>
      <c r="DHV227" s="111"/>
      <c r="DHW227" s="111"/>
      <c r="DHX227" s="111"/>
      <c r="DHY227" s="111"/>
      <c r="DHZ227" s="111"/>
      <c r="DIA227" s="111"/>
      <c r="DIB227" s="111"/>
      <c r="DIC227" s="111"/>
      <c r="DID227" s="111"/>
      <c r="DIE227" s="111"/>
      <c r="DIF227" s="111"/>
      <c r="DIG227" s="111"/>
      <c r="DIH227" s="111"/>
      <c r="DII227" s="111"/>
      <c r="DIJ227" s="111"/>
      <c r="DIK227" s="111"/>
      <c r="DIL227" s="111"/>
      <c r="DIM227" s="111"/>
      <c r="DIN227" s="111"/>
      <c r="DIO227" s="111"/>
      <c r="DIP227" s="111"/>
      <c r="DIQ227" s="111"/>
      <c r="DIR227" s="111"/>
      <c r="DIS227" s="111"/>
      <c r="DIT227" s="111"/>
      <c r="DIU227" s="111"/>
      <c r="DIV227" s="111"/>
      <c r="DIW227" s="111"/>
      <c r="DIX227" s="111"/>
      <c r="DIY227" s="111"/>
      <c r="DIZ227" s="111"/>
      <c r="DJA227" s="111"/>
      <c r="DJB227" s="111"/>
      <c r="DJC227" s="111"/>
      <c r="DJD227" s="111"/>
      <c r="DJE227" s="111"/>
      <c r="DJF227" s="111"/>
      <c r="DJG227" s="111"/>
      <c r="DJH227" s="111"/>
      <c r="DJI227" s="111"/>
      <c r="DJJ227" s="111"/>
      <c r="DJK227" s="111"/>
      <c r="DJL227" s="111"/>
      <c r="DJM227" s="111"/>
      <c r="DJN227" s="111"/>
      <c r="DJO227" s="111"/>
      <c r="DJP227" s="111"/>
      <c r="DJQ227" s="111"/>
      <c r="DJR227" s="111"/>
      <c r="DJS227" s="111"/>
      <c r="DJT227" s="111"/>
      <c r="DJU227" s="111"/>
      <c r="DJV227" s="111"/>
      <c r="DJW227" s="111"/>
      <c r="DJX227" s="111"/>
      <c r="DJY227" s="111"/>
      <c r="DJZ227" s="111"/>
      <c r="DKA227" s="111"/>
      <c r="DKB227" s="111"/>
      <c r="DKC227" s="111"/>
      <c r="DKD227" s="111"/>
      <c r="DKE227" s="111"/>
      <c r="DKF227" s="111"/>
      <c r="DKG227" s="111"/>
      <c r="DKH227" s="111"/>
      <c r="DKI227" s="111"/>
      <c r="DKJ227" s="111"/>
      <c r="DKK227" s="111"/>
      <c r="DKL227" s="111"/>
      <c r="DKM227" s="111"/>
      <c r="DKN227" s="111"/>
      <c r="DKO227" s="111"/>
      <c r="DKP227" s="111"/>
      <c r="DKQ227" s="111"/>
      <c r="DKR227" s="111"/>
      <c r="DKS227" s="111"/>
      <c r="DKT227" s="111"/>
      <c r="DKU227" s="111"/>
      <c r="DKV227" s="111"/>
      <c r="DKW227" s="111"/>
      <c r="DKX227" s="111"/>
      <c r="DKY227" s="111"/>
      <c r="DKZ227" s="111"/>
      <c r="DLA227" s="111"/>
      <c r="DLB227" s="111"/>
      <c r="DLC227" s="111"/>
      <c r="DLD227" s="111"/>
      <c r="DLE227" s="111"/>
      <c r="DLF227" s="111"/>
      <c r="DLG227" s="111"/>
      <c r="DLH227" s="111"/>
      <c r="DLI227" s="111"/>
      <c r="DLJ227" s="111"/>
      <c r="DLK227" s="111"/>
      <c r="DLL227" s="111"/>
      <c r="DLM227" s="111"/>
      <c r="DLN227" s="111"/>
      <c r="DLO227" s="111"/>
      <c r="DLP227" s="111"/>
      <c r="DLQ227" s="111"/>
      <c r="DLR227" s="111"/>
      <c r="DLS227" s="111"/>
      <c r="DLT227" s="111"/>
      <c r="DLU227" s="111"/>
      <c r="DLV227" s="111"/>
      <c r="DLW227" s="111"/>
      <c r="DLX227" s="111"/>
      <c r="DLY227" s="111"/>
      <c r="DLZ227" s="111"/>
      <c r="DMA227" s="111"/>
      <c r="DMB227" s="111"/>
      <c r="DMC227" s="111"/>
      <c r="DMD227" s="111"/>
      <c r="DME227" s="111"/>
      <c r="DMF227" s="111"/>
      <c r="DMG227" s="111"/>
      <c r="DMH227" s="111"/>
      <c r="DMI227" s="111"/>
      <c r="DMJ227" s="111"/>
      <c r="DMK227" s="111"/>
      <c r="DML227" s="111"/>
      <c r="DMM227" s="111"/>
      <c r="DMN227" s="111"/>
      <c r="DMO227" s="111"/>
      <c r="DMP227" s="111"/>
      <c r="DMQ227" s="111"/>
      <c r="DMR227" s="111"/>
      <c r="DMS227" s="111"/>
      <c r="DMT227" s="111"/>
      <c r="DMU227" s="111"/>
      <c r="DMV227" s="111"/>
      <c r="DMW227" s="111"/>
      <c r="DMX227" s="111"/>
      <c r="DMY227" s="111"/>
      <c r="DMZ227" s="111"/>
      <c r="DNA227" s="111"/>
      <c r="DNB227" s="111"/>
      <c r="DNC227" s="111"/>
      <c r="DND227" s="111"/>
      <c r="DNE227" s="111"/>
      <c r="DNF227" s="111"/>
      <c r="DNG227" s="111"/>
      <c r="DNH227" s="111"/>
      <c r="DNI227" s="111"/>
      <c r="DNJ227" s="111"/>
      <c r="DNK227" s="111"/>
      <c r="DNL227" s="111"/>
      <c r="DNM227" s="111"/>
      <c r="DNN227" s="111"/>
      <c r="DNO227" s="111"/>
      <c r="DNP227" s="111"/>
      <c r="DNQ227" s="111"/>
      <c r="DNR227" s="111"/>
      <c r="DNS227" s="111"/>
      <c r="DNT227" s="111"/>
      <c r="DNU227" s="111"/>
      <c r="DNV227" s="111"/>
      <c r="DNW227" s="111"/>
      <c r="DNX227" s="111"/>
      <c r="DNY227" s="111"/>
      <c r="DNZ227" s="111"/>
      <c r="DOA227" s="111"/>
      <c r="DOB227" s="111"/>
      <c r="DOC227" s="111"/>
      <c r="DOD227" s="111"/>
      <c r="DOE227" s="111"/>
      <c r="DOF227" s="111"/>
      <c r="DOG227" s="111"/>
      <c r="DOH227" s="111"/>
      <c r="DOI227" s="111"/>
      <c r="DOJ227" s="111"/>
      <c r="DOK227" s="111"/>
      <c r="DOL227" s="111"/>
      <c r="DOM227" s="111"/>
      <c r="DON227" s="111"/>
      <c r="DOO227" s="111"/>
      <c r="DOP227" s="111"/>
      <c r="DOQ227" s="111"/>
      <c r="DOR227" s="111"/>
      <c r="DOS227" s="111"/>
      <c r="DOT227" s="111"/>
      <c r="DOU227" s="111"/>
      <c r="DOV227" s="111"/>
      <c r="DOW227" s="111"/>
      <c r="DOX227" s="111"/>
      <c r="DOY227" s="111"/>
      <c r="DOZ227" s="111"/>
      <c r="DPA227" s="111"/>
      <c r="DPB227" s="111"/>
      <c r="DPC227" s="111"/>
      <c r="DPD227" s="111"/>
      <c r="DPE227" s="111"/>
      <c r="DPF227" s="111"/>
      <c r="DPG227" s="111"/>
      <c r="DPH227" s="111"/>
      <c r="DPI227" s="111"/>
      <c r="DPJ227" s="111"/>
      <c r="DPK227" s="111"/>
      <c r="DPL227" s="111"/>
      <c r="DPM227" s="111"/>
      <c r="DPN227" s="111"/>
      <c r="DPO227" s="111"/>
      <c r="DPP227" s="111"/>
      <c r="DPQ227" s="111"/>
      <c r="DPR227" s="111"/>
      <c r="DPS227" s="111"/>
      <c r="DPT227" s="111"/>
      <c r="DPU227" s="111"/>
      <c r="DPV227" s="111"/>
      <c r="DPW227" s="111"/>
      <c r="DPX227" s="111"/>
      <c r="DPY227" s="111"/>
      <c r="DPZ227" s="111"/>
      <c r="DQA227" s="111"/>
      <c r="DQB227" s="111"/>
      <c r="DQC227" s="111"/>
      <c r="DQD227" s="111"/>
      <c r="DQE227" s="111"/>
      <c r="DQF227" s="111"/>
      <c r="DQG227" s="111"/>
      <c r="DQH227" s="111"/>
      <c r="DQI227" s="111"/>
      <c r="DQJ227" s="111"/>
      <c r="DQK227" s="111"/>
      <c r="DQL227" s="111"/>
      <c r="DQM227" s="111"/>
      <c r="DQN227" s="111"/>
      <c r="DQO227" s="111"/>
      <c r="DQP227" s="111"/>
      <c r="DQQ227" s="111"/>
      <c r="DQR227" s="111"/>
      <c r="DQS227" s="111"/>
      <c r="DQT227" s="111"/>
      <c r="DQU227" s="111"/>
      <c r="DQV227" s="111"/>
      <c r="DQW227" s="111"/>
      <c r="DQX227" s="111"/>
      <c r="DQY227" s="111"/>
      <c r="DQZ227" s="111"/>
      <c r="DRA227" s="111"/>
      <c r="DRB227" s="111"/>
      <c r="DRC227" s="111"/>
      <c r="DRD227" s="111"/>
      <c r="DRE227" s="111"/>
      <c r="DRF227" s="111"/>
      <c r="DRG227" s="111"/>
      <c r="DRH227" s="111"/>
      <c r="DRI227" s="111"/>
      <c r="DRJ227" s="111"/>
      <c r="DRK227" s="111"/>
      <c r="DRL227" s="111"/>
      <c r="DRM227" s="111"/>
      <c r="DRN227" s="111"/>
      <c r="DRO227" s="111"/>
      <c r="DRP227" s="111"/>
      <c r="DRQ227" s="111"/>
      <c r="DRR227" s="111"/>
      <c r="DRS227" s="111"/>
      <c r="DRT227" s="111"/>
      <c r="DRU227" s="111"/>
      <c r="DRV227" s="111"/>
      <c r="DRW227" s="111"/>
      <c r="DRX227" s="111"/>
      <c r="DRY227" s="111"/>
      <c r="DRZ227" s="111"/>
      <c r="DSA227" s="111"/>
      <c r="DSB227" s="111"/>
      <c r="DSC227" s="111"/>
      <c r="DSD227" s="111"/>
      <c r="DSE227" s="111"/>
      <c r="DSF227" s="111"/>
      <c r="DSG227" s="111"/>
      <c r="DSH227" s="111"/>
      <c r="DSI227" s="111"/>
      <c r="DSJ227" s="111"/>
      <c r="DSK227" s="111"/>
      <c r="DSL227" s="111"/>
      <c r="DSM227" s="111"/>
      <c r="DSN227" s="111"/>
      <c r="DSO227" s="111"/>
      <c r="DSP227" s="111"/>
      <c r="DSQ227" s="111"/>
      <c r="DSR227" s="111"/>
      <c r="DSS227" s="111"/>
      <c r="DST227" s="111"/>
      <c r="DSU227" s="111"/>
      <c r="DSV227" s="111"/>
      <c r="DSW227" s="111"/>
      <c r="DSX227" s="111"/>
      <c r="DSY227" s="111"/>
      <c r="DSZ227" s="111"/>
      <c r="DTA227" s="111"/>
      <c r="DTB227" s="111"/>
      <c r="DTC227" s="111"/>
      <c r="DTD227" s="111"/>
      <c r="DTE227" s="111"/>
      <c r="DTF227" s="111"/>
      <c r="DTG227" s="111"/>
      <c r="DTH227" s="111"/>
      <c r="DTI227" s="111"/>
      <c r="DTJ227" s="111"/>
      <c r="DTK227" s="111"/>
      <c r="DTL227" s="111"/>
      <c r="DTM227" s="111"/>
      <c r="DTN227" s="111"/>
      <c r="DTO227" s="111"/>
      <c r="DTP227" s="111"/>
      <c r="DTQ227" s="111"/>
      <c r="DTR227" s="111"/>
      <c r="DTS227" s="111"/>
      <c r="DTT227" s="111"/>
      <c r="DTU227" s="111"/>
      <c r="DTV227" s="111"/>
      <c r="DTW227" s="111"/>
      <c r="DTX227" s="111"/>
      <c r="DTY227" s="111"/>
      <c r="DTZ227" s="111"/>
      <c r="DUA227" s="111"/>
      <c r="DUB227" s="111"/>
      <c r="DUC227" s="111"/>
      <c r="DUD227" s="111"/>
      <c r="DUE227" s="111"/>
      <c r="DUF227" s="111"/>
      <c r="DUG227" s="111"/>
      <c r="DUH227" s="111"/>
      <c r="DUI227" s="111"/>
      <c r="DUJ227" s="111"/>
      <c r="DUK227" s="111"/>
      <c r="DUL227" s="111"/>
      <c r="DUM227" s="111"/>
      <c r="DUN227" s="111"/>
      <c r="DUO227" s="111"/>
      <c r="DUP227" s="111"/>
      <c r="DUQ227" s="111"/>
      <c r="DUR227" s="111"/>
      <c r="DUS227" s="111"/>
      <c r="DUT227" s="111"/>
      <c r="DUU227" s="111"/>
      <c r="DUV227" s="111"/>
      <c r="DUW227" s="111"/>
      <c r="DUX227" s="111"/>
      <c r="DUY227" s="111"/>
      <c r="DUZ227" s="111"/>
      <c r="DVA227" s="111"/>
      <c r="DVB227" s="111"/>
      <c r="DVC227" s="111"/>
      <c r="DVD227" s="111"/>
      <c r="DVE227" s="111"/>
      <c r="DVF227" s="111"/>
      <c r="DVG227" s="111"/>
      <c r="DVH227" s="111"/>
      <c r="DVI227" s="111"/>
      <c r="DVJ227" s="111"/>
      <c r="DVK227" s="111"/>
      <c r="DVL227" s="111"/>
      <c r="DVM227" s="111"/>
      <c r="DVN227" s="111"/>
      <c r="DVO227" s="111"/>
      <c r="DVP227" s="111"/>
      <c r="DVQ227" s="111"/>
      <c r="DVR227" s="111"/>
      <c r="DVS227" s="111"/>
      <c r="DVT227" s="111"/>
      <c r="DVU227" s="111"/>
      <c r="DVV227" s="111"/>
      <c r="DVW227" s="111"/>
      <c r="DVX227" s="111"/>
      <c r="DVY227" s="111"/>
      <c r="DVZ227" s="111"/>
      <c r="DWA227" s="111"/>
      <c r="DWB227" s="111"/>
      <c r="DWC227" s="111"/>
      <c r="DWD227" s="111"/>
      <c r="DWE227" s="111"/>
      <c r="DWF227" s="111"/>
      <c r="DWG227" s="111"/>
      <c r="DWH227" s="111"/>
      <c r="DWI227" s="111"/>
      <c r="DWJ227" s="111"/>
      <c r="DWK227" s="111"/>
      <c r="DWL227" s="111"/>
      <c r="DWM227" s="111"/>
      <c r="DWN227" s="111"/>
      <c r="DWO227" s="111"/>
      <c r="DWP227" s="111"/>
      <c r="DWQ227" s="111"/>
      <c r="DWR227" s="111"/>
      <c r="DWS227" s="111"/>
      <c r="DWT227" s="111"/>
      <c r="DWU227" s="111"/>
      <c r="DWV227" s="111"/>
      <c r="DWW227" s="111"/>
      <c r="DWX227" s="111"/>
      <c r="DWY227" s="111"/>
      <c r="DWZ227" s="111"/>
      <c r="DXA227" s="111"/>
      <c r="DXB227" s="111"/>
      <c r="DXC227" s="111"/>
      <c r="DXD227" s="111"/>
      <c r="DXE227" s="111"/>
      <c r="DXF227" s="111"/>
      <c r="DXG227" s="111"/>
      <c r="DXH227" s="111"/>
      <c r="DXI227" s="111"/>
      <c r="DXJ227" s="111"/>
      <c r="DXK227" s="111"/>
      <c r="DXL227" s="111"/>
      <c r="DXM227" s="111"/>
      <c r="DXN227" s="111"/>
      <c r="DXO227" s="111"/>
      <c r="DXP227" s="111"/>
      <c r="DXQ227" s="111"/>
      <c r="DXR227" s="111"/>
      <c r="DXS227" s="111"/>
      <c r="DXT227" s="111"/>
      <c r="DXU227" s="111"/>
      <c r="DXV227" s="111"/>
      <c r="DXW227" s="111"/>
      <c r="DXX227" s="111"/>
      <c r="DXY227" s="111"/>
      <c r="DXZ227" s="111"/>
      <c r="DYA227" s="111"/>
      <c r="DYB227" s="111"/>
      <c r="DYC227" s="111"/>
      <c r="DYD227" s="111"/>
      <c r="DYE227" s="111"/>
      <c r="DYF227" s="111"/>
      <c r="DYG227" s="111"/>
      <c r="DYH227" s="111"/>
      <c r="DYI227" s="111"/>
      <c r="DYJ227" s="111"/>
      <c r="DYK227" s="111"/>
      <c r="DYL227" s="111"/>
      <c r="DYM227" s="111"/>
      <c r="DYN227" s="111"/>
      <c r="DYO227" s="111"/>
      <c r="DYP227" s="111"/>
      <c r="DYQ227" s="111"/>
      <c r="DYR227" s="111"/>
      <c r="DYS227" s="111"/>
      <c r="DYT227" s="111"/>
      <c r="DYU227" s="111"/>
      <c r="DYV227" s="111"/>
      <c r="DYW227" s="111"/>
      <c r="DYX227" s="111"/>
      <c r="DYY227" s="111"/>
      <c r="DYZ227" s="111"/>
      <c r="DZA227" s="111"/>
      <c r="DZB227" s="111"/>
      <c r="DZC227" s="111"/>
      <c r="DZD227" s="111"/>
      <c r="DZE227" s="111"/>
      <c r="DZF227" s="111"/>
      <c r="DZG227" s="111"/>
      <c r="DZH227" s="111"/>
      <c r="DZI227" s="111"/>
      <c r="DZJ227" s="111"/>
      <c r="DZK227" s="111"/>
      <c r="DZL227" s="111"/>
      <c r="DZM227" s="111"/>
      <c r="DZN227" s="111"/>
      <c r="DZO227" s="111"/>
      <c r="DZP227" s="111"/>
      <c r="DZQ227" s="111"/>
      <c r="DZR227" s="111"/>
      <c r="DZS227" s="111"/>
      <c r="DZT227" s="111"/>
      <c r="DZU227" s="111"/>
      <c r="DZV227" s="111"/>
      <c r="DZW227" s="111"/>
      <c r="DZX227" s="111"/>
      <c r="DZY227" s="111"/>
      <c r="DZZ227" s="111"/>
      <c r="EAA227" s="111"/>
      <c r="EAB227" s="111"/>
      <c r="EAC227" s="111"/>
      <c r="EAD227" s="111"/>
      <c r="EAE227" s="111"/>
      <c r="EAF227" s="111"/>
      <c r="EAG227" s="111"/>
      <c r="EAH227" s="111"/>
      <c r="EAI227" s="111"/>
      <c r="EAJ227" s="111"/>
      <c r="EAK227" s="111"/>
      <c r="EAL227" s="111"/>
      <c r="EAM227" s="111"/>
      <c r="EAN227" s="111"/>
      <c r="EAO227" s="111"/>
      <c r="EAP227" s="111"/>
      <c r="EAQ227" s="111"/>
      <c r="EAR227" s="111"/>
      <c r="EAS227" s="111"/>
      <c r="EAT227" s="111"/>
      <c r="EAU227" s="111"/>
      <c r="EAV227" s="111"/>
      <c r="EAW227" s="111"/>
      <c r="EAX227" s="111"/>
      <c r="EAY227" s="111"/>
      <c r="EAZ227" s="111"/>
      <c r="EBA227" s="111"/>
      <c r="EBB227" s="111"/>
      <c r="EBC227" s="111"/>
      <c r="EBD227" s="111"/>
      <c r="EBE227" s="111"/>
      <c r="EBF227" s="111"/>
      <c r="EBG227" s="111"/>
      <c r="EBH227" s="111"/>
      <c r="EBI227" s="111"/>
      <c r="EBJ227" s="111"/>
      <c r="EBK227" s="111"/>
      <c r="EBL227" s="111"/>
      <c r="EBM227" s="111"/>
      <c r="EBN227" s="111"/>
      <c r="EBO227" s="111"/>
      <c r="EBP227" s="111"/>
      <c r="EBQ227" s="111"/>
      <c r="EBR227" s="111"/>
      <c r="EBS227" s="111"/>
      <c r="EBT227" s="111"/>
      <c r="EBU227" s="111"/>
      <c r="EBV227" s="111"/>
      <c r="EBW227" s="111"/>
      <c r="EBX227" s="111"/>
      <c r="EBY227" s="111"/>
      <c r="EBZ227" s="111"/>
      <c r="ECA227" s="111"/>
      <c r="ECB227" s="111"/>
      <c r="ECC227" s="111"/>
      <c r="ECD227" s="111"/>
      <c r="ECE227" s="111"/>
      <c r="ECF227" s="111"/>
      <c r="ECG227" s="111"/>
      <c r="ECH227" s="111"/>
      <c r="ECI227" s="111"/>
      <c r="ECJ227" s="111"/>
      <c r="ECK227" s="111"/>
      <c r="ECL227" s="111"/>
      <c r="ECM227" s="111"/>
      <c r="ECN227" s="111"/>
      <c r="ECO227" s="111"/>
      <c r="ECP227" s="111"/>
      <c r="ECQ227" s="111"/>
      <c r="ECR227" s="111"/>
      <c r="ECS227" s="111"/>
      <c r="ECT227" s="111"/>
      <c r="ECU227" s="111"/>
      <c r="ECV227" s="111"/>
      <c r="ECW227" s="111"/>
      <c r="ECX227" s="111"/>
      <c r="ECY227" s="111"/>
      <c r="ECZ227" s="111"/>
      <c r="EDA227" s="111"/>
      <c r="EDB227" s="111"/>
      <c r="EDC227" s="111"/>
      <c r="EDD227" s="111"/>
      <c r="EDE227" s="111"/>
      <c r="EDF227" s="111"/>
      <c r="EDG227" s="111"/>
      <c r="EDH227" s="111"/>
      <c r="EDI227" s="111"/>
      <c r="EDJ227" s="111"/>
      <c r="EDK227" s="111"/>
      <c r="EDL227" s="111"/>
      <c r="EDM227" s="111"/>
      <c r="EDN227" s="111"/>
      <c r="EDO227" s="111"/>
      <c r="EDP227" s="111"/>
      <c r="EDQ227" s="111"/>
      <c r="EDR227" s="111"/>
      <c r="EDS227" s="111"/>
      <c r="EDT227" s="111"/>
      <c r="EDU227" s="111"/>
      <c r="EDV227" s="111"/>
      <c r="EDW227" s="111"/>
      <c r="EDX227" s="111"/>
      <c r="EDY227" s="111"/>
      <c r="EDZ227" s="111"/>
      <c r="EEA227" s="111"/>
      <c r="EEB227" s="111"/>
      <c r="EEC227" s="111"/>
      <c r="EED227" s="111"/>
      <c r="EEE227" s="111"/>
      <c r="EEF227" s="111"/>
      <c r="EEG227" s="111"/>
      <c r="EEH227" s="111"/>
      <c r="EEI227" s="111"/>
      <c r="EEJ227" s="111"/>
      <c r="EEK227" s="111"/>
      <c r="EEL227" s="111"/>
      <c r="EEM227" s="111"/>
      <c r="EEN227" s="111"/>
      <c r="EEO227" s="111"/>
      <c r="EEP227" s="111"/>
      <c r="EEQ227" s="111"/>
      <c r="EER227" s="111"/>
      <c r="EES227" s="111"/>
      <c r="EET227" s="111"/>
      <c r="EEU227" s="111"/>
      <c r="EEV227" s="111"/>
      <c r="EEW227" s="111"/>
      <c r="EEX227" s="111"/>
      <c r="EEY227" s="111"/>
      <c r="EEZ227" s="111"/>
      <c r="EFA227" s="111"/>
      <c r="EFB227" s="111"/>
      <c r="EFC227" s="111"/>
      <c r="EFD227" s="111"/>
      <c r="EFE227" s="111"/>
      <c r="EFF227" s="111"/>
      <c r="EFG227" s="111"/>
      <c r="EFH227" s="111"/>
      <c r="EFI227" s="111"/>
      <c r="EFJ227" s="111"/>
      <c r="EFK227" s="111"/>
      <c r="EFL227" s="111"/>
      <c r="EFM227" s="111"/>
      <c r="EFN227" s="111"/>
      <c r="EFO227" s="111"/>
      <c r="EFP227" s="111"/>
      <c r="EFQ227" s="111"/>
      <c r="EFR227" s="111"/>
      <c r="EFS227" s="111"/>
      <c r="EFT227" s="111"/>
      <c r="EFU227" s="111"/>
      <c r="EFV227" s="111"/>
      <c r="EFW227" s="111"/>
      <c r="EFX227" s="111"/>
      <c r="EFY227" s="111"/>
      <c r="EFZ227" s="111"/>
      <c r="EGA227" s="111"/>
      <c r="EGB227" s="111"/>
      <c r="EGC227" s="111"/>
      <c r="EGD227" s="111"/>
      <c r="EGE227" s="111"/>
      <c r="EGF227" s="111"/>
      <c r="EGG227" s="111"/>
      <c r="EGH227" s="111"/>
      <c r="EGI227" s="111"/>
      <c r="EGJ227" s="111"/>
      <c r="EGK227" s="111"/>
      <c r="EGL227" s="111"/>
      <c r="EGM227" s="111"/>
      <c r="EGN227" s="111"/>
      <c r="EGO227" s="111"/>
      <c r="EGP227" s="111"/>
      <c r="EGQ227" s="111"/>
      <c r="EGR227" s="111"/>
      <c r="EGS227" s="111"/>
      <c r="EGT227" s="111"/>
      <c r="EGU227" s="111"/>
      <c r="EGV227" s="111"/>
      <c r="EGW227" s="111"/>
      <c r="EGX227" s="111"/>
      <c r="EGY227" s="111"/>
      <c r="EGZ227" s="111"/>
      <c r="EHA227" s="111"/>
      <c r="EHB227" s="111"/>
      <c r="EHC227" s="111"/>
      <c r="EHD227" s="111"/>
      <c r="EHE227" s="111"/>
      <c r="EHF227" s="111"/>
      <c r="EHG227" s="111"/>
      <c r="EHH227" s="111"/>
      <c r="EHI227" s="111"/>
      <c r="EHJ227" s="111"/>
      <c r="EHK227" s="111"/>
      <c r="EHL227" s="111"/>
      <c r="EHM227" s="111"/>
      <c r="EHN227" s="111"/>
      <c r="EHO227" s="111"/>
      <c r="EHP227" s="111"/>
      <c r="EHQ227" s="111"/>
      <c r="EHR227" s="111"/>
      <c r="EHS227" s="111"/>
      <c r="EHT227" s="111"/>
      <c r="EHU227" s="111"/>
      <c r="EHV227" s="111"/>
      <c r="EHW227" s="111"/>
      <c r="EHX227" s="111"/>
      <c r="EHY227" s="111"/>
      <c r="EHZ227" s="111"/>
      <c r="EIA227" s="111"/>
      <c r="EIB227" s="111"/>
      <c r="EIC227" s="111"/>
      <c r="EID227" s="111"/>
      <c r="EIE227" s="111"/>
      <c r="EIF227" s="111"/>
      <c r="EIG227" s="111"/>
      <c r="EIH227" s="111"/>
      <c r="EII227" s="111"/>
      <c r="EIJ227" s="111"/>
      <c r="EIK227" s="111"/>
      <c r="EIL227" s="111"/>
      <c r="EIM227" s="111"/>
      <c r="EIN227" s="111"/>
      <c r="EIO227" s="111"/>
      <c r="EIP227" s="111"/>
      <c r="EIQ227" s="111"/>
      <c r="EIR227" s="111"/>
      <c r="EIS227" s="111"/>
      <c r="EIT227" s="111"/>
      <c r="EIU227" s="111"/>
      <c r="EIV227" s="111"/>
      <c r="EIW227" s="111"/>
      <c r="EIX227" s="111"/>
      <c r="EIY227" s="111"/>
      <c r="EIZ227" s="111"/>
      <c r="EJA227" s="111"/>
      <c r="EJB227" s="111"/>
      <c r="EJC227" s="111"/>
      <c r="EJD227" s="111"/>
      <c r="EJE227" s="111"/>
      <c r="EJF227" s="111"/>
      <c r="EJG227" s="111"/>
      <c r="EJH227" s="111"/>
      <c r="EJI227" s="111"/>
      <c r="EJJ227" s="111"/>
      <c r="EJK227" s="111"/>
      <c r="EJL227" s="111"/>
      <c r="EJM227" s="111"/>
      <c r="EJN227" s="111"/>
      <c r="EJO227" s="111"/>
      <c r="EJP227" s="111"/>
      <c r="EJQ227" s="111"/>
      <c r="EJR227" s="111"/>
      <c r="EJS227" s="111"/>
      <c r="EJT227" s="111"/>
      <c r="EJU227" s="111"/>
      <c r="EJV227" s="111"/>
      <c r="EJW227" s="111"/>
      <c r="EJX227" s="111"/>
      <c r="EJY227" s="111"/>
      <c r="EJZ227" s="111"/>
      <c r="EKA227" s="111"/>
      <c r="EKB227" s="111"/>
      <c r="EKC227" s="111"/>
      <c r="EKD227" s="111"/>
      <c r="EKE227" s="111"/>
      <c r="EKF227" s="111"/>
      <c r="EKG227" s="111"/>
      <c r="EKH227" s="111"/>
      <c r="EKI227" s="111"/>
      <c r="EKJ227" s="111"/>
      <c r="EKK227" s="111"/>
      <c r="EKL227" s="111"/>
      <c r="EKM227" s="111"/>
      <c r="EKN227" s="111"/>
      <c r="EKO227" s="111"/>
      <c r="EKP227" s="111"/>
      <c r="EKQ227" s="111"/>
      <c r="EKR227" s="111"/>
      <c r="EKS227" s="111"/>
      <c r="EKT227" s="111"/>
      <c r="EKU227" s="111"/>
      <c r="EKV227" s="111"/>
      <c r="EKW227" s="111"/>
      <c r="EKX227" s="111"/>
      <c r="EKY227" s="111"/>
      <c r="EKZ227" s="111"/>
      <c r="ELA227" s="111"/>
      <c r="ELB227" s="111"/>
      <c r="ELC227" s="111"/>
      <c r="ELD227" s="111"/>
      <c r="ELE227" s="111"/>
      <c r="ELF227" s="111"/>
      <c r="ELG227" s="111"/>
      <c r="ELH227" s="111"/>
      <c r="ELI227" s="111"/>
      <c r="ELJ227" s="111"/>
      <c r="ELK227" s="111"/>
      <c r="ELL227" s="111"/>
      <c r="ELM227" s="111"/>
      <c r="ELN227" s="111"/>
      <c r="ELO227" s="111"/>
      <c r="ELP227" s="111"/>
      <c r="ELQ227" s="111"/>
      <c r="ELR227" s="111"/>
      <c r="ELS227" s="111"/>
      <c r="ELT227" s="111"/>
      <c r="ELU227" s="111"/>
      <c r="ELV227" s="111"/>
      <c r="ELW227" s="111"/>
      <c r="ELX227" s="111"/>
      <c r="ELY227" s="111"/>
      <c r="ELZ227" s="111"/>
      <c r="EMA227" s="111"/>
      <c r="EMB227" s="111"/>
      <c r="EMC227" s="111"/>
      <c r="EMD227" s="111"/>
      <c r="EME227" s="111"/>
      <c r="EMF227" s="111"/>
      <c r="EMG227" s="111"/>
      <c r="EMH227" s="111"/>
      <c r="EMI227" s="111"/>
      <c r="EMJ227" s="111"/>
      <c r="EMK227" s="111"/>
      <c r="EML227" s="111"/>
      <c r="EMM227" s="111"/>
      <c r="EMN227" s="111"/>
      <c r="EMO227" s="111"/>
      <c r="EMP227" s="111"/>
      <c r="EMQ227" s="111"/>
      <c r="EMR227" s="111"/>
      <c r="EMS227" s="111"/>
      <c r="EMT227" s="111"/>
      <c r="EMU227" s="111"/>
      <c r="EMV227" s="111"/>
      <c r="EMW227" s="111"/>
      <c r="EMX227" s="111"/>
      <c r="EMY227" s="111"/>
      <c r="EMZ227" s="111"/>
      <c r="ENA227" s="111"/>
      <c r="ENB227" s="111"/>
      <c r="ENC227" s="111"/>
      <c r="END227" s="111"/>
      <c r="ENE227" s="111"/>
      <c r="ENF227" s="111"/>
      <c r="ENG227" s="111"/>
      <c r="ENH227" s="111"/>
      <c r="ENI227" s="111"/>
      <c r="ENJ227" s="111"/>
      <c r="ENK227" s="111"/>
      <c r="ENL227" s="111"/>
      <c r="ENM227" s="111"/>
      <c r="ENN227" s="111"/>
      <c r="ENO227" s="111"/>
      <c r="ENP227" s="111"/>
      <c r="ENQ227" s="111"/>
      <c r="ENR227" s="111"/>
      <c r="ENS227" s="111"/>
      <c r="ENT227" s="111"/>
      <c r="ENU227" s="111"/>
      <c r="ENV227" s="111"/>
      <c r="ENW227" s="111"/>
      <c r="ENX227" s="111"/>
      <c r="ENY227" s="111"/>
      <c r="ENZ227" s="111"/>
      <c r="EOA227" s="111"/>
      <c r="EOB227" s="111"/>
      <c r="EOC227" s="111"/>
      <c r="EOD227" s="111"/>
      <c r="EOE227" s="111"/>
      <c r="EOF227" s="111"/>
      <c r="EOG227" s="111"/>
      <c r="EOH227" s="111"/>
      <c r="EOI227" s="111"/>
      <c r="EOJ227" s="111"/>
      <c r="EOK227" s="111"/>
      <c r="EOL227" s="111"/>
      <c r="EOM227" s="111"/>
      <c r="EON227" s="111"/>
      <c r="EOO227" s="111"/>
      <c r="EOP227" s="111"/>
      <c r="EOQ227" s="111"/>
      <c r="EOR227" s="111"/>
      <c r="EOS227" s="111"/>
      <c r="EOT227" s="111"/>
      <c r="EOU227" s="111"/>
      <c r="EOV227" s="111"/>
      <c r="EOW227" s="111"/>
      <c r="EOX227" s="111"/>
      <c r="EOY227" s="111"/>
      <c r="EOZ227" s="111"/>
      <c r="EPA227" s="111"/>
      <c r="EPB227" s="111"/>
      <c r="EPC227" s="111"/>
      <c r="EPD227" s="111"/>
      <c r="EPE227" s="111"/>
      <c r="EPF227" s="111"/>
      <c r="EPG227" s="111"/>
      <c r="EPH227" s="111"/>
      <c r="EPI227" s="111"/>
      <c r="EPJ227" s="111"/>
      <c r="EPK227" s="111"/>
      <c r="EPL227" s="111"/>
      <c r="EPM227" s="111"/>
      <c r="EPN227" s="111"/>
      <c r="EPO227" s="111"/>
      <c r="EPP227" s="111"/>
      <c r="EPQ227" s="111"/>
      <c r="EPR227" s="111"/>
      <c r="EPS227" s="111"/>
      <c r="EPT227" s="111"/>
      <c r="EPU227" s="111"/>
      <c r="EPV227" s="111"/>
      <c r="EPW227" s="111"/>
      <c r="EPX227" s="111"/>
      <c r="EPY227" s="111"/>
      <c r="EPZ227" s="111"/>
      <c r="EQA227" s="111"/>
      <c r="EQB227" s="111"/>
      <c r="EQC227" s="111"/>
      <c r="EQD227" s="111"/>
      <c r="EQE227" s="111"/>
      <c r="EQF227" s="111"/>
      <c r="EQG227" s="111"/>
      <c r="EQH227" s="111"/>
      <c r="EQI227" s="111"/>
      <c r="EQJ227" s="111"/>
      <c r="EQK227" s="111"/>
      <c r="EQL227" s="111"/>
      <c r="EQM227" s="111"/>
      <c r="EQN227" s="111"/>
      <c r="EQO227" s="111"/>
      <c r="EQP227" s="111"/>
      <c r="EQQ227" s="111"/>
      <c r="EQR227" s="111"/>
      <c r="EQS227" s="111"/>
      <c r="EQT227" s="111"/>
      <c r="EQU227" s="111"/>
      <c r="EQV227" s="111"/>
      <c r="EQW227" s="111"/>
      <c r="EQX227" s="111"/>
      <c r="EQY227" s="111"/>
      <c r="EQZ227" s="111"/>
      <c r="ERA227" s="111"/>
      <c r="ERB227" s="111"/>
      <c r="ERC227" s="111"/>
      <c r="ERD227" s="111"/>
      <c r="ERE227" s="111"/>
      <c r="ERF227" s="111"/>
      <c r="ERG227" s="111"/>
      <c r="ERH227" s="111"/>
      <c r="ERI227" s="111"/>
      <c r="ERJ227" s="111"/>
      <c r="ERK227" s="111"/>
      <c r="ERL227" s="111"/>
      <c r="ERM227" s="111"/>
      <c r="ERN227" s="111"/>
      <c r="ERO227" s="111"/>
      <c r="ERP227" s="111"/>
      <c r="ERQ227" s="111"/>
      <c r="ERR227" s="111"/>
      <c r="ERS227" s="111"/>
      <c r="ERT227" s="111"/>
      <c r="ERU227" s="111"/>
      <c r="ERV227" s="111"/>
      <c r="ERW227" s="111"/>
      <c r="ERX227" s="111"/>
      <c r="ERY227" s="111"/>
      <c r="ERZ227" s="111"/>
      <c r="ESA227" s="111"/>
      <c r="ESB227" s="111"/>
      <c r="ESC227" s="111"/>
      <c r="ESD227" s="111"/>
      <c r="ESE227" s="111"/>
      <c r="ESF227" s="111"/>
      <c r="ESG227" s="111"/>
      <c r="ESH227" s="111"/>
      <c r="ESI227" s="111"/>
      <c r="ESJ227" s="111"/>
      <c r="ESK227" s="111"/>
      <c r="ESL227" s="111"/>
      <c r="ESM227" s="111"/>
      <c r="ESN227" s="111"/>
      <c r="ESO227" s="111"/>
      <c r="ESP227" s="111"/>
      <c r="ESQ227" s="111"/>
      <c r="ESR227" s="111"/>
      <c r="ESS227" s="111"/>
      <c r="EST227" s="111"/>
      <c r="ESU227" s="111"/>
      <c r="ESV227" s="111"/>
      <c r="ESW227" s="111"/>
      <c r="ESX227" s="111"/>
      <c r="ESY227" s="111"/>
      <c r="ESZ227" s="111"/>
      <c r="ETA227" s="111"/>
      <c r="ETB227" s="111"/>
      <c r="ETC227" s="111"/>
      <c r="ETD227" s="111"/>
      <c r="ETE227" s="111"/>
      <c r="ETF227" s="111"/>
      <c r="ETG227" s="111"/>
      <c r="ETH227" s="111"/>
      <c r="ETI227" s="111"/>
      <c r="ETJ227" s="111"/>
      <c r="ETK227" s="111"/>
      <c r="ETL227" s="111"/>
      <c r="ETM227" s="111"/>
      <c r="ETN227" s="111"/>
      <c r="ETO227" s="111"/>
      <c r="ETP227" s="111"/>
      <c r="ETQ227" s="111"/>
      <c r="ETR227" s="111"/>
      <c r="ETS227" s="111"/>
      <c r="ETT227" s="111"/>
      <c r="ETU227" s="111"/>
      <c r="ETV227" s="111"/>
      <c r="ETW227" s="111"/>
      <c r="ETX227" s="111"/>
      <c r="ETY227" s="111"/>
      <c r="ETZ227" s="111"/>
      <c r="EUA227" s="111"/>
      <c r="EUB227" s="111"/>
      <c r="EUC227" s="111"/>
      <c r="EUD227" s="111"/>
      <c r="EUE227" s="111"/>
      <c r="EUF227" s="111"/>
      <c r="EUG227" s="111"/>
      <c r="EUH227" s="111"/>
      <c r="EUI227" s="111"/>
      <c r="EUJ227" s="111"/>
      <c r="EUK227" s="111"/>
      <c r="EUL227" s="111"/>
      <c r="EUM227" s="111"/>
      <c r="EUN227" s="111"/>
      <c r="EUO227" s="111"/>
      <c r="EUP227" s="111"/>
      <c r="EUQ227" s="111"/>
      <c r="EUR227" s="111"/>
      <c r="EUS227" s="111"/>
      <c r="EUT227" s="111"/>
      <c r="EUU227" s="111"/>
      <c r="EUV227" s="111"/>
      <c r="EUW227" s="111"/>
      <c r="EUX227" s="111"/>
      <c r="EUY227" s="111"/>
      <c r="EUZ227" s="111"/>
      <c r="EVA227" s="111"/>
      <c r="EVB227" s="111"/>
      <c r="EVC227" s="111"/>
      <c r="EVD227" s="111"/>
      <c r="EVE227" s="111"/>
      <c r="EVF227" s="111"/>
      <c r="EVG227" s="111"/>
      <c r="EVH227" s="111"/>
      <c r="EVI227" s="111"/>
      <c r="EVJ227" s="111"/>
      <c r="EVK227" s="111"/>
      <c r="EVL227" s="111"/>
      <c r="EVM227" s="111"/>
      <c r="EVN227" s="111"/>
      <c r="EVO227" s="111"/>
      <c r="EVP227" s="111"/>
      <c r="EVQ227" s="111"/>
      <c r="EVR227" s="111"/>
      <c r="EVS227" s="111"/>
      <c r="EVT227" s="111"/>
      <c r="EVU227" s="111"/>
      <c r="EVV227" s="111"/>
      <c r="EVW227" s="111"/>
      <c r="EVX227" s="111"/>
      <c r="EVY227" s="111"/>
      <c r="EVZ227" s="111"/>
      <c r="EWA227" s="111"/>
      <c r="EWB227" s="111"/>
      <c r="EWC227" s="111"/>
      <c r="EWD227" s="111"/>
      <c r="EWE227" s="111"/>
      <c r="EWF227" s="111"/>
      <c r="EWG227" s="111"/>
      <c r="EWH227" s="111"/>
      <c r="EWI227" s="111"/>
      <c r="EWJ227" s="111"/>
      <c r="EWK227" s="111"/>
      <c r="EWL227" s="111"/>
      <c r="EWM227" s="111"/>
      <c r="EWN227" s="111"/>
      <c r="EWO227" s="111"/>
      <c r="EWP227" s="111"/>
      <c r="EWQ227" s="111"/>
      <c r="EWR227" s="111"/>
      <c r="EWS227" s="111"/>
      <c r="EWT227" s="111"/>
      <c r="EWU227" s="111"/>
      <c r="EWV227" s="111"/>
      <c r="EWW227" s="111"/>
      <c r="EWX227" s="111"/>
      <c r="EWY227" s="111"/>
      <c r="EWZ227" s="111"/>
      <c r="EXA227" s="111"/>
      <c r="EXB227" s="111"/>
      <c r="EXC227" s="111"/>
      <c r="EXD227" s="111"/>
      <c r="EXE227" s="111"/>
      <c r="EXF227" s="111"/>
      <c r="EXG227" s="111"/>
      <c r="EXH227" s="111"/>
      <c r="EXI227" s="111"/>
      <c r="EXJ227" s="111"/>
      <c r="EXK227" s="111"/>
      <c r="EXL227" s="111"/>
      <c r="EXM227" s="111"/>
      <c r="EXN227" s="111"/>
      <c r="EXO227" s="111"/>
      <c r="EXP227" s="111"/>
      <c r="EXQ227" s="111"/>
      <c r="EXR227" s="111"/>
      <c r="EXS227" s="111"/>
      <c r="EXT227" s="111"/>
      <c r="EXU227" s="111"/>
      <c r="EXV227" s="111"/>
      <c r="EXW227" s="111"/>
      <c r="EXX227" s="111"/>
      <c r="EXY227" s="111"/>
      <c r="EXZ227" s="111"/>
      <c r="EYA227" s="111"/>
      <c r="EYB227" s="111"/>
      <c r="EYC227" s="111"/>
      <c r="EYD227" s="111"/>
      <c r="EYE227" s="111"/>
      <c r="EYF227" s="111"/>
      <c r="EYG227" s="111"/>
      <c r="EYH227" s="111"/>
      <c r="EYI227" s="111"/>
      <c r="EYJ227" s="111"/>
      <c r="EYK227" s="111"/>
      <c r="EYL227" s="111"/>
      <c r="EYM227" s="111"/>
      <c r="EYN227" s="111"/>
      <c r="EYO227" s="111"/>
      <c r="EYP227" s="111"/>
      <c r="EYQ227" s="111"/>
      <c r="EYR227" s="111"/>
      <c r="EYS227" s="111"/>
      <c r="EYT227" s="111"/>
      <c r="EYU227" s="111"/>
      <c r="EYV227" s="111"/>
      <c r="EYW227" s="111"/>
      <c r="EYX227" s="111"/>
      <c r="EYY227" s="111"/>
      <c r="EYZ227" s="111"/>
      <c r="EZA227" s="111"/>
      <c r="EZB227" s="111"/>
      <c r="EZC227" s="111"/>
      <c r="EZD227" s="111"/>
      <c r="EZE227" s="111"/>
      <c r="EZF227" s="111"/>
      <c r="EZG227" s="111"/>
      <c r="EZH227" s="111"/>
      <c r="EZI227" s="111"/>
      <c r="EZJ227" s="111"/>
      <c r="EZK227" s="111"/>
      <c r="EZL227" s="111"/>
      <c r="EZM227" s="111"/>
      <c r="EZN227" s="111"/>
      <c r="EZO227" s="111"/>
      <c r="EZP227" s="111"/>
      <c r="EZQ227" s="111"/>
      <c r="EZR227" s="111"/>
      <c r="EZS227" s="111"/>
      <c r="EZT227" s="111"/>
      <c r="EZU227" s="111"/>
      <c r="EZV227" s="111"/>
      <c r="EZW227" s="111"/>
      <c r="EZX227" s="111"/>
      <c r="EZY227" s="111"/>
      <c r="EZZ227" s="111"/>
      <c r="FAA227" s="111"/>
      <c r="FAB227" s="111"/>
      <c r="FAC227" s="111"/>
      <c r="FAD227" s="111"/>
      <c r="FAE227" s="111"/>
      <c r="FAF227" s="111"/>
      <c r="FAG227" s="111"/>
      <c r="FAH227" s="111"/>
      <c r="FAI227" s="111"/>
      <c r="FAJ227" s="111"/>
      <c r="FAK227" s="111"/>
      <c r="FAL227" s="111"/>
      <c r="FAM227" s="111"/>
      <c r="FAN227" s="111"/>
      <c r="FAO227" s="111"/>
      <c r="FAP227" s="111"/>
      <c r="FAQ227" s="111"/>
      <c r="FAR227" s="111"/>
      <c r="FAS227" s="111"/>
      <c r="FAT227" s="111"/>
      <c r="FAU227" s="111"/>
      <c r="FAV227" s="111"/>
      <c r="FAW227" s="111"/>
      <c r="FAX227" s="111"/>
      <c r="FAY227" s="111"/>
      <c r="FAZ227" s="111"/>
      <c r="FBA227" s="111"/>
      <c r="FBB227" s="111"/>
      <c r="FBC227" s="111"/>
      <c r="FBD227" s="111"/>
      <c r="FBE227" s="111"/>
      <c r="FBF227" s="111"/>
      <c r="FBG227" s="111"/>
      <c r="FBH227" s="111"/>
      <c r="FBI227" s="111"/>
      <c r="FBJ227" s="111"/>
      <c r="FBK227" s="111"/>
      <c r="FBL227" s="111"/>
      <c r="FBM227" s="111"/>
      <c r="FBN227" s="111"/>
      <c r="FBO227" s="111"/>
      <c r="FBP227" s="111"/>
      <c r="FBQ227" s="111"/>
      <c r="FBR227" s="111"/>
      <c r="FBS227" s="111"/>
      <c r="FBT227" s="111"/>
      <c r="FBU227" s="111"/>
      <c r="FBV227" s="111"/>
      <c r="FBW227" s="111"/>
      <c r="FBX227" s="111"/>
      <c r="FBY227" s="111"/>
      <c r="FBZ227" s="111"/>
      <c r="FCA227" s="111"/>
      <c r="FCB227" s="111"/>
      <c r="FCC227" s="111"/>
      <c r="FCD227" s="111"/>
      <c r="FCE227" s="111"/>
      <c r="FCF227" s="111"/>
      <c r="FCG227" s="111"/>
      <c r="FCH227" s="111"/>
      <c r="FCI227" s="111"/>
      <c r="FCJ227" s="111"/>
      <c r="FCK227" s="111"/>
      <c r="FCL227" s="111"/>
      <c r="FCM227" s="111"/>
      <c r="FCN227" s="111"/>
      <c r="FCO227" s="111"/>
      <c r="FCP227" s="111"/>
      <c r="FCQ227" s="111"/>
      <c r="FCR227" s="111"/>
      <c r="FCS227" s="111"/>
      <c r="FCT227" s="111"/>
      <c r="FCU227" s="111"/>
      <c r="FCV227" s="111"/>
      <c r="FCW227" s="111"/>
      <c r="FCX227" s="111"/>
      <c r="FCY227" s="111"/>
      <c r="FCZ227" s="111"/>
      <c r="FDA227" s="111"/>
      <c r="FDB227" s="111"/>
      <c r="FDC227" s="111"/>
      <c r="FDD227" s="111"/>
      <c r="FDE227" s="111"/>
      <c r="FDF227" s="111"/>
      <c r="FDG227" s="111"/>
      <c r="FDH227" s="111"/>
      <c r="FDI227" s="111"/>
      <c r="FDJ227" s="111"/>
      <c r="FDK227" s="111"/>
      <c r="FDL227" s="111"/>
      <c r="FDM227" s="111"/>
      <c r="FDN227" s="111"/>
      <c r="FDO227" s="111"/>
      <c r="FDP227" s="111"/>
      <c r="FDQ227" s="111"/>
      <c r="FDR227" s="111"/>
      <c r="FDS227" s="111"/>
      <c r="FDT227" s="111"/>
      <c r="FDU227" s="111"/>
      <c r="FDV227" s="111"/>
      <c r="FDW227" s="111"/>
      <c r="FDX227" s="111"/>
      <c r="FDY227" s="111"/>
      <c r="FDZ227" s="111"/>
      <c r="FEA227" s="111"/>
      <c r="FEB227" s="111"/>
      <c r="FEC227" s="111"/>
      <c r="FED227" s="111"/>
      <c r="FEE227" s="111"/>
      <c r="FEF227" s="111"/>
      <c r="FEG227" s="111"/>
      <c r="FEH227" s="111"/>
      <c r="FEI227" s="111"/>
      <c r="FEJ227" s="111"/>
      <c r="FEK227" s="111"/>
      <c r="FEL227" s="111"/>
      <c r="FEM227" s="111"/>
      <c r="FEN227" s="111"/>
      <c r="FEO227" s="111"/>
      <c r="FEP227" s="111"/>
      <c r="FEQ227" s="111"/>
      <c r="FER227" s="111"/>
      <c r="FES227" s="111"/>
      <c r="FET227" s="111"/>
      <c r="FEU227" s="111"/>
      <c r="FEV227" s="111"/>
      <c r="FEW227" s="111"/>
      <c r="FEX227" s="111"/>
      <c r="FEY227" s="111"/>
      <c r="FEZ227" s="111"/>
      <c r="FFA227" s="111"/>
      <c r="FFB227" s="111"/>
      <c r="FFC227" s="111"/>
      <c r="FFD227" s="111"/>
      <c r="FFE227" s="111"/>
      <c r="FFF227" s="111"/>
      <c r="FFG227" s="111"/>
      <c r="FFH227" s="111"/>
      <c r="FFI227" s="111"/>
      <c r="FFJ227" s="111"/>
      <c r="FFK227" s="111"/>
      <c r="FFL227" s="111"/>
      <c r="FFM227" s="111"/>
      <c r="FFN227" s="111"/>
      <c r="FFO227" s="111"/>
      <c r="FFP227" s="111"/>
      <c r="FFQ227" s="111"/>
      <c r="FFR227" s="111"/>
      <c r="FFS227" s="111"/>
      <c r="FFT227" s="111"/>
      <c r="FFU227" s="111"/>
      <c r="FFV227" s="111"/>
      <c r="FFW227" s="111"/>
      <c r="FFX227" s="111"/>
      <c r="FFY227" s="111"/>
      <c r="FFZ227" s="111"/>
      <c r="FGA227" s="111"/>
      <c r="FGB227" s="111"/>
      <c r="FGC227" s="111"/>
      <c r="FGD227" s="111"/>
      <c r="FGE227" s="111"/>
      <c r="FGF227" s="111"/>
      <c r="FGG227" s="111"/>
      <c r="FGH227" s="111"/>
      <c r="FGI227" s="111"/>
      <c r="FGJ227" s="111"/>
      <c r="FGK227" s="111"/>
      <c r="FGL227" s="111"/>
      <c r="FGM227" s="111"/>
      <c r="FGN227" s="111"/>
      <c r="FGO227" s="111"/>
      <c r="FGP227" s="111"/>
      <c r="FGQ227" s="111"/>
      <c r="FGR227" s="111"/>
      <c r="FGS227" s="111"/>
      <c r="FGT227" s="111"/>
      <c r="FGU227" s="111"/>
      <c r="FGV227" s="111"/>
      <c r="FGW227" s="111"/>
      <c r="FGX227" s="111"/>
      <c r="FGY227" s="111"/>
      <c r="FGZ227" s="111"/>
      <c r="FHA227" s="111"/>
      <c r="FHB227" s="111"/>
      <c r="FHC227" s="111"/>
      <c r="FHD227" s="111"/>
      <c r="FHE227" s="111"/>
      <c r="FHF227" s="111"/>
      <c r="FHG227" s="111"/>
      <c r="FHH227" s="111"/>
      <c r="FHI227" s="111"/>
      <c r="FHJ227" s="111"/>
      <c r="FHK227" s="111"/>
      <c r="FHL227" s="111"/>
      <c r="FHM227" s="111"/>
      <c r="FHN227" s="111"/>
      <c r="FHO227" s="111"/>
      <c r="FHP227" s="111"/>
      <c r="FHQ227" s="111"/>
      <c r="FHR227" s="111"/>
      <c r="FHS227" s="111"/>
      <c r="FHT227" s="111"/>
      <c r="FHU227" s="111"/>
      <c r="FHV227" s="111"/>
      <c r="FHW227" s="111"/>
      <c r="FHX227" s="111"/>
      <c r="FHY227" s="111"/>
      <c r="FHZ227" s="111"/>
      <c r="FIA227" s="111"/>
      <c r="FIB227" s="111"/>
      <c r="FIC227" s="111"/>
      <c r="FID227" s="111"/>
      <c r="FIE227" s="111"/>
      <c r="FIF227" s="111"/>
      <c r="FIG227" s="111"/>
      <c r="FIH227" s="111"/>
      <c r="FII227" s="111"/>
      <c r="FIJ227" s="111"/>
      <c r="FIK227" s="111"/>
      <c r="FIL227" s="111"/>
      <c r="FIM227" s="111"/>
      <c r="FIN227" s="111"/>
      <c r="FIO227" s="111"/>
      <c r="FIP227" s="111"/>
      <c r="FIQ227" s="111"/>
      <c r="FIR227" s="111"/>
      <c r="FIS227" s="111"/>
      <c r="FIT227" s="111"/>
      <c r="FIU227" s="111"/>
      <c r="FIV227" s="111"/>
      <c r="FIW227" s="111"/>
      <c r="FIX227" s="111"/>
      <c r="FIY227" s="111"/>
      <c r="FIZ227" s="111"/>
      <c r="FJA227" s="111"/>
      <c r="FJB227" s="111"/>
      <c r="FJC227" s="111"/>
      <c r="FJD227" s="111"/>
      <c r="FJE227" s="111"/>
      <c r="FJF227" s="111"/>
      <c r="FJG227" s="111"/>
      <c r="FJH227" s="111"/>
      <c r="FJI227" s="111"/>
      <c r="FJJ227" s="111"/>
      <c r="FJK227" s="111"/>
      <c r="FJL227" s="111"/>
      <c r="FJM227" s="111"/>
      <c r="FJN227" s="111"/>
      <c r="FJO227" s="111"/>
      <c r="FJP227" s="111"/>
      <c r="FJQ227" s="111"/>
      <c r="FJR227" s="111"/>
      <c r="FJS227" s="111"/>
      <c r="FJT227" s="111"/>
      <c r="FJU227" s="111"/>
      <c r="FJV227" s="111"/>
      <c r="FJW227" s="111"/>
      <c r="FJX227" s="111"/>
      <c r="FJY227" s="111"/>
      <c r="FJZ227" s="111"/>
      <c r="FKA227" s="111"/>
      <c r="FKB227" s="111"/>
      <c r="FKC227" s="111"/>
      <c r="FKD227" s="111"/>
      <c r="FKE227" s="111"/>
      <c r="FKF227" s="111"/>
      <c r="FKG227" s="111"/>
      <c r="FKH227" s="111"/>
      <c r="FKI227" s="111"/>
      <c r="FKJ227" s="111"/>
      <c r="FKK227" s="111"/>
      <c r="FKL227" s="111"/>
      <c r="FKM227" s="111"/>
      <c r="FKN227" s="111"/>
      <c r="FKO227" s="111"/>
      <c r="FKP227" s="111"/>
      <c r="FKQ227" s="111"/>
      <c r="FKR227" s="111"/>
      <c r="FKS227" s="111"/>
      <c r="FKT227" s="111"/>
      <c r="FKU227" s="111"/>
      <c r="FKV227" s="111"/>
      <c r="FKW227" s="111"/>
      <c r="FKX227" s="111"/>
      <c r="FKY227" s="111"/>
      <c r="FKZ227" s="111"/>
      <c r="FLA227" s="111"/>
      <c r="FLB227" s="111"/>
      <c r="FLC227" s="111"/>
      <c r="FLD227" s="111"/>
      <c r="FLE227" s="111"/>
      <c r="FLF227" s="111"/>
      <c r="FLG227" s="111"/>
      <c r="FLH227" s="111"/>
      <c r="FLI227" s="111"/>
      <c r="FLJ227" s="111"/>
      <c r="FLK227" s="111"/>
      <c r="FLL227" s="111"/>
      <c r="FLM227" s="111"/>
      <c r="FLN227" s="111"/>
      <c r="FLO227" s="111"/>
      <c r="FLP227" s="111"/>
      <c r="FLQ227" s="111"/>
      <c r="FLR227" s="111"/>
      <c r="FLS227" s="111"/>
      <c r="FLT227" s="111"/>
      <c r="FLU227" s="111"/>
      <c r="FLV227" s="111"/>
      <c r="FLW227" s="111"/>
      <c r="FLX227" s="111"/>
      <c r="FLY227" s="111"/>
      <c r="FLZ227" s="111"/>
      <c r="FMA227" s="111"/>
      <c r="FMB227" s="111"/>
      <c r="FMC227" s="111"/>
      <c r="FMD227" s="111"/>
      <c r="FME227" s="111"/>
      <c r="FMF227" s="111"/>
      <c r="FMG227" s="111"/>
      <c r="FMH227" s="111"/>
      <c r="FMI227" s="111"/>
      <c r="FMJ227" s="111"/>
      <c r="FMK227" s="111"/>
      <c r="FML227" s="111"/>
      <c r="FMM227" s="111"/>
      <c r="FMN227" s="111"/>
      <c r="FMO227" s="111"/>
      <c r="FMP227" s="111"/>
      <c r="FMQ227" s="111"/>
      <c r="FMR227" s="111"/>
      <c r="FMS227" s="111"/>
      <c r="FMT227" s="111"/>
      <c r="FMU227" s="111"/>
      <c r="FMV227" s="111"/>
      <c r="FMW227" s="111"/>
      <c r="FMX227" s="111"/>
      <c r="FMY227" s="111"/>
      <c r="FMZ227" s="111"/>
      <c r="FNA227" s="111"/>
      <c r="FNB227" s="111"/>
      <c r="FNC227" s="111"/>
      <c r="FND227" s="111"/>
      <c r="FNE227" s="111"/>
      <c r="FNF227" s="111"/>
      <c r="FNG227" s="111"/>
      <c r="FNH227" s="111"/>
      <c r="FNI227" s="111"/>
      <c r="FNJ227" s="111"/>
      <c r="FNK227" s="111"/>
      <c r="FNL227" s="111"/>
      <c r="FNM227" s="111"/>
      <c r="FNN227" s="111"/>
      <c r="FNO227" s="111"/>
      <c r="FNP227" s="111"/>
      <c r="FNQ227" s="111"/>
      <c r="FNR227" s="111"/>
      <c r="FNS227" s="111"/>
      <c r="FNT227" s="111"/>
      <c r="FNU227" s="111"/>
      <c r="FNV227" s="111"/>
      <c r="FNW227" s="111"/>
      <c r="FNX227" s="111"/>
      <c r="FNY227" s="111"/>
      <c r="FNZ227" s="111"/>
      <c r="FOA227" s="111"/>
      <c r="FOB227" s="111"/>
      <c r="FOC227" s="111"/>
      <c r="FOD227" s="111"/>
      <c r="FOE227" s="111"/>
      <c r="FOF227" s="111"/>
      <c r="FOG227" s="111"/>
      <c r="FOH227" s="111"/>
      <c r="FOI227" s="111"/>
      <c r="FOJ227" s="111"/>
      <c r="FOK227" s="111"/>
      <c r="FOL227" s="111"/>
      <c r="FOM227" s="111"/>
      <c r="FON227" s="111"/>
      <c r="FOO227" s="111"/>
      <c r="FOP227" s="111"/>
      <c r="FOQ227" s="111"/>
      <c r="FOR227" s="111"/>
      <c r="FOS227" s="111"/>
      <c r="FOT227" s="111"/>
      <c r="FOU227" s="111"/>
      <c r="FOV227" s="111"/>
      <c r="FOW227" s="111"/>
      <c r="FOX227" s="111"/>
      <c r="FOY227" s="111"/>
      <c r="FOZ227" s="111"/>
      <c r="FPA227" s="111"/>
      <c r="FPB227" s="111"/>
      <c r="FPC227" s="111"/>
      <c r="FPD227" s="111"/>
      <c r="FPE227" s="111"/>
      <c r="FPF227" s="111"/>
      <c r="FPG227" s="111"/>
      <c r="FPH227" s="111"/>
      <c r="FPI227" s="111"/>
      <c r="FPJ227" s="111"/>
      <c r="FPK227" s="111"/>
      <c r="FPL227" s="111"/>
      <c r="FPM227" s="111"/>
      <c r="FPN227" s="111"/>
      <c r="FPO227" s="111"/>
      <c r="FPP227" s="111"/>
      <c r="FPQ227" s="111"/>
      <c r="FPR227" s="111"/>
      <c r="FPS227" s="111"/>
      <c r="FPT227" s="111"/>
      <c r="FPU227" s="111"/>
      <c r="FPV227" s="111"/>
      <c r="FPW227" s="111"/>
      <c r="FPX227" s="111"/>
      <c r="FPY227" s="111"/>
      <c r="FPZ227" s="111"/>
      <c r="FQA227" s="111"/>
      <c r="FQB227" s="111"/>
      <c r="FQC227" s="111"/>
      <c r="FQD227" s="111"/>
      <c r="FQE227" s="111"/>
      <c r="FQF227" s="111"/>
      <c r="FQG227" s="111"/>
      <c r="FQH227" s="111"/>
      <c r="FQI227" s="111"/>
      <c r="FQJ227" s="111"/>
      <c r="FQK227" s="111"/>
      <c r="FQL227" s="111"/>
      <c r="FQM227" s="111"/>
      <c r="FQN227" s="111"/>
      <c r="FQO227" s="111"/>
      <c r="FQP227" s="111"/>
      <c r="FQQ227" s="111"/>
      <c r="FQR227" s="111"/>
      <c r="FQS227" s="111"/>
      <c r="FQT227" s="111"/>
      <c r="FQU227" s="111"/>
      <c r="FQV227" s="111"/>
      <c r="FQW227" s="111"/>
      <c r="FQX227" s="111"/>
      <c r="FQY227" s="111"/>
      <c r="FQZ227" s="111"/>
      <c r="FRA227" s="111"/>
      <c r="FRB227" s="111"/>
      <c r="FRC227" s="111"/>
      <c r="FRD227" s="111"/>
      <c r="FRE227" s="111"/>
      <c r="FRF227" s="111"/>
      <c r="FRG227" s="111"/>
      <c r="FRH227" s="111"/>
      <c r="FRI227" s="111"/>
      <c r="FRJ227" s="111"/>
      <c r="FRK227" s="111"/>
      <c r="FRL227" s="111"/>
      <c r="FRM227" s="111"/>
      <c r="FRN227" s="111"/>
      <c r="FRO227" s="111"/>
      <c r="FRP227" s="111"/>
      <c r="FRQ227" s="111"/>
      <c r="FRR227" s="111"/>
      <c r="FRS227" s="111"/>
      <c r="FRT227" s="111"/>
      <c r="FRU227" s="111"/>
      <c r="FRV227" s="111"/>
      <c r="FRW227" s="111"/>
      <c r="FRX227" s="111"/>
      <c r="FRY227" s="111"/>
      <c r="FRZ227" s="111"/>
      <c r="FSA227" s="111"/>
      <c r="FSB227" s="111"/>
      <c r="FSC227" s="111"/>
      <c r="FSD227" s="111"/>
      <c r="FSE227" s="111"/>
      <c r="FSF227" s="111"/>
      <c r="FSG227" s="111"/>
      <c r="FSH227" s="111"/>
      <c r="FSI227" s="111"/>
      <c r="FSJ227" s="111"/>
      <c r="FSK227" s="111"/>
      <c r="FSL227" s="111"/>
      <c r="FSM227" s="111"/>
      <c r="FSN227" s="111"/>
      <c r="FSO227" s="111"/>
      <c r="FSP227" s="111"/>
      <c r="FSQ227" s="111"/>
      <c r="FSR227" s="111"/>
      <c r="FSS227" s="111"/>
      <c r="FST227" s="111"/>
      <c r="FSU227" s="111"/>
      <c r="FSV227" s="111"/>
      <c r="FSW227" s="111"/>
      <c r="FSX227" s="111"/>
      <c r="FSY227" s="111"/>
      <c r="FSZ227" s="111"/>
      <c r="FTA227" s="111"/>
      <c r="FTB227" s="111"/>
      <c r="FTC227" s="111"/>
      <c r="FTD227" s="111"/>
      <c r="FTE227" s="111"/>
      <c r="FTF227" s="111"/>
      <c r="FTG227" s="111"/>
      <c r="FTH227" s="111"/>
      <c r="FTI227" s="111"/>
      <c r="FTJ227" s="111"/>
      <c r="FTK227" s="111"/>
      <c r="FTL227" s="111"/>
      <c r="FTM227" s="111"/>
      <c r="FTN227" s="111"/>
      <c r="FTO227" s="111"/>
      <c r="FTP227" s="111"/>
      <c r="FTQ227" s="111"/>
      <c r="FTR227" s="111"/>
      <c r="FTS227" s="111"/>
      <c r="FTT227" s="111"/>
      <c r="FTU227" s="111"/>
      <c r="FTV227" s="111"/>
      <c r="FTW227" s="111"/>
      <c r="FTX227" s="111"/>
      <c r="FTY227" s="111"/>
      <c r="FTZ227" s="111"/>
      <c r="FUA227" s="111"/>
      <c r="FUB227" s="111"/>
      <c r="FUC227" s="111"/>
      <c r="FUD227" s="111"/>
      <c r="FUE227" s="111"/>
      <c r="FUF227" s="111"/>
      <c r="FUG227" s="111"/>
      <c r="FUH227" s="111"/>
      <c r="FUI227" s="111"/>
      <c r="FUJ227" s="111"/>
      <c r="FUK227" s="111"/>
      <c r="FUL227" s="111"/>
      <c r="FUM227" s="111"/>
      <c r="FUN227" s="111"/>
      <c r="FUO227" s="111"/>
      <c r="FUP227" s="111"/>
      <c r="FUQ227" s="111"/>
      <c r="FUR227" s="111"/>
      <c r="FUS227" s="111"/>
      <c r="FUT227" s="111"/>
      <c r="FUU227" s="111"/>
      <c r="FUV227" s="111"/>
      <c r="FUW227" s="111"/>
      <c r="FUX227" s="111"/>
      <c r="FUY227" s="111"/>
      <c r="FUZ227" s="111"/>
      <c r="FVA227" s="111"/>
      <c r="FVB227" s="111"/>
      <c r="FVC227" s="111"/>
      <c r="FVD227" s="111"/>
      <c r="FVE227" s="111"/>
      <c r="FVF227" s="111"/>
      <c r="FVG227" s="111"/>
      <c r="FVH227" s="111"/>
      <c r="FVI227" s="111"/>
      <c r="FVJ227" s="111"/>
      <c r="FVK227" s="111"/>
      <c r="FVL227" s="111"/>
      <c r="FVM227" s="111"/>
      <c r="FVN227" s="111"/>
      <c r="FVO227" s="111"/>
      <c r="FVP227" s="111"/>
      <c r="FVQ227" s="111"/>
      <c r="FVR227" s="111"/>
      <c r="FVS227" s="111"/>
      <c r="FVT227" s="111"/>
      <c r="FVU227" s="111"/>
      <c r="FVV227" s="111"/>
      <c r="FVW227" s="111"/>
      <c r="FVX227" s="111"/>
      <c r="FVY227" s="111"/>
      <c r="FVZ227" s="111"/>
      <c r="FWA227" s="111"/>
      <c r="FWB227" s="111"/>
      <c r="FWC227" s="111"/>
      <c r="FWD227" s="111"/>
      <c r="FWE227" s="111"/>
      <c r="FWF227" s="111"/>
      <c r="FWG227" s="111"/>
      <c r="FWH227" s="111"/>
      <c r="FWI227" s="111"/>
      <c r="FWJ227" s="111"/>
      <c r="FWK227" s="111"/>
      <c r="FWL227" s="111"/>
      <c r="FWM227" s="111"/>
      <c r="FWN227" s="111"/>
      <c r="FWO227" s="111"/>
      <c r="FWP227" s="111"/>
      <c r="FWQ227" s="111"/>
      <c r="FWR227" s="111"/>
      <c r="FWS227" s="111"/>
      <c r="FWT227" s="111"/>
      <c r="FWU227" s="111"/>
      <c r="FWV227" s="111"/>
      <c r="FWW227" s="111"/>
      <c r="FWX227" s="111"/>
      <c r="FWY227" s="111"/>
      <c r="FWZ227" s="111"/>
      <c r="FXA227" s="111"/>
      <c r="FXB227" s="111"/>
      <c r="FXC227" s="111"/>
      <c r="FXD227" s="111"/>
      <c r="FXE227" s="111"/>
      <c r="FXF227" s="111"/>
      <c r="FXG227" s="111"/>
      <c r="FXH227" s="111"/>
      <c r="FXI227" s="111"/>
      <c r="FXJ227" s="111"/>
      <c r="FXK227" s="111"/>
      <c r="FXL227" s="111"/>
      <c r="FXM227" s="111"/>
      <c r="FXN227" s="111"/>
      <c r="FXO227" s="111"/>
      <c r="FXP227" s="111"/>
      <c r="FXQ227" s="111"/>
      <c r="FXR227" s="111"/>
      <c r="FXS227" s="111"/>
      <c r="FXT227" s="111"/>
      <c r="FXU227" s="111"/>
      <c r="FXV227" s="111"/>
      <c r="FXW227" s="111"/>
      <c r="FXX227" s="111"/>
      <c r="FXY227" s="111"/>
      <c r="FXZ227" s="111"/>
      <c r="FYA227" s="111"/>
      <c r="FYB227" s="111"/>
      <c r="FYC227" s="111"/>
      <c r="FYD227" s="111"/>
      <c r="FYE227" s="111"/>
      <c r="FYF227" s="111"/>
      <c r="FYG227" s="111"/>
      <c r="FYH227" s="111"/>
      <c r="FYI227" s="111"/>
      <c r="FYJ227" s="111"/>
      <c r="FYK227" s="111"/>
      <c r="FYL227" s="111"/>
      <c r="FYM227" s="111"/>
      <c r="FYN227" s="111"/>
      <c r="FYO227" s="111"/>
      <c r="FYP227" s="111"/>
      <c r="FYQ227" s="111"/>
      <c r="FYR227" s="111"/>
      <c r="FYS227" s="111"/>
      <c r="FYT227" s="111"/>
      <c r="FYU227" s="111"/>
      <c r="FYV227" s="111"/>
      <c r="FYW227" s="111"/>
      <c r="FYX227" s="111"/>
      <c r="FYY227" s="111"/>
      <c r="FYZ227" s="111"/>
      <c r="FZA227" s="111"/>
      <c r="FZB227" s="111"/>
      <c r="FZC227" s="111"/>
      <c r="FZD227" s="111"/>
      <c r="FZE227" s="111"/>
      <c r="FZF227" s="111"/>
      <c r="FZG227" s="111"/>
      <c r="FZH227" s="111"/>
      <c r="FZI227" s="111"/>
      <c r="FZJ227" s="111"/>
      <c r="FZK227" s="111"/>
      <c r="FZL227" s="111"/>
      <c r="FZM227" s="111"/>
      <c r="FZN227" s="111"/>
      <c r="FZO227" s="111"/>
      <c r="FZP227" s="111"/>
      <c r="FZQ227" s="111"/>
      <c r="FZR227" s="111"/>
      <c r="FZS227" s="111"/>
      <c r="FZT227" s="111"/>
      <c r="FZU227" s="111"/>
      <c r="FZV227" s="111"/>
      <c r="FZW227" s="111"/>
      <c r="FZX227" s="111"/>
      <c r="FZY227" s="111"/>
      <c r="FZZ227" s="111"/>
      <c r="GAA227" s="111"/>
      <c r="GAB227" s="111"/>
      <c r="GAC227" s="111"/>
      <c r="GAD227" s="111"/>
      <c r="GAE227" s="111"/>
      <c r="GAF227" s="111"/>
      <c r="GAG227" s="111"/>
      <c r="GAH227" s="111"/>
      <c r="GAI227" s="111"/>
      <c r="GAJ227" s="111"/>
      <c r="GAK227" s="111"/>
      <c r="GAL227" s="111"/>
      <c r="GAM227" s="111"/>
      <c r="GAN227" s="111"/>
      <c r="GAO227" s="111"/>
      <c r="GAP227" s="111"/>
      <c r="GAQ227" s="111"/>
      <c r="GAR227" s="111"/>
      <c r="GAS227" s="111"/>
      <c r="GAT227" s="111"/>
      <c r="GAU227" s="111"/>
      <c r="GAV227" s="111"/>
      <c r="GAW227" s="111"/>
      <c r="GAX227" s="111"/>
      <c r="GAY227" s="111"/>
      <c r="GAZ227" s="111"/>
      <c r="GBA227" s="111"/>
      <c r="GBB227" s="111"/>
      <c r="GBC227" s="111"/>
      <c r="GBD227" s="111"/>
      <c r="GBE227" s="111"/>
      <c r="GBF227" s="111"/>
      <c r="GBG227" s="111"/>
      <c r="GBH227" s="111"/>
      <c r="GBI227" s="111"/>
      <c r="GBJ227" s="111"/>
      <c r="GBK227" s="111"/>
      <c r="GBL227" s="111"/>
      <c r="GBM227" s="111"/>
      <c r="GBN227" s="111"/>
      <c r="GBO227" s="111"/>
      <c r="GBP227" s="111"/>
      <c r="GBQ227" s="111"/>
      <c r="GBR227" s="111"/>
      <c r="GBS227" s="111"/>
      <c r="GBT227" s="111"/>
      <c r="GBU227" s="111"/>
      <c r="GBV227" s="111"/>
      <c r="GBW227" s="111"/>
      <c r="GBX227" s="111"/>
      <c r="GBY227" s="111"/>
      <c r="GBZ227" s="111"/>
      <c r="GCA227" s="111"/>
      <c r="GCB227" s="111"/>
      <c r="GCC227" s="111"/>
      <c r="GCD227" s="111"/>
      <c r="GCE227" s="111"/>
      <c r="GCF227" s="111"/>
      <c r="GCG227" s="111"/>
      <c r="GCH227" s="111"/>
      <c r="GCI227" s="111"/>
      <c r="GCJ227" s="111"/>
      <c r="GCK227" s="111"/>
      <c r="GCL227" s="111"/>
      <c r="GCM227" s="111"/>
      <c r="GCN227" s="111"/>
      <c r="GCO227" s="111"/>
      <c r="GCP227" s="111"/>
      <c r="GCQ227" s="111"/>
      <c r="GCR227" s="111"/>
      <c r="GCS227" s="111"/>
      <c r="GCT227" s="111"/>
      <c r="GCU227" s="111"/>
      <c r="GCV227" s="111"/>
      <c r="GCW227" s="111"/>
      <c r="GCX227" s="111"/>
      <c r="GCY227" s="111"/>
      <c r="GCZ227" s="111"/>
      <c r="GDA227" s="111"/>
      <c r="GDB227" s="111"/>
      <c r="GDC227" s="111"/>
      <c r="GDD227" s="111"/>
      <c r="GDE227" s="111"/>
      <c r="GDF227" s="111"/>
      <c r="GDG227" s="111"/>
      <c r="GDH227" s="111"/>
      <c r="GDI227" s="111"/>
      <c r="GDJ227" s="111"/>
      <c r="GDK227" s="111"/>
      <c r="GDL227" s="111"/>
      <c r="GDM227" s="111"/>
      <c r="GDN227" s="111"/>
      <c r="GDO227" s="111"/>
      <c r="GDP227" s="111"/>
      <c r="GDQ227" s="111"/>
      <c r="GDR227" s="111"/>
      <c r="GDS227" s="111"/>
      <c r="GDT227" s="111"/>
      <c r="GDU227" s="111"/>
      <c r="GDV227" s="111"/>
      <c r="GDW227" s="111"/>
      <c r="GDX227" s="111"/>
      <c r="GDY227" s="111"/>
      <c r="GDZ227" s="111"/>
      <c r="GEA227" s="111"/>
      <c r="GEB227" s="111"/>
      <c r="GEC227" s="111"/>
      <c r="GED227" s="111"/>
      <c r="GEE227" s="111"/>
      <c r="GEF227" s="111"/>
      <c r="GEG227" s="111"/>
      <c r="GEH227" s="111"/>
      <c r="GEI227" s="111"/>
      <c r="GEJ227" s="111"/>
      <c r="GEK227" s="111"/>
      <c r="GEL227" s="111"/>
      <c r="GEM227" s="111"/>
      <c r="GEN227" s="111"/>
      <c r="GEO227" s="111"/>
      <c r="GEP227" s="111"/>
      <c r="GEQ227" s="111"/>
      <c r="GER227" s="111"/>
      <c r="GES227" s="111"/>
      <c r="GET227" s="111"/>
      <c r="GEU227" s="111"/>
      <c r="GEV227" s="111"/>
      <c r="GEW227" s="111"/>
      <c r="GEX227" s="111"/>
      <c r="GEY227" s="111"/>
      <c r="GEZ227" s="111"/>
      <c r="GFA227" s="111"/>
      <c r="GFB227" s="111"/>
      <c r="GFC227" s="111"/>
      <c r="GFD227" s="111"/>
      <c r="GFE227" s="111"/>
      <c r="GFF227" s="111"/>
      <c r="GFG227" s="111"/>
      <c r="GFH227" s="111"/>
      <c r="GFI227" s="111"/>
      <c r="GFJ227" s="111"/>
      <c r="GFK227" s="111"/>
      <c r="GFL227" s="111"/>
      <c r="GFM227" s="111"/>
      <c r="GFN227" s="111"/>
      <c r="GFO227" s="111"/>
      <c r="GFP227" s="111"/>
      <c r="GFQ227" s="111"/>
      <c r="GFR227" s="111"/>
      <c r="GFS227" s="111"/>
      <c r="GFT227" s="111"/>
      <c r="GFU227" s="111"/>
      <c r="GFV227" s="111"/>
      <c r="GFW227" s="111"/>
      <c r="GFX227" s="111"/>
      <c r="GFY227" s="111"/>
      <c r="GFZ227" s="111"/>
      <c r="GGA227" s="111"/>
      <c r="GGB227" s="111"/>
      <c r="GGC227" s="111"/>
      <c r="GGD227" s="111"/>
      <c r="GGE227" s="111"/>
      <c r="GGF227" s="111"/>
      <c r="GGG227" s="111"/>
      <c r="GGH227" s="111"/>
      <c r="GGI227" s="111"/>
      <c r="GGJ227" s="111"/>
      <c r="GGK227" s="111"/>
      <c r="GGL227" s="111"/>
      <c r="GGM227" s="111"/>
      <c r="GGN227" s="111"/>
      <c r="GGO227" s="111"/>
      <c r="GGP227" s="111"/>
      <c r="GGQ227" s="111"/>
      <c r="GGR227" s="111"/>
      <c r="GGS227" s="111"/>
      <c r="GGT227" s="111"/>
      <c r="GGU227" s="111"/>
      <c r="GGV227" s="111"/>
      <c r="GGW227" s="111"/>
      <c r="GGX227" s="111"/>
      <c r="GGY227" s="111"/>
      <c r="GGZ227" s="111"/>
      <c r="GHA227" s="111"/>
      <c r="GHB227" s="111"/>
      <c r="GHC227" s="111"/>
      <c r="GHD227" s="111"/>
      <c r="GHE227" s="111"/>
      <c r="GHF227" s="111"/>
      <c r="GHG227" s="111"/>
      <c r="GHH227" s="111"/>
      <c r="GHI227" s="111"/>
      <c r="GHJ227" s="111"/>
      <c r="GHK227" s="111"/>
      <c r="GHL227" s="111"/>
      <c r="GHM227" s="111"/>
      <c r="GHN227" s="111"/>
      <c r="GHO227" s="111"/>
      <c r="GHP227" s="111"/>
      <c r="GHQ227" s="111"/>
      <c r="GHR227" s="111"/>
      <c r="GHS227" s="111"/>
      <c r="GHT227" s="111"/>
      <c r="GHU227" s="111"/>
      <c r="GHV227" s="111"/>
      <c r="GHW227" s="111"/>
      <c r="GHX227" s="111"/>
      <c r="GHY227" s="111"/>
      <c r="GHZ227" s="111"/>
      <c r="GIA227" s="111"/>
      <c r="GIB227" s="111"/>
      <c r="GIC227" s="111"/>
      <c r="GID227" s="111"/>
      <c r="GIE227" s="111"/>
      <c r="GIF227" s="111"/>
      <c r="GIG227" s="111"/>
      <c r="GIH227" s="111"/>
      <c r="GII227" s="111"/>
      <c r="GIJ227" s="111"/>
      <c r="GIK227" s="111"/>
      <c r="GIL227" s="111"/>
      <c r="GIM227" s="111"/>
      <c r="GIN227" s="111"/>
      <c r="GIO227" s="111"/>
      <c r="GIP227" s="111"/>
      <c r="GIQ227" s="111"/>
      <c r="GIR227" s="111"/>
      <c r="GIS227" s="111"/>
      <c r="GIT227" s="111"/>
      <c r="GIU227" s="111"/>
      <c r="GIV227" s="111"/>
      <c r="GIW227" s="111"/>
      <c r="GIX227" s="111"/>
      <c r="GIY227" s="111"/>
      <c r="GIZ227" s="111"/>
      <c r="GJA227" s="111"/>
      <c r="GJB227" s="111"/>
      <c r="GJC227" s="111"/>
      <c r="GJD227" s="111"/>
      <c r="GJE227" s="111"/>
      <c r="GJF227" s="111"/>
      <c r="GJG227" s="111"/>
      <c r="GJH227" s="111"/>
      <c r="GJI227" s="111"/>
      <c r="GJJ227" s="111"/>
      <c r="GJK227" s="111"/>
      <c r="GJL227" s="111"/>
      <c r="GJM227" s="111"/>
      <c r="GJN227" s="111"/>
      <c r="GJO227" s="111"/>
      <c r="GJP227" s="111"/>
      <c r="GJQ227" s="111"/>
      <c r="GJR227" s="111"/>
      <c r="GJS227" s="111"/>
      <c r="GJT227" s="111"/>
      <c r="GJU227" s="111"/>
      <c r="GJV227" s="111"/>
      <c r="GJW227" s="111"/>
      <c r="GJX227" s="111"/>
      <c r="GJY227" s="111"/>
      <c r="GJZ227" s="111"/>
      <c r="GKA227" s="111"/>
      <c r="GKB227" s="111"/>
      <c r="GKC227" s="111"/>
      <c r="GKD227" s="111"/>
      <c r="GKE227" s="111"/>
      <c r="GKF227" s="111"/>
      <c r="GKG227" s="111"/>
      <c r="GKH227" s="111"/>
      <c r="GKI227" s="111"/>
      <c r="GKJ227" s="111"/>
      <c r="GKK227" s="111"/>
      <c r="GKL227" s="111"/>
      <c r="GKM227" s="111"/>
      <c r="GKN227" s="111"/>
      <c r="GKO227" s="111"/>
      <c r="GKP227" s="111"/>
      <c r="GKQ227" s="111"/>
      <c r="GKR227" s="111"/>
      <c r="GKS227" s="111"/>
      <c r="GKT227" s="111"/>
      <c r="GKU227" s="111"/>
      <c r="GKV227" s="111"/>
      <c r="GKW227" s="111"/>
      <c r="GKX227" s="111"/>
      <c r="GKY227" s="111"/>
      <c r="GKZ227" s="111"/>
      <c r="GLA227" s="111"/>
      <c r="GLB227" s="111"/>
      <c r="GLC227" s="111"/>
      <c r="GLD227" s="111"/>
      <c r="GLE227" s="111"/>
      <c r="GLF227" s="111"/>
      <c r="GLG227" s="111"/>
      <c r="GLH227" s="111"/>
      <c r="GLI227" s="111"/>
      <c r="GLJ227" s="111"/>
      <c r="GLK227" s="111"/>
      <c r="GLL227" s="111"/>
      <c r="GLM227" s="111"/>
      <c r="GLN227" s="111"/>
      <c r="GLO227" s="111"/>
      <c r="GLP227" s="111"/>
      <c r="GLQ227" s="111"/>
      <c r="GLR227" s="111"/>
      <c r="GLS227" s="111"/>
      <c r="GLT227" s="111"/>
      <c r="GLU227" s="111"/>
      <c r="GLV227" s="111"/>
      <c r="GLW227" s="111"/>
      <c r="GLX227" s="111"/>
      <c r="GLY227" s="111"/>
      <c r="GLZ227" s="111"/>
      <c r="GMA227" s="111"/>
      <c r="GMB227" s="111"/>
      <c r="GMC227" s="111"/>
      <c r="GMD227" s="111"/>
      <c r="GME227" s="111"/>
      <c r="GMF227" s="111"/>
      <c r="GMG227" s="111"/>
      <c r="GMH227" s="111"/>
      <c r="GMI227" s="111"/>
      <c r="GMJ227" s="111"/>
      <c r="GMK227" s="111"/>
      <c r="GML227" s="111"/>
      <c r="GMM227" s="111"/>
      <c r="GMN227" s="111"/>
      <c r="GMO227" s="111"/>
      <c r="GMP227" s="111"/>
      <c r="GMQ227" s="111"/>
      <c r="GMR227" s="111"/>
      <c r="GMS227" s="111"/>
      <c r="GMT227" s="111"/>
      <c r="GMU227" s="111"/>
      <c r="GMV227" s="111"/>
      <c r="GMW227" s="111"/>
      <c r="GMX227" s="111"/>
      <c r="GMY227" s="111"/>
      <c r="GMZ227" s="111"/>
      <c r="GNA227" s="111"/>
      <c r="GNB227" s="111"/>
      <c r="GNC227" s="111"/>
      <c r="GND227" s="111"/>
      <c r="GNE227" s="111"/>
      <c r="GNF227" s="111"/>
      <c r="GNG227" s="111"/>
      <c r="GNH227" s="111"/>
      <c r="GNI227" s="111"/>
      <c r="GNJ227" s="111"/>
      <c r="GNK227" s="111"/>
      <c r="GNL227" s="111"/>
      <c r="GNM227" s="111"/>
      <c r="GNN227" s="111"/>
      <c r="GNO227" s="111"/>
      <c r="GNP227" s="111"/>
      <c r="GNQ227" s="111"/>
      <c r="GNR227" s="111"/>
      <c r="GNS227" s="111"/>
      <c r="GNT227" s="111"/>
      <c r="GNU227" s="111"/>
      <c r="GNV227" s="111"/>
      <c r="GNW227" s="111"/>
      <c r="GNX227" s="111"/>
      <c r="GNY227" s="111"/>
      <c r="GNZ227" s="111"/>
      <c r="GOA227" s="111"/>
      <c r="GOB227" s="111"/>
      <c r="GOC227" s="111"/>
      <c r="GOD227" s="111"/>
      <c r="GOE227" s="111"/>
      <c r="GOF227" s="111"/>
      <c r="GOG227" s="111"/>
      <c r="GOH227" s="111"/>
      <c r="GOI227" s="111"/>
      <c r="GOJ227" s="111"/>
      <c r="GOK227" s="111"/>
      <c r="GOL227" s="111"/>
      <c r="GOM227" s="111"/>
      <c r="GON227" s="111"/>
      <c r="GOO227" s="111"/>
      <c r="GOP227" s="111"/>
      <c r="GOQ227" s="111"/>
      <c r="GOR227" s="111"/>
      <c r="GOS227" s="111"/>
      <c r="GOT227" s="111"/>
      <c r="GOU227" s="111"/>
      <c r="GOV227" s="111"/>
      <c r="GOW227" s="111"/>
      <c r="GOX227" s="111"/>
      <c r="GOY227" s="111"/>
      <c r="GOZ227" s="111"/>
      <c r="GPA227" s="111"/>
      <c r="GPB227" s="111"/>
      <c r="GPC227" s="111"/>
      <c r="GPD227" s="111"/>
      <c r="GPE227" s="111"/>
      <c r="GPF227" s="111"/>
      <c r="GPG227" s="111"/>
      <c r="GPH227" s="111"/>
      <c r="GPI227" s="111"/>
      <c r="GPJ227" s="111"/>
      <c r="GPK227" s="111"/>
      <c r="GPL227" s="111"/>
      <c r="GPM227" s="111"/>
      <c r="GPN227" s="111"/>
      <c r="GPO227" s="111"/>
      <c r="GPP227" s="111"/>
      <c r="GPQ227" s="111"/>
      <c r="GPR227" s="111"/>
      <c r="GPS227" s="111"/>
      <c r="GPT227" s="111"/>
      <c r="GPU227" s="111"/>
      <c r="GPV227" s="111"/>
      <c r="GPW227" s="111"/>
      <c r="GPX227" s="111"/>
      <c r="GPY227" s="111"/>
      <c r="GPZ227" s="111"/>
      <c r="GQA227" s="111"/>
      <c r="GQB227" s="111"/>
      <c r="GQC227" s="111"/>
      <c r="GQD227" s="111"/>
      <c r="GQE227" s="111"/>
      <c r="GQF227" s="111"/>
      <c r="GQG227" s="111"/>
      <c r="GQH227" s="111"/>
      <c r="GQI227" s="111"/>
      <c r="GQJ227" s="111"/>
      <c r="GQK227" s="111"/>
      <c r="GQL227" s="111"/>
      <c r="GQM227" s="111"/>
      <c r="GQN227" s="111"/>
      <c r="GQO227" s="111"/>
      <c r="GQP227" s="111"/>
      <c r="GQQ227" s="111"/>
      <c r="GQR227" s="111"/>
      <c r="GQS227" s="111"/>
      <c r="GQT227" s="111"/>
      <c r="GQU227" s="111"/>
      <c r="GQV227" s="111"/>
      <c r="GQW227" s="111"/>
      <c r="GQX227" s="111"/>
      <c r="GQY227" s="111"/>
      <c r="GQZ227" s="111"/>
      <c r="GRA227" s="111"/>
      <c r="GRB227" s="111"/>
      <c r="GRC227" s="111"/>
      <c r="GRD227" s="111"/>
      <c r="GRE227" s="111"/>
      <c r="GRF227" s="111"/>
      <c r="GRG227" s="111"/>
      <c r="GRH227" s="111"/>
      <c r="GRI227" s="111"/>
      <c r="GRJ227" s="111"/>
      <c r="GRK227" s="111"/>
      <c r="GRL227" s="111"/>
      <c r="GRM227" s="111"/>
      <c r="GRN227" s="111"/>
      <c r="GRO227" s="111"/>
      <c r="GRP227" s="111"/>
      <c r="GRQ227" s="111"/>
      <c r="GRR227" s="111"/>
      <c r="GRS227" s="111"/>
      <c r="GRT227" s="111"/>
      <c r="GRU227" s="111"/>
      <c r="GRV227" s="111"/>
      <c r="GRW227" s="111"/>
      <c r="GRX227" s="111"/>
      <c r="GRY227" s="111"/>
      <c r="GRZ227" s="111"/>
      <c r="GSA227" s="111"/>
      <c r="GSB227" s="111"/>
      <c r="GSC227" s="111"/>
      <c r="GSD227" s="111"/>
      <c r="GSE227" s="111"/>
      <c r="GSF227" s="111"/>
      <c r="GSG227" s="111"/>
      <c r="GSH227" s="111"/>
      <c r="GSI227" s="111"/>
      <c r="GSJ227" s="111"/>
      <c r="GSK227" s="111"/>
      <c r="GSL227" s="111"/>
      <c r="GSM227" s="111"/>
      <c r="GSN227" s="111"/>
      <c r="GSO227" s="111"/>
      <c r="GSP227" s="111"/>
      <c r="GSQ227" s="111"/>
      <c r="GSR227" s="111"/>
      <c r="GSS227" s="111"/>
      <c r="GST227" s="111"/>
      <c r="GSU227" s="111"/>
      <c r="GSV227" s="111"/>
      <c r="GSW227" s="111"/>
      <c r="GSX227" s="111"/>
      <c r="GSY227" s="111"/>
      <c r="GSZ227" s="111"/>
      <c r="GTA227" s="111"/>
      <c r="GTB227" s="111"/>
      <c r="GTC227" s="111"/>
      <c r="GTD227" s="111"/>
      <c r="GTE227" s="111"/>
      <c r="GTF227" s="111"/>
      <c r="GTG227" s="111"/>
      <c r="GTH227" s="111"/>
      <c r="GTI227" s="111"/>
      <c r="GTJ227" s="111"/>
      <c r="GTK227" s="111"/>
      <c r="GTL227" s="111"/>
      <c r="GTM227" s="111"/>
      <c r="GTN227" s="111"/>
      <c r="GTO227" s="111"/>
      <c r="GTP227" s="111"/>
      <c r="GTQ227" s="111"/>
      <c r="GTR227" s="111"/>
      <c r="GTS227" s="111"/>
      <c r="GTT227" s="111"/>
      <c r="GTU227" s="111"/>
      <c r="GTV227" s="111"/>
      <c r="GTW227" s="111"/>
      <c r="GTX227" s="111"/>
      <c r="GTY227" s="111"/>
      <c r="GTZ227" s="111"/>
      <c r="GUA227" s="111"/>
      <c r="GUB227" s="111"/>
      <c r="GUC227" s="111"/>
      <c r="GUD227" s="111"/>
      <c r="GUE227" s="111"/>
      <c r="GUF227" s="111"/>
      <c r="GUG227" s="111"/>
      <c r="GUH227" s="111"/>
      <c r="GUI227" s="111"/>
      <c r="GUJ227" s="111"/>
      <c r="GUK227" s="111"/>
      <c r="GUL227" s="111"/>
      <c r="GUM227" s="111"/>
      <c r="GUN227" s="111"/>
      <c r="GUO227" s="111"/>
      <c r="GUP227" s="111"/>
      <c r="GUQ227" s="111"/>
      <c r="GUR227" s="111"/>
      <c r="GUS227" s="111"/>
      <c r="GUT227" s="111"/>
      <c r="GUU227" s="111"/>
      <c r="GUV227" s="111"/>
      <c r="GUW227" s="111"/>
      <c r="GUX227" s="111"/>
      <c r="GUY227" s="111"/>
      <c r="GUZ227" s="111"/>
      <c r="GVA227" s="111"/>
      <c r="GVB227" s="111"/>
      <c r="GVC227" s="111"/>
      <c r="GVD227" s="111"/>
      <c r="GVE227" s="111"/>
      <c r="GVF227" s="111"/>
      <c r="GVG227" s="111"/>
      <c r="GVH227" s="111"/>
      <c r="GVI227" s="111"/>
      <c r="GVJ227" s="111"/>
      <c r="GVK227" s="111"/>
      <c r="GVL227" s="111"/>
      <c r="GVM227" s="111"/>
      <c r="GVN227" s="111"/>
      <c r="GVO227" s="111"/>
      <c r="GVP227" s="111"/>
      <c r="GVQ227" s="111"/>
      <c r="GVR227" s="111"/>
      <c r="GVS227" s="111"/>
      <c r="GVT227" s="111"/>
      <c r="GVU227" s="111"/>
      <c r="GVV227" s="111"/>
      <c r="GVW227" s="111"/>
      <c r="GVX227" s="111"/>
      <c r="GVY227" s="111"/>
      <c r="GVZ227" s="111"/>
      <c r="GWA227" s="111"/>
      <c r="GWB227" s="111"/>
      <c r="GWC227" s="111"/>
      <c r="GWD227" s="111"/>
      <c r="GWE227" s="111"/>
      <c r="GWF227" s="111"/>
      <c r="GWG227" s="111"/>
      <c r="GWH227" s="111"/>
      <c r="GWI227" s="111"/>
      <c r="GWJ227" s="111"/>
      <c r="GWK227" s="111"/>
      <c r="GWL227" s="111"/>
      <c r="GWM227" s="111"/>
      <c r="GWN227" s="111"/>
      <c r="GWO227" s="111"/>
      <c r="GWP227" s="111"/>
      <c r="GWQ227" s="111"/>
      <c r="GWR227" s="111"/>
      <c r="GWS227" s="111"/>
      <c r="GWT227" s="111"/>
      <c r="GWU227" s="111"/>
      <c r="GWV227" s="111"/>
      <c r="GWW227" s="111"/>
      <c r="GWX227" s="111"/>
      <c r="GWY227" s="111"/>
      <c r="GWZ227" s="111"/>
      <c r="GXA227" s="111"/>
      <c r="GXB227" s="111"/>
      <c r="GXC227" s="111"/>
      <c r="GXD227" s="111"/>
      <c r="GXE227" s="111"/>
      <c r="GXF227" s="111"/>
      <c r="GXG227" s="111"/>
      <c r="GXH227" s="111"/>
      <c r="GXI227" s="111"/>
      <c r="GXJ227" s="111"/>
      <c r="GXK227" s="111"/>
      <c r="GXL227" s="111"/>
      <c r="GXM227" s="111"/>
      <c r="GXN227" s="111"/>
      <c r="GXO227" s="111"/>
      <c r="GXP227" s="111"/>
      <c r="GXQ227" s="111"/>
      <c r="GXR227" s="111"/>
      <c r="GXS227" s="111"/>
      <c r="GXT227" s="111"/>
      <c r="GXU227" s="111"/>
      <c r="GXV227" s="111"/>
      <c r="GXW227" s="111"/>
      <c r="GXX227" s="111"/>
      <c r="GXY227" s="111"/>
      <c r="GXZ227" s="111"/>
      <c r="GYA227" s="111"/>
      <c r="GYB227" s="111"/>
      <c r="GYC227" s="111"/>
      <c r="GYD227" s="111"/>
      <c r="GYE227" s="111"/>
      <c r="GYF227" s="111"/>
      <c r="GYG227" s="111"/>
      <c r="GYH227" s="111"/>
      <c r="GYI227" s="111"/>
      <c r="GYJ227" s="111"/>
      <c r="GYK227" s="111"/>
      <c r="GYL227" s="111"/>
      <c r="GYM227" s="111"/>
      <c r="GYN227" s="111"/>
      <c r="GYO227" s="111"/>
      <c r="GYP227" s="111"/>
      <c r="GYQ227" s="111"/>
      <c r="GYR227" s="111"/>
      <c r="GYS227" s="111"/>
      <c r="GYT227" s="111"/>
      <c r="GYU227" s="111"/>
      <c r="GYV227" s="111"/>
      <c r="GYW227" s="111"/>
      <c r="GYX227" s="111"/>
      <c r="GYY227" s="111"/>
      <c r="GYZ227" s="111"/>
      <c r="GZA227" s="111"/>
      <c r="GZB227" s="111"/>
      <c r="GZC227" s="111"/>
      <c r="GZD227" s="111"/>
      <c r="GZE227" s="111"/>
      <c r="GZF227" s="111"/>
      <c r="GZG227" s="111"/>
      <c r="GZH227" s="111"/>
      <c r="GZI227" s="111"/>
      <c r="GZJ227" s="111"/>
      <c r="GZK227" s="111"/>
      <c r="GZL227" s="111"/>
      <c r="GZM227" s="111"/>
      <c r="GZN227" s="111"/>
      <c r="GZO227" s="111"/>
      <c r="GZP227" s="111"/>
      <c r="GZQ227" s="111"/>
      <c r="GZR227" s="111"/>
      <c r="GZS227" s="111"/>
      <c r="GZT227" s="111"/>
      <c r="GZU227" s="111"/>
      <c r="GZV227" s="111"/>
      <c r="GZW227" s="111"/>
      <c r="GZX227" s="111"/>
      <c r="GZY227" s="111"/>
      <c r="GZZ227" s="111"/>
      <c r="HAA227" s="111"/>
      <c r="HAB227" s="111"/>
      <c r="HAC227" s="111"/>
      <c r="HAD227" s="111"/>
      <c r="HAE227" s="111"/>
      <c r="HAF227" s="111"/>
      <c r="HAG227" s="111"/>
      <c r="HAH227" s="111"/>
      <c r="HAI227" s="111"/>
      <c r="HAJ227" s="111"/>
      <c r="HAK227" s="111"/>
      <c r="HAL227" s="111"/>
      <c r="HAM227" s="111"/>
      <c r="HAN227" s="111"/>
      <c r="HAO227" s="111"/>
      <c r="HAP227" s="111"/>
      <c r="HAQ227" s="111"/>
      <c r="HAR227" s="111"/>
      <c r="HAS227" s="111"/>
      <c r="HAT227" s="111"/>
      <c r="HAU227" s="111"/>
      <c r="HAV227" s="111"/>
      <c r="HAW227" s="111"/>
      <c r="HAX227" s="111"/>
      <c r="HAY227" s="111"/>
      <c r="HAZ227" s="111"/>
      <c r="HBA227" s="111"/>
      <c r="HBB227" s="111"/>
      <c r="HBC227" s="111"/>
      <c r="HBD227" s="111"/>
      <c r="HBE227" s="111"/>
      <c r="HBF227" s="111"/>
      <c r="HBG227" s="111"/>
      <c r="HBH227" s="111"/>
      <c r="HBI227" s="111"/>
      <c r="HBJ227" s="111"/>
      <c r="HBK227" s="111"/>
      <c r="HBL227" s="111"/>
      <c r="HBM227" s="111"/>
      <c r="HBN227" s="111"/>
      <c r="HBO227" s="111"/>
      <c r="HBP227" s="111"/>
      <c r="HBQ227" s="111"/>
      <c r="HBR227" s="111"/>
      <c r="HBS227" s="111"/>
      <c r="HBT227" s="111"/>
      <c r="HBU227" s="111"/>
      <c r="HBV227" s="111"/>
      <c r="HBW227" s="111"/>
      <c r="HBX227" s="111"/>
      <c r="HBY227" s="111"/>
      <c r="HBZ227" s="111"/>
      <c r="HCA227" s="111"/>
      <c r="HCB227" s="111"/>
      <c r="HCC227" s="111"/>
      <c r="HCD227" s="111"/>
      <c r="HCE227" s="111"/>
      <c r="HCF227" s="111"/>
      <c r="HCG227" s="111"/>
      <c r="HCH227" s="111"/>
      <c r="HCI227" s="111"/>
      <c r="HCJ227" s="111"/>
      <c r="HCK227" s="111"/>
      <c r="HCL227" s="111"/>
      <c r="HCM227" s="111"/>
      <c r="HCN227" s="111"/>
      <c r="HCO227" s="111"/>
      <c r="HCP227" s="111"/>
      <c r="HCQ227" s="111"/>
      <c r="HCR227" s="111"/>
      <c r="HCS227" s="111"/>
      <c r="HCT227" s="111"/>
      <c r="HCU227" s="111"/>
      <c r="HCV227" s="111"/>
      <c r="HCW227" s="111"/>
      <c r="HCX227" s="111"/>
      <c r="HCY227" s="111"/>
      <c r="HCZ227" s="111"/>
      <c r="HDA227" s="111"/>
      <c r="HDB227" s="111"/>
      <c r="HDC227" s="111"/>
      <c r="HDD227" s="111"/>
      <c r="HDE227" s="111"/>
      <c r="HDF227" s="111"/>
      <c r="HDG227" s="111"/>
      <c r="HDH227" s="111"/>
      <c r="HDI227" s="111"/>
      <c r="HDJ227" s="111"/>
      <c r="HDK227" s="111"/>
      <c r="HDL227" s="111"/>
      <c r="HDM227" s="111"/>
      <c r="HDN227" s="111"/>
      <c r="HDO227" s="111"/>
      <c r="HDP227" s="111"/>
      <c r="HDQ227" s="111"/>
      <c r="HDR227" s="111"/>
      <c r="HDS227" s="111"/>
      <c r="HDT227" s="111"/>
      <c r="HDU227" s="111"/>
      <c r="HDV227" s="111"/>
      <c r="HDW227" s="111"/>
      <c r="HDX227" s="111"/>
      <c r="HDY227" s="111"/>
      <c r="HDZ227" s="111"/>
      <c r="HEA227" s="111"/>
      <c r="HEB227" s="111"/>
      <c r="HEC227" s="111"/>
      <c r="HED227" s="111"/>
      <c r="HEE227" s="111"/>
      <c r="HEF227" s="111"/>
      <c r="HEG227" s="111"/>
      <c r="HEH227" s="111"/>
      <c r="HEI227" s="111"/>
      <c r="HEJ227" s="111"/>
      <c r="HEK227" s="111"/>
      <c r="HEL227" s="111"/>
      <c r="HEM227" s="111"/>
      <c r="HEN227" s="111"/>
      <c r="HEO227" s="111"/>
      <c r="HEP227" s="111"/>
      <c r="HEQ227" s="111"/>
      <c r="HER227" s="111"/>
      <c r="HES227" s="111"/>
      <c r="HET227" s="111"/>
      <c r="HEU227" s="111"/>
      <c r="HEV227" s="111"/>
      <c r="HEW227" s="111"/>
      <c r="HEX227" s="111"/>
      <c r="HEY227" s="111"/>
      <c r="HEZ227" s="111"/>
      <c r="HFA227" s="111"/>
      <c r="HFB227" s="111"/>
      <c r="HFC227" s="111"/>
      <c r="HFD227" s="111"/>
      <c r="HFE227" s="111"/>
      <c r="HFF227" s="111"/>
      <c r="HFG227" s="111"/>
      <c r="HFH227" s="111"/>
      <c r="HFI227" s="111"/>
      <c r="HFJ227" s="111"/>
      <c r="HFK227" s="111"/>
      <c r="HFL227" s="111"/>
      <c r="HFM227" s="111"/>
      <c r="HFN227" s="111"/>
      <c r="HFO227" s="111"/>
      <c r="HFP227" s="111"/>
      <c r="HFQ227" s="111"/>
      <c r="HFR227" s="111"/>
      <c r="HFS227" s="111"/>
      <c r="HFT227" s="111"/>
      <c r="HFU227" s="111"/>
      <c r="HFV227" s="111"/>
      <c r="HFW227" s="111"/>
      <c r="HFX227" s="111"/>
      <c r="HFY227" s="111"/>
      <c r="HFZ227" s="111"/>
      <c r="HGA227" s="111"/>
      <c r="HGB227" s="111"/>
      <c r="HGC227" s="111"/>
      <c r="HGD227" s="111"/>
      <c r="HGE227" s="111"/>
      <c r="HGF227" s="111"/>
      <c r="HGG227" s="111"/>
      <c r="HGH227" s="111"/>
      <c r="HGI227" s="111"/>
      <c r="HGJ227" s="111"/>
      <c r="HGK227" s="111"/>
      <c r="HGL227" s="111"/>
      <c r="HGM227" s="111"/>
      <c r="HGN227" s="111"/>
      <c r="HGO227" s="111"/>
      <c r="HGP227" s="111"/>
      <c r="HGQ227" s="111"/>
      <c r="HGR227" s="111"/>
      <c r="HGS227" s="111"/>
      <c r="HGT227" s="111"/>
      <c r="HGU227" s="111"/>
      <c r="HGV227" s="111"/>
      <c r="HGW227" s="111"/>
      <c r="HGX227" s="111"/>
      <c r="HGY227" s="111"/>
      <c r="HGZ227" s="111"/>
      <c r="HHA227" s="111"/>
      <c r="HHB227" s="111"/>
      <c r="HHC227" s="111"/>
      <c r="HHD227" s="111"/>
      <c r="HHE227" s="111"/>
      <c r="HHF227" s="111"/>
      <c r="HHG227" s="111"/>
      <c r="HHH227" s="111"/>
      <c r="HHI227" s="111"/>
      <c r="HHJ227" s="111"/>
      <c r="HHK227" s="111"/>
      <c r="HHL227" s="111"/>
      <c r="HHM227" s="111"/>
      <c r="HHN227" s="111"/>
      <c r="HHO227" s="111"/>
      <c r="HHP227" s="111"/>
      <c r="HHQ227" s="111"/>
      <c r="HHR227" s="111"/>
      <c r="HHS227" s="111"/>
      <c r="HHT227" s="111"/>
      <c r="HHU227" s="111"/>
      <c r="HHV227" s="111"/>
      <c r="HHW227" s="111"/>
      <c r="HHX227" s="111"/>
      <c r="HHY227" s="111"/>
      <c r="HHZ227" s="111"/>
      <c r="HIA227" s="111"/>
      <c r="HIB227" s="111"/>
      <c r="HIC227" s="111"/>
      <c r="HID227" s="111"/>
      <c r="HIE227" s="111"/>
      <c r="HIF227" s="111"/>
      <c r="HIG227" s="111"/>
      <c r="HIH227" s="111"/>
      <c r="HII227" s="111"/>
      <c r="HIJ227" s="111"/>
      <c r="HIK227" s="111"/>
      <c r="HIL227" s="111"/>
      <c r="HIM227" s="111"/>
      <c r="HIN227" s="111"/>
      <c r="HIO227" s="111"/>
      <c r="HIP227" s="111"/>
      <c r="HIQ227" s="111"/>
      <c r="HIR227" s="111"/>
      <c r="HIS227" s="111"/>
      <c r="HIT227" s="111"/>
      <c r="HIU227" s="111"/>
      <c r="HIV227" s="111"/>
      <c r="HIW227" s="111"/>
      <c r="HIX227" s="111"/>
      <c r="HIY227" s="111"/>
      <c r="HIZ227" s="111"/>
      <c r="HJA227" s="111"/>
      <c r="HJB227" s="111"/>
      <c r="HJC227" s="111"/>
      <c r="HJD227" s="111"/>
      <c r="HJE227" s="111"/>
      <c r="HJF227" s="111"/>
      <c r="HJG227" s="111"/>
      <c r="HJH227" s="111"/>
      <c r="HJI227" s="111"/>
      <c r="HJJ227" s="111"/>
      <c r="HJK227" s="111"/>
      <c r="HJL227" s="111"/>
      <c r="HJM227" s="111"/>
      <c r="HJN227" s="111"/>
      <c r="HJO227" s="111"/>
      <c r="HJP227" s="111"/>
      <c r="HJQ227" s="111"/>
      <c r="HJR227" s="111"/>
      <c r="HJS227" s="111"/>
      <c r="HJT227" s="111"/>
      <c r="HJU227" s="111"/>
      <c r="HJV227" s="111"/>
      <c r="HJW227" s="111"/>
      <c r="HJX227" s="111"/>
      <c r="HJY227" s="111"/>
      <c r="HJZ227" s="111"/>
      <c r="HKA227" s="111"/>
      <c r="HKB227" s="111"/>
      <c r="HKC227" s="111"/>
      <c r="HKD227" s="111"/>
      <c r="HKE227" s="111"/>
      <c r="HKF227" s="111"/>
      <c r="HKG227" s="111"/>
      <c r="HKH227" s="111"/>
      <c r="HKI227" s="111"/>
      <c r="HKJ227" s="111"/>
      <c r="HKK227" s="111"/>
      <c r="HKL227" s="111"/>
      <c r="HKM227" s="111"/>
      <c r="HKN227" s="111"/>
      <c r="HKO227" s="111"/>
      <c r="HKP227" s="111"/>
      <c r="HKQ227" s="111"/>
      <c r="HKR227" s="111"/>
      <c r="HKS227" s="111"/>
      <c r="HKT227" s="111"/>
      <c r="HKU227" s="111"/>
      <c r="HKV227" s="111"/>
      <c r="HKW227" s="111"/>
      <c r="HKX227" s="111"/>
      <c r="HKY227" s="111"/>
      <c r="HKZ227" s="111"/>
      <c r="HLA227" s="111"/>
      <c r="HLB227" s="111"/>
      <c r="HLC227" s="111"/>
      <c r="HLD227" s="111"/>
      <c r="HLE227" s="111"/>
      <c r="HLF227" s="111"/>
      <c r="HLG227" s="111"/>
      <c r="HLH227" s="111"/>
      <c r="HLI227" s="111"/>
      <c r="HLJ227" s="111"/>
      <c r="HLK227" s="111"/>
      <c r="HLL227" s="111"/>
      <c r="HLM227" s="111"/>
      <c r="HLN227" s="111"/>
      <c r="HLO227" s="111"/>
      <c r="HLP227" s="111"/>
      <c r="HLQ227" s="111"/>
      <c r="HLR227" s="111"/>
      <c r="HLS227" s="111"/>
      <c r="HLT227" s="111"/>
      <c r="HLU227" s="111"/>
      <c r="HLV227" s="111"/>
      <c r="HLW227" s="111"/>
      <c r="HLX227" s="111"/>
      <c r="HLY227" s="111"/>
      <c r="HLZ227" s="111"/>
      <c r="HMA227" s="111"/>
      <c r="HMB227" s="111"/>
      <c r="HMC227" s="111"/>
      <c r="HMD227" s="111"/>
      <c r="HME227" s="111"/>
      <c r="HMF227" s="111"/>
      <c r="HMG227" s="111"/>
      <c r="HMH227" s="111"/>
      <c r="HMI227" s="111"/>
      <c r="HMJ227" s="111"/>
      <c r="HMK227" s="111"/>
      <c r="HML227" s="111"/>
      <c r="HMM227" s="111"/>
      <c r="HMN227" s="111"/>
      <c r="HMO227" s="111"/>
      <c r="HMP227" s="111"/>
      <c r="HMQ227" s="111"/>
      <c r="HMR227" s="111"/>
      <c r="HMS227" s="111"/>
      <c r="HMT227" s="111"/>
      <c r="HMU227" s="111"/>
      <c r="HMV227" s="111"/>
      <c r="HMW227" s="111"/>
      <c r="HMX227" s="111"/>
      <c r="HMY227" s="111"/>
      <c r="HMZ227" s="111"/>
      <c r="HNA227" s="111"/>
      <c r="HNB227" s="111"/>
      <c r="HNC227" s="111"/>
      <c r="HND227" s="111"/>
      <c r="HNE227" s="111"/>
      <c r="HNF227" s="111"/>
      <c r="HNG227" s="111"/>
      <c r="HNH227" s="111"/>
      <c r="HNI227" s="111"/>
      <c r="HNJ227" s="111"/>
      <c r="HNK227" s="111"/>
      <c r="HNL227" s="111"/>
      <c r="HNM227" s="111"/>
      <c r="HNN227" s="111"/>
      <c r="HNO227" s="111"/>
      <c r="HNP227" s="111"/>
      <c r="HNQ227" s="111"/>
      <c r="HNR227" s="111"/>
      <c r="HNS227" s="111"/>
      <c r="HNT227" s="111"/>
      <c r="HNU227" s="111"/>
      <c r="HNV227" s="111"/>
      <c r="HNW227" s="111"/>
      <c r="HNX227" s="111"/>
      <c r="HNY227" s="111"/>
      <c r="HNZ227" s="111"/>
      <c r="HOA227" s="111"/>
      <c r="HOB227" s="111"/>
      <c r="HOC227" s="111"/>
      <c r="HOD227" s="111"/>
      <c r="HOE227" s="111"/>
      <c r="HOF227" s="111"/>
      <c r="HOG227" s="111"/>
      <c r="HOH227" s="111"/>
      <c r="HOI227" s="111"/>
      <c r="HOJ227" s="111"/>
      <c r="HOK227" s="111"/>
      <c r="HOL227" s="111"/>
      <c r="HOM227" s="111"/>
      <c r="HON227" s="111"/>
      <c r="HOO227" s="111"/>
      <c r="HOP227" s="111"/>
      <c r="HOQ227" s="111"/>
      <c r="HOR227" s="111"/>
      <c r="HOS227" s="111"/>
      <c r="HOT227" s="111"/>
      <c r="HOU227" s="111"/>
      <c r="HOV227" s="111"/>
      <c r="HOW227" s="111"/>
      <c r="HOX227" s="111"/>
      <c r="HOY227" s="111"/>
      <c r="HOZ227" s="111"/>
      <c r="HPA227" s="111"/>
      <c r="HPB227" s="111"/>
      <c r="HPC227" s="111"/>
      <c r="HPD227" s="111"/>
      <c r="HPE227" s="111"/>
      <c r="HPF227" s="111"/>
      <c r="HPG227" s="111"/>
      <c r="HPH227" s="111"/>
      <c r="HPI227" s="111"/>
      <c r="HPJ227" s="111"/>
      <c r="HPK227" s="111"/>
      <c r="HPL227" s="111"/>
      <c r="HPM227" s="111"/>
      <c r="HPN227" s="111"/>
      <c r="HPO227" s="111"/>
      <c r="HPP227" s="111"/>
      <c r="HPQ227" s="111"/>
      <c r="HPR227" s="111"/>
      <c r="HPS227" s="111"/>
      <c r="HPT227" s="111"/>
      <c r="HPU227" s="111"/>
      <c r="HPV227" s="111"/>
      <c r="HPW227" s="111"/>
      <c r="HPX227" s="111"/>
      <c r="HPY227" s="111"/>
      <c r="HPZ227" s="111"/>
      <c r="HQA227" s="111"/>
      <c r="HQB227" s="111"/>
      <c r="HQC227" s="111"/>
      <c r="HQD227" s="111"/>
      <c r="HQE227" s="111"/>
      <c r="HQF227" s="111"/>
      <c r="HQG227" s="111"/>
      <c r="HQH227" s="111"/>
      <c r="HQI227" s="111"/>
      <c r="HQJ227" s="111"/>
      <c r="HQK227" s="111"/>
      <c r="HQL227" s="111"/>
      <c r="HQM227" s="111"/>
      <c r="HQN227" s="111"/>
      <c r="HQO227" s="111"/>
      <c r="HQP227" s="111"/>
      <c r="HQQ227" s="111"/>
      <c r="HQR227" s="111"/>
      <c r="HQS227" s="111"/>
      <c r="HQT227" s="111"/>
      <c r="HQU227" s="111"/>
      <c r="HQV227" s="111"/>
      <c r="HQW227" s="111"/>
      <c r="HQX227" s="111"/>
      <c r="HQY227" s="111"/>
      <c r="HQZ227" s="111"/>
      <c r="HRA227" s="111"/>
      <c r="HRB227" s="111"/>
      <c r="HRC227" s="111"/>
      <c r="HRD227" s="111"/>
      <c r="HRE227" s="111"/>
      <c r="HRF227" s="111"/>
      <c r="HRG227" s="111"/>
      <c r="HRH227" s="111"/>
      <c r="HRI227" s="111"/>
      <c r="HRJ227" s="111"/>
      <c r="HRK227" s="111"/>
      <c r="HRL227" s="111"/>
      <c r="HRM227" s="111"/>
      <c r="HRN227" s="111"/>
      <c r="HRO227" s="111"/>
      <c r="HRP227" s="111"/>
      <c r="HRQ227" s="111"/>
      <c r="HRR227" s="111"/>
      <c r="HRS227" s="111"/>
      <c r="HRT227" s="111"/>
      <c r="HRU227" s="111"/>
      <c r="HRV227" s="111"/>
      <c r="HRW227" s="111"/>
      <c r="HRX227" s="111"/>
      <c r="HRY227" s="111"/>
      <c r="HRZ227" s="111"/>
      <c r="HSA227" s="111"/>
      <c r="HSB227" s="111"/>
      <c r="HSC227" s="111"/>
      <c r="HSD227" s="111"/>
      <c r="HSE227" s="111"/>
      <c r="HSF227" s="111"/>
      <c r="HSG227" s="111"/>
      <c r="HSH227" s="111"/>
      <c r="HSI227" s="111"/>
      <c r="HSJ227" s="111"/>
      <c r="HSK227" s="111"/>
      <c r="HSL227" s="111"/>
      <c r="HSM227" s="111"/>
      <c r="HSN227" s="111"/>
      <c r="HSO227" s="111"/>
      <c r="HSP227" s="111"/>
      <c r="HSQ227" s="111"/>
      <c r="HSR227" s="111"/>
      <c r="HSS227" s="111"/>
      <c r="HST227" s="111"/>
      <c r="HSU227" s="111"/>
      <c r="HSV227" s="111"/>
      <c r="HSW227" s="111"/>
      <c r="HSX227" s="111"/>
      <c r="HSY227" s="111"/>
      <c r="HSZ227" s="111"/>
      <c r="HTA227" s="111"/>
      <c r="HTB227" s="111"/>
      <c r="HTC227" s="111"/>
      <c r="HTD227" s="111"/>
      <c r="HTE227" s="111"/>
      <c r="HTF227" s="111"/>
      <c r="HTG227" s="111"/>
      <c r="HTH227" s="111"/>
      <c r="HTI227" s="111"/>
      <c r="HTJ227" s="111"/>
      <c r="HTK227" s="111"/>
      <c r="HTL227" s="111"/>
      <c r="HTM227" s="111"/>
      <c r="HTN227" s="111"/>
      <c r="HTO227" s="111"/>
      <c r="HTP227" s="111"/>
      <c r="HTQ227" s="111"/>
      <c r="HTR227" s="111"/>
      <c r="HTS227" s="111"/>
      <c r="HTT227" s="111"/>
      <c r="HTU227" s="111"/>
      <c r="HTV227" s="111"/>
      <c r="HTW227" s="111"/>
      <c r="HTX227" s="111"/>
      <c r="HTY227" s="111"/>
      <c r="HTZ227" s="111"/>
      <c r="HUA227" s="111"/>
      <c r="HUB227" s="111"/>
      <c r="HUC227" s="111"/>
      <c r="HUD227" s="111"/>
      <c r="HUE227" s="111"/>
      <c r="HUF227" s="111"/>
      <c r="HUG227" s="111"/>
      <c r="HUH227" s="111"/>
      <c r="HUI227" s="111"/>
      <c r="HUJ227" s="111"/>
      <c r="HUK227" s="111"/>
      <c r="HUL227" s="111"/>
      <c r="HUM227" s="111"/>
      <c r="HUN227" s="111"/>
      <c r="HUO227" s="111"/>
      <c r="HUP227" s="111"/>
      <c r="HUQ227" s="111"/>
      <c r="HUR227" s="111"/>
      <c r="HUS227" s="111"/>
      <c r="HUT227" s="111"/>
      <c r="HUU227" s="111"/>
      <c r="HUV227" s="111"/>
      <c r="HUW227" s="111"/>
      <c r="HUX227" s="111"/>
      <c r="HUY227" s="111"/>
      <c r="HUZ227" s="111"/>
      <c r="HVA227" s="111"/>
      <c r="HVB227" s="111"/>
      <c r="HVC227" s="111"/>
      <c r="HVD227" s="111"/>
      <c r="HVE227" s="111"/>
      <c r="HVF227" s="111"/>
      <c r="HVG227" s="111"/>
      <c r="HVH227" s="111"/>
      <c r="HVI227" s="111"/>
      <c r="HVJ227" s="111"/>
      <c r="HVK227" s="111"/>
      <c r="HVL227" s="111"/>
      <c r="HVM227" s="111"/>
      <c r="HVN227" s="111"/>
      <c r="HVO227" s="111"/>
      <c r="HVP227" s="111"/>
      <c r="HVQ227" s="111"/>
      <c r="HVR227" s="111"/>
      <c r="HVS227" s="111"/>
      <c r="HVT227" s="111"/>
      <c r="HVU227" s="111"/>
      <c r="HVV227" s="111"/>
      <c r="HVW227" s="111"/>
      <c r="HVX227" s="111"/>
      <c r="HVY227" s="111"/>
      <c r="HVZ227" s="111"/>
      <c r="HWA227" s="111"/>
      <c r="HWB227" s="111"/>
      <c r="HWC227" s="111"/>
      <c r="HWD227" s="111"/>
      <c r="HWE227" s="111"/>
      <c r="HWF227" s="111"/>
      <c r="HWG227" s="111"/>
      <c r="HWH227" s="111"/>
      <c r="HWI227" s="111"/>
      <c r="HWJ227" s="111"/>
      <c r="HWK227" s="111"/>
      <c r="HWL227" s="111"/>
      <c r="HWM227" s="111"/>
      <c r="HWN227" s="111"/>
      <c r="HWO227" s="111"/>
      <c r="HWP227" s="111"/>
      <c r="HWQ227" s="111"/>
      <c r="HWR227" s="111"/>
      <c r="HWS227" s="111"/>
      <c r="HWT227" s="111"/>
      <c r="HWU227" s="111"/>
      <c r="HWV227" s="111"/>
      <c r="HWW227" s="111"/>
      <c r="HWX227" s="111"/>
      <c r="HWY227" s="111"/>
      <c r="HWZ227" s="111"/>
      <c r="HXA227" s="111"/>
      <c r="HXB227" s="111"/>
      <c r="HXC227" s="111"/>
      <c r="HXD227" s="111"/>
      <c r="HXE227" s="111"/>
      <c r="HXF227" s="111"/>
      <c r="HXG227" s="111"/>
      <c r="HXH227" s="111"/>
      <c r="HXI227" s="111"/>
      <c r="HXJ227" s="111"/>
      <c r="HXK227" s="111"/>
      <c r="HXL227" s="111"/>
      <c r="HXM227" s="111"/>
      <c r="HXN227" s="111"/>
      <c r="HXO227" s="111"/>
      <c r="HXP227" s="111"/>
      <c r="HXQ227" s="111"/>
      <c r="HXR227" s="111"/>
      <c r="HXS227" s="111"/>
      <c r="HXT227" s="111"/>
      <c r="HXU227" s="111"/>
      <c r="HXV227" s="111"/>
      <c r="HXW227" s="111"/>
      <c r="HXX227" s="111"/>
      <c r="HXY227" s="111"/>
      <c r="HXZ227" s="111"/>
      <c r="HYA227" s="111"/>
      <c r="HYB227" s="111"/>
      <c r="HYC227" s="111"/>
      <c r="HYD227" s="111"/>
      <c r="HYE227" s="111"/>
      <c r="HYF227" s="111"/>
      <c r="HYG227" s="111"/>
      <c r="HYH227" s="111"/>
      <c r="HYI227" s="111"/>
      <c r="HYJ227" s="111"/>
      <c r="HYK227" s="111"/>
      <c r="HYL227" s="111"/>
      <c r="HYM227" s="111"/>
      <c r="HYN227" s="111"/>
      <c r="HYO227" s="111"/>
      <c r="HYP227" s="111"/>
      <c r="HYQ227" s="111"/>
      <c r="HYR227" s="111"/>
      <c r="HYS227" s="111"/>
      <c r="HYT227" s="111"/>
      <c r="HYU227" s="111"/>
      <c r="HYV227" s="111"/>
      <c r="HYW227" s="111"/>
      <c r="HYX227" s="111"/>
      <c r="HYY227" s="111"/>
      <c r="HYZ227" s="111"/>
      <c r="HZA227" s="111"/>
      <c r="HZB227" s="111"/>
      <c r="HZC227" s="111"/>
      <c r="HZD227" s="111"/>
      <c r="HZE227" s="111"/>
      <c r="HZF227" s="111"/>
      <c r="HZG227" s="111"/>
      <c r="HZH227" s="111"/>
      <c r="HZI227" s="111"/>
      <c r="HZJ227" s="111"/>
      <c r="HZK227" s="111"/>
      <c r="HZL227" s="111"/>
      <c r="HZM227" s="111"/>
      <c r="HZN227" s="111"/>
      <c r="HZO227" s="111"/>
      <c r="HZP227" s="111"/>
      <c r="HZQ227" s="111"/>
      <c r="HZR227" s="111"/>
      <c r="HZS227" s="111"/>
      <c r="HZT227" s="111"/>
      <c r="HZU227" s="111"/>
      <c r="HZV227" s="111"/>
      <c r="HZW227" s="111"/>
      <c r="HZX227" s="111"/>
      <c r="HZY227" s="111"/>
      <c r="HZZ227" s="111"/>
      <c r="IAA227" s="111"/>
      <c r="IAB227" s="111"/>
      <c r="IAC227" s="111"/>
      <c r="IAD227" s="111"/>
      <c r="IAE227" s="111"/>
      <c r="IAF227" s="111"/>
      <c r="IAG227" s="111"/>
      <c r="IAH227" s="111"/>
      <c r="IAI227" s="111"/>
      <c r="IAJ227" s="111"/>
      <c r="IAK227" s="111"/>
      <c r="IAL227" s="111"/>
      <c r="IAM227" s="111"/>
      <c r="IAN227" s="111"/>
      <c r="IAO227" s="111"/>
      <c r="IAP227" s="111"/>
      <c r="IAQ227" s="111"/>
      <c r="IAR227" s="111"/>
      <c r="IAS227" s="111"/>
      <c r="IAT227" s="111"/>
      <c r="IAU227" s="111"/>
      <c r="IAV227" s="111"/>
      <c r="IAW227" s="111"/>
      <c r="IAX227" s="111"/>
      <c r="IAY227" s="111"/>
      <c r="IAZ227" s="111"/>
      <c r="IBA227" s="111"/>
      <c r="IBB227" s="111"/>
      <c r="IBC227" s="111"/>
      <c r="IBD227" s="111"/>
      <c r="IBE227" s="111"/>
      <c r="IBF227" s="111"/>
      <c r="IBG227" s="111"/>
      <c r="IBH227" s="111"/>
      <c r="IBI227" s="111"/>
      <c r="IBJ227" s="111"/>
      <c r="IBK227" s="111"/>
      <c r="IBL227" s="111"/>
      <c r="IBM227" s="111"/>
      <c r="IBN227" s="111"/>
      <c r="IBO227" s="111"/>
      <c r="IBP227" s="111"/>
      <c r="IBQ227" s="111"/>
      <c r="IBR227" s="111"/>
      <c r="IBS227" s="111"/>
      <c r="IBT227" s="111"/>
      <c r="IBU227" s="111"/>
      <c r="IBV227" s="111"/>
      <c r="IBW227" s="111"/>
      <c r="IBX227" s="111"/>
      <c r="IBY227" s="111"/>
      <c r="IBZ227" s="111"/>
      <c r="ICA227" s="111"/>
      <c r="ICB227" s="111"/>
      <c r="ICC227" s="111"/>
      <c r="ICD227" s="111"/>
      <c r="ICE227" s="111"/>
      <c r="ICF227" s="111"/>
      <c r="ICG227" s="111"/>
      <c r="ICH227" s="111"/>
      <c r="ICI227" s="111"/>
      <c r="ICJ227" s="111"/>
      <c r="ICK227" s="111"/>
      <c r="ICL227" s="111"/>
      <c r="ICM227" s="111"/>
      <c r="ICN227" s="111"/>
      <c r="ICO227" s="111"/>
      <c r="ICP227" s="111"/>
      <c r="ICQ227" s="111"/>
      <c r="ICR227" s="111"/>
      <c r="ICS227" s="111"/>
      <c r="ICT227" s="111"/>
      <c r="ICU227" s="111"/>
      <c r="ICV227" s="111"/>
      <c r="ICW227" s="111"/>
      <c r="ICX227" s="111"/>
      <c r="ICY227" s="111"/>
      <c r="ICZ227" s="111"/>
      <c r="IDA227" s="111"/>
      <c r="IDB227" s="111"/>
      <c r="IDC227" s="111"/>
      <c r="IDD227" s="111"/>
      <c r="IDE227" s="111"/>
      <c r="IDF227" s="111"/>
      <c r="IDG227" s="111"/>
      <c r="IDH227" s="111"/>
      <c r="IDI227" s="111"/>
      <c r="IDJ227" s="111"/>
      <c r="IDK227" s="111"/>
      <c r="IDL227" s="111"/>
      <c r="IDM227" s="111"/>
      <c r="IDN227" s="111"/>
      <c r="IDO227" s="111"/>
      <c r="IDP227" s="111"/>
      <c r="IDQ227" s="111"/>
      <c r="IDR227" s="111"/>
      <c r="IDS227" s="111"/>
      <c r="IDT227" s="111"/>
      <c r="IDU227" s="111"/>
      <c r="IDV227" s="111"/>
      <c r="IDW227" s="111"/>
      <c r="IDX227" s="111"/>
      <c r="IDY227" s="111"/>
      <c r="IDZ227" s="111"/>
      <c r="IEA227" s="111"/>
      <c r="IEB227" s="111"/>
      <c r="IEC227" s="111"/>
      <c r="IED227" s="111"/>
      <c r="IEE227" s="111"/>
      <c r="IEF227" s="111"/>
      <c r="IEG227" s="111"/>
      <c r="IEH227" s="111"/>
      <c r="IEI227" s="111"/>
      <c r="IEJ227" s="111"/>
      <c r="IEK227" s="111"/>
      <c r="IEL227" s="111"/>
      <c r="IEM227" s="111"/>
      <c r="IEN227" s="111"/>
      <c r="IEO227" s="111"/>
      <c r="IEP227" s="111"/>
      <c r="IEQ227" s="111"/>
      <c r="IER227" s="111"/>
      <c r="IES227" s="111"/>
      <c r="IET227" s="111"/>
      <c r="IEU227" s="111"/>
      <c r="IEV227" s="111"/>
      <c r="IEW227" s="111"/>
      <c r="IEX227" s="111"/>
      <c r="IEY227" s="111"/>
      <c r="IEZ227" s="111"/>
      <c r="IFA227" s="111"/>
      <c r="IFB227" s="111"/>
      <c r="IFC227" s="111"/>
      <c r="IFD227" s="111"/>
      <c r="IFE227" s="111"/>
      <c r="IFF227" s="111"/>
      <c r="IFG227" s="111"/>
      <c r="IFH227" s="111"/>
      <c r="IFI227" s="111"/>
      <c r="IFJ227" s="111"/>
      <c r="IFK227" s="111"/>
      <c r="IFL227" s="111"/>
      <c r="IFM227" s="111"/>
      <c r="IFN227" s="111"/>
      <c r="IFO227" s="111"/>
      <c r="IFP227" s="111"/>
      <c r="IFQ227" s="111"/>
      <c r="IFR227" s="111"/>
      <c r="IFS227" s="111"/>
      <c r="IFT227" s="111"/>
      <c r="IFU227" s="111"/>
      <c r="IFV227" s="111"/>
      <c r="IFW227" s="111"/>
      <c r="IFX227" s="111"/>
      <c r="IFY227" s="111"/>
      <c r="IFZ227" s="111"/>
      <c r="IGA227" s="111"/>
      <c r="IGB227" s="111"/>
      <c r="IGC227" s="111"/>
      <c r="IGD227" s="111"/>
      <c r="IGE227" s="111"/>
      <c r="IGF227" s="111"/>
      <c r="IGG227" s="111"/>
      <c r="IGH227" s="111"/>
      <c r="IGI227" s="111"/>
      <c r="IGJ227" s="111"/>
      <c r="IGK227" s="111"/>
      <c r="IGL227" s="111"/>
      <c r="IGM227" s="111"/>
      <c r="IGN227" s="111"/>
      <c r="IGO227" s="111"/>
      <c r="IGP227" s="111"/>
      <c r="IGQ227" s="111"/>
      <c r="IGR227" s="111"/>
      <c r="IGS227" s="111"/>
      <c r="IGT227" s="111"/>
      <c r="IGU227" s="111"/>
      <c r="IGV227" s="111"/>
      <c r="IGW227" s="111"/>
      <c r="IGX227" s="111"/>
      <c r="IGY227" s="111"/>
      <c r="IGZ227" s="111"/>
      <c r="IHA227" s="111"/>
      <c r="IHB227" s="111"/>
      <c r="IHC227" s="111"/>
      <c r="IHD227" s="111"/>
      <c r="IHE227" s="111"/>
      <c r="IHF227" s="111"/>
      <c r="IHG227" s="111"/>
      <c r="IHH227" s="111"/>
      <c r="IHI227" s="111"/>
      <c r="IHJ227" s="111"/>
      <c r="IHK227" s="111"/>
      <c r="IHL227" s="111"/>
      <c r="IHM227" s="111"/>
      <c r="IHN227" s="111"/>
      <c r="IHO227" s="111"/>
      <c r="IHP227" s="111"/>
      <c r="IHQ227" s="111"/>
      <c r="IHR227" s="111"/>
      <c r="IHS227" s="111"/>
      <c r="IHT227" s="111"/>
      <c r="IHU227" s="111"/>
      <c r="IHV227" s="111"/>
      <c r="IHW227" s="111"/>
      <c r="IHX227" s="111"/>
      <c r="IHY227" s="111"/>
      <c r="IHZ227" s="111"/>
      <c r="IIA227" s="111"/>
      <c r="IIB227" s="111"/>
      <c r="IIC227" s="111"/>
      <c r="IID227" s="111"/>
      <c r="IIE227" s="111"/>
      <c r="IIF227" s="111"/>
      <c r="IIG227" s="111"/>
      <c r="IIH227" s="111"/>
      <c r="III227" s="111"/>
      <c r="IIJ227" s="111"/>
      <c r="IIK227" s="111"/>
      <c r="IIL227" s="111"/>
      <c r="IIM227" s="111"/>
      <c r="IIN227" s="111"/>
      <c r="IIO227" s="111"/>
      <c r="IIP227" s="111"/>
      <c r="IIQ227" s="111"/>
      <c r="IIR227" s="111"/>
      <c r="IIS227" s="111"/>
      <c r="IIT227" s="111"/>
      <c r="IIU227" s="111"/>
      <c r="IIV227" s="111"/>
      <c r="IIW227" s="111"/>
      <c r="IIX227" s="111"/>
      <c r="IIY227" s="111"/>
      <c r="IIZ227" s="111"/>
      <c r="IJA227" s="111"/>
      <c r="IJB227" s="111"/>
      <c r="IJC227" s="111"/>
      <c r="IJD227" s="111"/>
      <c r="IJE227" s="111"/>
      <c r="IJF227" s="111"/>
      <c r="IJG227" s="111"/>
      <c r="IJH227" s="111"/>
      <c r="IJI227" s="111"/>
      <c r="IJJ227" s="111"/>
      <c r="IJK227" s="111"/>
      <c r="IJL227" s="111"/>
      <c r="IJM227" s="111"/>
      <c r="IJN227" s="111"/>
      <c r="IJO227" s="111"/>
      <c r="IJP227" s="111"/>
      <c r="IJQ227" s="111"/>
      <c r="IJR227" s="111"/>
      <c r="IJS227" s="111"/>
      <c r="IJT227" s="111"/>
      <c r="IJU227" s="111"/>
      <c r="IJV227" s="111"/>
      <c r="IJW227" s="111"/>
      <c r="IJX227" s="111"/>
      <c r="IJY227" s="111"/>
      <c r="IJZ227" s="111"/>
      <c r="IKA227" s="111"/>
      <c r="IKB227" s="111"/>
      <c r="IKC227" s="111"/>
      <c r="IKD227" s="111"/>
      <c r="IKE227" s="111"/>
      <c r="IKF227" s="111"/>
      <c r="IKG227" s="111"/>
      <c r="IKH227" s="111"/>
      <c r="IKI227" s="111"/>
      <c r="IKJ227" s="111"/>
      <c r="IKK227" s="111"/>
      <c r="IKL227" s="111"/>
      <c r="IKM227" s="111"/>
      <c r="IKN227" s="111"/>
      <c r="IKO227" s="111"/>
      <c r="IKP227" s="111"/>
      <c r="IKQ227" s="111"/>
      <c r="IKR227" s="111"/>
      <c r="IKS227" s="111"/>
      <c r="IKT227" s="111"/>
      <c r="IKU227" s="111"/>
      <c r="IKV227" s="111"/>
      <c r="IKW227" s="111"/>
      <c r="IKX227" s="111"/>
      <c r="IKY227" s="111"/>
      <c r="IKZ227" s="111"/>
      <c r="ILA227" s="111"/>
      <c r="ILB227" s="111"/>
      <c r="ILC227" s="111"/>
      <c r="ILD227" s="111"/>
      <c r="ILE227" s="111"/>
      <c r="ILF227" s="111"/>
      <c r="ILG227" s="111"/>
      <c r="ILH227" s="111"/>
      <c r="ILI227" s="111"/>
      <c r="ILJ227" s="111"/>
      <c r="ILK227" s="111"/>
      <c r="ILL227" s="111"/>
      <c r="ILM227" s="111"/>
      <c r="ILN227" s="111"/>
      <c r="ILO227" s="111"/>
      <c r="ILP227" s="111"/>
      <c r="ILQ227" s="111"/>
      <c r="ILR227" s="111"/>
      <c r="ILS227" s="111"/>
      <c r="ILT227" s="111"/>
      <c r="ILU227" s="111"/>
      <c r="ILV227" s="111"/>
      <c r="ILW227" s="111"/>
      <c r="ILX227" s="111"/>
      <c r="ILY227" s="111"/>
      <c r="ILZ227" s="111"/>
      <c r="IMA227" s="111"/>
      <c r="IMB227" s="111"/>
      <c r="IMC227" s="111"/>
      <c r="IMD227" s="111"/>
      <c r="IME227" s="111"/>
      <c r="IMF227" s="111"/>
      <c r="IMG227" s="111"/>
      <c r="IMH227" s="111"/>
      <c r="IMI227" s="111"/>
      <c r="IMJ227" s="111"/>
      <c r="IMK227" s="111"/>
      <c r="IML227" s="111"/>
      <c r="IMM227" s="111"/>
      <c r="IMN227" s="111"/>
      <c r="IMO227" s="111"/>
      <c r="IMP227" s="111"/>
      <c r="IMQ227" s="111"/>
      <c r="IMR227" s="111"/>
      <c r="IMS227" s="111"/>
      <c r="IMT227" s="111"/>
      <c r="IMU227" s="111"/>
      <c r="IMV227" s="111"/>
      <c r="IMW227" s="111"/>
      <c r="IMX227" s="111"/>
      <c r="IMY227" s="111"/>
      <c r="IMZ227" s="111"/>
      <c r="INA227" s="111"/>
      <c r="INB227" s="111"/>
      <c r="INC227" s="111"/>
      <c r="IND227" s="111"/>
      <c r="INE227" s="111"/>
      <c r="INF227" s="111"/>
      <c r="ING227" s="111"/>
      <c r="INH227" s="111"/>
      <c r="INI227" s="111"/>
      <c r="INJ227" s="111"/>
      <c r="INK227" s="111"/>
      <c r="INL227" s="111"/>
      <c r="INM227" s="111"/>
      <c r="INN227" s="111"/>
      <c r="INO227" s="111"/>
      <c r="INP227" s="111"/>
      <c r="INQ227" s="111"/>
      <c r="INR227" s="111"/>
      <c r="INS227" s="111"/>
      <c r="INT227" s="111"/>
      <c r="INU227" s="111"/>
      <c r="INV227" s="111"/>
      <c r="INW227" s="111"/>
      <c r="INX227" s="111"/>
      <c r="INY227" s="111"/>
      <c r="INZ227" s="111"/>
      <c r="IOA227" s="111"/>
      <c r="IOB227" s="111"/>
      <c r="IOC227" s="111"/>
      <c r="IOD227" s="111"/>
      <c r="IOE227" s="111"/>
      <c r="IOF227" s="111"/>
      <c r="IOG227" s="111"/>
      <c r="IOH227" s="111"/>
      <c r="IOI227" s="111"/>
      <c r="IOJ227" s="111"/>
      <c r="IOK227" s="111"/>
      <c r="IOL227" s="111"/>
      <c r="IOM227" s="111"/>
      <c r="ION227" s="111"/>
      <c r="IOO227" s="111"/>
      <c r="IOP227" s="111"/>
      <c r="IOQ227" s="111"/>
      <c r="IOR227" s="111"/>
      <c r="IOS227" s="111"/>
      <c r="IOT227" s="111"/>
      <c r="IOU227" s="111"/>
      <c r="IOV227" s="111"/>
      <c r="IOW227" s="111"/>
      <c r="IOX227" s="111"/>
      <c r="IOY227" s="111"/>
      <c r="IOZ227" s="111"/>
      <c r="IPA227" s="111"/>
      <c r="IPB227" s="111"/>
      <c r="IPC227" s="111"/>
      <c r="IPD227" s="111"/>
      <c r="IPE227" s="111"/>
      <c r="IPF227" s="111"/>
      <c r="IPG227" s="111"/>
      <c r="IPH227" s="111"/>
      <c r="IPI227" s="111"/>
      <c r="IPJ227" s="111"/>
      <c r="IPK227" s="111"/>
      <c r="IPL227" s="111"/>
      <c r="IPM227" s="111"/>
      <c r="IPN227" s="111"/>
      <c r="IPO227" s="111"/>
      <c r="IPP227" s="111"/>
      <c r="IPQ227" s="111"/>
      <c r="IPR227" s="111"/>
      <c r="IPS227" s="111"/>
      <c r="IPT227" s="111"/>
      <c r="IPU227" s="111"/>
      <c r="IPV227" s="111"/>
      <c r="IPW227" s="111"/>
      <c r="IPX227" s="111"/>
      <c r="IPY227" s="111"/>
      <c r="IPZ227" s="111"/>
      <c r="IQA227" s="111"/>
      <c r="IQB227" s="111"/>
      <c r="IQC227" s="111"/>
      <c r="IQD227" s="111"/>
      <c r="IQE227" s="111"/>
      <c r="IQF227" s="111"/>
      <c r="IQG227" s="111"/>
      <c r="IQH227" s="111"/>
      <c r="IQI227" s="111"/>
      <c r="IQJ227" s="111"/>
      <c r="IQK227" s="111"/>
      <c r="IQL227" s="111"/>
      <c r="IQM227" s="111"/>
      <c r="IQN227" s="111"/>
      <c r="IQO227" s="111"/>
      <c r="IQP227" s="111"/>
      <c r="IQQ227" s="111"/>
      <c r="IQR227" s="111"/>
      <c r="IQS227" s="111"/>
      <c r="IQT227" s="111"/>
      <c r="IQU227" s="111"/>
      <c r="IQV227" s="111"/>
      <c r="IQW227" s="111"/>
      <c r="IQX227" s="111"/>
      <c r="IQY227" s="111"/>
      <c r="IQZ227" s="111"/>
      <c r="IRA227" s="111"/>
      <c r="IRB227" s="111"/>
      <c r="IRC227" s="111"/>
      <c r="IRD227" s="111"/>
      <c r="IRE227" s="111"/>
      <c r="IRF227" s="111"/>
      <c r="IRG227" s="111"/>
      <c r="IRH227" s="111"/>
      <c r="IRI227" s="111"/>
      <c r="IRJ227" s="111"/>
      <c r="IRK227" s="111"/>
      <c r="IRL227" s="111"/>
      <c r="IRM227" s="111"/>
      <c r="IRN227" s="111"/>
      <c r="IRO227" s="111"/>
      <c r="IRP227" s="111"/>
      <c r="IRQ227" s="111"/>
      <c r="IRR227" s="111"/>
      <c r="IRS227" s="111"/>
      <c r="IRT227" s="111"/>
      <c r="IRU227" s="111"/>
      <c r="IRV227" s="111"/>
      <c r="IRW227" s="111"/>
      <c r="IRX227" s="111"/>
      <c r="IRY227" s="111"/>
      <c r="IRZ227" s="111"/>
      <c r="ISA227" s="111"/>
      <c r="ISB227" s="111"/>
      <c r="ISC227" s="111"/>
      <c r="ISD227" s="111"/>
      <c r="ISE227" s="111"/>
      <c r="ISF227" s="111"/>
      <c r="ISG227" s="111"/>
      <c r="ISH227" s="111"/>
      <c r="ISI227" s="111"/>
      <c r="ISJ227" s="111"/>
      <c r="ISK227" s="111"/>
      <c r="ISL227" s="111"/>
      <c r="ISM227" s="111"/>
      <c r="ISN227" s="111"/>
      <c r="ISO227" s="111"/>
      <c r="ISP227" s="111"/>
      <c r="ISQ227" s="111"/>
      <c r="ISR227" s="111"/>
      <c r="ISS227" s="111"/>
      <c r="IST227" s="111"/>
      <c r="ISU227" s="111"/>
      <c r="ISV227" s="111"/>
      <c r="ISW227" s="111"/>
      <c r="ISX227" s="111"/>
      <c r="ISY227" s="111"/>
      <c r="ISZ227" s="111"/>
      <c r="ITA227" s="111"/>
      <c r="ITB227" s="111"/>
      <c r="ITC227" s="111"/>
      <c r="ITD227" s="111"/>
      <c r="ITE227" s="111"/>
      <c r="ITF227" s="111"/>
      <c r="ITG227" s="111"/>
      <c r="ITH227" s="111"/>
      <c r="ITI227" s="111"/>
      <c r="ITJ227" s="111"/>
      <c r="ITK227" s="111"/>
      <c r="ITL227" s="111"/>
      <c r="ITM227" s="111"/>
      <c r="ITN227" s="111"/>
      <c r="ITO227" s="111"/>
      <c r="ITP227" s="111"/>
      <c r="ITQ227" s="111"/>
      <c r="ITR227" s="111"/>
      <c r="ITS227" s="111"/>
      <c r="ITT227" s="111"/>
      <c r="ITU227" s="111"/>
      <c r="ITV227" s="111"/>
      <c r="ITW227" s="111"/>
      <c r="ITX227" s="111"/>
      <c r="ITY227" s="111"/>
      <c r="ITZ227" s="111"/>
      <c r="IUA227" s="111"/>
      <c r="IUB227" s="111"/>
      <c r="IUC227" s="111"/>
      <c r="IUD227" s="111"/>
      <c r="IUE227" s="111"/>
      <c r="IUF227" s="111"/>
      <c r="IUG227" s="111"/>
      <c r="IUH227" s="111"/>
      <c r="IUI227" s="111"/>
      <c r="IUJ227" s="111"/>
      <c r="IUK227" s="111"/>
      <c r="IUL227" s="111"/>
      <c r="IUM227" s="111"/>
      <c r="IUN227" s="111"/>
      <c r="IUO227" s="111"/>
      <c r="IUP227" s="111"/>
      <c r="IUQ227" s="111"/>
      <c r="IUR227" s="111"/>
      <c r="IUS227" s="111"/>
      <c r="IUT227" s="111"/>
      <c r="IUU227" s="111"/>
      <c r="IUV227" s="111"/>
      <c r="IUW227" s="111"/>
      <c r="IUX227" s="111"/>
      <c r="IUY227" s="111"/>
      <c r="IUZ227" s="111"/>
      <c r="IVA227" s="111"/>
      <c r="IVB227" s="111"/>
      <c r="IVC227" s="111"/>
      <c r="IVD227" s="111"/>
      <c r="IVE227" s="111"/>
      <c r="IVF227" s="111"/>
      <c r="IVG227" s="111"/>
      <c r="IVH227" s="111"/>
      <c r="IVI227" s="111"/>
      <c r="IVJ227" s="111"/>
      <c r="IVK227" s="111"/>
      <c r="IVL227" s="111"/>
      <c r="IVM227" s="111"/>
      <c r="IVN227" s="111"/>
      <c r="IVO227" s="111"/>
      <c r="IVP227" s="111"/>
      <c r="IVQ227" s="111"/>
      <c r="IVR227" s="111"/>
      <c r="IVS227" s="111"/>
      <c r="IVT227" s="111"/>
      <c r="IVU227" s="111"/>
      <c r="IVV227" s="111"/>
      <c r="IVW227" s="111"/>
      <c r="IVX227" s="111"/>
      <c r="IVY227" s="111"/>
      <c r="IVZ227" s="111"/>
      <c r="IWA227" s="111"/>
      <c r="IWB227" s="111"/>
      <c r="IWC227" s="111"/>
      <c r="IWD227" s="111"/>
      <c r="IWE227" s="111"/>
      <c r="IWF227" s="111"/>
      <c r="IWG227" s="111"/>
      <c r="IWH227" s="111"/>
      <c r="IWI227" s="111"/>
      <c r="IWJ227" s="111"/>
      <c r="IWK227" s="111"/>
      <c r="IWL227" s="111"/>
      <c r="IWM227" s="111"/>
      <c r="IWN227" s="111"/>
      <c r="IWO227" s="111"/>
      <c r="IWP227" s="111"/>
      <c r="IWQ227" s="111"/>
      <c r="IWR227" s="111"/>
      <c r="IWS227" s="111"/>
      <c r="IWT227" s="111"/>
      <c r="IWU227" s="111"/>
      <c r="IWV227" s="111"/>
      <c r="IWW227" s="111"/>
      <c r="IWX227" s="111"/>
      <c r="IWY227" s="111"/>
      <c r="IWZ227" s="111"/>
      <c r="IXA227" s="111"/>
      <c r="IXB227" s="111"/>
      <c r="IXC227" s="111"/>
      <c r="IXD227" s="111"/>
      <c r="IXE227" s="111"/>
      <c r="IXF227" s="111"/>
      <c r="IXG227" s="111"/>
      <c r="IXH227" s="111"/>
      <c r="IXI227" s="111"/>
      <c r="IXJ227" s="111"/>
      <c r="IXK227" s="111"/>
      <c r="IXL227" s="111"/>
      <c r="IXM227" s="111"/>
      <c r="IXN227" s="111"/>
      <c r="IXO227" s="111"/>
      <c r="IXP227" s="111"/>
      <c r="IXQ227" s="111"/>
      <c r="IXR227" s="111"/>
      <c r="IXS227" s="111"/>
      <c r="IXT227" s="111"/>
      <c r="IXU227" s="111"/>
      <c r="IXV227" s="111"/>
      <c r="IXW227" s="111"/>
      <c r="IXX227" s="111"/>
      <c r="IXY227" s="111"/>
      <c r="IXZ227" s="111"/>
      <c r="IYA227" s="111"/>
      <c r="IYB227" s="111"/>
      <c r="IYC227" s="111"/>
      <c r="IYD227" s="111"/>
      <c r="IYE227" s="111"/>
      <c r="IYF227" s="111"/>
      <c r="IYG227" s="111"/>
      <c r="IYH227" s="111"/>
      <c r="IYI227" s="111"/>
      <c r="IYJ227" s="111"/>
      <c r="IYK227" s="111"/>
      <c r="IYL227" s="111"/>
      <c r="IYM227" s="111"/>
      <c r="IYN227" s="111"/>
      <c r="IYO227" s="111"/>
      <c r="IYP227" s="111"/>
      <c r="IYQ227" s="111"/>
      <c r="IYR227" s="111"/>
      <c r="IYS227" s="111"/>
      <c r="IYT227" s="111"/>
      <c r="IYU227" s="111"/>
      <c r="IYV227" s="111"/>
      <c r="IYW227" s="111"/>
      <c r="IYX227" s="111"/>
      <c r="IYY227" s="111"/>
      <c r="IYZ227" s="111"/>
      <c r="IZA227" s="111"/>
      <c r="IZB227" s="111"/>
      <c r="IZC227" s="111"/>
      <c r="IZD227" s="111"/>
      <c r="IZE227" s="111"/>
      <c r="IZF227" s="111"/>
      <c r="IZG227" s="111"/>
      <c r="IZH227" s="111"/>
      <c r="IZI227" s="111"/>
      <c r="IZJ227" s="111"/>
      <c r="IZK227" s="111"/>
      <c r="IZL227" s="111"/>
      <c r="IZM227" s="111"/>
      <c r="IZN227" s="111"/>
      <c r="IZO227" s="111"/>
      <c r="IZP227" s="111"/>
      <c r="IZQ227" s="111"/>
      <c r="IZR227" s="111"/>
      <c r="IZS227" s="111"/>
      <c r="IZT227" s="111"/>
      <c r="IZU227" s="111"/>
      <c r="IZV227" s="111"/>
      <c r="IZW227" s="111"/>
      <c r="IZX227" s="111"/>
      <c r="IZY227" s="111"/>
      <c r="IZZ227" s="111"/>
      <c r="JAA227" s="111"/>
      <c r="JAB227" s="111"/>
      <c r="JAC227" s="111"/>
      <c r="JAD227" s="111"/>
      <c r="JAE227" s="111"/>
      <c r="JAF227" s="111"/>
      <c r="JAG227" s="111"/>
      <c r="JAH227" s="111"/>
      <c r="JAI227" s="111"/>
      <c r="JAJ227" s="111"/>
      <c r="JAK227" s="111"/>
      <c r="JAL227" s="111"/>
      <c r="JAM227" s="111"/>
      <c r="JAN227" s="111"/>
      <c r="JAO227" s="111"/>
      <c r="JAP227" s="111"/>
      <c r="JAQ227" s="111"/>
      <c r="JAR227" s="111"/>
      <c r="JAS227" s="111"/>
      <c r="JAT227" s="111"/>
      <c r="JAU227" s="111"/>
      <c r="JAV227" s="111"/>
      <c r="JAW227" s="111"/>
      <c r="JAX227" s="111"/>
      <c r="JAY227" s="111"/>
      <c r="JAZ227" s="111"/>
      <c r="JBA227" s="111"/>
      <c r="JBB227" s="111"/>
      <c r="JBC227" s="111"/>
      <c r="JBD227" s="111"/>
      <c r="JBE227" s="111"/>
      <c r="JBF227" s="111"/>
      <c r="JBG227" s="111"/>
      <c r="JBH227" s="111"/>
      <c r="JBI227" s="111"/>
      <c r="JBJ227" s="111"/>
      <c r="JBK227" s="111"/>
      <c r="JBL227" s="111"/>
      <c r="JBM227" s="111"/>
      <c r="JBN227" s="111"/>
      <c r="JBO227" s="111"/>
      <c r="JBP227" s="111"/>
      <c r="JBQ227" s="111"/>
      <c r="JBR227" s="111"/>
      <c r="JBS227" s="111"/>
      <c r="JBT227" s="111"/>
      <c r="JBU227" s="111"/>
      <c r="JBV227" s="111"/>
      <c r="JBW227" s="111"/>
      <c r="JBX227" s="111"/>
      <c r="JBY227" s="111"/>
      <c r="JBZ227" s="111"/>
      <c r="JCA227" s="111"/>
      <c r="JCB227" s="111"/>
      <c r="JCC227" s="111"/>
      <c r="JCD227" s="111"/>
      <c r="JCE227" s="111"/>
      <c r="JCF227" s="111"/>
      <c r="JCG227" s="111"/>
      <c r="JCH227" s="111"/>
      <c r="JCI227" s="111"/>
      <c r="JCJ227" s="111"/>
      <c r="JCK227" s="111"/>
      <c r="JCL227" s="111"/>
      <c r="JCM227" s="111"/>
      <c r="JCN227" s="111"/>
      <c r="JCO227" s="111"/>
      <c r="JCP227" s="111"/>
      <c r="JCQ227" s="111"/>
      <c r="JCR227" s="111"/>
      <c r="JCS227" s="111"/>
      <c r="JCT227" s="111"/>
      <c r="JCU227" s="111"/>
      <c r="JCV227" s="111"/>
      <c r="JCW227" s="111"/>
      <c r="JCX227" s="111"/>
      <c r="JCY227" s="111"/>
      <c r="JCZ227" s="111"/>
      <c r="JDA227" s="111"/>
      <c r="JDB227" s="111"/>
      <c r="JDC227" s="111"/>
      <c r="JDD227" s="111"/>
      <c r="JDE227" s="111"/>
      <c r="JDF227" s="111"/>
      <c r="JDG227" s="111"/>
      <c r="JDH227" s="111"/>
      <c r="JDI227" s="111"/>
      <c r="JDJ227" s="111"/>
      <c r="JDK227" s="111"/>
      <c r="JDL227" s="111"/>
      <c r="JDM227" s="111"/>
      <c r="JDN227" s="111"/>
      <c r="JDO227" s="111"/>
      <c r="JDP227" s="111"/>
      <c r="JDQ227" s="111"/>
      <c r="JDR227" s="111"/>
      <c r="JDS227" s="111"/>
      <c r="JDT227" s="111"/>
      <c r="JDU227" s="111"/>
      <c r="JDV227" s="111"/>
      <c r="JDW227" s="111"/>
      <c r="JDX227" s="111"/>
      <c r="JDY227" s="111"/>
      <c r="JDZ227" s="111"/>
      <c r="JEA227" s="111"/>
      <c r="JEB227" s="111"/>
      <c r="JEC227" s="111"/>
      <c r="JED227" s="111"/>
      <c r="JEE227" s="111"/>
      <c r="JEF227" s="111"/>
      <c r="JEG227" s="111"/>
      <c r="JEH227" s="111"/>
      <c r="JEI227" s="111"/>
      <c r="JEJ227" s="111"/>
      <c r="JEK227" s="111"/>
      <c r="JEL227" s="111"/>
      <c r="JEM227" s="111"/>
      <c r="JEN227" s="111"/>
      <c r="JEO227" s="111"/>
      <c r="JEP227" s="111"/>
      <c r="JEQ227" s="111"/>
      <c r="JER227" s="111"/>
      <c r="JES227" s="111"/>
      <c r="JET227" s="111"/>
      <c r="JEU227" s="111"/>
      <c r="JEV227" s="111"/>
      <c r="JEW227" s="111"/>
      <c r="JEX227" s="111"/>
      <c r="JEY227" s="111"/>
      <c r="JEZ227" s="111"/>
      <c r="JFA227" s="111"/>
      <c r="JFB227" s="111"/>
      <c r="JFC227" s="111"/>
      <c r="JFD227" s="111"/>
      <c r="JFE227" s="111"/>
      <c r="JFF227" s="111"/>
      <c r="JFG227" s="111"/>
      <c r="JFH227" s="111"/>
      <c r="JFI227" s="111"/>
      <c r="JFJ227" s="111"/>
      <c r="JFK227" s="111"/>
      <c r="JFL227" s="111"/>
      <c r="JFM227" s="111"/>
      <c r="JFN227" s="111"/>
      <c r="JFO227" s="111"/>
      <c r="JFP227" s="111"/>
      <c r="JFQ227" s="111"/>
      <c r="JFR227" s="111"/>
      <c r="JFS227" s="111"/>
      <c r="JFT227" s="111"/>
      <c r="JFU227" s="111"/>
      <c r="JFV227" s="111"/>
      <c r="JFW227" s="111"/>
      <c r="JFX227" s="111"/>
      <c r="JFY227" s="111"/>
      <c r="JFZ227" s="111"/>
      <c r="JGA227" s="111"/>
      <c r="JGB227" s="111"/>
      <c r="JGC227" s="111"/>
      <c r="JGD227" s="111"/>
      <c r="JGE227" s="111"/>
      <c r="JGF227" s="111"/>
      <c r="JGG227" s="111"/>
      <c r="JGH227" s="111"/>
      <c r="JGI227" s="111"/>
      <c r="JGJ227" s="111"/>
      <c r="JGK227" s="111"/>
      <c r="JGL227" s="111"/>
      <c r="JGM227" s="111"/>
      <c r="JGN227" s="111"/>
      <c r="JGO227" s="111"/>
      <c r="JGP227" s="111"/>
      <c r="JGQ227" s="111"/>
      <c r="JGR227" s="111"/>
      <c r="JGS227" s="111"/>
      <c r="JGT227" s="111"/>
      <c r="JGU227" s="111"/>
      <c r="JGV227" s="111"/>
      <c r="JGW227" s="111"/>
      <c r="JGX227" s="111"/>
      <c r="JGY227" s="111"/>
      <c r="JGZ227" s="111"/>
      <c r="JHA227" s="111"/>
      <c r="JHB227" s="111"/>
      <c r="JHC227" s="111"/>
      <c r="JHD227" s="111"/>
      <c r="JHE227" s="111"/>
      <c r="JHF227" s="111"/>
      <c r="JHG227" s="111"/>
      <c r="JHH227" s="111"/>
      <c r="JHI227" s="111"/>
      <c r="JHJ227" s="111"/>
      <c r="JHK227" s="111"/>
      <c r="JHL227" s="111"/>
      <c r="JHM227" s="111"/>
      <c r="JHN227" s="111"/>
      <c r="JHO227" s="111"/>
      <c r="JHP227" s="111"/>
      <c r="JHQ227" s="111"/>
      <c r="JHR227" s="111"/>
      <c r="JHS227" s="111"/>
      <c r="JHT227" s="111"/>
      <c r="JHU227" s="111"/>
      <c r="JHV227" s="111"/>
      <c r="JHW227" s="111"/>
      <c r="JHX227" s="111"/>
      <c r="JHY227" s="111"/>
      <c r="JHZ227" s="111"/>
      <c r="JIA227" s="111"/>
      <c r="JIB227" s="111"/>
      <c r="JIC227" s="111"/>
      <c r="JID227" s="111"/>
      <c r="JIE227" s="111"/>
      <c r="JIF227" s="111"/>
      <c r="JIG227" s="111"/>
      <c r="JIH227" s="111"/>
      <c r="JII227" s="111"/>
      <c r="JIJ227" s="111"/>
      <c r="JIK227" s="111"/>
      <c r="JIL227" s="111"/>
      <c r="JIM227" s="111"/>
      <c r="JIN227" s="111"/>
      <c r="JIO227" s="111"/>
      <c r="JIP227" s="111"/>
      <c r="JIQ227" s="111"/>
      <c r="JIR227" s="111"/>
      <c r="JIS227" s="111"/>
      <c r="JIT227" s="111"/>
      <c r="JIU227" s="111"/>
      <c r="JIV227" s="111"/>
      <c r="JIW227" s="111"/>
      <c r="JIX227" s="111"/>
      <c r="JIY227" s="111"/>
      <c r="JIZ227" s="111"/>
      <c r="JJA227" s="111"/>
      <c r="JJB227" s="111"/>
      <c r="JJC227" s="111"/>
      <c r="JJD227" s="111"/>
      <c r="JJE227" s="111"/>
      <c r="JJF227" s="111"/>
      <c r="JJG227" s="111"/>
      <c r="JJH227" s="111"/>
      <c r="JJI227" s="111"/>
      <c r="JJJ227" s="111"/>
      <c r="JJK227" s="111"/>
      <c r="JJL227" s="111"/>
      <c r="JJM227" s="111"/>
      <c r="JJN227" s="111"/>
      <c r="JJO227" s="111"/>
      <c r="JJP227" s="111"/>
      <c r="JJQ227" s="111"/>
      <c r="JJR227" s="111"/>
      <c r="JJS227" s="111"/>
      <c r="JJT227" s="111"/>
      <c r="JJU227" s="111"/>
      <c r="JJV227" s="111"/>
      <c r="JJW227" s="111"/>
      <c r="JJX227" s="111"/>
      <c r="JJY227" s="111"/>
      <c r="JJZ227" s="111"/>
      <c r="JKA227" s="111"/>
      <c r="JKB227" s="111"/>
      <c r="JKC227" s="111"/>
      <c r="JKD227" s="111"/>
      <c r="JKE227" s="111"/>
      <c r="JKF227" s="111"/>
      <c r="JKG227" s="111"/>
      <c r="JKH227" s="111"/>
      <c r="JKI227" s="111"/>
      <c r="JKJ227" s="111"/>
      <c r="JKK227" s="111"/>
      <c r="JKL227" s="111"/>
      <c r="JKM227" s="111"/>
      <c r="JKN227" s="111"/>
      <c r="JKO227" s="111"/>
      <c r="JKP227" s="111"/>
      <c r="JKQ227" s="111"/>
      <c r="JKR227" s="111"/>
      <c r="JKS227" s="111"/>
      <c r="JKT227" s="111"/>
      <c r="JKU227" s="111"/>
      <c r="JKV227" s="111"/>
      <c r="JKW227" s="111"/>
      <c r="JKX227" s="111"/>
      <c r="JKY227" s="111"/>
      <c r="JKZ227" s="111"/>
      <c r="JLA227" s="111"/>
      <c r="JLB227" s="111"/>
      <c r="JLC227" s="111"/>
      <c r="JLD227" s="111"/>
      <c r="JLE227" s="111"/>
      <c r="JLF227" s="111"/>
      <c r="JLG227" s="111"/>
      <c r="JLH227" s="111"/>
      <c r="JLI227" s="111"/>
      <c r="JLJ227" s="111"/>
      <c r="JLK227" s="111"/>
      <c r="JLL227" s="111"/>
      <c r="JLM227" s="111"/>
      <c r="JLN227" s="111"/>
      <c r="JLO227" s="111"/>
      <c r="JLP227" s="111"/>
      <c r="JLQ227" s="111"/>
      <c r="JLR227" s="111"/>
      <c r="JLS227" s="111"/>
      <c r="JLT227" s="111"/>
      <c r="JLU227" s="111"/>
      <c r="JLV227" s="111"/>
      <c r="JLW227" s="111"/>
      <c r="JLX227" s="111"/>
      <c r="JLY227" s="111"/>
      <c r="JLZ227" s="111"/>
      <c r="JMA227" s="111"/>
      <c r="JMB227" s="111"/>
      <c r="JMC227" s="111"/>
      <c r="JMD227" s="111"/>
      <c r="JME227" s="111"/>
      <c r="JMF227" s="111"/>
      <c r="JMG227" s="111"/>
      <c r="JMH227" s="111"/>
      <c r="JMI227" s="111"/>
      <c r="JMJ227" s="111"/>
      <c r="JMK227" s="111"/>
      <c r="JML227" s="111"/>
      <c r="JMM227" s="111"/>
      <c r="JMN227" s="111"/>
      <c r="JMO227" s="111"/>
      <c r="JMP227" s="111"/>
      <c r="JMQ227" s="111"/>
      <c r="JMR227" s="111"/>
      <c r="JMS227" s="111"/>
      <c r="JMT227" s="111"/>
      <c r="JMU227" s="111"/>
      <c r="JMV227" s="111"/>
      <c r="JMW227" s="111"/>
      <c r="JMX227" s="111"/>
      <c r="JMY227" s="111"/>
      <c r="JMZ227" s="111"/>
      <c r="JNA227" s="111"/>
      <c r="JNB227" s="111"/>
      <c r="JNC227" s="111"/>
      <c r="JND227" s="111"/>
      <c r="JNE227" s="111"/>
      <c r="JNF227" s="111"/>
      <c r="JNG227" s="111"/>
      <c r="JNH227" s="111"/>
      <c r="JNI227" s="111"/>
      <c r="JNJ227" s="111"/>
      <c r="JNK227" s="111"/>
      <c r="JNL227" s="111"/>
      <c r="JNM227" s="111"/>
      <c r="JNN227" s="111"/>
      <c r="JNO227" s="111"/>
      <c r="JNP227" s="111"/>
      <c r="JNQ227" s="111"/>
      <c r="JNR227" s="111"/>
      <c r="JNS227" s="111"/>
      <c r="JNT227" s="111"/>
      <c r="JNU227" s="111"/>
      <c r="JNV227" s="111"/>
      <c r="JNW227" s="111"/>
      <c r="JNX227" s="111"/>
      <c r="JNY227" s="111"/>
      <c r="JNZ227" s="111"/>
      <c r="JOA227" s="111"/>
      <c r="JOB227" s="111"/>
      <c r="JOC227" s="111"/>
      <c r="JOD227" s="111"/>
      <c r="JOE227" s="111"/>
      <c r="JOF227" s="111"/>
      <c r="JOG227" s="111"/>
      <c r="JOH227" s="111"/>
      <c r="JOI227" s="111"/>
      <c r="JOJ227" s="111"/>
      <c r="JOK227" s="111"/>
      <c r="JOL227" s="111"/>
      <c r="JOM227" s="111"/>
      <c r="JON227" s="111"/>
      <c r="JOO227" s="111"/>
      <c r="JOP227" s="111"/>
      <c r="JOQ227" s="111"/>
      <c r="JOR227" s="111"/>
      <c r="JOS227" s="111"/>
      <c r="JOT227" s="111"/>
      <c r="JOU227" s="111"/>
      <c r="JOV227" s="111"/>
      <c r="JOW227" s="111"/>
      <c r="JOX227" s="111"/>
      <c r="JOY227" s="111"/>
      <c r="JOZ227" s="111"/>
      <c r="JPA227" s="111"/>
      <c r="JPB227" s="111"/>
      <c r="JPC227" s="111"/>
      <c r="JPD227" s="111"/>
      <c r="JPE227" s="111"/>
      <c r="JPF227" s="111"/>
      <c r="JPG227" s="111"/>
      <c r="JPH227" s="111"/>
      <c r="JPI227" s="111"/>
      <c r="JPJ227" s="111"/>
      <c r="JPK227" s="111"/>
      <c r="JPL227" s="111"/>
      <c r="JPM227" s="111"/>
      <c r="JPN227" s="111"/>
      <c r="JPO227" s="111"/>
      <c r="JPP227" s="111"/>
      <c r="JPQ227" s="111"/>
      <c r="JPR227" s="111"/>
      <c r="JPS227" s="111"/>
      <c r="JPT227" s="111"/>
      <c r="JPU227" s="111"/>
      <c r="JPV227" s="111"/>
      <c r="JPW227" s="111"/>
      <c r="JPX227" s="111"/>
      <c r="JPY227" s="111"/>
      <c r="JPZ227" s="111"/>
      <c r="JQA227" s="111"/>
      <c r="JQB227" s="111"/>
      <c r="JQC227" s="111"/>
      <c r="JQD227" s="111"/>
      <c r="JQE227" s="111"/>
      <c r="JQF227" s="111"/>
      <c r="JQG227" s="111"/>
      <c r="JQH227" s="111"/>
      <c r="JQI227" s="111"/>
      <c r="JQJ227" s="111"/>
      <c r="JQK227" s="111"/>
      <c r="JQL227" s="111"/>
      <c r="JQM227" s="111"/>
      <c r="JQN227" s="111"/>
      <c r="JQO227" s="111"/>
      <c r="JQP227" s="111"/>
      <c r="JQQ227" s="111"/>
      <c r="JQR227" s="111"/>
      <c r="JQS227" s="111"/>
      <c r="JQT227" s="111"/>
      <c r="JQU227" s="111"/>
      <c r="JQV227" s="111"/>
      <c r="JQW227" s="111"/>
      <c r="JQX227" s="111"/>
      <c r="JQY227" s="111"/>
      <c r="JQZ227" s="111"/>
      <c r="JRA227" s="111"/>
      <c r="JRB227" s="111"/>
      <c r="JRC227" s="111"/>
      <c r="JRD227" s="111"/>
      <c r="JRE227" s="111"/>
      <c r="JRF227" s="111"/>
      <c r="JRG227" s="111"/>
      <c r="JRH227" s="111"/>
      <c r="JRI227" s="111"/>
      <c r="JRJ227" s="111"/>
      <c r="JRK227" s="111"/>
      <c r="JRL227" s="111"/>
      <c r="JRM227" s="111"/>
      <c r="JRN227" s="111"/>
      <c r="JRO227" s="111"/>
      <c r="JRP227" s="111"/>
      <c r="JRQ227" s="111"/>
      <c r="JRR227" s="111"/>
      <c r="JRS227" s="111"/>
      <c r="JRT227" s="111"/>
      <c r="JRU227" s="111"/>
      <c r="JRV227" s="111"/>
      <c r="JRW227" s="111"/>
      <c r="JRX227" s="111"/>
      <c r="JRY227" s="111"/>
      <c r="JRZ227" s="111"/>
      <c r="JSA227" s="111"/>
      <c r="JSB227" s="111"/>
      <c r="JSC227" s="111"/>
      <c r="JSD227" s="111"/>
      <c r="JSE227" s="111"/>
      <c r="JSF227" s="111"/>
      <c r="JSG227" s="111"/>
      <c r="JSH227" s="111"/>
      <c r="JSI227" s="111"/>
      <c r="JSJ227" s="111"/>
      <c r="JSK227" s="111"/>
      <c r="JSL227" s="111"/>
      <c r="JSM227" s="111"/>
      <c r="JSN227" s="111"/>
      <c r="JSO227" s="111"/>
      <c r="JSP227" s="111"/>
      <c r="JSQ227" s="111"/>
      <c r="JSR227" s="111"/>
      <c r="JSS227" s="111"/>
      <c r="JST227" s="111"/>
      <c r="JSU227" s="111"/>
      <c r="JSV227" s="111"/>
      <c r="JSW227" s="111"/>
      <c r="JSX227" s="111"/>
      <c r="JSY227" s="111"/>
      <c r="JSZ227" s="111"/>
      <c r="JTA227" s="111"/>
      <c r="JTB227" s="111"/>
      <c r="JTC227" s="111"/>
      <c r="JTD227" s="111"/>
      <c r="JTE227" s="111"/>
      <c r="JTF227" s="111"/>
      <c r="JTG227" s="111"/>
      <c r="JTH227" s="111"/>
      <c r="JTI227" s="111"/>
      <c r="JTJ227" s="111"/>
      <c r="JTK227" s="111"/>
      <c r="JTL227" s="111"/>
      <c r="JTM227" s="111"/>
      <c r="JTN227" s="111"/>
      <c r="JTO227" s="111"/>
      <c r="JTP227" s="111"/>
      <c r="JTQ227" s="111"/>
      <c r="JTR227" s="111"/>
      <c r="JTS227" s="111"/>
      <c r="JTT227" s="111"/>
      <c r="JTU227" s="111"/>
      <c r="JTV227" s="111"/>
      <c r="JTW227" s="111"/>
      <c r="JTX227" s="111"/>
      <c r="JTY227" s="111"/>
      <c r="JTZ227" s="111"/>
      <c r="JUA227" s="111"/>
      <c r="JUB227" s="111"/>
      <c r="JUC227" s="111"/>
      <c r="JUD227" s="111"/>
      <c r="JUE227" s="111"/>
      <c r="JUF227" s="111"/>
      <c r="JUG227" s="111"/>
      <c r="JUH227" s="111"/>
      <c r="JUI227" s="111"/>
      <c r="JUJ227" s="111"/>
      <c r="JUK227" s="111"/>
      <c r="JUL227" s="111"/>
      <c r="JUM227" s="111"/>
      <c r="JUN227" s="111"/>
      <c r="JUO227" s="111"/>
      <c r="JUP227" s="111"/>
      <c r="JUQ227" s="111"/>
      <c r="JUR227" s="111"/>
      <c r="JUS227" s="111"/>
      <c r="JUT227" s="111"/>
      <c r="JUU227" s="111"/>
      <c r="JUV227" s="111"/>
      <c r="JUW227" s="111"/>
      <c r="JUX227" s="111"/>
      <c r="JUY227" s="111"/>
      <c r="JUZ227" s="111"/>
      <c r="JVA227" s="111"/>
      <c r="JVB227" s="111"/>
      <c r="JVC227" s="111"/>
      <c r="JVD227" s="111"/>
      <c r="JVE227" s="111"/>
      <c r="JVF227" s="111"/>
      <c r="JVG227" s="111"/>
      <c r="JVH227" s="111"/>
      <c r="JVI227" s="111"/>
      <c r="JVJ227" s="111"/>
      <c r="JVK227" s="111"/>
      <c r="JVL227" s="111"/>
      <c r="JVM227" s="111"/>
      <c r="JVN227" s="111"/>
      <c r="JVO227" s="111"/>
      <c r="JVP227" s="111"/>
      <c r="JVQ227" s="111"/>
      <c r="JVR227" s="111"/>
      <c r="JVS227" s="111"/>
      <c r="JVT227" s="111"/>
      <c r="JVU227" s="111"/>
      <c r="JVV227" s="111"/>
      <c r="JVW227" s="111"/>
      <c r="JVX227" s="111"/>
      <c r="JVY227" s="111"/>
      <c r="JVZ227" s="111"/>
      <c r="JWA227" s="111"/>
      <c r="JWB227" s="111"/>
      <c r="JWC227" s="111"/>
      <c r="JWD227" s="111"/>
      <c r="JWE227" s="111"/>
      <c r="JWF227" s="111"/>
      <c r="JWG227" s="111"/>
      <c r="JWH227" s="111"/>
      <c r="JWI227" s="111"/>
      <c r="JWJ227" s="111"/>
      <c r="JWK227" s="111"/>
      <c r="JWL227" s="111"/>
      <c r="JWM227" s="111"/>
      <c r="JWN227" s="111"/>
      <c r="JWO227" s="111"/>
      <c r="JWP227" s="111"/>
      <c r="JWQ227" s="111"/>
      <c r="JWR227" s="111"/>
      <c r="JWS227" s="111"/>
      <c r="JWT227" s="111"/>
      <c r="JWU227" s="111"/>
      <c r="JWV227" s="111"/>
      <c r="JWW227" s="111"/>
      <c r="JWX227" s="111"/>
      <c r="JWY227" s="111"/>
      <c r="JWZ227" s="111"/>
      <c r="JXA227" s="111"/>
      <c r="JXB227" s="111"/>
      <c r="JXC227" s="111"/>
      <c r="JXD227" s="111"/>
      <c r="JXE227" s="111"/>
      <c r="JXF227" s="111"/>
      <c r="JXG227" s="111"/>
      <c r="JXH227" s="111"/>
      <c r="JXI227" s="111"/>
      <c r="JXJ227" s="111"/>
      <c r="JXK227" s="111"/>
      <c r="JXL227" s="111"/>
      <c r="JXM227" s="111"/>
      <c r="JXN227" s="111"/>
      <c r="JXO227" s="111"/>
      <c r="JXP227" s="111"/>
      <c r="JXQ227" s="111"/>
      <c r="JXR227" s="111"/>
      <c r="JXS227" s="111"/>
      <c r="JXT227" s="111"/>
      <c r="JXU227" s="111"/>
      <c r="JXV227" s="111"/>
      <c r="JXW227" s="111"/>
      <c r="JXX227" s="111"/>
      <c r="JXY227" s="111"/>
      <c r="JXZ227" s="111"/>
      <c r="JYA227" s="111"/>
      <c r="JYB227" s="111"/>
      <c r="JYC227" s="111"/>
      <c r="JYD227" s="111"/>
      <c r="JYE227" s="111"/>
      <c r="JYF227" s="111"/>
      <c r="JYG227" s="111"/>
      <c r="JYH227" s="111"/>
      <c r="JYI227" s="111"/>
      <c r="JYJ227" s="111"/>
      <c r="JYK227" s="111"/>
      <c r="JYL227" s="111"/>
      <c r="JYM227" s="111"/>
      <c r="JYN227" s="111"/>
      <c r="JYO227" s="111"/>
      <c r="JYP227" s="111"/>
      <c r="JYQ227" s="111"/>
      <c r="JYR227" s="111"/>
      <c r="JYS227" s="111"/>
      <c r="JYT227" s="111"/>
      <c r="JYU227" s="111"/>
      <c r="JYV227" s="111"/>
      <c r="JYW227" s="111"/>
      <c r="JYX227" s="111"/>
      <c r="JYY227" s="111"/>
      <c r="JYZ227" s="111"/>
      <c r="JZA227" s="111"/>
      <c r="JZB227" s="111"/>
      <c r="JZC227" s="111"/>
      <c r="JZD227" s="111"/>
      <c r="JZE227" s="111"/>
      <c r="JZF227" s="111"/>
      <c r="JZG227" s="111"/>
      <c r="JZH227" s="111"/>
      <c r="JZI227" s="111"/>
      <c r="JZJ227" s="111"/>
      <c r="JZK227" s="111"/>
      <c r="JZL227" s="111"/>
      <c r="JZM227" s="111"/>
      <c r="JZN227" s="111"/>
      <c r="JZO227" s="111"/>
      <c r="JZP227" s="111"/>
      <c r="JZQ227" s="111"/>
      <c r="JZR227" s="111"/>
      <c r="JZS227" s="111"/>
      <c r="JZT227" s="111"/>
      <c r="JZU227" s="111"/>
      <c r="JZV227" s="111"/>
      <c r="JZW227" s="111"/>
      <c r="JZX227" s="111"/>
      <c r="JZY227" s="111"/>
      <c r="JZZ227" s="111"/>
      <c r="KAA227" s="111"/>
      <c r="KAB227" s="111"/>
      <c r="KAC227" s="111"/>
      <c r="KAD227" s="111"/>
      <c r="KAE227" s="111"/>
      <c r="KAF227" s="111"/>
      <c r="KAG227" s="111"/>
      <c r="KAH227" s="111"/>
      <c r="KAI227" s="111"/>
      <c r="KAJ227" s="111"/>
      <c r="KAK227" s="111"/>
      <c r="KAL227" s="111"/>
      <c r="KAM227" s="111"/>
      <c r="KAN227" s="111"/>
      <c r="KAO227" s="111"/>
      <c r="KAP227" s="111"/>
      <c r="KAQ227" s="111"/>
      <c r="KAR227" s="111"/>
      <c r="KAS227" s="111"/>
      <c r="KAT227" s="111"/>
      <c r="KAU227" s="111"/>
      <c r="KAV227" s="111"/>
      <c r="KAW227" s="111"/>
      <c r="KAX227" s="111"/>
      <c r="KAY227" s="111"/>
      <c r="KAZ227" s="111"/>
      <c r="KBA227" s="111"/>
      <c r="KBB227" s="111"/>
      <c r="KBC227" s="111"/>
      <c r="KBD227" s="111"/>
      <c r="KBE227" s="111"/>
      <c r="KBF227" s="111"/>
      <c r="KBG227" s="111"/>
      <c r="KBH227" s="111"/>
      <c r="KBI227" s="111"/>
      <c r="KBJ227" s="111"/>
      <c r="KBK227" s="111"/>
      <c r="KBL227" s="111"/>
      <c r="KBM227" s="111"/>
      <c r="KBN227" s="111"/>
      <c r="KBO227" s="111"/>
      <c r="KBP227" s="111"/>
      <c r="KBQ227" s="111"/>
      <c r="KBR227" s="111"/>
      <c r="KBS227" s="111"/>
      <c r="KBT227" s="111"/>
      <c r="KBU227" s="111"/>
      <c r="KBV227" s="111"/>
      <c r="KBW227" s="111"/>
      <c r="KBX227" s="111"/>
      <c r="KBY227" s="111"/>
      <c r="KBZ227" s="111"/>
      <c r="KCA227" s="111"/>
      <c r="KCB227" s="111"/>
      <c r="KCC227" s="111"/>
      <c r="KCD227" s="111"/>
      <c r="KCE227" s="111"/>
      <c r="KCF227" s="111"/>
      <c r="KCG227" s="111"/>
      <c r="KCH227" s="111"/>
      <c r="KCI227" s="111"/>
      <c r="KCJ227" s="111"/>
      <c r="KCK227" s="111"/>
      <c r="KCL227" s="111"/>
      <c r="KCM227" s="111"/>
      <c r="KCN227" s="111"/>
      <c r="KCO227" s="111"/>
      <c r="KCP227" s="111"/>
      <c r="KCQ227" s="111"/>
      <c r="KCR227" s="111"/>
      <c r="KCS227" s="111"/>
      <c r="KCT227" s="111"/>
      <c r="KCU227" s="111"/>
      <c r="KCV227" s="111"/>
      <c r="KCW227" s="111"/>
      <c r="KCX227" s="111"/>
      <c r="KCY227" s="111"/>
      <c r="KCZ227" s="111"/>
      <c r="KDA227" s="111"/>
      <c r="KDB227" s="111"/>
      <c r="KDC227" s="111"/>
      <c r="KDD227" s="111"/>
      <c r="KDE227" s="111"/>
      <c r="KDF227" s="111"/>
      <c r="KDG227" s="111"/>
      <c r="KDH227" s="111"/>
      <c r="KDI227" s="111"/>
      <c r="KDJ227" s="111"/>
      <c r="KDK227" s="111"/>
      <c r="KDL227" s="111"/>
      <c r="KDM227" s="111"/>
      <c r="KDN227" s="111"/>
      <c r="KDO227" s="111"/>
      <c r="KDP227" s="111"/>
      <c r="KDQ227" s="111"/>
      <c r="KDR227" s="111"/>
      <c r="KDS227" s="111"/>
      <c r="KDT227" s="111"/>
      <c r="KDU227" s="111"/>
      <c r="KDV227" s="111"/>
      <c r="KDW227" s="111"/>
      <c r="KDX227" s="111"/>
      <c r="KDY227" s="111"/>
      <c r="KDZ227" s="111"/>
      <c r="KEA227" s="111"/>
      <c r="KEB227" s="111"/>
      <c r="KEC227" s="111"/>
      <c r="KED227" s="111"/>
      <c r="KEE227" s="111"/>
      <c r="KEF227" s="111"/>
      <c r="KEG227" s="111"/>
      <c r="KEH227" s="111"/>
      <c r="KEI227" s="111"/>
      <c r="KEJ227" s="111"/>
      <c r="KEK227" s="111"/>
      <c r="KEL227" s="111"/>
      <c r="KEM227" s="111"/>
      <c r="KEN227" s="111"/>
      <c r="KEO227" s="111"/>
      <c r="KEP227" s="111"/>
      <c r="KEQ227" s="111"/>
      <c r="KER227" s="111"/>
      <c r="KES227" s="111"/>
      <c r="KET227" s="111"/>
      <c r="KEU227" s="111"/>
      <c r="KEV227" s="111"/>
      <c r="KEW227" s="111"/>
      <c r="KEX227" s="111"/>
      <c r="KEY227" s="111"/>
      <c r="KEZ227" s="111"/>
      <c r="KFA227" s="111"/>
      <c r="KFB227" s="111"/>
      <c r="KFC227" s="111"/>
      <c r="KFD227" s="111"/>
      <c r="KFE227" s="111"/>
      <c r="KFF227" s="111"/>
      <c r="KFG227" s="111"/>
      <c r="KFH227" s="111"/>
      <c r="KFI227" s="111"/>
      <c r="KFJ227" s="111"/>
      <c r="KFK227" s="111"/>
      <c r="KFL227" s="111"/>
      <c r="KFM227" s="111"/>
      <c r="KFN227" s="111"/>
      <c r="KFO227" s="111"/>
      <c r="KFP227" s="111"/>
      <c r="KFQ227" s="111"/>
      <c r="KFR227" s="111"/>
      <c r="KFS227" s="111"/>
      <c r="KFT227" s="111"/>
      <c r="KFU227" s="111"/>
      <c r="KFV227" s="111"/>
      <c r="KFW227" s="111"/>
      <c r="KFX227" s="111"/>
      <c r="KFY227" s="111"/>
      <c r="KFZ227" s="111"/>
      <c r="KGA227" s="111"/>
      <c r="KGB227" s="111"/>
      <c r="KGC227" s="111"/>
      <c r="KGD227" s="111"/>
      <c r="KGE227" s="111"/>
      <c r="KGF227" s="111"/>
      <c r="KGG227" s="111"/>
      <c r="KGH227" s="111"/>
      <c r="KGI227" s="111"/>
      <c r="KGJ227" s="111"/>
      <c r="KGK227" s="111"/>
      <c r="KGL227" s="111"/>
      <c r="KGM227" s="111"/>
      <c r="KGN227" s="111"/>
      <c r="KGO227" s="111"/>
      <c r="KGP227" s="111"/>
      <c r="KGQ227" s="111"/>
      <c r="KGR227" s="111"/>
      <c r="KGS227" s="111"/>
      <c r="KGT227" s="111"/>
      <c r="KGU227" s="111"/>
      <c r="KGV227" s="111"/>
      <c r="KGW227" s="111"/>
      <c r="KGX227" s="111"/>
      <c r="KGY227" s="111"/>
      <c r="KGZ227" s="111"/>
      <c r="KHA227" s="111"/>
      <c r="KHB227" s="111"/>
      <c r="KHC227" s="111"/>
      <c r="KHD227" s="111"/>
      <c r="KHE227" s="111"/>
      <c r="KHF227" s="111"/>
      <c r="KHG227" s="111"/>
      <c r="KHH227" s="111"/>
      <c r="KHI227" s="111"/>
      <c r="KHJ227" s="111"/>
      <c r="KHK227" s="111"/>
      <c r="KHL227" s="111"/>
      <c r="KHM227" s="111"/>
      <c r="KHN227" s="111"/>
      <c r="KHO227" s="111"/>
      <c r="KHP227" s="111"/>
      <c r="KHQ227" s="111"/>
      <c r="KHR227" s="111"/>
      <c r="KHS227" s="111"/>
      <c r="KHT227" s="111"/>
      <c r="KHU227" s="111"/>
      <c r="KHV227" s="111"/>
      <c r="KHW227" s="111"/>
      <c r="KHX227" s="111"/>
      <c r="KHY227" s="111"/>
      <c r="KHZ227" s="111"/>
      <c r="KIA227" s="111"/>
      <c r="KIB227" s="111"/>
      <c r="KIC227" s="111"/>
      <c r="KID227" s="111"/>
      <c r="KIE227" s="111"/>
      <c r="KIF227" s="111"/>
      <c r="KIG227" s="111"/>
      <c r="KIH227" s="111"/>
      <c r="KII227" s="111"/>
      <c r="KIJ227" s="111"/>
      <c r="KIK227" s="111"/>
      <c r="KIL227" s="111"/>
      <c r="KIM227" s="111"/>
      <c r="KIN227" s="111"/>
      <c r="KIO227" s="111"/>
      <c r="KIP227" s="111"/>
      <c r="KIQ227" s="111"/>
      <c r="KIR227" s="111"/>
      <c r="KIS227" s="111"/>
      <c r="KIT227" s="111"/>
      <c r="KIU227" s="111"/>
      <c r="KIV227" s="111"/>
      <c r="KIW227" s="111"/>
      <c r="KIX227" s="111"/>
      <c r="KIY227" s="111"/>
      <c r="KIZ227" s="111"/>
      <c r="KJA227" s="111"/>
      <c r="KJB227" s="111"/>
      <c r="KJC227" s="111"/>
      <c r="KJD227" s="111"/>
      <c r="KJE227" s="111"/>
      <c r="KJF227" s="111"/>
      <c r="KJG227" s="111"/>
      <c r="KJH227" s="111"/>
      <c r="KJI227" s="111"/>
      <c r="KJJ227" s="111"/>
      <c r="KJK227" s="111"/>
      <c r="KJL227" s="111"/>
      <c r="KJM227" s="111"/>
      <c r="KJN227" s="111"/>
      <c r="KJO227" s="111"/>
      <c r="KJP227" s="111"/>
      <c r="KJQ227" s="111"/>
      <c r="KJR227" s="111"/>
      <c r="KJS227" s="111"/>
      <c r="KJT227" s="111"/>
      <c r="KJU227" s="111"/>
      <c r="KJV227" s="111"/>
      <c r="KJW227" s="111"/>
      <c r="KJX227" s="111"/>
      <c r="KJY227" s="111"/>
      <c r="KJZ227" s="111"/>
      <c r="KKA227" s="111"/>
      <c r="KKB227" s="111"/>
      <c r="KKC227" s="111"/>
      <c r="KKD227" s="111"/>
      <c r="KKE227" s="111"/>
      <c r="KKF227" s="111"/>
      <c r="KKG227" s="111"/>
      <c r="KKH227" s="111"/>
      <c r="KKI227" s="111"/>
      <c r="KKJ227" s="111"/>
      <c r="KKK227" s="111"/>
      <c r="KKL227" s="111"/>
      <c r="KKM227" s="111"/>
      <c r="KKN227" s="111"/>
      <c r="KKO227" s="111"/>
      <c r="KKP227" s="111"/>
      <c r="KKQ227" s="111"/>
      <c r="KKR227" s="111"/>
      <c r="KKS227" s="111"/>
      <c r="KKT227" s="111"/>
      <c r="KKU227" s="111"/>
      <c r="KKV227" s="111"/>
      <c r="KKW227" s="111"/>
      <c r="KKX227" s="111"/>
      <c r="KKY227" s="111"/>
      <c r="KKZ227" s="111"/>
      <c r="KLA227" s="111"/>
      <c r="KLB227" s="111"/>
      <c r="KLC227" s="111"/>
      <c r="KLD227" s="111"/>
      <c r="KLE227" s="111"/>
      <c r="KLF227" s="111"/>
      <c r="KLG227" s="111"/>
      <c r="KLH227" s="111"/>
      <c r="KLI227" s="111"/>
      <c r="KLJ227" s="111"/>
      <c r="KLK227" s="111"/>
      <c r="KLL227" s="111"/>
      <c r="KLM227" s="111"/>
      <c r="KLN227" s="111"/>
      <c r="KLO227" s="111"/>
      <c r="KLP227" s="111"/>
      <c r="KLQ227" s="111"/>
      <c r="KLR227" s="111"/>
      <c r="KLS227" s="111"/>
      <c r="KLT227" s="111"/>
      <c r="KLU227" s="111"/>
      <c r="KLV227" s="111"/>
      <c r="KLW227" s="111"/>
      <c r="KLX227" s="111"/>
      <c r="KLY227" s="111"/>
      <c r="KLZ227" s="111"/>
      <c r="KMA227" s="111"/>
      <c r="KMB227" s="111"/>
      <c r="KMC227" s="111"/>
      <c r="KMD227" s="111"/>
      <c r="KME227" s="111"/>
      <c r="KMF227" s="111"/>
      <c r="KMG227" s="111"/>
      <c r="KMH227" s="111"/>
      <c r="KMI227" s="111"/>
      <c r="KMJ227" s="111"/>
      <c r="KMK227" s="111"/>
      <c r="KML227" s="111"/>
      <c r="KMM227" s="111"/>
      <c r="KMN227" s="111"/>
      <c r="KMO227" s="111"/>
      <c r="KMP227" s="111"/>
      <c r="KMQ227" s="111"/>
      <c r="KMR227" s="111"/>
      <c r="KMS227" s="111"/>
      <c r="KMT227" s="111"/>
      <c r="KMU227" s="111"/>
      <c r="KMV227" s="111"/>
      <c r="KMW227" s="111"/>
      <c r="KMX227" s="111"/>
      <c r="KMY227" s="111"/>
      <c r="KMZ227" s="111"/>
      <c r="KNA227" s="111"/>
      <c r="KNB227" s="111"/>
      <c r="KNC227" s="111"/>
      <c r="KND227" s="111"/>
      <c r="KNE227" s="111"/>
      <c r="KNF227" s="111"/>
      <c r="KNG227" s="111"/>
      <c r="KNH227" s="111"/>
      <c r="KNI227" s="111"/>
      <c r="KNJ227" s="111"/>
      <c r="KNK227" s="111"/>
      <c r="KNL227" s="111"/>
      <c r="KNM227" s="111"/>
      <c r="KNN227" s="111"/>
      <c r="KNO227" s="111"/>
      <c r="KNP227" s="111"/>
      <c r="KNQ227" s="111"/>
      <c r="KNR227" s="111"/>
      <c r="KNS227" s="111"/>
      <c r="KNT227" s="111"/>
      <c r="KNU227" s="111"/>
      <c r="KNV227" s="111"/>
      <c r="KNW227" s="111"/>
      <c r="KNX227" s="111"/>
      <c r="KNY227" s="111"/>
      <c r="KNZ227" s="111"/>
      <c r="KOA227" s="111"/>
      <c r="KOB227" s="111"/>
      <c r="KOC227" s="111"/>
      <c r="KOD227" s="111"/>
      <c r="KOE227" s="111"/>
      <c r="KOF227" s="111"/>
      <c r="KOG227" s="111"/>
      <c r="KOH227" s="111"/>
      <c r="KOI227" s="111"/>
      <c r="KOJ227" s="111"/>
      <c r="KOK227" s="111"/>
      <c r="KOL227" s="111"/>
      <c r="KOM227" s="111"/>
      <c r="KON227" s="111"/>
      <c r="KOO227" s="111"/>
      <c r="KOP227" s="111"/>
      <c r="KOQ227" s="111"/>
      <c r="KOR227" s="111"/>
      <c r="KOS227" s="111"/>
      <c r="KOT227" s="111"/>
      <c r="KOU227" s="111"/>
      <c r="KOV227" s="111"/>
      <c r="KOW227" s="111"/>
      <c r="KOX227" s="111"/>
      <c r="KOY227" s="111"/>
      <c r="KOZ227" s="111"/>
      <c r="KPA227" s="111"/>
      <c r="KPB227" s="111"/>
      <c r="KPC227" s="111"/>
      <c r="KPD227" s="111"/>
      <c r="KPE227" s="111"/>
      <c r="KPF227" s="111"/>
      <c r="KPG227" s="111"/>
      <c r="KPH227" s="111"/>
      <c r="KPI227" s="111"/>
      <c r="KPJ227" s="111"/>
      <c r="KPK227" s="111"/>
      <c r="KPL227" s="111"/>
      <c r="KPM227" s="111"/>
      <c r="KPN227" s="111"/>
      <c r="KPO227" s="111"/>
      <c r="KPP227" s="111"/>
      <c r="KPQ227" s="111"/>
      <c r="KPR227" s="111"/>
      <c r="KPS227" s="111"/>
      <c r="KPT227" s="111"/>
      <c r="KPU227" s="111"/>
      <c r="KPV227" s="111"/>
      <c r="KPW227" s="111"/>
      <c r="KPX227" s="111"/>
      <c r="KPY227" s="111"/>
      <c r="KPZ227" s="111"/>
      <c r="KQA227" s="111"/>
      <c r="KQB227" s="111"/>
      <c r="KQC227" s="111"/>
      <c r="KQD227" s="111"/>
      <c r="KQE227" s="111"/>
      <c r="KQF227" s="111"/>
      <c r="KQG227" s="111"/>
      <c r="KQH227" s="111"/>
      <c r="KQI227" s="111"/>
      <c r="KQJ227" s="111"/>
      <c r="KQK227" s="111"/>
      <c r="KQL227" s="111"/>
      <c r="KQM227" s="111"/>
      <c r="KQN227" s="111"/>
      <c r="KQO227" s="111"/>
      <c r="KQP227" s="111"/>
      <c r="KQQ227" s="111"/>
      <c r="KQR227" s="111"/>
      <c r="KQS227" s="111"/>
      <c r="KQT227" s="111"/>
      <c r="KQU227" s="111"/>
      <c r="KQV227" s="111"/>
      <c r="KQW227" s="111"/>
      <c r="KQX227" s="111"/>
      <c r="KQY227" s="111"/>
      <c r="KQZ227" s="111"/>
      <c r="KRA227" s="111"/>
      <c r="KRB227" s="111"/>
      <c r="KRC227" s="111"/>
      <c r="KRD227" s="111"/>
      <c r="KRE227" s="111"/>
      <c r="KRF227" s="111"/>
      <c r="KRG227" s="111"/>
      <c r="KRH227" s="111"/>
      <c r="KRI227" s="111"/>
      <c r="KRJ227" s="111"/>
      <c r="KRK227" s="111"/>
      <c r="KRL227" s="111"/>
      <c r="KRM227" s="111"/>
      <c r="KRN227" s="111"/>
      <c r="KRO227" s="111"/>
      <c r="KRP227" s="111"/>
      <c r="KRQ227" s="111"/>
      <c r="KRR227" s="111"/>
      <c r="KRS227" s="111"/>
      <c r="KRT227" s="111"/>
      <c r="KRU227" s="111"/>
      <c r="KRV227" s="111"/>
      <c r="KRW227" s="111"/>
      <c r="KRX227" s="111"/>
      <c r="KRY227" s="111"/>
      <c r="KRZ227" s="111"/>
      <c r="KSA227" s="111"/>
      <c r="KSB227" s="111"/>
      <c r="KSC227" s="111"/>
      <c r="KSD227" s="111"/>
      <c r="KSE227" s="111"/>
      <c r="KSF227" s="111"/>
      <c r="KSG227" s="111"/>
      <c r="KSH227" s="111"/>
      <c r="KSI227" s="111"/>
      <c r="KSJ227" s="111"/>
      <c r="KSK227" s="111"/>
      <c r="KSL227" s="111"/>
      <c r="KSM227" s="111"/>
      <c r="KSN227" s="111"/>
      <c r="KSO227" s="111"/>
      <c r="KSP227" s="111"/>
      <c r="KSQ227" s="111"/>
      <c r="KSR227" s="111"/>
      <c r="KSS227" s="111"/>
      <c r="KST227" s="111"/>
      <c r="KSU227" s="111"/>
      <c r="KSV227" s="111"/>
      <c r="KSW227" s="111"/>
      <c r="KSX227" s="111"/>
      <c r="KSY227" s="111"/>
      <c r="KSZ227" s="111"/>
      <c r="KTA227" s="111"/>
      <c r="KTB227" s="111"/>
      <c r="KTC227" s="111"/>
      <c r="KTD227" s="111"/>
      <c r="KTE227" s="111"/>
      <c r="KTF227" s="111"/>
      <c r="KTG227" s="111"/>
      <c r="KTH227" s="111"/>
      <c r="KTI227" s="111"/>
      <c r="KTJ227" s="111"/>
      <c r="KTK227" s="111"/>
      <c r="KTL227" s="111"/>
      <c r="KTM227" s="111"/>
      <c r="KTN227" s="111"/>
      <c r="KTO227" s="111"/>
      <c r="KTP227" s="111"/>
      <c r="KTQ227" s="111"/>
      <c r="KTR227" s="111"/>
      <c r="KTS227" s="111"/>
      <c r="KTT227" s="111"/>
      <c r="KTU227" s="111"/>
      <c r="KTV227" s="111"/>
      <c r="KTW227" s="111"/>
      <c r="KTX227" s="111"/>
      <c r="KTY227" s="111"/>
      <c r="KTZ227" s="111"/>
      <c r="KUA227" s="111"/>
      <c r="KUB227" s="111"/>
      <c r="KUC227" s="111"/>
      <c r="KUD227" s="111"/>
      <c r="KUE227" s="111"/>
      <c r="KUF227" s="111"/>
      <c r="KUG227" s="111"/>
      <c r="KUH227" s="111"/>
      <c r="KUI227" s="111"/>
      <c r="KUJ227" s="111"/>
      <c r="KUK227" s="111"/>
      <c r="KUL227" s="111"/>
      <c r="KUM227" s="111"/>
      <c r="KUN227" s="111"/>
      <c r="KUO227" s="111"/>
      <c r="KUP227" s="111"/>
      <c r="KUQ227" s="111"/>
      <c r="KUR227" s="111"/>
      <c r="KUS227" s="111"/>
      <c r="KUT227" s="111"/>
      <c r="KUU227" s="111"/>
      <c r="KUV227" s="111"/>
      <c r="KUW227" s="111"/>
      <c r="KUX227" s="111"/>
      <c r="KUY227" s="111"/>
      <c r="KUZ227" s="111"/>
      <c r="KVA227" s="111"/>
      <c r="KVB227" s="111"/>
      <c r="KVC227" s="111"/>
      <c r="KVD227" s="111"/>
      <c r="KVE227" s="111"/>
      <c r="KVF227" s="111"/>
      <c r="KVG227" s="111"/>
      <c r="KVH227" s="111"/>
      <c r="KVI227" s="111"/>
      <c r="KVJ227" s="111"/>
      <c r="KVK227" s="111"/>
      <c r="KVL227" s="111"/>
      <c r="KVM227" s="111"/>
      <c r="KVN227" s="111"/>
      <c r="KVO227" s="111"/>
      <c r="KVP227" s="111"/>
      <c r="KVQ227" s="111"/>
      <c r="KVR227" s="111"/>
      <c r="KVS227" s="111"/>
      <c r="KVT227" s="111"/>
      <c r="KVU227" s="111"/>
      <c r="KVV227" s="111"/>
      <c r="KVW227" s="111"/>
      <c r="KVX227" s="111"/>
      <c r="KVY227" s="111"/>
      <c r="KVZ227" s="111"/>
      <c r="KWA227" s="111"/>
      <c r="KWB227" s="111"/>
      <c r="KWC227" s="111"/>
      <c r="KWD227" s="111"/>
      <c r="KWE227" s="111"/>
      <c r="KWF227" s="111"/>
      <c r="KWG227" s="111"/>
      <c r="KWH227" s="111"/>
      <c r="KWI227" s="111"/>
      <c r="KWJ227" s="111"/>
      <c r="KWK227" s="111"/>
      <c r="KWL227" s="111"/>
      <c r="KWM227" s="111"/>
      <c r="KWN227" s="111"/>
      <c r="KWO227" s="111"/>
      <c r="KWP227" s="111"/>
      <c r="KWQ227" s="111"/>
      <c r="KWR227" s="111"/>
      <c r="KWS227" s="111"/>
      <c r="KWT227" s="111"/>
      <c r="KWU227" s="111"/>
      <c r="KWV227" s="111"/>
      <c r="KWW227" s="111"/>
      <c r="KWX227" s="111"/>
      <c r="KWY227" s="111"/>
      <c r="KWZ227" s="111"/>
      <c r="KXA227" s="111"/>
      <c r="KXB227" s="111"/>
      <c r="KXC227" s="111"/>
      <c r="KXD227" s="111"/>
      <c r="KXE227" s="111"/>
      <c r="KXF227" s="111"/>
      <c r="KXG227" s="111"/>
      <c r="KXH227" s="111"/>
      <c r="KXI227" s="111"/>
      <c r="KXJ227" s="111"/>
      <c r="KXK227" s="111"/>
      <c r="KXL227" s="111"/>
      <c r="KXM227" s="111"/>
      <c r="KXN227" s="111"/>
      <c r="KXO227" s="111"/>
      <c r="KXP227" s="111"/>
      <c r="KXQ227" s="111"/>
      <c r="KXR227" s="111"/>
      <c r="KXS227" s="111"/>
      <c r="KXT227" s="111"/>
      <c r="KXU227" s="111"/>
      <c r="KXV227" s="111"/>
      <c r="KXW227" s="111"/>
      <c r="KXX227" s="111"/>
      <c r="KXY227" s="111"/>
      <c r="KXZ227" s="111"/>
      <c r="KYA227" s="111"/>
      <c r="KYB227" s="111"/>
      <c r="KYC227" s="111"/>
      <c r="KYD227" s="111"/>
      <c r="KYE227" s="111"/>
      <c r="KYF227" s="111"/>
      <c r="KYG227" s="111"/>
      <c r="KYH227" s="111"/>
      <c r="KYI227" s="111"/>
      <c r="KYJ227" s="111"/>
      <c r="KYK227" s="111"/>
      <c r="KYL227" s="111"/>
      <c r="KYM227" s="111"/>
      <c r="KYN227" s="111"/>
      <c r="KYO227" s="111"/>
      <c r="KYP227" s="111"/>
      <c r="KYQ227" s="111"/>
      <c r="KYR227" s="111"/>
      <c r="KYS227" s="111"/>
      <c r="KYT227" s="111"/>
      <c r="KYU227" s="111"/>
      <c r="KYV227" s="111"/>
      <c r="KYW227" s="111"/>
      <c r="KYX227" s="111"/>
      <c r="KYY227" s="111"/>
      <c r="KYZ227" s="111"/>
      <c r="KZA227" s="111"/>
      <c r="KZB227" s="111"/>
      <c r="KZC227" s="111"/>
      <c r="KZD227" s="111"/>
      <c r="KZE227" s="111"/>
      <c r="KZF227" s="111"/>
      <c r="KZG227" s="111"/>
      <c r="KZH227" s="111"/>
      <c r="KZI227" s="111"/>
      <c r="KZJ227" s="111"/>
      <c r="KZK227" s="111"/>
      <c r="KZL227" s="111"/>
      <c r="KZM227" s="111"/>
      <c r="KZN227" s="111"/>
      <c r="KZO227" s="111"/>
      <c r="KZP227" s="111"/>
      <c r="KZQ227" s="111"/>
      <c r="KZR227" s="111"/>
      <c r="KZS227" s="111"/>
      <c r="KZT227" s="111"/>
      <c r="KZU227" s="111"/>
      <c r="KZV227" s="111"/>
      <c r="KZW227" s="111"/>
      <c r="KZX227" s="111"/>
      <c r="KZY227" s="111"/>
      <c r="KZZ227" s="111"/>
      <c r="LAA227" s="111"/>
      <c r="LAB227" s="111"/>
      <c r="LAC227" s="111"/>
      <c r="LAD227" s="111"/>
      <c r="LAE227" s="111"/>
      <c r="LAF227" s="111"/>
      <c r="LAG227" s="111"/>
      <c r="LAH227" s="111"/>
      <c r="LAI227" s="111"/>
      <c r="LAJ227" s="111"/>
      <c r="LAK227" s="111"/>
      <c r="LAL227" s="111"/>
      <c r="LAM227" s="111"/>
      <c r="LAN227" s="111"/>
      <c r="LAO227" s="111"/>
      <c r="LAP227" s="111"/>
      <c r="LAQ227" s="111"/>
      <c r="LAR227" s="111"/>
      <c r="LAS227" s="111"/>
      <c r="LAT227" s="111"/>
      <c r="LAU227" s="111"/>
      <c r="LAV227" s="111"/>
      <c r="LAW227" s="111"/>
      <c r="LAX227" s="111"/>
      <c r="LAY227" s="111"/>
      <c r="LAZ227" s="111"/>
      <c r="LBA227" s="111"/>
      <c r="LBB227" s="111"/>
      <c r="LBC227" s="111"/>
      <c r="LBD227" s="111"/>
      <c r="LBE227" s="111"/>
      <c r="LBF227" s="111"/>
      <c r="LBG227" s="111"/>
      <c r="LBH227" s="111"/>
      <c r="LBI227" s="111"/>
      <c r="LBJ227" s="111"/>
      <c r="LBK227" s="111"/>
      <c r="LBL227" s="111"/>
      <c r="LBM227" s="111"/>
      <c r="LBN227" s="111"/>
      <c r="LBO227" s="111"/>
      <c r="LBP227" s="111"/>
      <c r="LBQ227" s="111"/>
      <c r="LBR227" s="111"/>
      <c r="LBS227" s="111"/>
      <c r="LBT227" s="111"/>
      <c r="LBU227" s="111"/>
      <c r="LBV227" s="111"/>
      <c r="LBW227" s="111"/>
      <c r="LBX227" s="111"/>
      <c r="LBY227" s="111"/>
      <c r="LBZ227" s="111"/>
      <c r="LCA227" s="111"/>
      <c r="LCB227" s="111"/>
      <c r="LCC227" s="111"/>
      <c r="LCD227" s="111"/>
      <c r="LCE227" s="111"/>
      <c r="LCF227" s="111"/>
      <c r="LCG227" s="111"/>
      <c r="LCH227" s="111"/>
      <c r="LCI227" s="111"/>
      <c r="LCJ227" s="111"/>
      <c r="LCK227" s="111"/>
      <c r="LCL227" s="111"/>
      <c r="LCM227" s="111"/>
      <c r="LCN227" s="111"/>
      <c r="LCO227" s="111"/>
      <c r="LCP227" s="111"/>
      <c r="LCQ227" s="111"/>
      <c r="LCR227" s="111"/>
      <c r="LCS227" s="111"/>
      <c r="LCT227" s="111"/>
      <c r="LCU227" s="111"/>
      <c r="LCV227" s="111"/>
      <c r="LCW227" s="111"/>
      <c r="LCX227" s="111"/>
      <c r="LCY227" s="111"/>
      <c r="LCZ227" s="111"/>
      <c r="LDA227" s="111"/>
      <c r="LDB227" s="111"/>
      <c r="LDC227" s="111"/>
      <c r="LDD227" s="111"/>
      <c r="LDE227" s="111"/>
      <c r="LDF227" s="111"/>
      <c r="LDG227" s="111"/>
      <c r="LDH227" s="111"/>
      <c r="LDI227" s="111"/>
      <c r="LDJ227" s="111"/>
      <c r="LDK227" s="111"/>
      <c r="LDL227" s="111"/>
      <c r="LDM227" s="111"/>
      <c r="LDN227" s="111"/>
      <c r="LDO227" s="111"/>
      <c r="LDP227" s="111"/>
      <c r="LDQ227" s="111"/>
      <c r="LDR227" s="111"/>
      <c r="LDS227" s="111"/>
      <c r="LDT227" s="111"/>
      <c r="LDU227" s="111"/>
      <c r="LDV227" s="111"/>
      <c r="LDW227" s="111"/>
      <c r="LDX227" s="111"/>
      <c r="LDY227" s="111"/>
      <c r="LDZ227" s="111"/>
      <c r="LEA227" s="111"/>
      <c r="LEB227" s="111"/>
      <c r="LEC227" s="111"/>
      <c r="LED227" s="111"/>
      <c r="LEE227" s="111"/>
      <c r="LEF227" s="111"/>
      <c r="LEG227" s="111"/>
      <c r="LEH227" s="111"/>
      <c r="LEI227" s="111"/>
      <c r="LEJ227" s="111"/>
      <c r="LEK227" s="111"/>
      <c r="LEL227" s="111"/>
      <c r="LEM227" s="111"/>
      <c r="LEN227" s="111"/>
      <c r="LEO227" s="111"/>
      <c r="LEP227" s="111"/>
      <c r="LEQ227" s="111"/>
      <c r="LER227" s="111"/>
      <c r="LES227" s="111"/>
      <c r="LET227" s="111"/>
      <c r="LEU227" s="111"/>
      <c r="LEV227" s="111"/>
      <c r="LEW227" s="111"/>
      <c r="LEX227" s="111"/>
      <c r="LEY227" s="111"/>
      <c r="LEZ227" s="111"/>
      <c r="LFA227" s="111"/>
      <c r="LFB227" s="111"/>
      <c r="LFC227" s="111"/>
      <c r="LFD227" s="111"/>
      <c r="LFE227" s="111"/>
      <c r="LFF227" s="111"/>
      <c r="LFG227" s="111"/>
      <c r="LFH227" s="111"/>
      <c r="LFI227" s="111"/>
      <c r="LFJ227" s="111"/>
      <c r="LFK227" s="111"/>
      <c r="LFL227" s="111"/>
      <c r="LFM227" s="111"/>
      <c r="LFN227" s="111"/>
      <c r="LFO227" s="111"/>
      <c r="LFP227" s="111"/>
      <c r="LFQ227" s="111"/>
      <c r="LFR227" s="111"/>
      <c r="LFS227" s="111"/>
      <c r="LFT227" s="111"/>
      <c r="LFU227" s="111"/>
      <c r="LFV227" s="111"/>
      <c r="LFW227" s="111"/>
      <c r="LFX227" s="111"/>
      <c r="LFY227" s="111"/>
      <c r="LFZ227" s="111"/>
      <c r="LGA227" s="111"/>
      <c r="LGB227" s="111"/>
      <c r="LGC227" s="111"/>
      <c r="LGD227" s="111"/>
      <c r="LGE227" s="111"/>
      <c r="LGF227" s="111"/>
      <c r="LGG227" s="111"/>
      <c r="LGH227" s="111"/>
      <c r="LGI227" s="111"/>
      <c r="LGJ227" s="111"/>
      <c r="LGK227" s="111"/>
      <c r="LGL227" s="111"/>
      <c r="LGM227" s="111"/>
      <c r="LGN227" s="111"/>
      <c r="LGO227" s="111"/>
      <c r="LGP227" s="111"/>
      <c r="LGQ227" s="111"/>
      <c r="LGR227" s="111"/>
      <c r="LGS227" s="111"/>
      <c r="LGT227" s="111"/>
      <c r="LGU227" s="111"/>
      <c r="LGV227" s="111"/>
      <c r="LGW227" s="111"/>
      <c r="LGX227" s="111"/>
      <c r="LGY227" s="111"/>
      <c r="LGZ227" s="111"/>
      <c r="LHA227" s="111"/>
      <c r="LHB227" s="111"/>
      <c r="LHC227" s="111"/>
      <c r="LHD227" s="111"/>
      <c r="LHE227" s="111"/>
      <c r="LHF227" s="111"/>
      <c r="LHG227" s="111"/>
      <c r="LHH227" s="111"/>
      <c r="LHI227" s="111"/>
      <c r="LHJ227" s="111"/>
      <c r="LHK227" s="111"/>
      <c r="LHL227" s="111"/>
      <c r="LHM227" s="111"/>
      <c r="LHN227" s="111"/>
      <c r="LHO227" s="111"/>
      <c r="LHP227" s="111"/>
      <c r="LHQ227" s="111"/>
      <c r="LHR227" s="111"/>
      <c r="LHS227" s="111"/>
      <c r="LHT227" s="111"/>
      <c r="LHU227" s="111"/>
      <c r="LHV227" s="111"/>
      <c r="LHW227" s="111"/>
      <c r="LHX227" s="111"/>
      <c r="LHY227" s="111"/>
      <c r="LHZ227" s="111"/>
      <c r="LIA227" s="111"/>
      <c r="LIB227" s="111"/>
      <c r="LIC227" s="111"/>
      <c r="LID227" s="111"/>
      <c r="LIE227" s="111"/>
      <c r="LIF227" s="111"/>
      <c r="LIG227" s="111"/>
      <c r="LIH227" s="111"/>
      <c r="LII227" s="111"/>
      <c r="LIJ227" s="111"/>
      <c r="LIK227" s="111"/>
      <c r="LIL227" s="111"/>
      <c r="LIM227" s="111"/>
      <c r="LIN227" s="111"/>
      <c r="LIO227" s="111"/>
      <c r="LIP227" s="111"/>
      <c r="LIQ227" s="111"/>
      <c r="LIR227" s="111"/>
      <c r="LIS227" s="111"/>
      <c r="LIT227" s="111"/>
      <c r="LIU227" s="111"/>
      <c r="LIV227" s="111"/>
      <c r="LIW227" s="111"/>
      <c r="LIX227" s="111"/>
      <c r="LIY227" s="111"/>
      <c r="LIZ227" s="111"/>
      <c r="LJA227" s="111"/>
      <c r="LJB227" s="111"/>
      <c r="LJC227" s="111"/>
      <c r="LJD227" s="111"/>
      <c r="LJE227" s="111"/>
      <c r="LJF227" s="111"/>
      <c r="LJG227" s="111"/>
      <c r="LJH227" s="111"/>
      <c r="LJI227" s="111"/>
      <c r="LJJ227" s="111"/>
      <c r="LJK227" s="111"/>
      <c r="LJL227" s="111"/>
      <c r="LJM227" s="111"/>
      <c r="LJN227" s="111"/>
      <c r="LJO227" s="111"/>
      <c r="LJP227" s="111"/>
      <c r="LJQ227" s="111"/>
      <c r="LJR227" s="111"/>
      <c r="LJS227" s="111"/>
      <c r="LJT227" s="111"/>
      <c r="LJU227" s="111"/>
      <c r="LJV227" s="111"/>
      <c r="LJW227" s="111"/>
      <c r="LJX227" s="111"/>
      <c r="LJY227" s="111"/>
      <c r="LJZ227" s="111"/>
      <c r="LKA227" s="111"/>
      <c r="LKB227" s="111"/>
      <c r="LKC227" s="111"/>
      <c r="LKD227" s="111"/>
      <c r="LKE227" s="111"/>
      <c r="LKF227" s="111"/>
      <c r="LKG227" s="111"/>
      <c r="LKH227" s="111"/>
      <c r="LKI227" s="111"/>
      <c r="LKJ227" s="111"/>
      <c r="LKK227" s="111"/>
      <c r="LKL227" s="111"/>
      <c r="LKM227" s="111"/>
      <c r="LKN227" s="111"/>
      <c r="LKO227" s="111"/>
      <c r="LKP227" s="111"/>
      <c r="LKQ227" s="111"/>
      <c r="LKR227" s="111"/>
      <c r="LKS227" s="111"/>
      <c r="LKT227" s="111"/>
      <c r="LKU227" s="111"/>
      <c r="LKV227" s="111"/>
      <c r="LKW227" s="111"/>
      <c r="LKX227" s="111"/>
      <c r="LKY227" s="111"/>
      <c r="LKZ227" s="111"/>
      <c r="LLA227" s="111"/>
      <c r="LLB227" s="111"/>
      <c r="LLC227" s="111"/>
      <c r="LLD227" s="111"/>
      <c r="LLE227" s="111"/>
      <c r="LLF227" s="111"/>
      <c r="LLG227" s="111"/>
      <c r="LLH227" s="111"/>
      <c r="LLI227" s="111"/>
      <c r="LLJ227" s="111"/>
      <c r="LLK227" s="111"/>
      <c r="LLL227" s="111"/>
      <c r="LLM227" s="111"/>
      <c r="LLN227" s="111"/>
      <c r="LLO227" s="111"/>
      <c r="LLP227" s="111"/>
      <c r="LLQ227" s="111"/>
      <c r="LLR227" s="111"/>
      <c r="LLS227" s="111"/>
      <c r="LLT227" s="111"/>
      <c r="LLU227" s="111"/>
      <c r="LLV227" s="111"/>
      <c r="LLW227" s="111"/>
      <c r="LLX227" s="111"/>
      <c r="LLY227" s="111"/>
      <c r="LLZ227" s="111"/>
      <c r="LMA227" s="111"/>
      <c r="LMB227" s="111"/>
      <c r="LMC227" s="111"/>
      <c r="LMD227" s="111"/>
      <c r="LME227" s="111"/>
      <c r="LMF227" s="111"/>
      <c r="LMG227" s="111"/>
      <c r="LMH227" s="111"/>
      <c r="LMI227" s="111"/>
      <c r="LMJ227" s="111"/>
      <c r="LMK227" s="111"/>
      <c r="LML227" s="111"/>
      <c r="LMM227" s="111"/>
      <c r="LMN227" s="111"/>
      <c r="LMO227" s="111"/>
      <c r="LMP227" s="111"/>
      <c r="LMQ227" s="111"/>
      <c r="LMR227" s="111"/>
      <c r="LMS227" s="111"/>
      <c r="LMT227" s="111"/>
      <c r="LMU227" s="111"/>
      <c r="LMV227" s="111"/>
      <c r="LMW227" s="111"/>
      <c r="LMX227" s="111"/>
      <c r="LMY227" s="111"/>
      <c r="LMZ227" s="111"/>
      <c r="LNA227" s="111"/>
      <c r="LNB227" s="111"/>
      <c r="LNC227" s="111"/>
      <c r="LND227" s="111"/>
      <c r="LNE227" s="111"/>
      <c r="LNF227" s="111"/>
      <c r="LNG227" s="111"/>
      <c r="LNH227" s="111"/>
      <c r="LNI227" s="111"/>
      <c r="LNJ227" s="111"/>
      <c r="LNK227" s="111"/>
      <c r="LNL227" s="111"/>
      <c r="LNM227" s="111"/>
      <c r="LNN227" s="111"/>
      <c r="LNO227" s="111"/>
      <c r="LNP227" s="111"/>
      <c r="LNQ227" s="111"/>
      <c r="LNR227" s="111"/>
      <c r="LNS227" s="111"/>
      <c r="LNT227" s="111"/>
      <c r="LNU227" s="111"/>
      <c r="LNV227" s="111"/>
      <c r="LNW227" s="111"/>
      <c r="LNX227" s="111"/>
      <c r="LNY227" s="111"/>
      <c r="LNZ227" s="111"/>
      <c r="LOA227" s="111"/>
      <c r="LOB227" s="111"/>
      <c r="LOC227" s="111"/>
      <c r="LOD227" s="111"/>
      <c r="LOE227" s="111"/>
      <c r="LOF227" s="111"/>
      <c r="LOG227" s="111"/>
      <c r="LOH227" s="111"/>
      <c r="LOI227" s="111"/>
      <c r="LOJ227" s="111"/>
      <c r="LOK227" s="111"/>
      <c r="LOL227" s="111"/>
      <c r="LOM227" s="111"/>
      <c r="LON227" s="111"/>
      <c r="LOO227" s="111"/>
      <c r="LOP227" s="111"/>
      <c r="LOQ227" s="111"/>
      <c r="LOR227" s="111"/>
      <c r="LOS227" s="111"/>
      <c r="LOT227" s="111"/>
      <c r="LOU227" s="111"/>
      <c r="LOV227" s="111"/>
      <c r="LOW227" s="111"/>
      <c r="LOX227" s="111"/>
      <c r="LOY227" s="111"/>
      <c r="LOZ227" s="111"/>
      <c r="LPA227" s="111"/>
      <c r="LPB227" s="111"/>
      <c r="LPC227" s="111"/>
      <c r="LPD227" s="111"/>
      <c r="LPE227" s="111"/>
      <c r="LPF227" s="111"/>
      <c r="LPG227" s="111"/>
      <c r="LPH227" s="111"/>
      <c r="LPI227" s="111"/>
      <c r="LPJ227" s="111"/>
      <c r="LPK227" s="111"/>
      <c r="LPL227" s="111"/>
      <c r="LPM227" s="111"/>
      <c r="LPN227" s="111"/>
      <c r="LPO227" s="111"/>
      <c r="LPP227" s="111"/>
      <c r="LPQ227" s="111"/>
      <c r="LPR227" s="111"/>
      <c r="LPS227" s="111"/>
      <c r="LPT227" s="111"/>
      <c r="LPU227" s="111"/>
      <c r="LPV227" s="111"/>
      <c r="LPW227" s="111"/>
      <c r="LPX227" s="111"/>
      <c r="LPY227" s="111"/>
      <c r="LPZ227" s="111"/>
      <c r="LQA227" s="111"/>
      <c r="LQB227" s="111"/>
      <c r="LQC227" s="111"/>
      <c r="LQD227" s="111"/>
      <c r="LQE227" s="111"/>
      <c r="LQF227" s="111"/>
      <c r="LQG227" s="111"/>
      <c r="LQH227" s="111"/>
      <c r="LQI227" s="111"/>
      <c r="LQJ227" s="111"/>
      <c r="LQK227" s="111"/>
      <c r="LQL227" s="111"/>
      <c r="LQM227" s="111"/>
      <c r="LQN227" s="111"/>
      <c r="LQO227" s="111"/>
      <c r="LQP227" s="111"/>
      <c r="LQQ227" s="111"/>
      <c r="LQR227" s="111"/>
      <c r="LQS227" s="111"/>
      <c r="LQT227" s="111"/>
      <c r="LQU227" s="111"/>
      <c r="LQV227" s="111"/>
      <c r="LQW227" s="111"/>
      <c r="LQX227" s="111"/>
      <c r="LQY227" s="111"/>
      <c r="LQZ227" s="111"/>
      <c r="LRA227" s="111"/>
      <c r="LRB227" s="111"/>
      <c r="LRC227" s="111"/>
      <c r="LRD227" s="111"/>
      <c r="LRE227" s="111"/>
      <c r="LRF227" s="111"/>
      <c r="LRG227" s="111"/>
      <c r="LRH227" s="111"/>
      <c r="LRI227" s="111"/>
      <c r="LRJ227" s="111"/>
      <c r="LRK227" s="111"/>
      <c r="LRL227" s="111"/>
      <c r="LRM227" s="111"/>
      <c r="LRN227" s="111"/>
      <c r="LRO227" s="111"/>
      <c r="LRP227" s="111"/>
      <c r="LRQ227" s="111"/>
      <c r="LRR227" s="111"/>
      <c r="LRS227" s="111"/>
      <c r="LRT227" s="111"/>
      <c r="LRU227" s="111"/>
      <c r="LRV227" s="111"/>
      <c r="LRW227" s="111"/>
      <c r="LRX227" s="111"/>
      <c r="LRY227" s="111"/>
      <c r="LRZ227" s="111"/>
      <c r="LSA227" s="111"/>
      <c r="LSB227" s="111"/>
      <c r="LSC227" s="111"/>
      <c r="LSD227" s="111"/>
      <c r="LSE227" s="111"/>
      <c r="LSF227" s="111"/>
      <c r="LSG227" s="111"/>
      <c r="LSH227" s="111"/>
      <c r="LSI227" s="111"/>
      <c r="LSJ227" s="111"/>
      <c r="LSK227" s="111"/>
      <c r="LSL227" s="111"/>
      <c r="LSM227" s="111"/>
      <c r="LSN227" s="111"/>
      <c r="LSO227" s="111"/>
      <c r="LSP227" s="111"/>
      <c r="LSQ227" s="111"/>
      <c r="LSR227" s="111"/>
      <c r="LSS227" s="111"/>
      <c r="LST227" s="111"/>
      <c r="LSU227" s="111"/>
      <c r="LSV227" s="111"/>
      <c r="LSW227" s="111"/>
      <c r="LSX227" s="111"/>
      <c r="LSY227" s="111"/>
      <c r="LSZ227" s="111"/>
      <c r="LTA227" s="111"/>
      <c r="LTB227" s="111"/>
      <c r="LTC227" s="111"/>
      <c r="LTD227" s="111"/>
      <c r="LTE227" s="111"/>
      <c r="LTF227" s="111"/>
      <c r="LTG227" s="111"/>
      <c r="LTH227" s="111"/>
      <c r="LTI227" s="111"/>
      <c r="LTJ227" s="111"/>
      <c r="LTK227" s="111"/>
      <c r="LTL227" s="111"/>
      <c r="LTM227" s="111"/>
      <c r="LTN227" s="111"/>
      <c r="LTO227" s="111"/>
      <c r="LTP227" s="111"/>
      <c r="LTQ227" s="111"/>
      <c r="LTR227" s="111"/>
      <c r="LTS227" s="111"/>
      <c r="LTT227" s="111"/>
      <c r="LTU227" s="111"/>
      <c r="LTV227" s="111"/>
      <c r="LTW227" s="111"/>
      <c r="LTX227" s="111"/>
      <c r="LTY227" s="111"/>
      <c r="LTZ227" s="111"/>
      <c r="LUA227" s="111"/>
      <c r="LUB227" s="111"/>
      <c r="LUC227" s="111"/>
      <c r="LUD227" s="111"/>
      <c r="LUE227" s="111"/>
      <c r="LUF227" s="111"/>
      <c r="LUG227" s="111"/>
      <c r="LUH227" s="111"/>
      <c r="LUI227" s="111"/>
      <c r="LUJ227" s="111"/>
      <c r="LUK227" s="111"/>
      <c r="LUL227" s="111"/>
      <c r="LUM227" s="111"/>
      <c r="LUN227" s="111"/>
      <c r="LUO227" s="111"/>
      <c r="LUP227" s="111"/>
      <c r="LUQ227" s="111"/>
      <c r="LUR227" s="111"/>
      <c r="LUS227" s="111"/>
      <c r="LUT227" s="111"/>
      <c r="LUU227" s="111"/>
      <c r="LUV227" s="111"/>
      <c r="LUW227" s="111"/>
      <c r="LUX227" s="111"/>
      <c r="LUY227" s="111"/>
      <c r="LUZ227" s="111"/>
      <c r="LVA227" s="111"/>
      <c r="LVB227" s="111"/>
      <c r="LVC227" s="111"/>
      <c r="LVD227" s="111"/>
      <c r="LVE227" s="111"/>
      <c r="LVF227" s="111"/>
      <c r="LVG227" s="111"/>
      <c r="LVH227" s="111"/>
      <c r="LVI227" s="111"/>
      <c r="LVJ227" s="111"/>
      <c r="LVK227" s="111"/>
      <c r="LVL227" s="111"/>
      <c r="LVM227" s="111"/>
      <c r="LVN227" s="111"/>
      <c r="LVO227" s="111"/>
      <c r="LVP227" s="111"/>
      <c r="LVQ227" s="111"/>
      <c r="LVR227" s="111"/>
      <c r="LVS227" s="111"/>
      <c r="LVT227" s="111"/>
      <c r="LVU227" s="111"/>
      <c r="LVV227" s="111"/>
      <c r="LVW227" s="111"/>
      <c r="LVX227" s="111"/>
      <c r="LVY227" s="111"/>
      <c r="LVZ227" s="111"/>
      <c r="LWA227" s="111"/>
      <c r="LWB227" s="111"/>
      <c r="LWC227" s="111"/>
      <c r="LWD227" s="111"/>
      <c r="LWE227" s="111"/>
      <c r="LWF227" s="111"/>
      <c r="LWG227" s="111"/>
      <c r="LWH227" s="111"/>
      <c r="LWI227" s="111"/>
      <c r="LWJ227" s="111"/>
      <c r="LWK227" s="111"/>
      <c r="LWL227" s="111"/>
      <c r="LWM227" s="111"/>
      <c r="LWN227" s="111"/>
      <c r="LWO227" s="111"/>
      <c r="LWP227" s="111"/>
      <c r="LWQ227" s="111"/>
      <c r="LWR227" s="111"/>
      <c r="LWS227" s="111"/>
      <c r="LWT227" s="111"/>
      <c r="LWU227" s="111"/>
      <c r="LWV227" s="111"/>
      <c r="LWW227" s="111"/>
      <c r="LWX227" s="111"/>
      <c r="LWY227" s="111"/>
      <c r="LWZ227" s="111"/>
      <c r="LXA227" s="111"/>
      <c r="LXB227" s="111"/>
      <c r="LXC227" s="111"/>
      <c r="LXD227" s="111"/>
      <c r="LXE227" s="111"/>
      <c r="LXF227" s="111"/>
      <c r="LXG227" s="111"/>
      <c r="LXH227" s="111"/>
      <c r="LXI227" s="111"/>
      <c r="LXJ227" s="111"/>
      <c r="LXK227" s="111"/>
      <c r="LXL227" s="111"/>
      <c r="LXM227" s="111"/>
      <c r="LXN227" s="111"/>
      <c r="LXO227" s="111"/>
      <c r="LXP227" s="111"/>
      <c r="LXQ227" s="111"/>
      <c r="LXR227" s="111"/>
      <c r="LXS227" s="111"/>
      <c r="LXT227" s="111"/>
      <c r="LXU227" s="111"/>
      <c r="LXV227" s="111"/>
      <c r="LXW227" s="111"/>
      <c r="LXX227" s="111"/>
      <c r="LXY227" s="111"/>
      <c r="LXZ227" s="111"/>
      <c r="LYA227" s="111"/>
      <c r="LYB227" s="111"/>
      <c r="LYC227" s="111"/>
      <c r="LYD227" s="111"/>
      <c r="LYE227" s="111"/>
      <c r="LYF227" s="111"/>
      <c r="LYG227" s="111"/>
      <c r="LYH227" s="111"/>
      <c r="LYI227" s="111"/>
      <c r="LYJ227" s="111"/>
      <c r="LYK227" s="111"/>
      <c r="LYL227" s="111"/>
      <c r="LYM227" s="111"/>
      <c r="LYN227" s="111"/>
      <c r="LYO227" s="111"/>
      <c r="LYP227" s="111"/>
      <c r="LYQ227" s="111"/>
      <c r="LYR227" s="111"/>
      <c r="LYS227" s="111"/>
      <c r="LYT227" s="111"/>
      <c r="LYU227" s="111"/>
      <c r="LYV227" s="111"/>
      <c r="LYW227" s="111"/>
      <c r="LYX227" s="111"/>
      <c r="LYY227" s="111"/>
      <c r="LYZ227" s="111"/>
      <c r="LZA227" s="111"/>
      <c r="LZB227" s="111"/>
      <c r="LZC227" s="111"/>
      <c r="LZD227" s="111"/>
      <c r="LZE227" s="111"/>
      <c r="LZF227" s="111"/>
      <c r="LZG227" s="111"/>
      <c r="LZH227" s="111"/>
      <c r="LZI227" s="111"/>
      <c r="LZJ227" s="111"/>
      <c r="LZK227" s="111"/>
      <c r="LZL227" s="111"/>
      <c r="LZM227" s="111"/>
      <c r="LZN227" s="111"/>
      <c r="LZO227" s="111"/>
      <c r="LZP227" s="111"/>
      <c r="LZQ227" s="111"/>
      <c r="LZR227" s="111"/>
      <c r="LZS227" s="111"/>
      <c r="LZT227" s="111"/>
      <c r="LZU227" s="111"/>
      <c r="LZV227" s="111"/>
      <c r="LZW227" s="111"/>
      <c r="LZX227" s="111"/>
      <c r="LZY227" s="111"/>
      <c r="LZZ227" s="111"/>
      <c r="MAA227" s="111"/>
      <c r="MAB227" s="111"/>
      <c r="MAC227" s="111"/>
      <c r="MAD227" s="111"/>
      <c r="MAE227" s="111"/>
      <c r="MAF227" s="111"/>
      <c r="MAG227" s="111"/>
      <c r="MAH227" s="111"/>
      <c r="MAI227" s="111"/>
      <c r="MAJ227" s="111"/>
      <c r="MAK227" s="111"/>
      <c r="MAL227" s="111"/>
      <c r="MAM227" s="111"/>
      <c r="MAN227" s="111"/>
      <c r="MAO227" s="111"/>
      <c r="MAP227" s="111"/>
      <c r="MAQ227" s="111"/>
      <c r="MAR227" s="111"/>
      <c r="MAS227" s="111"/>
      <c r="MAT227" s="111"/>
      <c r="MAU227" s="111"/>
      <c r="MAV227" s="111"/>
      <c r="MAW227" s="111"/>
      <c r="MAX227" s="111"/>
      <c r="MAY227" s="111"/>
      <c r="MAZ227" s="111"/>
      <c r="MBA227" s="111"/>
      <c r="MBB227" s="111"/>
      <c r="MBC227" s="111"/>
      <c r="MBD227" s="111"/>
      <c r="MBE227" s="111"/>
      <c r="MBF227" s="111"/>
      <c r="MBG227" s="111"/>
      <c r="MBH227" s="111"/>
      <c r="MBI227" s="111"/>
      <c r="MBJ227" s="111"/>
      <c r="MBK227" s="111"/>
      <c r="MBL227" s="111"/>
      <c r="MBM227" s="111"/>
      <c r="MBN227" s="111"/>
      <c r="MBO227" s="111"/>
      <c r="MBP227" s="111"/>
      <c r="MBQ227" s="111"/>
      <c r="MBR227" s="111"/>
      <c r="MBS227" s="111"/>
      <c r="MBT227" s="111"/>
      <c r="MBU227" s="111"/>
      <c r="MBV227" s="111"/>
      <c r="MBW227" s="111"/>
      <c r="MBX227" s="111"/>
      <c r="MBY227" s="111"/>
      <c r="MBZ227" s="111"/>
      <c r="MCA227" s="111"/>
      <c r="MCB227" s="111"/>
      <c r="MCC227" s="111"/>
      <c r="MCD227" s="111"/>
      <c r="MCE227" s="111"/>
      <c r="MCF227" s="111"/>
      <c r="MCG227" s="111"/>
      <c r="MCH227" s="111"/>
      <c r="MCI227" s="111"/>
      <c r="MCJ227" s="111"/>
      <c r="MCK227" s="111"/>
      <c r="MCL227" s="111"/>
      <c r="MCM227" s="111"/>
      <c r="MCN227" s="111"/>
      <c r="MCO227" s="111"/>
      <c r="MCP227" s="111"/>
      <c r="MCQ227" s="111"/>
      <c r="MCR227" s="111"/>
      <c r="MCS227" s="111"/>
      <c r="MCT227" s="111"/>
      <c r="MCU227" s="111"/>
      <c r="MCV227" s="111"/>
      <c r="MCW227" s="111"/>
      <c r="MCX227" s="111"/>
      <c r="MCY227" s="111"/>
      <c r="MCZ227" s="111"/>
      <c r="MDA227" s="111"/>
      <c r="MDB227" s="111"/>
      <c r="MDC227" s="111"/>
      <c r="MDD227" s="111"/>
      <c r="MDE227" s="111"/>
      <c r="MDF227" s="111"/>
      <c r="MDG227" s="111"/>
      <c r="MDH227" s="111"/>
      <c r="MDI227" s="111"/>
      <c r="MDJ227" s="111"/>
      <c r="MDK227" s="111"/>
      <c r="MDL227" s="111"/>
      <c r="MDM227" s="111"/>
      <c r="MDN227" s="111"/>
      <c r="MDO227" s="111"/>
      <c r="MDP227" s="111"/>
      <c r="MDQ227" s="111"/>
      <c r="MDR227" s="111"/>
      <c r="MDS227" s="111"/>
      <c r="MDT227" s="111"/>
      <c r="MDU227" s="111"/>
      <c r="MDV227" s="111"/>
      <c r="MDW227" s="111"/>
      <c r="MDX227" s="111"/>
      <c r="MDY227" s="111"/>
      <c r="MDZ227" s="111"/>
      <c r="MEA227" s="111"/>
      <c r="MEB227" s="111"/>
      <c r="MEC227" s="111"/>
      <c r="MED227" s="111"/>
      <c r="MEE227" s="111"/>
      <c r="MEF227" s="111"/>
      <c r="MEG227" s="111"/>
      <c r="MEH227" s="111"/>
      <c r="MEI227" s="111"/>
      <c r="MEJ227" s="111"/>
      <c r="MEK227" s="111"/>
      <c r="MEL227" s="111"/>
      <c r="MEM227" s="111"/>
      <c r="MEN227" s="111"/>
      <c r="MEO227" s="111"/>
      <c r="MEP227" s="111"/>
      <c r="MEQ227" s="111"/>
      <c r="MER227" s="111"/>
      <c r="MES227" s="111"/>
      <c r="MET227" s="111"/>
      <c r="MEU227" s="111"/>
      <c r="MEV227" s="111"/>
      <c r="MEW227" s="111"/>
      <c r="MEX227" s="111"/>
      <c r="MEY227" s="111"/>
      <c r="MEZ227" s="111"/>
      <c r="MFA227" s="111"/>
      <c r="MFB227" s="111"/>
      <c r="MFC227" s="111"/>
      <c r="MFD227" s="111"/>
      <c r="MFE227" s="111"/>
      <c r="MFF227" s="111"/>
      <c r="MFG227" s="111"/>
      <c r="MFH227" s="111"/>
      <c r="MFI227" s="111"/>
      <c r="MFJ227" s="111"/>
      <c r="MFK227" s="111"/>
      <c r="MFL227" s="111"/>
      <c r="MFM227" s="111"/>
      <c r="MFN227" s="111"/>
      <c r="MFO227" s="111"/>
      <c r="MFP227" s="111"/>
      <c r="MFQ227" s="111"/>
      <c r="MFR227" s="111"/>
      <c r="MFS227" s="111"/>
      <c r="MFT227" s="111"/>
      <c r="MFU227" s="111"/>
      <c r="MFV227" s="111"/>
      <c r="MFW227" s="111"/>
      <c r="MFX227" s="111"/>
      <c r="MFY227" s="111"/>
      <c r="MFZ227" s="111"/>
      <c r="MGA227" s="111"/>
      <c r="MGB227" s="111"/>
      <c r="MGC227" s="111"/>
      <c r="MGD227" s="111"/>
      <c r="MGE227" s="111"/>
      <c r="MGF227" s="111"/>
      <c r="MGG227" s="111"/>
      <c r="MGH227" s="111"/>
      <c r="MGI227" s="111"/>
      <c r="MGJ227" s="111"/>
      <c r="MGK227" s="111"/>
      <c r="MGL227" s="111"/>
      <c r="MGM227" s="111"/>
      <c r="MGN227" s="111"/>
      <c r="MGO227" s="111"/>
      <c r="MGP227" s="111"/>
      <c r="MGQ227" s="111"/>
      <c r="MGR227" s="111"/>
      <c r="MGS227" s="111"/>
      <c r="MGT227" s="111"/>
      <c r="MGU227" s="111"/>
      <c r="MGV227" s="111"/>
      <c r="MGW227" s="111"/>
      <c r="MGX227" s="111"/>
      <c r="MGY227" s="111"/>
      <c r="MGZ227" s="111"/>
      <c r="MHA227" s="111"/>
      <c r="MHB227" s="111"/>
      <c r="MHC227" s="111"/>
      <c r="MHD227" s="111"/>
      <c r="MHE227" s="111"/>
      <c r="MHF227" s="111"/>
      <c r="MHG227" s="111"/>
      <c r="MHH227" s="111"/>
      <c r="MHI227" s="111"/>
      <c r="MHJ227" s="111"/>
      <c r="MHK227" s="111"/>
      <c r="MHL227" s="111"/>
      <c r="MHM227" s="111"/>
      <c r="MHN227" s="111"/>
      <c r="MHO227" s="111"/>
      <c r="MHP227" s="111"/>
      <c r="MHQ227" s="111"/>
      <c r="MHR227" s="111"/>
      <c r="MHS227" s="111"/>
      <c r="MHT227" s="111"/>
      <c r="MHU227" s="111"/>
      <c r="MHV227" s="111"/>
      <c r="MHW227" s="111"/>
      <c r="MHX227" s="111"/>
      <c r="MHY227" s="111"/>
      <c r="MHZ227" s="111"/>
      <c r="MIA227" s="111"/>
      <c r="MIB227" s="111"/>
      <c r="MIC227" s="111"/>
      <c r="MID227" s="111"/>
      <c r="MIE227" s="111"/>
      <c r="MIF227" s="111"/>
      <c r="MIG227" s="111"/>
      <c r="MIH227" s="111"/>
      <c r="MII227" s="111"/>
      <c r="MIJ227" s="111"/>
      <c r="MIK227" s="111"/>
      <c r="MIL227" s="111"/>
      <c r="MIM227" s="111"/>
      <c r="MIN227" s="111"/>
      <c r="MIO227" s="111"/>
      <c r="MIP227" s="111"/>
      <c r="MIQ227" s="111"/>
      <c r="MIR227" s="111"/>
      <c r="MIS227" s="111"/>
      <c r="MIT227" s="111"/>
      <c r="MIU227" s="111"/>
      <c r="MIV227" s="111"/>
      <c r="MIW227" s="111"/>
      <c r="MIX227" s="111"/>
      <c r="MIY227" s="111"/>
      <c r="MIZ227" s="111"/>
      <c r="MJA227" s="111"/>
      <c r="MJB227" s="111"/>
      <c r="MJC227" s="111"/>
      <c r="MJD227" s="111"/>
      <c r="MJE227" s="111"/>
      <c r="MJF227" s="111"/>
      <c r="MJG227" s="111"/>
      <c r="MJH227" s="111"/>
      <c r="MJI227" s="111"/>
      <c r="MJJ227" s="111"/>
      <c r="MJK227" s="111"/>
      <c r="MJL227" s="111"/>
      <c r="MJM227" s="111"/>
      <c r="MJN227" s="111"/>
      <c r="MJO227" s="111"/>
      <c r="MJP227" s="111"/>
      <c r="MJQ227" s="111"/>
      <c r="MJR227" s="111"/>
      <c r="MJS227" s="111"/>
      <c r="MJT227" s="111"/>
      <c r="MJU227" s="111"/>
      <c r="MJV227" s="111"/>
      <c r="MJW227" s="111"/>
      <c r="MJX227" s="111"/>
      <c r="MJY227" s="111"/>
      <c r="MJZ227" s="111"/>
      <c r="MKA227" s="111"/>
      <c r="MKB227" s="111"/>
      <c r="MKC227" s="111"/>
      <c r="MKD227" s="111"/>
      <c r="MKE227" s="111"/>
      <c r="MKF227" s="111"/>
      <c r="MKG227" s="111"/>
      <c r="MKH227" s="111"/>
      <c r="MKI227" s="111"/>
      <c r="MKJ227" s="111"/>
      <c r="MKK227" s="111"/>
      <c r="MKL227" s="111"/>
      <c r="MKM227" s="111"/>
      <c r="MKN227" s="111"/>
      <c r="MKO227" s="111"/>
      <c r="MKP227" s="111"/>
      <c r="MKQ227" s="111"/>
      <c r="MKR227" s="111"/>
      <c r="MKS227" s="111"/>
      <c r="MKT227" s="111"/>
      <c r="MKU227" s="111"/>
      <c r="MKV227" s="111"/>
      <c r="MKW227" s="111"/>
      <c r="MKX227" s="111"/>
      <c r="MKY227" s="111"/>
      <c r="MKZ227" s="111"/>
      <c r="MLA227" s="111"/>
      <c r="MLB227" s="111"/>
      <c r="MLC227" s="111"/>
      <c r="MLD227" s="111"/>
      <c r="MLE227" s="111"/>
      <c r="MLF227" s="111"/>
      <c r="MLG227" s="111"/>
      <c r="MLH227" s="111"/>
      <c r="MLI227" s="111"/>
      <c r="MLJ227" s="111"/>
      <c r="MLK227" s="111"/>
      <c r="MLL227" s="111"/>
      <c r="MLM227" s="111"/>
      <c r="MLN227" s="111"/>
      <c r="MLO227" s="111"/>
      <c r="MLP227" s="111"/>
      <c r="MLQ227" s="111"/>
      <c r="MLR227" s="111"/>
      <c r="MLS227" s="111"/>
      <c r="MLT227" s="111"/>
      <c r="MLU227" s="111"/>
      <c r="MLV227" s="111"/>
      <c r="MLW227" s="111"/>
      <c r="MLX227" s="111"/>
      <c r="MLY227" s="111"/>
      <c r="MLZ227" s="111"/>
      <c r="MMA227" s="111"/>
      <c r="MMB227" s="111"/>
      <c r="MMC227" s="111"/>
      <c r="MMD227" s="111"/>
      <c r="MME227" s="111"/>
      <c r="MMF227" s="111"/>
      <c r="MMG227" s="111"/>
      <c r="MMH227" s="111"/>
      <c r="MMI227" s="111"/>
      <c r="MMJ227" s="111"/>
      <c r="MMK227" s="111"/>
      <c r="MML227" s="111"/>
      <c r="MMM227" s="111"/>
      <c r="MMN227" s="111"/>
      <c r="MMO227" s="111"/>
      <c r="MMP227" s="111"/>
      <c r="MMQ227" s="111"/>
      <c r="MMR227" s="111"/>
      <c r="MMS227" s="111"/>
      <c r="MMT227" s="111"/>
      <c r="MMU227" s="111"/>
      <c r="MMV227" s="111"/>
      <c r="MMW227" s="111"/>
      <c r="MMX227" s="111"/>
      <c r="MMY227" s="111"/>
      <c r="MMZ227" s="111"/>
      <c r="MNA227" s="111"/>
      <c r="MNB227" s="111"/>
      <c r="MNC227" s="111"/>
      <c r="MND227" s="111"/>
      <c r="MNE227" s="111"/>
      <c r="MNF227" s="111"/>
      <c r="MNG227" s="111"/>
      <c r="MNH227" s="111"/>
      <c r="MNI227" s="111"/>
      <c r="MNJ227" s="111"/>
      <c r="MNK227" s="111"/>
      <c r="MNL227" s="111"/>
      <c r="MNM227" s="111"/>
      <c r="MNN227" s="111"/>
      <c r="MNO227" s="111"/>
      <c r="MNP227" s="111"/>
      <c r="MNQ227" s="111"/>
      <c r="MNR227" s="111"/>
      <c r="MNS227" s="111"/>
      <c r="MNT227" s="111"/>
      <c r="MNU227" s="111"/>
      <c r="MNV227" s="111"/>
      <c r="MNW227" s="111"/>
      <c r="MNX227" s="111"/>
      <c r="MNY227" s="111"/>
      <c r="MNZ227" s="111"/>
      <c r="MOA227" s="111"/>
      <c r="MOB227" s="111"/>
      <c r="MOC227" s="111"/>
      <c r="MOD227" s="111"/>
      <c r="MOE227" s="111"/>
      <c r="MOF227" s="111"/>
      <c r="MOG227" s="111"/>
      <c r="MOH227" s="111"/>
      <c r="MOI227" s="111"/>
      <c r="MOJ227" s="111"/>
      <c r="MOK227" s="111"/>
      <c r="MOL227" s="111"/>
      <c r="MOM227" s="111"/>
      <c r="MON227" s="111"/>
      <c r="MOO227" s="111"/>
      <c r="MOP227" s="111"/>
      <c r="MOQ227" s="111"/>
      <c r="MOR227" s="111"/>
      <c r="MOS227" s="111"/>
      <c r="MOT227" s="111"/>
      <c r="MOU227" s="111"/>
      <c r="MOV227" s="111"/>
      <c r="MOW227" s="111"/>
      <c r="MOX227" s="111"/>
      <c r="MOY227" s="111"/>
      <c r="MOZ227" s="111"/>
      <c r="MPA227" s="111"/>
      <c r="MPB227" s="111"/>
      <c r="MPC227" s="111"/>
      <c r="MPD227" s="111"/>
      <c r="MPE227" s="111"/>
      <c r="MPF227" s="111"/>
      <c r="MPG227" s="111"/>
      <c r="MPH227" s="111"/>
      <c r="MPI227" s="111"/>
      <c r="MPJ227" s="111"/>
      <c r="MPK227" s="111"/>
      <c r="MPL227" s="111"/>
      <c r="MPM227" s="111"/>
      <c r="MPN227" s="111"/>
      <c r="MPO227" s="111"/>
      <c r="MPP227" s="111"/>
      <c r="MPQ227" s="111"/>
      <c r="MPR227" s="111"/>
      <c r="MPS227" s="111"/>
      <c r="MPT227" s="111"/>
      <c r="MPU227" s="111"/>
      <c r="MPV227" s="111"/>
      <c r="MPW227" s="111"/>
      <c r="MPX227" s="111"/>
      <c r="MPY227" s="111"/>
      <c r="MPZ227" s="111"/>
      <c r="MQA227" s="111"/>
      <c r="MQB227" s="111"/>
      <c r="MQC227" s="111"/>
      <c r="MQD227" s="111"/>
      <c r="MQE227" s="111"/>
      <c r="MQF227" s="111"/>
      <c r="MQG227" s="111"/>
      <c r="MQH227" s="111"/>
      <c r="MQI227" s="111"/>
      <c r="MQJ227" s="111"/>
      <c r="MQK227" s="111"/>
      <c r="MQL227" s="111"/>
      <c r="MQM227" s="111"/>
      <c r="MQN227" s="111"/>
      <c r="MQO227" s="111"/>
      <c r="MQP227" s="111"/>
      <c r="MQQ227" s="111"/>
      <c r="MQR227" s="111"/>
      <c r="MQS227" s="111"/>
      <c r="MQT227" s="111"/>
      <c r="MQU227" s="111"/>
      <c r="MQV227" s="111"/>
      <c r="MQW227" s="111"/>
      <c r="MQX227" s="111"/>
      <c r="MQY227" s="111"/>
      <c r="MQZ227" s="111"/>
      <c r="MRA227" s="111"/>
      <c r="MRB227" s="111"/>
      <c r="MRC227" s="111"/>
      <c r="MRD227" s="111"/>
      <c r="MRE227" s="111"/>
      <c r="MRF227" s="111"/>
      <c r="MRG227" s="111"/>
      <c r="MRH227" s="111"/>
      <c r="MRI227" s="111"/>
      <c r="MRJ227" s="111"/>
      <c r="MRK227" s="111"/>
      <c r="MRL227" s="111"/>
      <c r="MRM227" s="111"/>
      <c r="MRN227" s="111"/>
      <c r="MRO227" s="111"/>
      <c r="MRP227" s="111"/>
      <c r="MRQ227" s="111"/>
      <c r="MRR227" s="111"/>
      <c r="MRS227" s="111"/>
      <c r="MRT227" s="111"/>
      <c r="MRU227" s="111"/>
      <c r="MRV227" s="111"/>
      <c r="MRW227" s="111"/>
      <c r="MRX227" s="111"/>
      <c r="MRY227" s="111"/>
      <c r="MRZ227" s="111"/>
      <c r="MSA227" s="111"/>
      <c r="MSB227" s="111"/>
      <c r="MSC227" s="111"/>
      <c r="MSD227" s="111"/>
      <c r="MSE227" s="111"/>
      <c r="MSF227" s="111"/>
      <c r="MSG227" s="111"/>
      <c r="MSH227" s="111"/>
      <c r="MSI227" s="111"/>
      <c r="MSJ227" s="111"/>
      <c r="MSK227" s="111"/>
      <c r="MSL227" s="111"/>
      <c r="MSM227" s="111"/>
      <c r="MSN227" s="111"/>
      <c r="MSO227" s="111"/>
      <c r="MSP227" s="111"/>
      <c r="MSQ227" s="111"/>
      <c r="MSR227" s="111"/>
      <c r="MSS227" s="111"/>
      <c r="MST227" s="111"/>
      <c r="MSU227" s="111"/>
      <c r="MSV227" s="111"/>
      <c r="MSW227" s="111"/>
      <c r="MSX227" s="111"/>
      <c r="MSY227" s="111"/>
      <c r="MSZ227" s="111"/>
      <c r="MTA227" s="111"/>
      <c r="MTB227" s="111"/>
      <c r="MTC227" s="111"/>
      <c r="MTD227" s="111"/>
      <c r="MTE227" s="111"/>
      <c r="MTF227" s="111"/>
      <c r="MTG227" s="111"/>
      <c r="MTH227" s="111"/>
      <c r="MTI227" s="111"/>
      <c r="MTJ227" s="111"/>
      <c r="MTK227" s="111"/>
      <c r="MTL227" s="111"/>
      <c r="MTM227" s="111"/>
      <c r="MTN227" s="111"/>
      <c r="MTO227" s="111"/>
      <c r="MTP227" s="111"/>
      <c r="MTQ227" s="111"/>
      <c r="MTR227" s="111"/>
      <c r="MTS227" s="111"/>
      <c r="MTT227" s="111"/>
      <c r="MTU227" s="111"/>
      <c r="MTV227" s="111"/>
      <c r="MTW227" s="111"/>
      <c r="MTX227" s="111"/>
      <c r="MTY227" s="111"/>
      <c r="MTZ227" s="111"/>
      <c r="MUA227" s="111"/>
      <c r="MUB227" s="111"/>
      <c r="MUC227" s="111"/>
      <c r="MUD227" s="111"/>
      <c r="MUE227" s="111"/>
      <c r="MUF227" s="111"/>
      <c r="MUG227" s="111"/>
      <c r="MUH227" s="111"/>
      <c r="MUI227" s="111"/>
      <c r="MUJ227" s="111"/>
      <c r="MUK227" s="111"/>
      <c r="MUL227" s="111"/>
      <c r="MUM227" s="111"/>
      <c r="MUN227" s="111"/>
      <c r="MUO227" s="111"/>
      <c r="MUP227" s="111"/>
      <c r="MUQ227" s="111"/>
      <c r="MUR227" s="111"/>
      <c r="MUS227" s="111"/>
      <c r="MUT227" s="111"/>
      <c r="MUU227" s="111"/>
      <c r="MUV227" s="111"/>
      <c r="MUW227" s="111"/>
      <c r="MUX227" s="111"/>
      <c r="MUY227" s="111"/>
      <c r="MUZ227" s="111"/>
      <c r="MVA227" s="111"/>
      <c r="MVB227" s="111"/>
      <c r="MVC227" s="111"/>
      <c r="MVD227" s="111"/>
      <c r="MVE227" s="111"/>
      <c r="MVF227" s="111"/>
      <c r="MVG227" s="111"/>
      <c r="MVH227" s="111"/>
      <c r="MVI227" s="111"/>
      <c r="MVJ227" s="111"/>
      <c r="MVK227" s="111"/>
      <c r="MVL227" s="111"/>
      <c r="MVM227" s="111"/>
      <c r="MVN227" s="111"/>
      <c r="MVO227" s="111"/>
      <c r="MVP227" s="111"/>
      <c r="MVQ227" s="111"/>
      <c r="MVR227" s="111"/>
      <c r="MVS227" s="111"/>
      <c r="MVT227" s="111"/>
      <c r="MVU227" s="111"/>
      <c r="MVV227" s="111"/>
      <c r="MVW227" s="111"/>
      <c r="MVX227" s="111"/>
      <c r="MVY227" s="111"/>
      <c r="MVZ227" s="111"/>
      <c r="MWA227" s="111"/>
      <c r="MWB227" s="111"/>
      <c r="MWC227" s="111"/>
      <c r="MWD227" s="111"/>
      <c r="MWE227" s="111"/>
      <c r="MWF227" s="111"/>
      <c r="MWG227" s="111"/>
      <c r="MWH227" s="111"/>
      <c r="MWI227" s="111"/>
      <c r="MWJ227" s="111"/>
      <c r="MWK227" s="111"/>
      <c r="MWL227" s="111"/>
      <c r="MWM227" s="111"/>
      <c r="MWN227" s="111"/>
      <c r="MWO227" s="111"/>
      <c r="MWP227" s="111"/>
      <c r="MWQ227" s="111"/>
      <c r="MWR227" s="111"/>
      <c r="MWS227" s="111"/>
      <c r="MWT227" s="111"/>
      <c r="MWU227" s="111"/>
      <c r="MWV227" s="111"/>
      <c r="MWW227" s="111"/>
      <c r="MWX227" s="111"/>
      <c r="MWY227" s="111"/>
      <c r="MWZ227" s="111"/>
      <c r="MXA227" s="111"/>
      <c r="MXB227" s="111"/>
      <c r="MXC227" s="111"/>
      <c r="MXD227" s="111"/>
      <c r="MXE227" s="111"/>
      <c r="MXF227" s="111"/>
      <c r="MXG227" s="111"/>
      <c r="MXH227" s="111"/>
      <c r="MXI227" s="111"/>
      <c r="MXJ227" s="111"/>
      <c r="MXK227" s="111"/>
      <c r="MXL227" s="111"/>
      <c r="MXM227" s="111"/>
      <c r="MXN227" s="111"/>
      <c r="MXO227" s="111"/>
      <c r="MXP227" s="111"/>
      <c r="MXQ227" s="111"/>
      <c r="MXR227" s="111"/>
      <c r="MXS227" s="111"/>
      <c r="MXT227" s="111"/>
      <c r="MXU227" s="111"/>
      <c r="MXV227" s="111"/>
      <c r="MXW227" s="111"/>
      <c r="MXX227" s="111"/>
      <c r="MXY227" s="111"/>
      <c r="MXZ227" s="111"/>
      <c r="MYA227" s="111"/>
      <c r="MYB227" s="111"/>
      <c r="MYC227" s="111"/>
      <c r="MYD227" s="111"/>
      <c r="MYE227" s="111"/>
      <c r="MYF227" s="111"/>
      <c r="MYG227" s="111"/>
      <c r="MYH227" s="111"/>
      <c r="MYI227" s="111"/>
      <c r="MYJ227" s="111"/>
      <c r="MYK227" s="111"/>
      <c r="MYL227" s="111"/>
      <c r="MYM227" s="111"/>
      <c r="MYN227" s="111"/>
      <c r="MYO227" s="111"/>
      <c r="MYP227" s="111"/>
      <c r="MYQ227" s="111"/>
      <c r="MYR227" s="111"/>
      <c r="MYS227" s="111"/>
      <c r="MYT227" s="111"/>
      <c r="MYU227" s="111"/>
      <c r="MYV227" s="111"/>
      <c r="MYW227" s="111"/>
      <c r="MYX227" s="111"/>
      <c r="MYY227" s="111"/>
      <c r="MYZ227" s="111"/>
      <c r="MZA227" s="111"/>
      <c r="MZB227" s="111"/>
      <c r="MZC227" s="111"/>
      <c r="MZD227" s="111"/>
      <c r="MZE227" s="111"/>
      <c r="MZF227" s="111"/>
      <c r="MZG227" s="111"/>
      <c r="MZH227" s="111"/>
      <c r="MZI227" s="111"/>
      <c r="MZJ227" s="111"/>
      <c r="MZK227" s="111"/>
      <c r="MZL227" s="111"/>
      <c r="MZM227" s="111"/>
      <c r="MZN227" s="111"/>
      <c r="MZO227" s="111"/>
      <c r="MZP227" s="111"/>
      <c r="MZQ227" s="111"/>
      <c r="MZR227" s="111"/>
      <c r="MZS227" s="111"/>
      <c r="MZT227" s="111"/>
      <c r="MZU227" s="111"/>
      <c r="MZV227" s="111"/>
      <c r="MZW227" s="111"/>
      <c r="MZX227" s="111"/>
      <c r="MZY227" s="111"/>
      <c r="MZZ227" s="111"/>
      <c r="NAA227" s="111"/>
      <c r="NAB227" s="111"/>
      <c r="NAC227" s="111"/>
      <c r="NAD227" s="111"/>
      <c r="NAE227" s="111"/>
      <c r="NAF227" s="111"/>
      <c r="NAG227" s="111"/>
      <c r="NAH227" s="111"/>
      <c r="NAI227" s="111"/>
      <c r="NAJ227" s="111"/>
      <c r="NAK227" s="111"/>
      <c r="NAL227" s="111"/>
      <c r="NAM227" s="111"/>
      <c r="NAN227" s="111"/>
      <c r="NAO227" s="111"/>
      <c r="NAP227" s="111"/>
      <c r="NAQ227" s="111"/>
      <c r="NAR227" s="111"/>
      <c r="NAS227" s="111"/>
      <c r="NAT227" s="111"/>
      <c r="NAU227" s="111"/>
      <c r="NAV227" s="111"/>
      <c r="NAW227" s="111"/>
      <c r="NAX227" s="111"/>
      <c r="NAY227" s="111"/>
      <c r="NAZ227" s="111"/>
      <c r="NBA227" s="111"/>
      <c r="NBB227" s="111"/>
      <c r="NBC227" s="111"/>
      <c r="NBD227" s="111"/>
      <c r="NBE227" s="111"/>
      <c r="NBF227" s="111"/>
      <c r="NBG227" s="111"/>
      <c r="NBH227" s="111"/>
      <c r="NBI227" s="111"/>
      <c r="NBJ227" s="111"/>
      <c r="NBK227" s="111"/>
      <c r="NBL227" s="111"/>
      <c r="NBM227" s="111"/>
      <c r="NBN227" s="111"/>
      <c r="NBO227" s="111"/>
      <c r="NBP227" s="111"/>
      <c r="NBQ227" s="111"/>
      <c r="NBR227" s="111"/>
      <c r="NBS227" s="111"/>
      <c r="NBT227" s="111"/>
      <c r="NBU227" s="111"/>
      <c r="NBV227" s="111"/>
      <c r="NBW227" s="111"/>
      <c r="NBX227" s="111"/>
      <c r="NBY227" s="111"/>
      <c r="NBZ227" s="111"/>
      <c r="NCA227" s="111"/>
      <c r="NCB227" s="111"/>
      <c r="NCC227" s="111"/>
      <c r="NCD227" s="111"/>
      <c r="NCE227" s="111"/>
      <c r="NCF227" s="111"/>
      <c r="NCG227" s="111"/>
      <c r="NCH227" s="111"/>
      <c r="NCI227" s="111"/>
      <c r="NCJ227" s="111"/>
      <c r="NCK227" s="111"/>
      <c r="NCL227" s="111"/>
      <c r="NCM227" s="111"/>
      <c r="NCN227" s="111"/>
      <c r="NCO227" s="111"/>
      <c r="NCP227" s="111"/>
      <c r="NCQ227" s="111"/>
      <c r="NCR227" s="111"/>
      <c r="NCS227" s="111"/>
      <c r="NCT227" s="111"/>
      <c r="NCU227" s="111"/>
      <c r="NCV227" s="111"/>
      <c r="NCW227" s="111"/>
      <c r="NCX227" s="111"/>
      <c r="NCY227" s="111"/>
      <c r="NCZ227" s="111"/>
      <c r="NDA227" s="111"/>
      <c r="NDB227" s="111"/>
      <c r="NDC227" s="111"/>
      <c r="NDD227" s="111"/>
      <c r="NDE227" s="111"/>
      <c r="NDF227" s="111"/>
      <c r="NDG227" s="111"/>
      <c r="NDH227" s="111"/>
      <c r="NDI227" s="111"/>
      <c r="NDJ227" s="111"/>
      <c r="NDK227" s="111"/>
      <c r="NDL227" s="111"/>
      <c r="NDM227" s="111"/>
      <c r="NDN227" s="111"/>
      <c r="NDO227" s="111"/>
      <c r="NDP227" s="111"/>
      <c r="NDQ227" s="111"/>
      <c r="NDR227" s="111"/>
      <c r="NDS227" s="111"/>
      <c r="NDT227" s="111"/>
      <c r="NDU227" s="111"/>
      <c r="NDV227" s="111"/>
      <c r="NDW227" s="111"/>
      <c r="NDX227" s="111"/>
      <c r="NDY227" s="111"/>
      <c r="NDZ227" s="111"/>
      <c r="NEA227" s="111"/>
      <c r="NEB227" s="111"/>
      <c r="NEC227" s="111"/>
      <c r="NED227" s="111"/>
      <c r="NEE227" s="111"/>
      <c r="NEF227" s="111"/>
      <c r="NEG227" s="111"/>
      <c r="NEH227" s="111"/>
      <c r="NEI227" s="111"/>
      <c r="NEJ227" s="111"/>
      <c r="NEK227" s="111"/>
      <c r="NEL227" s="111"/>
      <c r="NEM227" s="111"/>
      <c r="NEN227" s="111"/>
      <c r="NEO227" s="111"/>
      <c r="NEP227" s="111"/>
      <c r="NEQ227" s="111"/>
      <c r="NER227" s="111"/>
      <c r="NES227" s="111"/>
      <c r="NET227" s="111"/>
      <c r="NEU227" s="111"/>
      <c r="NEV227" s="111"/>
      <c r="NEW227" s="111"/>
      <c r="NEX227" s="111"/>
      <c r="NEY227" s="111"/>
      <c r="NEZ227" s="111"/>
      <c r="NFA227" s="111"/>
      <c r="NFB227" s="111"/>
      <c r="NFC227" s="111"/>
      <c r="NFD227" s="111"/>
      <c r="NFE227" s="111"/>
      <c r="NFF227" s="111"/>
      <c r="NFG227" s="111"/>
      <c r="NFH227" s="111"/>
      <c r="NFI227" s="111"/>
      <c r="NFJ227" s="111"/>
      <c r="NFK227" s="111"/>
      <c r="NFL227" s="111"/>
      <c r="NFM227" s="111"/>
      <c r="NFN227" s="111"/>
      <c r="NFO227" s="111"/>
      <c r="NFP227" s="111"/>
      <c r="NFQ227" s="111"/>
      <c r="NFR227" s="111"/>
      <c r="NFS227" s="111"/>
      <c r="NFT227" s="111"/>
      <c r="NFU227" s="111"/>
      <c r="NFV227" s="111"/>
      <c r="NFW227" s="111"/>
      <c r="NFX227" s="111"/>
      <c r="NFY227" s="111"/>
      <c r="NFZ227" s="111"/>
      <c r="NGA227" s="111"/>
      <c r="NGB227" s="111"/>
      <c r="NGC227" s="111"/>
      <c r="NGD227" s="111"/>
      <c r="NGE227" s="111"/>
      <c r="NGF227" s="111"/>
      <c r="NGG227" s="111"/>
      <c r="NGH227" s="111"/>
      <c r="NGI227" s="111"/>
      <c r="NGJ227" s="111"/>
      <c r="NGK227" s="111"/>
      <c r="NGL227" s="111"/>
      <c r="NGM227" s="111"/>
      <c r="NGN227" s="111"/>
      <c r="NGO227" s="111"/>
      <c r="NGP227" s="111"/>
      <c r="NGQ227" s="111"/>
      <c r="NGR227" s="111"/>
      <c r="NGS227" s="111"/>
      <c r="NGT227" s="111"/>
      <c r="NGU227" s="111"/>
      <c r="NGV227" s="111"/>
      <c r="NGW227" s="111"/>
      <c r="NGX227" s="111"/>
      <c r="NGY227" s="111"/>
      <c r="NGZ227" s="111"/>
      <c r="NHA227" s="111"/>
      <c r="NHB227" s="111"/>
      <c r="NHC227" s="111"/>
      <c r="NHD227" s="111"/>
      <c r="NHE227" s="111"/>
      <c r="NHF227" s="111"/>
      <c r="NHG227" s="111"/>
      <c r="NHH227" s="111"/>
      <c r="NHI227" s="111"/>
      <c r="NHJ227" s="111"/>
      <c r="NHK227" s="111"/>
      <c r="NHL227" s="111"/>
      <c r="NHM227" s="111"/>
      <c r="NHN227" s="111"/>
      <c r="NHO227" s="111"/>
      <c r="NHP227" s="111"/>
      <c r="NHQ227" s="111"/>
      <c r="NHR227" s="111"/>
      <c r="NHS227" s="111"/>
      <c r="NHT227" s="111"/>
      <c r="NHU227" s="111"/>
      <c r="NHV227" s="111"/>
      <c r="NHW227" s="111"/>
      <c r="NHX227" s="111"/>
      <c r="NHY227" s="111"/>
      <c r="NHZ227" s="111"/>
      <c r="NIA227" s="111"/>
      <c r="NIB227" s="111"/>
      <c r="NIC227" s="111"/>
      <c r="NID227" s="111"/>
      <c r="NIE227" s="111"/>
      <c r="NIF227" s="111"/>
      <c r="NIG227" s="111"/>
      <c r="NIH227" s="111"/>
      <c r="NII227" s="111"/>
      <c r="NIJ227" s="111"/>
      <c r="NIK227" s="111"/>
      <c r="NIL227" s="111"/>
      <c r="NIM227" s="111"/>
      <c r="NIN227" s="111"/>
      <c r="NIO227" s="111"/>
      <c r="NIP227" s="111"/>
      <c r="NIQ227" s="111"/>
      <c r="NIR227" s="111"/>
      <c r="NIS227" s="111"/>
      <c r="NIT227" s="111"/>
      <c r="NIU227" s="111"/>
      <c r="NIV227" s="111"/>
      <c r="NIW227" s="111"/>
      <c r="NIX227" s="111"/>
      <c r="NIY227" s="111"/>
      <c r="NIZ227" s="111"/>
      <c r="NJA227" s="111"/>
      <c r="NJB227" s="111"/>
      <c r="NJC227" s="111"/>
      <c r="NJD227" s="111"/>
      <c r="NJE227" s="111"/>
      <c r="NJF227" s="111"/>
      <c r="NJG227" s="111"/>
      <c r="NJH227" s="111"/>
      <c r="NJI227" s="111"/>
      <c r="NJJ227" s="111"/>
      <c r="NJK227" s="111"/>
      <c r="NJL227" s="111"/>
      <c r="NJM227" s="111"/>
      <c r="NJN227" s="111"/>
      <c r="NJO227" s="111"/>
      <c r="NJP227" s="111"/>
      <c r="NJQ227" s="111"/>
      <c r="NJR227" s="111"/>
      <c r="NJS227" s="111"/>
      <c r="NJT227" s="111"/>
      <c r="NJU227" s="111"/>
      <c r="NJV227" s="111"/>
      <c r="NJW227" s="111"/>
      <c r="NJX227" s="111"/>
      <c r="NJY227" s="111"/>
      <c r="NJZ227" s="111"/>
      <c r="NKA227" s="111"/>
      <c r="NKB227" s="111"/>
      <c r="NKC227" s="111"/>
      <c r="NKD227" s="111"/>
      <c r="NKE227" s="111"/>
      <c r="NKF227" s="111"/>
      <c r="NKG227" s="111"/>
      <c r="NKH227" s="111"/>
      <c r="NKI227" s="111"/>
      <c r="NKJ227" s="111"/>
      <c r="NKK227" s="111"/>
      <c r="NKL227" s="111"/>
      <c r="NKM227" s="111"/>
      <c r="NKN227" s="111"/>
      <c r="NKO227" s="111"/>
      <c r="NKP227" s="111"/>
      <c r="NKQ227" s="111"/>
      <c r="NKR227" s="111"/>
      <c r="NKS227" s="111"/>
      <c r="NKT227" s="111"/>
      <c r="NKU227" s="111"/>
      <c r="NKV227" s="111"/>
      <c r="NKW227" s="111"/>
      <c r="NKX227" s="111"/>
      <c r="NKY227" s="111"/>
      <c r="NKZ227" s="111"/>
      <c r="NLA227" s="111"/>
      <c r="NLB227" s="111"/>
      <c r="NLC227" s="111"/>
      <c r="NLD227" s="111"/>
      <c r="NLE227" s="111"/>
      <c r="NLF227" s="111"/>
      <c r="NLG227" s="111"/>
      <c r="NLH227" s="111"/>
      <c r="NLI227" s="111"/>
      <c r="NLJ227" s="111"/>
      <c r="NLK227" s="111"/>
      <c r="NLL227" s="111"/>
      <c r="NLM227" s="111"/>
      <c r="NLN227" s="111"/>
      <c r="NLO227" s="111"/>
      <c r="NLP227" s="111"/>
      <c r="NLQ227" s="111"/>
      <c r="NLR227" s="111"/>
      <c r="NLS227" s="111"/>
      <c r="NLT227" s="111"/>
      <c r="NLU227" s="111"/>
      <c r="NLV227" s="111"/>
      <c r="NLW227" s="111"/>
      <c r="NLX227" s="111"/>
      <c r="NLY227" s="111"/>
      <c r="NLZ227" s="111"/>
      <c r="NMA227" s="111"/>
      <c r="NMB227" s="111"/>
      <c r="NMC227" s="111"/>
      <c r="NMD227" s="111"/>
      <c r="NME227" s="111"/>
      <c r="NMF227" s="111"/>
      <c r="NMG227" s="111"/>
      <c r="NMH227" s="111"/>
      <c r="NMI227" s="111"/>
      <c r="NMJ227" s="111"/>
      <c r="NMK227" s="111"/>
      <c r="NML227" s="111"/>
      <c r="NMM227" s="111"/>
      <c r="NMN227" s="111"/>
      <c r="NMO227" s="111"/>
      <c r="NMP227" s="111"/>
      <c r="NMQ227" s="111"/>
      <c r="NMR227" s="111"/>
      <c r="NMS227" s="111"/>
      <c r="NMT227" s="111"/>
      <c r="NMU227" s="111"/>
      <c r="NMV227" s="111"/>
      <c r="NMW227" s="111"/>
      <c r="NMX227" s="111"/>
      <c r="NMY227" s="111"/>
      <c r="NMZ227" s="111"/>
      <c r="NNA227" s="111"/>
      <c r="NNB227" s="111"/>
      <c r="NNC227" s="111"/>
      <c r="NND227" s="111"/>
      <c r="NNE227" s="111"/>
      <c r="NNF227" s="111"/>
      <c r="NNG227" s="111"/>
      <c r="NNH227" s="111"/>
      <c r="NNI227" s="111"/>
      <c r="NNJ227" s="111"/>
      <c r="NNK227" s="111"/>
      <c r="NNL227" s="111"/>
      <c r="NNM227" s="111"/>
      <c r="NNN227" s="111"/>
      <c r="NNO227" s="111"/>
      <c r="NNP227" s="111"/>
      <c r="NNQ227" s="111"/>
      <c r="NNR227" s="111"/>
      <c r="NNS227" s="111"/>
      <c r="NNT227" s="111"/>
      <c r="NNU227" s="111"/>
      <c r="NNV227" s="111"/>
      <c r="NNW227" s="111"/>
      <c r="NNX227" s="111"/>
      <c r="NNY227" s="111"/>
      <c r="NNZ227" s="111"/>
      <c r="NOA227" s="111"/>
      <c r="NOB227" s="111"/>
      <c r="NOC227" s="111"/>
      <c r="NOD227" s="111"/>
      <c r="NOE227" s="111"/>
      <c r="NOF227" s="111"/>
      <c r="NOG227" s="111"/>
      <c r="NOH227" s="111"/>
      <c r="NOI227" s="111"/>
      <c r="NOJ227" s="111"/>
      <c r="NOK227" s="111"/>
      <c r="NOL227" s="111"/>
      <c r="NOM227" s="111"/>
      <c r="NON227" s="111"/>
      <c r="NOO227" s="111"/>
      <c r="NOP227" s="111"/>
      <c r="NOQ227" s="111"/>
      <c r="NOR227" s="111"/>
      <c r="NOS227" s="111"/>
      <c r="NOT227" s="111"/>
      <c r="NOU227" s="111"/>
      <c r="NOV227" s="111"/>
      <c r="NOW227" s="111"/>
      <c r="NOX227" s="111"/>
      <c r="NOY227" s="111"/>
      <c r="NOZ227" s="111"/>
      <c r="NPA227" s="111"/>
      <c r="NPB227" s="111"/>
      <c r="NPC227" s="111"/>
      <c r="NPD227" s="111"/>
      <c r="NPE227" s="111"/>
      <c r="NPF227" s="111"/>
      <c r="NPG227" s="111"/>
      <c r="NPH227" s="111"/>
      <c r="NPI227" s="111"/>
      <c r="NPJ227" s="111"/>
      <c r="NPK227" s="111"/>
      <c r="NPL227" s="111"/>
      <c r="NPM227" s="111"/>
      <c r="NPN227" s="111"/>
      <c r="NPO227" s="111"/>
      <c r="NPP227" s="111"/>
      <c r="NPQ227" s="111"/>
      <c r="NPR227" s="111"/>
      <c r="NPS227" s="111"/>
      <c r="NPT227" s="111"/>
      <c r="NPU227" s="111"/>
      <c r="NPV227" s="111"/>
      <c r="NPW227" s="111"/>
      <c r="NPX227" s="111"/>
      <c r="NPY227" s="111"/>
      <c r="NPZ227" s="111"/>
      <c r="NQA227" s="111"/>
      <c r="NQB227" s="111"/>
      <c r="NQC227" s="111"/>
      <c r="NQD227" s="111"/>
      <c r="NQE227" s="111"/>
      <c r="NQF227" s="111"/>
      <c r="NQG227" s="111"/>
      <c r="NQH227" s="111"/>
      <c r="NQI227" s="111"/>
      <c r="NQJ227" s="111"/>
      <c r="NQK227" s="111"/>
      <c r="NQL227" s="111"/>
      <c r="NQM227" s="111"/>
      <c r="NQN227" s="111"/>
      <c r="NQO227" s="111"/>
      <c r="NQP227" s="111"/>
      <c r="NQQ227" s="111"/>
      <c r="NQR227" s="111"/>
      <c r="NQS227" s="111"/>
      <c r="NQT227" s="111"/>
      <c r="NQU227" s="111"/>
      <c r="NQV227" s="111"/>
      <c r="NQW227" s="111"/>
      <c r="NQX227" s="111"/>
      <c r="NQY227" s="111"/>
      <c r="NQZ227" s="111"/>
      <c r="NRA227" s="111"/>
      <c r="NRB227" s="111"/>
      <c r="NRC227" s="111"/>
      <c r="NRD227" s="111"/>
      <c r="NRE227" s="111"/>
      <c r="NRF227" s="111"/>
      <c r="NRG227" s="111"/>
      <c r="NRH227" s="111"/>
      <c r="NRI227" s="111"/>
      <c r="NRJ227" s="111"/>
      <c r="NRK227" s="111"/>
      <c r="NRL227" s="111"/>
      <c r="NRM227" s="111"/>
      <c r="NRN227" s="111"/>
      <c r="NRO227" s="111"/>
      <c r="NRP227" s="111"/>
      <c r="NRQ227" s="111"/>
      <c r="NRR227" s="111"/>
      <c r="NRS227" s="111"/>
      <c r="NRT227" s="111"/>
      <c r="NRU227" s="111"/>
      <c r="NRV227" s="111"/>
      <c r="NRW227" s="111"/>
      <c r="NRX227" s="111"/>
      <c r="NRY227" s="111"/>
      <c r="NRZ227" s="111"/>
      <c r="NSA227" s="111"/>
      <c r="NSB227" s="111"/>
      <c r="NSC227" s="111"/>
      <c r="NSD227" s="111"/>
      <c r="NSE227" s="111"/>
      <c r="NSF227" s="111"/>
      <c r="NSG227" s="111"/>
      <c r="NSH227" s="111"/>
      <c r="NSI227" s="111"/>
      <c r="NSJ227" s="111"/>
      <c r="NSK227" s="111"/>
      <c r="NSL227" s="111"/>
      <c r="NSM227" s="111"/>
      <c r="NSN227" s="111"/>
      <c r="NSO227" s="111"/>
      <c r="NSP227" s="111"/>
      <c r="NSQ227" s="111"/>
      <c r="NSR227" s="111"/>
      <c r="NSS227" s="111"/>
      <c r="NST227" s="111"/>
      <c r="NSU227" s="111"/>
      <c r="NSV227" s="111"/>
      <c r="NSW227" s="111"/>
      <c r="NSX227" s="111"/>
      <c r="NSY227" s="111"/>
      <c r="NSZ227" s="111"/>
      <c r="NTA227" s="111"/>
      <c r="NTB227" s="111"/>
      <c r="NTC227" s="111"/>
      <c r="NTD227" s="111"/>
      <c r="NTE227" s="111"/>
      <c r="NTF227" s="111"/>
      <c r="NTG227" s="111"/>
      <c r="NTH227" s="111"/>
      <c r="NTI227" s="111"/>
      <c r="NTJ227" s="111"/>
      <c r="NTK227" s="111"/>
      <c r="NTL227" s="111"/>
      <c r="NTM227" s="111"/>
      <c r="NTN227" s="111"/>
      <c r="NTO227" s="111"/>
      <c r="NTP227" s="111"/>
      <c r="NTQ227" s="111"/>
      <c r="NTR227" s="111"/>
      <c r="NTS227" s="111"/>
      <c r="NTT227" s="111"/>
      <c r="NTU227" s="111"/>
      <c r="NTV227" s="111"/>
      <c r="NTW227" s="111"/>
      <c r="NTX227" s="111"/>
      <c r="NTY227" s="111"/>
      <c r="NTZ227" s="111"/>
      <c r="NUA227" s="111"/>
      <c r="NUB227" s="111"/>
      <c r="NUC227" s="111"/>
      <c r="NUD227" s="111"/>
      <c r="NUE227" s="111"/>
      <c r="NUF227" s="111"/>
      <c r="NUG227" s="111"/>
      <c r="NUH227" s="111"/>
      <c r="NUI227" s="111"/>
      <c r="NUJ227" s="111"/>
      <c r="NUK227" s="111"/>
      <c r="NUL227" s="111"/>
      <c r="NUM227" s="111"/>
      <c r="NUN227" s="111"/>
      <c r="NUO227" s="111"/>
      <c r="NUP227" s="111"/>
      <c r="NUQ227" s="111"/>
      <c r="NUR227" s="111"/>
      <c r="NUS227" s="111"/>
      <c r="NUT227" s="111"/>
      <c r="NUU227" s="111"/>
      <c r="NUV227" s="111"/>
      <c r="NUW227" s="111"/>
      <c r="NUX227" s="111"/>
      <c r="NUY227" s="111"/>
      <c r="NUZ227" s="111"/>
      <c r="NVA227" s="111"/>
      <c r="NVB227" s="111"/>
      <c r="NVC227" s="111"/>
      <c r="NVD227" s="111"/>
      <c r="NVE227" s="111"/>
      <c r="NVF227" s="111"/>
      <c r="NVG227" s="111"/>
      <c r="NVH227" s="111"/>
      <c r="NVI227" s="111"/>
      <c r="NVJ227" s="111"/>
      <c r="NVK227" s="111"/>
      <c r="NVL227" s="111"/>
      <c r="NVM227" s="111"/>
      <c r="NVN227" s="111"/>
      <c r="NVO227" s="111"/>
      <c r="NVP227" s="111"/>
      <c r="NVQ227" s="111"/>
      <c r="NVR227" s="111"/>
      <c r="NVS227" s="111"/>
      <c r="NVT227" s="111"/>
      <c r="NVU227" s="111"/>
      <c r="NVV227" s="111"/>
      <c r="NVW227" s="111"/>
      <c r="NVX227" s="111"/>
      <c r="NVY227" s="111"/>
      <c r="NVZ227" s="111"/>
      <c r="NWA227" s="111"/>
      <c r="NWB227" s="111"/>
      <c r="NWC227" s="111"/>
      <c r="NWD227" s="111"/>
      <c r="NWE227" s="111"/>
      <c r="NWF227" s="111"/>
      <c r="NWG227" s="111"/>
      <c r="NWH227" s="111"/>
      <c r="NWI227" s="111"/>
      <c r="NWJ227" s="111"/>
      <c r="NWK227" s="111"/>
      <c r="NWL227" s="111"/>
      <c r="NWM227" s="111"/>
      <c r="NWN227" s="111"/>
      <c r="NWO227" s="111"/>
      <c r="NWP227" s="111"/>
      <c r="NWQ227" s="111"/>
      <c r="NWR227" s="111"/>
      <c r="NWS227" s="111"/>
      <c r="NWT227" s="111"/>
      <c r="NWU227" s="111"/>
      <c r="NWV227" s="111"/>
      <c r="NWW227" s="111"/>
      <c r="NWX227" s="111"/>
      <c r="NWY227" s="111"/>
      <c r="NWZ227" s="111"/>
      <c r="NXA227" s="111"/>
      <c r="NXB227" s="111"/>
      <c r="NXC227" s="111"/>
      <c r="NXD227" s="111"/>
      <c r="NXE227" s="111"/>
      <c r="NXF227" s="111"/>
      <c r="NXG227" s="111"/>
      <c r="NXH227" s="111"/>
      <c r="NXI227" s="111"/>
      <c r="NXJ227" s="111"/>
      <c r="NXK227" s="111"/>
      <c r="NXL227" s="111"/>
      <c r="NXM227" s="111"/>
      <c r="NXN227" s="111"/>
      <c r="NXO227" s="111"/>
      <c r="NXP227" s="111"/>
      <c r="NXQ227" s="111"/>
      <c r="NXR227" s="111"/>
      <c r="NXS227" s="111"/>
      <c r="NXT227" s="111"/>
      <c r="NXU227" s="111"/>
      <c r="NXV227" s="111"/>
      <c r="NXW227" s="111"/>
      <c r="NXX227" s="111"/>
      <c r="NXY227" s="111"/>
      <c r="NXZ227" s="111"/>
      <c r="NYA227" s="111"/>
      <c r="NYB227" s="111"/>
      <c r="NYC227" s="111"/>
      <c r="NYD227" s="111"/>
      <c r="NYE227" s="111"/>
      <c r="NYF227" s="111"/>
      <c r="NYG227" s="111"/>
      <c r="NYH227" s="111"/>
      <c r="NYI227" s="111"/>
      <c r="NYJ227" s="111"/>
      <c r="NYK227" s="111"/>
      <c r="NYL227" s="111"/>
      <c r="NYM227" s="111"/>
      <c r="NYN227" s="111"/>
      <c r="NYO227" s="111"/>
      <c r="NYP227" s="111"/>
      <c r="NYQ227" s="111"/>
      <c r="NYR227" s="111"/>
      <c r="NYS227" s="111"/>
      <c r="NYT227" s="111"/>
      <c r="NYU227" s="111"/>
      <c r="NYV227" s="111"/>
      <c r="NYW227" s="111"/>
      <c r="NYX227" s="111"/>
      <c r="NYY227" s="111"/>
      <c r="NYZ227" s="111"/>
      <c r="NZA227" s="111"/>
      <c r="NZB227" s="111"/>
      <c r="NZC227" s="111"/>
      <c r="NZD227" s="111"/>
      <c r="NZE227" s="111"/>
      <c r="NZF227" s="111"/>
      <c r="NZG227" s="111"/>
      <c r="NZH227" s="111"/>
      <c r="NZI227" s="111"/>
      <c r="NZJ227" s="111"/>
      <c r="NZK227" s="111"/>
      <c r="NZL227" s="111"/>
      <c r="NZM227" s="111"/>
      <c r="NZN227" s="111"/>
      <c r="NZO227" s="111"/>
      <c r="NZP227" s="111"/>
      <c r="NZQ227" s="111"/>
      <c r="NZR227" s="111"/>
      <c r="NZS227" s="111"/>
      <c r="NZT227" s="111"/>
      <c r="NZU227" s="111"/>
      <c r="NZV227" s="111"/>
      <c r="NZW227" s="111"/>
      <c r="NZX227" s="111"/>
      <c r="NZY227" s="111"/>
      <c r="NZZ227" s="111"/>
      <c r="OAA227" s="111"/>
      <c r="OAB227" s="111"/>
      <c r="OAC227" s="111"/>
      <c r="OAD227" s="111"/>
      <c r="OAE227" s="111"/>
      <c r="OAF227" s="111"/>
      <c r="OAG227" s="111"/>
      <c r="OAH227" s="111"/>
      <c r="OAI227" s="111"/>
      <c r="OAJ227" s="111"/>
      <c r="OAK227" s="111"/>
      <c r="OAL227" s="111"/>
      <c r="OAM227" s="111"/>
      <c r="OAN227" s="111"/>
      <c r="OAO227" s="111"/>
      <c r="OAP227" s="111"/>
      <c r="OAQ227" s="111"/>
      <c r="OAR227" s="111"/>
      <c r="OAS227" s="111"/>
      <c r="OAT227" s="111"/>
      <c r="OAU227" s="111"/>
      <c r="OAV227" s="111"/>
      <c r="OAW227" s="111"/>
      <c r="OAX227" s="111"/>
      <c r="OAY227" s="111"/>
      <c r="OAZ227" s="111"/>
      <c r="OBA227" s="111"/>
      <c r="OBB227" s="111"/>
      <c r="OBC227" s="111"/>
      <c r="OBD227" s="111"/>
      <c r="OBE227" s="111"/>
      <c r="OBF227" s="111"/>
      <c r="OBG227" s="111"/>
      <c r="OBH227" s="111"/>
      <c r="OBI227" s="111"/>
      <c r="OBJ227" s="111"/>
      <c r="OBK227" s="111"/>
      <c r="OBL227" s="111"/>
      <c r="OBM227" s="111"/>
      <c r="OBN227" s="111"/>
      <c r="OBO227" s="111"/>
      <c r="OBP227" s="111"/>
      <c r="OBQ227" s="111"/>
      <c r="OBR227" s="111"/>
      <c r="OBS227" s="111"/>
      <c r="OBT227" s="111"/>
      <c r="OBU227" s="111"/>
      <c r="OBV227" s="111"/>
      <c r="OBW227" s="111"/>
      <c r="OBX227" s="111"/>
      <c r="OBY227" s="111"/>
      <c r="OBZ227" s="111"/>
      <c r="OCA227" s="111"/>
      <c r="OCB227" s="111"/>
      <c r="OCC227" s="111"/>
      <c r="OCD227" s="111"/>
      <c r="OCE227" s="111"/>
      <c r="OCF227" s="111"/>
      <c r="OCG227" s="111"/>
      <c r="OCH227" s="111"/>
      <c r="OCI227" s="111"/>
      <c r="OCJ227" s="111"/>
      <c r="OCK227" s="111"/>
      <c r="OCL227" s="111"/>
      <c r="OCM227" s="111"/>
      <c r="OCN227" s="111"/>
      <c r="OCO227" s="111"/>
      <c r="OCP227" s="111"/>
      <c r="OCQ227" s="111"/>
      <c r="OCR227" s="111"/>
      <c r="OCS227" s="111"/>
      <c r="OCT227" s="111"/>
      <c r="OCU227" s="111"/>
      <c r="OCV227" s="111"/>
      <c r="OCW227" s="111"/>
      <c r="OCX227" s="111"/>
      <c r="OCY227" s="111"/>
      <c r="OCZ227" s="111"/>
      <c r="ODA227" s="111"/>
      <c r="ODB227" s="111"/>
      <c r="ODC227" s="111"/>
      <c r="ODD227" s="111"/>
      <c r="ODE227" s="111"/>
      <c r="ODF227" s="111"/>
      <c r="ODG227" s="111"/>
      <c r="ODH227" s="111"/>
      <c r="ODI227" s="111"/>
      <c r="ODJ227" s="111"/>
      <c r="ODK227" s="111"/>
      <c r="ODL227" s="111"/>
      <c r="ODM227" s="111"/>
      <c r="ODN227" s="111"/>
      <c r="ODO227" s="111"/>
      <c r="ODP227" s="111"/>
      <c r="ODQ227" s="111"/>
      <c r="ODR227" s="111"/>
      <c r="ODS227" s="111"/>
      <c r="ODT227" s="111"/>
      <c r="ODU227" s="111"/>
      <c r="ODV227" s="111"/>
      <c r="ODW227" s="111"/>
      <c r="ODX227" s="111"/>
      <c r="ODY227" s="111"/>
      <c r="ODZ227" s="111"/>
      <c r="OEA227" s="111"/>
      <c r="OEB227" s="111"/>
      <c r="OEC227" s="111"/>
      <c r="OED227" s="111"/>
      <c r="OEE227" s="111"/>
      <c r="OEF227" s="111"/>
      <c r="OEG227" s="111"/>
      <c r="OEH227" s="111"/>
      <c r="OEI227" s="111"/>
      <c r="OEJ227" s="111"/>
      <c r="OEK227" s="111"/>
      <c r="OEL227" s="111"/>
      <c r="OEM227" s="111"/>
      <c r="OEN227" s="111"/>
      <c r="OEO227" s="111"/>
      <c r="OEP227" s="111"/>
      <c r="OEQ227" s="111"/>
      <c r="OER227" s="111"/>
      <c r="OES227" s="111"/>
      <c r="OET227" s="111"/>
      <c r="OEU227" s="111"/>
      <c r="OEV227" s="111"/>
      <c r="OEW227" s="111"/>
      <c r="OEX227" s="111"/>
      <c r="OEY227" s="111"/>
      <c r="OEZ227" s="111"/>
      <c r="OFA227" s="111"/>
      <c r="OFB227" s="111"/>
      <c r="OFC227" s="111"/>
      <c r="OFD227" s="111"/>
      <c r="OFE227" s="111"/>
      <c r="OFF227" s="111"/>
      <c r="OFG227" s="111"/>
      <c r="OFH227" s="111"/>
      <c r="OFI227" s="111"/>
      <c r="OFJ227" s="111"/>
      <c r="OFK227" s="111"/>
      <c r="OFL227" s="111"/>
      <c r="OFM227" s="111"/>
      <c r="OFN227" s="111"/>
      <c r="OFO227" s="111"/>
      <c r="OFP227" s="111"/>
      <c r="OFQ227" s="111"/>
      <c r="OFR227" s="111"/>
      <c r="OFS227" s="111"/>
      <c r="OFT227" s="111"/>
      <c r="OFU227" s="111"/>
      <c r="OFV227" s="111"/>
      <c r="OFW227" s="111"/>
      <c r="OFX227" s="111"/>
      <c r="OFY227" s="111"/>
      <c r="OFZ227" s="111"/>
      <c r="OGA227" s="111"/>
      <c r="OGB227" s="111"/>
      <c r="OGC227" s="111"/>
      <c r="OGD227" s="111"/>
      <c r="OGE227" s="111"/>
      <c r="OGF227" s="111"/>
      <c r="OGG227" s="111"/>
      <c r="OGH227" s="111"/>
      <c r="OGI227" s="111"/>
      <c r="OGJ227" s="111"/>
      <c r="OGK227" s="111"/>
      <c r="OGL227" s="111"/>
      <c r="OGM227" s="111"/>
      <c r="OGN227" s="111"/>
      <c r="OGO227" s="111"/>
      <c r="OGP227" s="111"/>
      <c r="OGQ227" s="111"/>
      <c r="OGR227" s="111"/>
      <c r="OGS227" s="111"/>
      <c r="OGT227" s="111"/>
      <c r="OGU227" s="111"/>
      <c r="OGV227" s="111"/>
      <c r="OGW227" s="111"/>
      <c r="OGX227" s="111"/>
      <c r="OGY227" s="111"/>
      <c r="OGZ227" s="111"/>
      <c r="OHA227" s="111"/>
      <c r="OHB227" s="111"/>
      <c r="OHC227" s="111"/>
      <c r="OHD227" s="111"/>
      <c r="OHE227" s="111"/>
      <c r="OHF227" s="111"/>
      <c r="OHG227" s="111"/>
      <c r="OHH227" s="111"/>
      <c r="OHI227" s="111"/>
      <c r="OHJ227" s="111"/>
      <c r="OHK227" s="111"/>
      <c r="OHL227" s="111"/>
      <c r="OHM227" s="111"/>
      <c r="OHN227" s="111"/>
      <c r="OHO227" s="111"/>
      <c r="OHP227" s="111"/>
      <c r="OHQ227" s="111"/>
      <c r="OHR227" s="111"/>
      <c r="OHS227" s="111"/>
      <c r="OHT227" s="111"/>
      <c r="OHU227" s="111"/>
      <c r="OHV227" s="111"/>
      <c r="OHW227" s="111"/>
      <c r="OHX227" s="111"/>
      <c r="OHY227" s="111"/>
      <c r="OHZ227" s="111"/>
      <c r="OIA227" s="111"/>
      <c r="OIB227" s="111"/>
      <c r="OIC227" s="111"/>
      <c r="OID227" s="111"/>
      <c r="OIE227" s="111"/>
      <c r="OIF227" s="111"/>
      <c r="OIG227" s="111"/>
      <c r="OIH227" s="111"/>
      <c r="OII227" s="111"/>
      <c r="OIJ227" s="111"/>
      <c r="OIK227" s="111"/>
      <c r="OIL227" s="111"/>
      <c r="OIM227" s="111"/>
      <c r="OIN227" s="111"/>
      <c r="OIO227" s="111"/>
      <c r="OIP227" s="111"/>
      <c r="OIQ227" s="111"/>
      <c r="OIR227" s="111"/>
      <c r="OIS227" s="111"/>
      <c r="OIT227" s="111"/>
      <c r="OIU227" s="111"/>
      <c r="OIV227" s="111"/>
      <c r="OIW227" s="111"/>
      <c r="OIX227" s="111"/>
      <c r="OIY227" s="111"/>
      <c r="OIZ227" s="111"/>
      <c r="OJA227" s="111"/>
      <c r="OJB227" s="111"/>
      <c r="OJC227" s="111"/>
      <c r="OJD227" s="111"/>
      <c r="OJE227" s="111"/>
      <c r="OJF227" s="111"/>
      <c r="OJG227" s="111"/>
      <c r="OJH227" s="111"/>
      <c r="OJI227" s="111"/>
      <c r="OJJ227" s="111"/>
      <c r="OJK227" s="111"/>
      <c r="OJL227" s="111"/>
      <c r="OJM227" s="111"/>
      <c r="OJN227" s="111"/>
      <c r="OJO227" s="111"/>
      <c r="OJP227" s="111"/>
      <c r="OJQ227" s="111"/>
      <c r="OJR227" s="111"/>
      <c r="OJS227" s="111"/>
      <c r="OJT227" s="111"/>
      <c r="OJU227" s="111"/>
      <c r="OJV227" s="111"/>
      <c r="OJW227" s="111"/>
      <c r="OJX227" s="111"/>
      <c r="OJY227" s="111"/>
      <c r="OJZ227" s="111"/>
      <c r="OKA227" s="111"/>
      <c r="OKB227" s="111"/>
      <c r="OKC227" s="111"/>
      <c r="OKD227" s="111"/>
      <c r="OKE227" s="111"/>
      <c r="OKF227" s="111"/>
      <c r="OKG227" s="111"/>
      <c r="OKH227" s="111"/>
      <c r="OKI227" s="111"/>
      <c r="OKJ227" s="111"/>
      <c r="OKK227" s="111"/>
      <c r="OKL227" s="111"/>
      <c r="OKM227" s="111"/>
      <c r="OKN227" s="111"/>
      <c r="OKO227" s="111"/>
      <c r="OKP227" s="111"/>
      <c r="OKQ227" s="111"/>
      <c r="OKR227" s="111"/>
      <c r="OKS227" s="111"/>
      <c r="OKT227" s="111"/>
      <c r="OKU227" s="111"/>
      <c r="OKV227" s="111"/>
      <c r="OKW227" s="111"/>
      <c r="OKX227" s="111"/>
      <c r="OKY227" s="111"/>
      <c r="OKZ227" s="111"/>
      <c r="OLA227" s="111"/>
      <c r="OLB227" s="111"/>
      <c r="OLC227" s="111"/>
      <c r="OLD227" s="111"/>
      <c r="OLE227" s="111"/>
      <c r="OLF227" s="111"/>
      <c r="OLG227" s="111"/>
      <c r="OLH227" s="111"/>
      <c r="OLI227" s="111"/>
      <c r="OLJ227" s="111"/>
      <c r="OLK227" s="111"/>
      <c r="OLL227" s="111"/>
      <c r="OLM227" s="111"/>
      <c r="OLN227" s="111"/>
      <c r="OLO227" s="111"/>
      <c r="OLP227" s="111"/>
      <c r="OLQ227" s="111"/>
      <c r="OLR227" s="111"/>
      <c r="OLS227" s="111"/>
      <c r="OLT227" s="111"/>
      <c r="OLU227" s="111"/>
      <c r="OLV227" s="111"/>
      <c r="OLW227" s="111"/>
      <c r="OLX227" s="111"/>
      <c r="OLY227" s="111"/>
      <c r="OLZ227" s="111"/>
      <c r="OMA227" s="111"/>
      <c r="OMB227" s="111"/>
      <c r="OMC227" s="111"/>
      <c r="OMD227" s="111"/>
      <c r="OME227" s="111"/>
      <c r="OMF227" s="111"/>
      <c r="OMG227" s="111"/>
      <c r="OMH227" s="111"/>
      <c r="OMI227" s="111"/>
      <c r="OMJ227" s="111"/>
      <c r="OMK227" s="111"/>
      <c r="OML227" s="111"/>
      <c r="OMM227" s="111"/>
      <c r="OMN227" s="111"/>
      <c r="OMO227" s="111"/>
      <c r="OMP227" s="111"/>
      <c r="OMQ227" s="111"/>
      <c r="OMR227" s="111"/>
      <c r="OMS227" s="111"/>
      <c r="OMT227" s="111"/>
      <c r="OMU227" s="111"/>
      <c r="OMV227" s="111"/>
      <c r="OMW227" s="111"/>
      <c r="OMX227" s="111"/>
      <c r="OMY227" s="111"/>
      <c r="OMZ227" s="111"/>
      <c r="ONA227" s="111"/>
      <c r="ONB227" s="111"/>
      <c r="ONC227" s="111"/>
      <c r="OND227" s="111"/>
      <c r="ONE227" s="111"/>
      <c r="ONF227" s="111"/>
      <c r="ONG227" s="111"/>
      <c r="ONH227" s="111"/>
      <c r="ONI227" s="111"/>
      <c r="ONJ227" s="111"/>
      <c r="ONK227" s="111"/>
      <c r="ONL227" s="111"/>
      <c r="ONM227" s="111"/>
      <c r="ONN227" s="111"/>
      <c r="ONO227" s="111"/>
      <c r="ONP227" s="111"/>
      <c r="ONQ227" s="111"/>
      <c r="ONR227" s="111"/>
      <c r="ONS227" s="111"/>
      <c r="ONT227" s="111"/>
      <c r="ONU227" s="111"/>
      <c r="ONV227" s="111"/>
      <c r="ONW227" s="111"/>
      <c r="ONX227" s="111"/>
      <c r="ONY227" s="111"/>
      <c r="ONZ227" s="111"/>
      <c r="OOA227" s="111"/>
      <c r="OOB227" s="111"/>
      <c r="OOC227" s="111"/>
      <c r="OOD227" s="111"/>
      <c r="OOE227" s="111"/>
      <c r="OOF227" s="111"/>
      <c r="OOG227" s="111"/>
      <c r="OOH227" s="111"/>
      <c r="OOI227" s="111"/>
      <c r="OOJ227" s="111"/>
      <c r="OOK227" s="111"/>
      <c r="OOL227" s="111"/>
      <c r="OOM227" s="111"/>
      <c r="OON227" s="111"/>
      <c r="OOO227" s="111"/>
      <c r="OOP227" s="111"/>
      <c r="OOQ227" s="111"/>
      <c r="OOR227" s="111"/>
      <c r="OOS227" s="111"/>
      <c r="OOT227" s="111"/>
      <c r="OOU227" s="111"/>
      <c r="OOV227" s="111"/>
      <c r="OOW227" s="111"/>
      <c r="OOX227" s="111"/>
      <c r="OOY227" s="111"/>
      <c r="OOZ227" s="111"/>
      <c r="OPA227" s="111"/>
      <c r="OPB227" s="111"/>
      <c r="OPC227" s="111"/>
      <c r="OPD227" s="111"/>
      <c r="OPE227" s="111"/>
      <c r="OPF227" s="111"/>
      <c r="OPG227" s="111"/>
      <c r="OPH227" s="111"/>
      <c r="OPI227" s="111"/>
      <c r="OPJ227" s="111"/>
      <c r="OPK227" s="111"/>
      <c r="OPL227" s="111"/>
      <c r="OPM227" s="111"/>
      <c r="OPN227" s="111"/>
      <c r="OPO227" s="111"/>
      <c r="OPP227" s="111"/>
      <c r="OPQ227" s="111"/>
      <c r="OPR227" s="111"/>
      <c r="OPS227" s="111"/>
      <c r="OPT227" s="111"/>
      <c r="OPU227" s="111"/>
      <c r="OPV227" s="111"/>
      <c r="OPW227" s="111"/>
      <c r="OPX227" s="111"/>
      <c r="OPY227" s="111"/>
      <c r="OPZ227" s="111"/>
      <c r="OQA227" s="111"/>
      <c r="OQB227" s="111"/>
      <c r="OQC227" s="111"/>
      <c r="OQD227" s="111"/>
      <c r="OQE227" s="111"/>
      <c r="OQF227" s="111"/>
      <c r="OQG227" s="111"/>
      <c r="OQH227" s="111"/>
      <c r="OQI227" s="111"/>
      <c r="OQJ227" s="111"/>
      <c r="OQK227" s="111"/>
      <c r="OQL227" s="111"/>
      <c r="OQM227" s="111"/>
      <c r="OQN227" s="111"/>
      <c r="OQO227" s="111"/>
      <c r="OQP227" s="111"/>
      <c r="OQQ227" s="111"/>
      <c r="OQR227" s="111"/>
      <c r="OQS227" s="111"/>
      <c r="OQT227" s="111"/>
      <c r="OQU227" s="111"/>
      <c r="OQV227" s="111"/>
      <c r="OQW227" s="111"/>
      <c r="OQX227" s="111"/>
      <c r="OQY227" s="111"/>
      <c r="OQZ227" s="111"/>
      <c r="ORA227" s="111"/>
      <c r="ORB227" s="111"/>
      <c r="ORC227" s="111"/>
      <c r="ORD227" s="111"/>
      <c r="ORE227" s="111"/>
      <c r="ORF227" s="111"/>
      <c r="ORG227" s="111"/>
      <c r="ORH227" s="111"/>
      <c r="ORI227" s="111"/>
      <c r="ORJ227" s="111"/>
      <c r="ORK227" s="111"/>
      <c r="ORL227" s="111"/>
      <c r="ORM227" s="111"/>
      <c r="ORN227" s="111"/>
      <c r="ORO227" s="111"/>
      <c r="ORP227" s="111"/>
      <c r="ORQ227" s="111"/>
      <c r="ORR227" s="111"/>
      <c r="ORS227" s="111"/>
      <c r="ORT227" s="111"/>
      <c r="ORU227" s="111"/>
      <c r="ORV227" s="111"/>
      <c r="ORW227" s="111"/>
      <c r="ORX227" s="111"/>
      <c r="ORY227" s="111"/>
      <c r="ORZ227" s="111"/>
      <c r="OSA227" s="111"/>
      <c r="OSB227" s="111"/>
      <c r="OSC227" s="111"/>
      <c r="OSD227" s="111"/>
      <c r="OSE227" s="111"/>
      <c r="OSF227" s="111"/>
      <c r="OSG227" s="111"/>
      <c r="OSH227" s="111"/>
      <c r="OSI227" s="111"/>
      <c r="OSJ227" s="111"/>
      <c r="OSK227" s="111"/>
      <c r="OSL227" s="111"/>
      <c r="OSM227" s="111"/>
      <c r="OSN227" s="111"/>
      <c r="OSO227" s="111"/>
      <c r="OSP227" s="111"/>
      <c r="OSQ227" s="111"/>
      <c r="OSR227" s="111"/>
      <c r="OSS227" s="111"/>
      <c r="OST227" s="111"/>
      <c r="OSU227" s="111"/>
      <c r="OSV227" s="111"/>
      <c r="OSW227" s="111"/>
      <c r="OSX227" s="111"/>
      <c r="OSY227" s="111"/>
      <c r="OSZ227" s="111"/>
      <c r="OTA227" s="111"/>
      <c r="OTB227" s="111"/>
      <c r="OTC227" s="111"/>
      <c r="OTD227" s="111"/>
      <c r="OTE227" s="111"/>
      <c r="OTF227" s="111"/>
      <c r="OTG227" s="111"/>
      <c r="OTH227" s="111"/>
      <c r="OTI227" s="111"/>
      <c r="OTJ227" s="111"/>
      <c r="OTK227" s="111"/>
      <c r="OTL227" s="111"/>
      <c r="OTM227" s="111"/>
      <c r="OTN227" s="111"/>
      <c r="OTO227" s="111"/>
      <c r="OTP227" s="111"/>
      <c r="OTQ227" s="111"/>
      <c r="OTR227" s="111"/>
      <c r="OTS227" s="111"/>
      <c r="OTT227" s="111"/>
      <c r="OTU227" s="111"/>
      <c r="OTV227" s="111"/>
      <c r="OTW227" s="111"/>
      <c r="OTX227" s="111"/>
      <c r="OTY227" s="111"/>
      <c r="OTZ227" s="111"/>
      <c r="OUA227" s="111"/>
      <c r="OUB227" s="111"/>
      <c r="OUC227" s="111"/>
      <c r="OUD227" s="111"/>
      <c r="OUE227" s="111"/>
      <c r="OUF227" s="111"/>
      <c r="OUG227" s="111"/>
      <c r="OUH227" s="111"/>
      <c r="OUI227" s="111"/>
      <c r="OUJ227" s="111"/>
      <c r="OUK227" s="111"/>
      <c r="OUL227" s="111"/>
      <c r="OUM227" s="111"/>
      <c r="OUN227" s="111"/>
      <c r="OUO227" s="111"/>
      <c r="OUP227" s="111"/>
      <c r="OUQ227" s="111"/>
      <c r="OUR227" s="111"/>
      <c r="OUS227" s="111"/>
      <c r="OUT227" s="111"/>
      <c r="OUU227" s="111"/>
      <c r="OUV227" s="111"/>
      <c r="OUW227" s="111"/>
      <c r="OUX227" s="111"/>
      <c r="OUY227" s="111"/>
      <c r="OUZ227" s="111"/>
      <c r="OVA227" s="111"/>
      <c r="OVB227" s="111"/>
      <c r="OVC227" s="111"/>
      <c r="OVD227" s="111"/>
      <c r="OVE227" s="111"/>
      <c r="OVF227" s="111"/>
      <c r="OVG227" s="111"/>
      <c r="OVH227" s="111"/>
      <c r="OVI227" s="111"/>
      <c r="OVJ227" s="111"/>
      <c r="OVK227" s="111"/>
      <c r="OVL227" s="111"/>
      <c r="OVM227" s="111"/>
      <c r="OVN227" s="111"/>
      <c r="OVO227" s="111"/>
      <c r="OVP227" s="111"/>
      <c r="OVQ227" s="111"/>
      <c r="OVR227" s="111"/>
      <c r="OVS227" s="111"/>
      <c r="OVT227" s="111"/>
      <c r="OVU227" s="111"/>
      <c r="OVV227" s="111"/>
      <c r="OVW227" s="111"/>
      <c r="OVX227" s="111"/>
      <c r="OVY227" s="111"/>
      <c r="OVZ227" s="111"/>
      <c r="OWA227" s="111"/>
      <c r="OWB227" s="111"/>
      <c r="OWC227" s="111"/>
      <c r="OWD227" s="111"/>
      <c r="OWE227" s="111"/>
      <c r="OWF227" s="111"/>
      <c r="OWG227" s="111"/>
      <c r="OWH227" s="111"/>
      <c r="OWI227" s="111"/>
      <c r="OWJ227" s="111"/>
      <c r="OWK227" s="111"/>
      <c r="OWL227" s="111"/>
      <c r="OWM227" s="111"/>
      <c r="OWN227" s="111"/>
      <c r="OWO227" s="111"/>
      <c r="OWP227" s="111"/>
      <c r="OWQ227" s="111"/>
      <c r="OWR227" s="111"/>
      <c r="OWS227" s="111"/>
      <c r="OWT227" s="111"/>
      <c r="OWU227" s="111"/>
      <c r="OWV227" s="111"/>
      <c r="OWW227" s="111"/>
      <c r="OWX227" s="111"/>
      <c r="OWY227" s="111"/>
      <c r="OWZ227" s="111"/>
      <c r="OXA227" s="111"/>
      <c r="OXB227" s="111"/>
      <c r="OXC227" s="111"/>
      <c r="OXD227" s="111"/>
      <c r="OXE227" s="111"/>
      <c r="OXF227" s="111"/>
      <c r="OXG227" s="111"/>
      <c r="OXH227" s="111"/>
      <c r="OXI227" s="111"/>
      <c r="OXJ227" s="111"/>
      <c r="OXK227" s="111"/>
      <c r="OXL227" s="111"/>
      <c r="OXM227" s="111"/>
      <c r="OXN227" s="111"/>
      <c r="OXO227" s="111"/>
      <c r="OXP227" s="111"/>
      <c r="OXQ227" s="111"/>
      <c r="OXR227" s="111"/>
      <c r="OXS227" s="111"/>
      <c r="OXT227" s="111"/>
      <c r="OXU227" s="111"/>
      <c r="OXV227" s="111"/>
      <c r="OXW227" s="111"/>
      <c r="OXX227" s="111"/>
      <c r="OXY227" s="111"/>
      <c r="OXZ227" s="111"/>
      <c r="OYA227" s="111"/>
      <c r="OYB227" s="111"/>
      <c r="OYC227" s="111"/>
      <c r="OYD227" s="111"/>
      <c r="OYE227" s="111"/>
      <c r="OYF227" s="111"/>
      <c r="OYG227" s="111"/>
      <c r="OYH227" s="111"/>
      <c r="OYI227" s="111"/>
      <c r="OYJ227" s="111"/>
      <c r="OYK227" s="111"/>
      <c r="OYL227" s="111"/>
      <c r="OYM227" s="111"/>
      <c r="OYN227" s="111"/>
      <c r="OYO227" s="111"/>
      <c r="OYP227" s="111"/>
      <c r="OYQ227" s="111"/>
      <c r="OYR227" s="111"/>
      <c r="OYS227" s="111"/>
      <c r="OYT227" s="111"/>
      <c r="OYU227" s="111"/>
      <c r="OYV227" s="111"/>
      <c r="OYW227" s="111"/>
      <c r="OYX227" s="111"/>
      <c r="OYY227" s="111"/>
      <c r="OYZ227" s="111"/>
      <c r="OZA227" s="111"/>
      <c r="OZB227" s="111"/>
      <c r="OZC227" s="111"/>
      <c r="OZD227" s="111"/>
      <c r="OZE227" s="111"/>
      <c r="OZF227" s="111"/>
      <c r="OZG227" s="111"/>
      <c r="OZH227" s="111"/>
      <c r="OZI227" s="111"/>
      <c r="OZJ227" s="111"/>
      <c r="OZK227" s="111"/>
      <c r="OZL227" s="111"/>
      <c r="OZM227" s="111"/>
      <c r="OZN227" s="111"/>
      <c r="OZO227" s="111"/>
      <c r="OZP227" s="111"/>
      <c r="OZQ227" s="111"/>
      <c r="OZR227" s="111"/>
      <c r="OZS227" s="111"/>
      <c r="OZT227" s="111"/>
      <c r="OZU227" s="111"/>
      <c r="OZV227" s="111"/>
      <c r="OZW227" s="111"/>
      <c r="OZX227" s="111"/>
      <c r="OZY227" s="111"/>
      <c r="OZZ227" s="111"/>
      <c r="PAA227" s="111"/>
      <c r="PAB227" s="111"/>
      <c r="PAC227" s="111"/>
      <c r="PAD227" s="111"/>
      <c r="PAE227" s="111"/>
      <c r="PAF227" s="111"/>
      <c r="PAG227" s="111"/>
      <c r="PAH227" s="111"/>
      <c r="PAI227" s="111"/>
      <c r="PAJ227" s="111"/>
      <c r="PAK227" s="111"/>
      <c r="PAL227" s="111"/>
      <c r="PAM227" s="111"/>
      <c r="PAN227" s="111"/>
      <c r="PAO227" s="111"/>
      <c r="PAP227" s="111"/>
      <c r="PAQ227" s="111"/>
      <c r="PAR227" s="111"/>
      <c r="PAS227" s="111"/>
      <c r="PAT227" s="111"/>
      <c r="PAU227" s="111"/>
      <c r="PAV227" s="111"/>
      <c r="PAW227" s="111"/>
      <c r="PAX227" s="111"/>
      <c r="PAY227" s="111"/>
      <c r="PAZ227" s="111"/>
      <c r="PBA227" s="111"/>
      <c r="PBB227" s="111"/>
      <c r="PBC227" s="111"/>
      <c r="PBD227" s="111"/>
      <c r="PBE227" s="111"/>
      <c r="PBF227" s="111"/>
      <c r="PBG227" s="111"/>
      <c r="PBH227" s="111"/>
      <c r="PBI227" s="111"/>
      <c r="PBJ227" s="111"/>
      <c r="PBK227" s="111"/>
      <c r="PBL227" s="111"/>
      <c r="PBM227" s="111"/>
      <c r="PBN227" s="111"/>
      <c r="PBO227" s="111"/>
      <c r="PBP227" s="111"/>
      <c r="PBQ227" s="111"/>
      <c r="PBR227" s="111"/>
      <c r="PBS227" s="111"/>
      <c r="PBT227" s="111"/>
      <c r="PBU227" s="111"/>
      <c r="PBV227" s="111"/>
      <c r="PBW227" s="111"/>
      <c r="PBX227" s="111"/>
      <c r="PBY227" s="111"/>
      <c r="PBZ227" s="111"/>
      <c r="PCA227" s="111"/>
      <c r="PCB227" s="111"/>
      <c r="PCC227" s="111"/>
      <c r="PCD227" s="111"/>
      <c r="PCE227" s="111"/>
      <c r="PCF227" s="111"/>
      <c r="PCG227" s="111"/>
      <c r="PCH227" s="111"/>
      <c r="PCI227" s="111"/>
      <c r="PCJ227" s="111"/>
      <c r="PCK227" s="111"/>
      <c r="PCL227" s="111"/>
      <c r="PCM227" s="111"/>
      <c r="PCN227" s="111"/>
      <c r="PCO227" s="111"/>
      <c r="PCP227" s="111"/>
      <c r="PCQ227" s="111"/>
      <c r="PCR227" s="111"/>
      <c r="PCS227" s="111"/>
      <c r="PCT227" s="111"/>
      <c r="PCU227" s="111"/>
      <c r="PCV227" s="111"/>
      <c r="PCW227" s="111"/>
      <c r="PCX227" s="111"/>
      <c r="PCY227" s="111"/>
      <c r="PCZ227" s="111"/>
      <c r="PDA227" s="111"/>
      <c r="PDB227" s="111"/>
      <c r="PDC227" s="111"/>
      <c r="PDD227" s="111"/>
      <c r="PDE227" s="111"/>
      <c r="PDF227" s="111"/>
      <c r="PDG227" s="111"/>
      <c r="PDH227" s="111"/>
      <c r="PDI227" s="111"/>
      <c r="PDJ227" s="111"/>
      <c r="PDK227" s="111"/>
      <c r="PDL227" s="111"/>
      <c r="PDM227" s="111"/>
      <c r="PDN227" s="111"/>
      <c r="PDO227" s="111"/>
      <c r="PDP227" s="111"/>
      <c r="PDQ227" s="111"/>
      <c r="PDR227" s="111"/>
      <c r="PDS227" s="111"/>
      <c r="PDT227" s="111"/>
      <c r="PDU227" s="111"/>
      <c r="PDV227" s="111"/>
      <c r="PDW227" s="111"/>
      <c r="PDX227" s="111"/>
      <c r="PDY227" s="111"/>
      <c r="PDZ227" s="111"/>
      <c r="PEA227" s="111"/>
      <c r="PEB227" s="111"/>
      <c r="PEC227" s="111"/>
      <c r="PED227" s="111"/>
      <c r="PEE227" s="111"/>
      <c r="PEF227" s="111"/>
      <c r="PEG227" s="111"/>
      <c r="PEH227" s="111"/>
      <c r="PEI227" s="111"/>
      <c r="PEJ227" s="111"/>
      <c r="PEK227" s="111"/>
      <c r="PEL227" s="111"/>
      <c r="PEM227" s="111"/>
      <c r="PEN227" s="111"/>
      <c r="PEO227" s="111"/>
      <c r="PEP227" s="111"/>
      <c r="PEQ227" s="111"/>
      <c r="PER227" s="111"/>
      <c r="PES227" s="111"/>
      <c r="PET227" s="111"/>
      <c r="PEU227" s="111"/>
      <c r="PEV227" s="111"/>
      <c r="PEW227" s="111"/>
      <c r="PEX227" s="111"/>
      <c r="PEY227" s="111"/>
      <c r="PEZ227" s="111"/>
      <c r="PFA227" s="111"/>
      <c r="PFB227" s="111"/>
      <c r="PFC227" s="111"/>
      <c r="PFD227" s="111"/>
      <c r="PFE227" s="111"/>
      <c r="PFF227" s="111"/>
      <c r="PFG227" s="111"/>
      <c r="PFH227" s="111"/>
      <c r="PFI227" s="111"/>
      <c r="PFJ227" s="111"/>
      <c r="PFK227" s="111"/>
      <c r="PFL227" s="111"/>
      <c r="PFM227" s="111"/>
      <c r="PFN227" s="111"/>
      <c r="PFO227" s="111"/>
      <c r="PFP227" s="111"/>
      <c r="PFQ227" s="111"/>
      <c r="PFR227" s="111"/>
      <c r="PFS227" s="111"/>
      <c r="PFT227" s="111"/>
      <c r="PFU227" s="111"/>
      <c r="PFV227" s="111"/>
      <c r="PFW227" s="111"/>
      <c r="PFX227" s="111"/>
      <c r="PFY227" s="111"/>
      <c r="PFZ227" s="111"/>
      <c r="PGA227" s="111"/>
      <c r="PGB227" s="111"/>
      <c r="PGC227" s="111"/>
      <c r="PGD227" s="111"/>
      <c r="PGE227" s="111"/>
      <c r="PGF227" s="111"/>
      <c r="PGG227" s="111"/>
      <c r="PGH227" s="111"/>
      <c r="PGI227" s="111"/>
      <c r="PGJ227" s="111"/>
      <c r="PGK227" s="111"/>
      <c r="PGL227" s="111"/>
      <c r="PGM227" s="111"/>
      <c r="PGN227" s="111"/>
      <c r="PGO227" s="111"/>
      <c r="PGP227" s="111"/>
      <c r="PGQ227" s="111"/>
      <c r="PGR227" s="111"/>
      <c r="PGS227" s="111"/>
      <c r="PGT227" s="111"/>
      <c r="PGU227" s="111"/>
      <c r="PGV227" s="111"/>
      <c r="PGW227" s="111"/>
      <c r="PGX227" s="111"/>
      <c r="PGY227" s="111"/>
      <c r="PGZ227" s="111"/>
      <c r="PHA227" s="111"/>
      <c r="PHB227" s="111"/>
      <c r="PHC227" s="111"/>
      <c r="PHD227" s="111"/>
      <c r="PHE227" s="111"/>
      <c r="PHF227" s="111"/>
      <c r="PHG227" s="111"/>
      <c r="PHH227" s="111"/>
      <c r="PHI227" s="111"/>
      <c r="PHJ227" s="111"/>
      <c r="PHK227" s="111"/>
      <c r="PHL227" s="111"/>
      <c r="PHM227" s="111"/>
      <c r="PHN227" s="111"/>
      <c r="PHO227" s="111"/>
      <c r="PHP227" s="111"/>
      <c r="PHQ227" s="111"/>
      <c r="PHR227" s="111"/>
      <c r="PHS227" s="111"/>
      <c r="PHT227" s="111"/>
      <c r="PHU227" s="111"/>
      <c r="PHV227" s="111"/>
      <c r="PHW227" s="111"/>
      <c r="PHX227" s="111"/>
      <c r="PHY227" s="111"/>
      <c r="PHZ227" s="111"/>
      <c r="PIA227" s="111"/>
      <c r="PIB227" s="111"/>
      <c r="PIC227" s="111"/>
      <c r="PID227" s="111"/>
      <c r="PIE227" s="111"/>
      <c r="PIF227" s="111"/>
      <c r="PIG227" s="111"/>
      <c r="PIH227" s="111"/>
      <c r="PII227" s="111"/>
      <c r="PIJ227" s="111"/>
      <c r="PIK227" s="111"/>
      <c r="PIL227" s="111"/>
      <c r="PIM227" s="111"/>
      <c r="PIN227" s="111"/>
      <c r="PIO227" s="111"/>
      <c r="PIP227" s="111"/>
      <c r="PIQ227" s="111"/>
      <c r="PIR227" s="111"/>
      <c r="PIS227" s="111"/>
      <c r="PIT227" s="111"/>
      <c r="PIU227" s="111"/>
      <c r="PIV227" s="111"/>
      <c r="PIW227" s="111"/>
      <c r="PIX227" s="111"/>
      <c r="PIY227" s="111"/>
      <c r="PIZ227" s="111"/>
      <c r="PJA227" s="111"/>
      <c r="PJB227" s="111"/>
      <c r="PJC227" s="111"/>
      <c r="PJD227" s="111"/>
      <c r="PJE227" s="111"/>
      <c r="PJF227" s="111"/>
      <c r="PJG227" s="111"/>
      <c r="PJH227" s="111"/>
      <c r="PJI227" s="111"/>
      <c r="PJJ227" s="111"/>
      <c r="PJK227" s="111"/>
      <c r="PJL227" s="111"/>
      <c r="PJM227" s="111"/>
      <c r="PJN227" s="111"/>
      <c r="PJO227" s="111"/>
      <c r="PJP227" s="111"/>
      <c r="PJQ227" s="111"/>
      <c r="PJR227" s="111"/>
      <c r="PJS227" s="111"/>
      <c r="PJT227" s="111"/>
      <c r="PJU227" s="111"/>
      <c r="PJV227" s="111"/>
      <c r="PJW227" s="111"/>
      <c r="PJX227" s="111"/>
      <c r="PJY227" s="111"/>
      <c r="PJZ227" s="111"/>
      <c r="PKA227" s="111"/>
      <c r="PKB227" s="111"/>
      <c r="PKC227" s="111"/>
      <c r="PKD227" s="111"/>
      <c r="PKE227" s="111"/>
      <c r="PKF227" s="111"/>
      <c r="PKG227" s="111"/>
      <c r="PKH227" s="111"/>
      <c r="PKI227" s="111"/>
      <c r="PKJ227" s="111"/>
      <c r="PKK227" s="111"/>
      <c r="PKL227" s="111"/>
      <c r="PKM227" s="111"/>
      <c r="PKN227" s="111"/>
      <c r="PKO227" s="111"/>
      <c r="PKP227" s="111"/>
      <c r="PKQ227" s="111"/>
      <c r="PKR227" s="111"/>
      <c r="PKS227" s="111"/>
      <c r="PKT227" s="111"/>
      <c r="PKU227" s="111"/>
      <c r="PKV227" s="111"/>
      <c r="PKW227" s="111"/>
      <c r="PKX227" s="111"/>
      <c r="PKY227" s="111"/>
      <c r="PKZ227" s="111"/>
      <c r="PLA227" s="111"/>
      <c r="PLB227" s="111"/>
      <c r="PLC227" s="111"/>
      <c r="PLD227" s="111"/>
      <c r="PLE227" s="111"/>
      <c r="PLF227" s="111"/>
      <c r="PLG227" s="111"/>
      <c r="PLH227" s="111"/>
      <c r="PLI227" s="111"/>
      <c r="PLJ227" s="111"/>
      <c r="PLK227" s="111"/>
      <c r="PLL227" s="111"/>
      <c r="PLM227" s="111"/>
      <c r="PLN227" s="111"/>
      <c r="PLO227" s="111"/>
      <c r="PLP227" s="111"/>
      <c r="PLQ227" s="111"/>
      <c r="PLR227" s="111"/>
      <c r="PLS227" s="111"/>
      <c r="PLT227" s="111"/>
      <c r="PLU227" s="111"/>
      <c r="PLV227" s="111"/>
      <c r="PLW227" s="111"/>
      <c r="PLX227" s="111"/>
      <c r="PLY227" s="111"/>
      <c r="PLZ227" s="111"/>
      <c r="PMA227" s="111"/>
      <c r="PMB227" s="111"/>
      <c r="PMC227" s="111"/>
      <c r="PMD227" s="111"/>
      <c r="PME227" s="111"/>
      <c r="PMF227" s="111"/>
      <c r="PMG227" s="111"/>
      <c r="PMH227" s="111"/>
      <c r="PMI227" s="111"/>
      <c r="PMJ227" s="111"/>
      <c r="PMK227" s="111"/>
      <c r="PML227" s="111"/>
      <c r="PMM227" s="111"/>
      <c r="PMN227" s="111"/>
      <c r="PMO227" s="111"/>
      <c r="PMP227" s="111"/>
      <c r="PMQ227" s="111"/>
      <c r="PMR227" s="111"/>
      <c r="PMS227" s="111"/>
      <c r="PMT227" s="111"/>
      <c r="PMU227" s="111"/>
      <c r="PMV227" s="111"/>
      <c r="PMW227" s="111"/>
      <c r="PMX227" s="111"/>
      <c r="PMY227" s="111"/>
      <c r="PMZ227" s="111"/>
      <c r="PNA227" s="111"/>
      <c r="PNB227" s="111"/>
      <c r="PNC227" s="111"/>
      <c r="PND227" s="111"/>
      <c r="PNE227" s="111"/>
      <c r="PNF227" s="111"/>
      <c r="PNG227" s="111"/>
      <c r="PNH227" s="111"/>
      <c r="PNI227" s="111"/>
      <c r="PNJ227" s="111"/>
      <c r="PNK227" s="111"/>
      <c r="PNL227" s="111"/>
      <c r="PNM227" s="111"/>
      <c r="PNN227" s="111"/>
      <c r="PNO227" s="111"/>
      <c r="PNP227" s="111"/>
      <c r="PNQ227" s="111"/>
      <c r="PNR227" s="111"/>
      <c r="PNS227" s="111"/>
      <c r="PNT227" s="111"/>
      <c r="PNU227" s="111"/>
      <c r="PNV227" s="111"/>
      <c r="PNW227" s="111"/>
      <c r="PNX227" s="111"/>
      <c r="PNY227" s="111"/>
      <c r="PNZ227" s="111"/>
      <c r="POA227" s="111"/>
      <c r="POB227" s="111"/>
      <c r="POC227" s="111"/>
      <c r="POD227" s="111"/>
      <c r="POE227" s="111"/>
      <c r="POF227" s="111"/>
      <c r="POG227" s="111"/>
      <c r="POH227" s="111"/>
      <c r="POI227" s="111"/>
      <c r="POJ227" s="111"/>
      <c r="POK227" s="111"/>
      <c r="POL227" s="111"/>
      <c r="POM227" s="111"/>
      <c r="PON227" s="111"/>
      <c r="POO227" s="111"/>
      <c r="POP227" s="111"/>
      <c r="POQ227" s="111"/>
      <c r="POR227" s="111"/>
      <c r="POS227" s="111"/>
      <c r="POT227" s="111"/>
      <c r="POU227" s="111"/>
      <c r="POV227" s="111"/>
      <c r="POW227" s="111"/>
      <c r="POX227" s="111"/>
      <c r="POY227" s="111"/>
      <c r="POZ227" s="111"/>
      <c r="PPA227" s="111"/>
      <c r="PPB227" s="111"/>
      <c r="PPC227" s="111"/>
      <c r="PPD227" s="111"/>
      <c r="PPE227" s="111"/>
      <c r="PPF227" s="111"/>
      <c r="PPG227" s="111"/>
      <c r="PPH227" s="111"/>
      <c r="PPI227" s="111"/>
      <c r="PPJ227" s="111"/>
      <c r="PPK227" s="111"/>
      <c r="PPL227" s="111"/>
      <c r="PPM227" s="111"/>
      <c r="PPN227" s="111"/>
      <c r="PPO227" s="111"/>
      <c r="PPP227" s="111"/>
      <c r="PPQ227" s="111"/>
      <c r="PPR227" s="111"/>
      <c r="PPS227" s="111"/>
      <c r="PPT227" s="111"/>
      <c r="PPU227" s="111"/>
      <c r="PPV227" s="111"/>
      <c r="PPW227" s="111"/>
      <c r="PPX227" s="111"/>
      <c r="PPY227" s="111"/>
      <c r="PPZ227" s="111"/>
      <c r="PQA227" s="111"/>
      <c r="PQB227" s="111"/>
      <c r="PQC227" s="111"/>
      <c r="PQD227" s="111"/>
      <c r="PQE227" s="111"/>
      <c r="PQF227" s="111"/>
      <c r="PQG227" s="111"/>
      <c r="PQH227" s="111"/>
      <c r="PQI227" s="111"/>
      <c r="PQJ227" s="111"/>
      <c r="PQK227" s="111"/>
      <c r="PQL227" s="111"/>
      <c r="PQM227" s="111"/>
      <c r="PQN227" s="111"/>
      <c r="PQO227" s="111"/>
      <c r="PQP227" s="111"/>
      <c r="PQQ227" s="111"/>
      <c r="PQR227" s="111"/>
      <c r="PQS227" s="111"/>
      <c r="PQT227" s="111"/>
      <c r="PQU227" s="111"/>
      <c r="PQV227" s="111"/>
      <c r="PQW227" s="111"/>
      <c r="PQX227" s="111"/>
      <c r="PQY227" s="111"/>
      <c r="PQZ227" s="111"/>
      <c r="PRA227" s="111"/>
      <c r="PRB227" s="111"/>
      <c r="PRC227" s="111"/>
      <c r="PRD227" s="111"/>
      <c r="PRE227" s="111"/>
      <c r="PRF227" s="111"/>
      <c r="PRG227" s="111"/>
      <c r="PRH227" s="111"/>
      <c r="PRI227" s="111"/>
      <c r="PRJ227" s="111"/>
      <c r="PRK227" s="111"/>
      <c r="PRL227" s="111"/>
      <c r="PRM227" s="111"/>
      <c r="PRN227" s="111"/>
      <c r="PRO227" s="111"/>
      <c r="PRP227" s="111"/>
      <c r="PRQ227" s="111"/>
      <c r="PRR227" s="111"/>
      <c r="PRS227" s="111"/>
      <c r="PRT227" s="111"/>
      <c r="PRU227" s="111"/>
      <c r="PRV227" s="111"/>
      <c r="PRW227" s="111"/>
      <c r="PRX227" s="111"/>
      <c r="PRY227" s="111"/>
      <c r="PRZ227" s="111"/>
      <c r="PSA227" s="111"/>
      <c r="PSB227" s="111"/>
      <c r="PSC227" s="111"/>
      <c r="PSD227" s="111"/>
      <c r="PSE227" s="111"/>
      <c r="PSF227" s="111"/>
      <c r="PSG227" s="111"/>
      <c r="PSH227" s="111"/>
      <c r="PSI227" s="111"/>
      <c r="PSJ227" s="111"/>
      <c r="PSK227" s="111"/>
      <c r="PSL227" s="111"/>
      <c r="PSM227" s="111"/>
      <c r="PSN227" s="111"/>
      <c r="PSO227" s="111"/>
      <c r="PSP227" s="111"/>
      <c r="PSQ227" s="111"/>
      <c r="PSR227" s="111"/>
      <c r="PSS227" s="111"/>
      <c r="PST227" s="111"/>
      <c r="PSU227" s="111"/>
      <c r="PSV227" s="111"/>
      <c r="PSW227" s="111"/>
      <c r="PSX227" s="111"/>
      <c r="PSY227" s="111"/>
      <c r="PSZ227" s="111"/>
      <c r="PTA227" s="111"/>
      <c r="PTB227" s="111"/>
      <c r="PTC227" s="111"/>
      <c r="PTD227" s="111"/>
      <c r="PTE227" s="111"/>
      <c r="PTF227" s="111"/>
      <c r="PTG227" s="111"/>
      <c r="PTH227" s="111"/>
      <c r="PTI227" s="111"/>
      <c r="PTJ227" s="111"/>
      <c r="PTK227" s="111"/>
      <c r="PTL227" s="111"/>
      <c r="PTM227" s="111"/>
      <c r="PTN227" s="111"/>
      <c r="PTO227" s="111"/>
      <c r="PTP227" s="111"/>
      <c r="PTQ227" s="111"/>
      <c r="PTR227" s="111"/>
      <c r="PTS227" s="111"/>
      <c r="PTT227" s="111"/>
      <c r="PTU227" s="111"/>
      <c r="PTV227" s="111"/>
      <c r="PTW227" s="111"/>
      <c r="PTX227" s="111"/>
      <c r="PTY227" s="111"/>
      <c r="PTZ227" s="111"/>
      <c r="PUA227" s="111"/>
      <c r="PUB227" s="111"/>
      <c r="PUC227" s="111"/>
      <c r="PUD227" s="111"/>
      <c r="PUE227" s="111"/>
      <c r="PUF227" s="111"/>
      <c r="PUG227" s="111"/>
      <c r="PUH227" s="111"/>
      <c r="PUI227" s="111"/>
      <c r="PUJ227" s="111"/>
      <c r="PUK227" s="111"/>
      <c r="PUL227" s="111"/>
      <c r="PUM227" s="111"/>
      <c r="PUN227" s="111"/>
      <c r="PUO227" s="111"/>
      <c r="PUP227" s="111"/>
      <c r="PUQ227" s="111"/>
      <c r="PUR227" s="111"/>
      <c r="PUS227" s="111"/>
      <c r="PUT227" s="111"/>
      <c r="PUU227" s="111"/>
      <c r="PUV227" s="111"/>
      <c r="PUW227" s="111"/>
      <c r="PUX227" s="111"/>
      <c r="PUY227" s="111"/>
      <c r="PUZ227" s="111"/>
      <c r="PVA227" s="111"/>
      <c r="PVB227" s="111"/>
      <c r="PVC227" s="111"/>
      <c r="PVD227" s="111"/>
      <c r="PVE227" s="111"/>
      <c r="PVF227" s="111"/>
      <c r="PVG227" s="111"/>
      <c r="PVH227" s="111"/>
      <c r="PVI227" s="111"/>
      <c r="PVJ227" s="111"/>
      <c r="PVK227" s="111"/>
      <c r="PVL227" s="111"/>
      <c r="PVM227" s="111"/>
      <c r="PVN227" s="111"/>
      <c r="PVO227" s="111"/>
      <c r="PVP227" s="111"/>
      <c r="PVQ227" s="111"/>
      <c r="PVR227" s="111"/>
      <c r="PVS227" s="111"/>
      <c r="PVT227" s="111"/>
      <c r="PVU227" s="111"/>
      <c r="PVV227" s="111"/>
      <c r="PVW227" s="111"/>
      <c r="PVX227" s="111"/>
      <c r="PVY227" s="111"/>
      <c r="PVZ227" s="111"/>
      <c r="PWA227" s="111"/>
      <c r="PWB227" s="111"/>
      <c r="PWC227" s="111"/>
      <c r="PWD227" s="111"/>
      <c r="PWE227" s="111"/>
      <c r="PWF227" s="111"/>
      <c r="PWG227" s="111"/>
      <c r="PWH227" s="111"/>
      <c r="PWI227" s="111"/>
      <c r="PWJ227" s="111"/>
      <c r="PWK227" s="111"/>
      <c r="PWL227" s="111"/>
      <c r="PWM227" s="111"/>
      <c r="PWN227" s="111"/>
      <c r="PWO227" s="111"/>
      <c r="PWP227" s="111"/>
      <c r="PWQ227" s="111"/>
      <c r="PWR227" s="111"/>
      <c r="PWS227" s="111"/>
      <c r="PWT227" s="111"/>
      <c r="PWU227" s="111"/>
      <c r="PWV227" s="111"/>
      <c r="PWW227" s="111"/>
      <c r="PWX227" s="111"/>
      <c r="PWY227" s="111"/>
      <c r="PWZ227" s="111"/>
      <c r="PXA227" s="111"/>
      <c r="PXB227" s="111"/>
      <c r="PXC227" s="111"/>
      <c r="PXD227" s="111"/>
      <c r="PXE227" s="111"/>
      <c r="PXF227" s="111"/>
      <c r="PXG227" s="111"/>
      <c r="PXH227" s="111"/>
      <c r="PXI227" s="111"/>
      <c r="PXJ227" s="111"/>
      <c r="PXK227" s="111"/>
      <c r="PXL227" s="111"/>
      <c r="PXM227" s="111"/>
      <c r="PXN227" s="111"/>
      <c r="PXO227" s="111"/>
      <c r="PXP227" s="111"/>
      <c r="PXQ227" s="111"/>
      <c r="PXR227" s="111"/>
      <c r="PXS227" s="111"/>
      <c r="PXT227" s="111"/>
      <c r="PXU227" s="111"/>
      <c r="PXV227" s="111"/>
      <c r="PXW227" s="111"/>
      <c r="PXX227" s="111"/>
      <c r="PXY227" s="111"/>
      <c r="PXZ227" s="111"/>
      <c r="PYA227" s="111"/>
      <c r="PYB227" s="111"/>
      <c r="PYC227" s="111"/>
      <c r="PYD227" s="111"/>
      <c r="PYE227" s="111"/>
      <c r="PYF227" s="111"/>
      <c r="PYG227" s="111"/>
      <c r="PYH227" s="111"/>
      <c r="PYI227" s="111"/>
      <c r="PYJ227" s="111"/>
      <c r="PYK227" s="111"/>
      <c r="PYL227" s="111"/>
      <c r="PYM227" s="111"/>
      <c r="PYN227" s="111"/>
      <c r="PYO227" s="111"/>
      <c r="PYP227" s="111"/>
      <c r="PYQ227" s="111"/>
      <c r="PYR227" s="111"/>
      <c r="PYS227" s="111"/>
      <c r="PYT227" s="111"/>
      <c r="PYU227" s="111"/>
      <c r="PYV227" s="111"/>
      <c r="PYW227" s="111"/>
      <c r="PYX227" s="111"/>
      <c r="PYY227" s="111"/>
      <c r="PYZ227" s="111"/>
      <c r="PZA227" s="111"/>
      <c r="PZB227" s="111"/>
      <c r="PZC227" s="111"/>
      <c r="PZD227" s="111"/>
      <c r="PZE227" s="111"/>
      <c r="PZF227" s="111"/>
      <c r="PZG227" s="111"/>
      <c r="PZH227" s="111"/>
      <c r="PZI227" s="111"/>
      <c r="PZJ227" s="111"/>
      <c r="PZK227" s="111"/>
      <c r="PZL227" s="111"/>
      <c r="PZM227" s="111"/>
      <c r="PZN227" s="111"/>
      <c r="PZO227" s="111"/>
      <c r="PZP227" s="111"/>
      <c r="PZQ227" s="111"/>
      <c r="PZR227" s="111"/>
      <c r="PZS227" s="111"/>
      <c r="PZT227" s="111"/>
      <c r="PZU227" s="111"/>
      <c r="PZV227" s="111"/>
      <c r="PZW227" s="111"/>
      <c r="PZX227" s="111"/>
      <c r="PZY227" s="111"/>
      <c r="PZZ227" s="111"/>
      <c r="QAA227" s="111"/>
      <c r="QAB227" s="111"/>
      <c r="QAC227" s="111"/>
      <c r="QAD227" s="111"/>
      <c r="QAE227" s="111"/>
      <c r="QAF227" s="111"/>
      <c r="QAG227" s="111"/>
      <c r="QAH227" s="111"/>
      <c r="QAI227" s="111"/>
      <c r="QAJ227" s="111"/>
      <c r="QAK227" s="111"/>
      <c r="QAL227" s="111"/>
      <c r="QAM227" s="111"/>
      <c r="QAN227" s="111"/>
      <c r="QAO227" s="111"/>
      <c r="QAP227" s="111"/>
      <c r="QAQ227" s="111"/>
      <c r="QAR227" s="111"/>
      <c r="QAS227" s="111"/>
      <c r="QAT227" s="111"/>
      <c r="QAU227" s="111"/>
      <c r="QAV227" s="111"/>
      <c r="QAW227" s="111"/>
      <c r="QAX227" s="111"/>
      <c r="QAY227" s="111"/>
      <c r="QAZ227" s="111"/>
      <c r="QBA227" s="111"/>
      <c r="QBB227" s="111"/>
      <c r="QBC227" s="111"/>
      <c r="QBD227" s="111"/>
      <c r="QBE227" s="111"/>
      <c r="QBF227" s="111"/>
      <c r="QBG227" s="111"/>
      <c r="QBH227" s="111"/>
      <c r="QBI227" s="111"/>
      <c r="QBJ227" s="111"/>
      <c r="QBK227" s="111"/>
      <c r="QBL227" s="111"/>
      <c r="QBM227" s="111"/>
      <c r="QBN227" s="111"/>
      <c r="QBO227" s="111"/>
      <c r="QBP227" s="111"/>
      <c r="QBQ227" s="111"/>
      <c r="QBR227" s="111"/>
      <c r="QBS227" s="111"/>
      <c r="QBT227" s="111"/>
      <c r="QBU227" s="111"/>
      <c r="QBV227" s="111"/>
      <c r="QBW227" s="111"/>
      <c r="QBX227" s="111"/>
      <c r="QBY227" s="111"/>
      <c r="QBZ227" s="111"/>
      <c r="QCA227" s="111"/>
      <c r="QCB227" s="111"/>
      <c r="QCC227" s="111"/>
      <c r="QCD227" s="111"/>
      <c r="QCE227" s="111"/>
      <c r="QCF227" s="111"/>
      <c r="QCG227" s="111"/>
      <c r="QCH227" s="111"/>
      <c r="QCI227" s="111"/>
      <c r="QCJ227" s="111"/>
      <c r="QCK227" s="111"/>
      <c r="QCL227" s="111"/>
      <c r="QCM227" s="111"/>
      <c r="QCN227" s="111"/>
      <c r="QCO227" s="111"/>
      <c r="QCP227" s="111"/>
      <c r="QCQ227" s="111"/>
      <c r="QCR227" s="111"/>
      <c r="QCS227" s="111"/>
      <c r="QCT227" s="111"/>
      <c r="QCU227" s="111"/>
      <c r="QCV227" s="111"/>
      <c r="QCW227" s="111"/>
      <c r="QCX227" s="111"/>
      <c r="QCY227" s="111"/>
      <c r="QCZ227" s="111"/>
      <c r="QDA227" s="111"/>
      <c r="QDB227" s="111"/>
      <c r="QDC227" s="111"/>
      <c r="QDD227" s="111"/>
      <c r="QDE227" s="111"/>
      <c r="QDF227" s="111"/>
      <c r="QDG227" s="111"/>
      <c r="QDH227" s="111"/>
      <c r="QDI227" s="111"/>
      <c r="QDJ227" s="111"/>
      <c r="QDK227" s="111"/>
      <c r="QDL227" s="111"/>
      <c r="QDM227" s="111"/>
      <c r="QDN227" s="111"/>
      <c r="QDO227" s="111"/>
      <c r="QDP227" s="111"/>
      <c r="QDQ227" s="111"/>
      <c r="QDR227" s="111"/>
      <c r="QDS227" s="111"/>
      <c r="QDT227" s="111"/>
      <c r="QDU227" s="111"/>
      <c r="QDV227" s="111"/>
      <c r="QDW227" s="111"/>
      <c r="QDX227" s="111"/>
      <c r="QDY227" s="111"/>
      <c r="QDZ227" s="111"/>
      <c r="QEA227" s="111"/>
      <c r="QEB227" s="111"/>
      <c r="QEC227" s="111"/>
      <c r="QED227" s="111"/>
      <c r="QEE227" s="111"/>
      <c r="QEF227" s="111"/>
      <c r="QEG227" s="111"/>
      <c r="QEH227" s="111"/>
      <c r="QEI227" s="111"/>
      <c r="QEJ227" s="111"/>
      <c r="QEK227" s="111"/>
      <c r="QEL227" s="111"/>
      <c r="QEM227" s="111"/>
      <c r="QEN227" s="111"/>
      <c r="QEO227" s="111"/>
      <c r="QEP227" s="111"/>
      <c r="QEQ227" s="111"/>
      <c r="QER227" s="111"/>
      <c r="QES227" s="111"/>
      <c r="QET227" s="111"/>
      <c r="QEU227" s="111"/>
      <c r="QEV227" s="111"/>
      <c r="QEW227" s="111"/>
      <c r="QEX227" s="111"/>
      <c r="QEY227" s="111"/>
      <c r="QEZ227" s="111"/>
      <c r="QFA227" s="111"/>
      <c r="QFB227" s="111"/>
      <c r="QFC227" s="111"/>
      <c r="QFD227" s="111"/>
      <c r="QFE227" s="111"/>
      <c r="QFF227" s="111"/>
      <c r="QFG227" s="111"/>
      <c r="QFH227" s="111"/>
      <c r="QFI227" s="111"/>
      <c r="QFJ227" s="111"/>
      <c r="QFK227" s="111"/>
      <c r="QFL227" s="111"/>
      <c r="QFM227" s="111"/>
      <c r="QFN227" s="111"/>
      <c r="QFO227" s="111"/>
      <c r="QFP227" s="111"/>
      <c r="QFQ227" s="111"/>
      <c r="QFR227" s="111"/>
      <c r="QFS227" s="111"/>
      <c r="QFT227" s="111"/>
      <c r="QFU227" s="111"/>
      <c r="QFV227" s="111"/>
      <c r="QFW227" s="111"/>
      <c r="QFX227" s="111"/>
      <c r="QFY227" s="111"/>
      <c r="QFZ227" s="111"/>
      <c r="QGA227" s="111"/>
      <c r="QGB227" s="111"/>
      <c r="QGC227" s="111"/>
      <c r="QGD227" s="111"/>
      <c r="QGE227" s="111"/>
      <c r="QGF227" s="111"/>
      <c r="QGG227" s="111"/>
      <c r="QGH227" s="111"/>
      <c r="QGI227" s="111"/>
      <c r="QGJ227" s="111"/>
      <c r="QGK227" s="111"/>
      <c r="QGL227" s="111"/>
      <c r="QGM227" s="111"/>
      <c r="QGN227" s="111"/>
      <c r="QGO227" s="111"/>
      <c r="QGP227" s="111"/>
      <c r="QGQ227" s="111"/>
      <c r="QGR227" s="111"/>
      <c r="QGS227" s="111"/>
      <c r="QGT227" s="111"/>
      <c r="QGU227" s="111"/>
      <c r="QGV227" s="111"/>
      <c r="QGW227" s="111"/>
      <c r="QGX227" s="111"/>
      <c r="QGY227" s="111"/>
      <c r="QGZ227" s="111"/>
      <c r="QHA227" s="111"/>
      <c r="QHB227" s="111"/>
      <c r="QHC227" s="111"/>
      <c r="QHD227" s="111"/>
      <c r="QHE227" s="111"/>
      <c r="QHF227" s="111"/>
      <c r="QHG227" s="111"/>
      <c r="QHH227" s="111"/>
      <c r="QHI227" s="111"/>
      <c r="QHJ227" s="111"/>
      <c r="QHK227" s="111"/>
      <c r="QHL227" s="111"/>
      <c r="QHM227" s="111"/>
      <c r="QHN227" s="111"/>
      <c r="QHO227" s="111"/>
      <c r="QHP227" s="111"/>
      <c r="QHQ227" s="111"/>
      <c r="QHR227" s="111"/>
      <c r="QHS227" s="111"/>
      <c r="QHT227" s="111"/>
      <c r="QHU227" s="111"/>
      <c r="QHV227" s="111"/>
      <c r="QHW227" s="111"/>
      <c r="QHX227" s="111"/>
      <c r="QHY227" s="111"/>
      <c r="QHZ227" s="111"/>
      <c r="QIA227" s="111"/>
      <c r="QIB227" s="111"/>
      <c r="QIC227" s="111"/>
      <c r="QID227" s="111"/>
      <c r="QIE227" s="111"/>
      <c r="QIF227" s="111"/>
      <c r="QIG227" s="111"/>
      <c r="QIH227" s="111"/>
      <c r="QII227" s="111"/>
      <c r="QIJ227" s="111"/>
      <c r="QIK227" s="111"/>
      <c r="QIL227" s="111"/>
      <c r="QIM227" s="111"/>
      <c r="QIN227" s="111"/>
      <c r="QIO227" s="111"/>
      <c r="QIP227" s="111"/>
      <c r="QIQ227" s="111"/>
      <c r="QIR227" s="111"/>
      <c r="QIS227" s="111"/>
      <c r="QIT227" s="111"/>
      <c r="QIU227" s="111"/>
      <c r="QIV227" s="111"/>
      <c r="QIW227" s="111"/>
      <c r="QIX227" s="111"/>
      <c r="QIY227" s="111"/>
      <c r="QIZ227" s="111"/>
      <c r="QJA227" s="111"/>
      <c r="QJB227" s="111"/>
      <c r="QJC227" s="111"/>
      <c r="QJD227" s="111"/>
      <c r="QJE227" s="111"/>
      <c r="QJF227" s="111"/>
      <c r="QJG227" s="111"/>
      <c r="QJH227" s="111"/>
      <c r="QJI227" s="111"/>
      <c r="QJJ227" s="111"/>
      <c r="QJK227" s="111"/>
      <c r="QJL227" s="111"/>
      <c r="QJM227" s="111"/>
      <c r="QJN227" s="111"/>
      <c r="QJO227" s="111"/>
      <c r="QJP227" s="111"/>
      <c r="QJQ227" s="111"/>
      <c r="QJR227" s="111"/>
      <c r="QJS227" s="111"/>
      <c r="QJT227" s="111"/>
      <c r="QJU227" s="111"/>
      <c r="QJV227" s="111"/>
      <c r="QJW227" s="111"/>
      <c r="QJX227" s="111"/>
      <c r="QJY227" s="111"/>
      <c r="QJZ227" s="111"/>
      <c r="QKA227" s="111"/>
      <c r="QKB227" s="111"/>
      <c r="QKC227" s="111"/>
      <c r="QKD227" s="111"/>
      <c r="QKE227" s="111"/>
      <c r="QKF227" s="111"/>
      <c r="QKG227" s="111"/>
      <c r="QKH227" s="111"/>
      <c r="QKI227" s="111"/>
      <c r="QKJ227" s="111"/>
      <c r="QKK227" s="111"/>
      <c r="QKL227" s="111"/>
      <c r="QKM227" s="111"/>
      <c r="QKN227" s="111"/>
      <c r="QKO227" s="111"/>
      <c r="QKP227" s="111"/>
      <c r="QKQ227" s="111"/>
      <c r="QKR227" s="111"/>
      <c r="QKS227" s="111"/>
      <c r="QKT227" s="111"/>
      <c r="QKU227" s="111"/>
      <c r="QKV227" s="111"/>
      <c r="QKW227" s="111"/>
      <c r="QKX227" s="111"/>
      <c r="QKY227" s="111"/>
      <c r="QKZ227" s="111"/>
      <c r="QLA227" s="111"/>
      <c r="QLB227" s="111"/>
      <c r="QLC227" s="111"/>
      <c r="QLD227" s="111"/>
      <c r="QLE227" s="111"/>
      <c r="QLF227" s="111"/>
      <c r="QLG227" s="111"/>
      <c r="QLH227" s="111"/>
      <c r="QLI227" s="111"/>
      <c r="QLJ227" s="111"/>
      <c r="QLK227" s="111"/>
      <c r="QLL227" s="111"/>
      <c r="QLM227" s="111"/>
      <c r="QLN227" s="111"/>
      <c r="QLO227" s="111"/>
      <c r="QLP227" s="111"/>
      <c r="QLQ227" s="111"/>
      <c r="QLR227" s="111"/>
      <c r="QLS227" s="111"/>
      <c r="QLT227" s="111"/>
      <c r="QLU227" s="111"/>
      <c r="QLV227" s="111"/>
      <c r="QLW227" s="111"/>
      <c r="QLX227" s="111"/>
      <c r="QLY227" s="111"/>
      <c r="QLZ227" s="111"/>
      <c r="QMA227" s="111"/>
      <c r="QMB227" s="111"/>
      <c r="QMC227" s="111"/>
      <c r="QMD227" s="111"/>
      <c r="QME227" s="111"/>
      <c r="QMF227" s="111"/>
      <c r="QMG227" s="111"/>
      <c r="QMH227" s="111"/>
      <c r="QMI227" s="111"/>
      <c r="QMJ227" s="111"/>
      <c r="QMK227" s="111"/>
      <c r="QML227" s="111"/>
      <c r="QMM227" s="111"/>
      <c r="QMN227" s="111"/>
      <c r="QMO227" s="111"/>
      <c r="QMP227" s="111"/>
      <c r="QMQ227" s="111"/>
      <c r="QMR227" s="111"/>
      <c r="QMS227" s="111"/>
      <c r="QMT227" s="111"/>
      <c r="QMU227" s="111"/>
      <c r="QMV227" s="111"/>
      <c r="QMW227" s="111"/>
      <c r="QMX227" s="111"/>
      <c r="QMY227" s="111"/>
      <c r="QMZ227" s="111"/>
      <c r="QNA227" s="111"/>
      <c r="QNB227" s="111"/>
      <c r="QNC227" s="111"/>
      <c r="QND227" s="111"/>
      <c r="QNE227" s="111"/>
      <c r="QNF227" s="111"/>
      <c r="QNG227" s="111"/>
      <c r="QNH227" s="111"/>
      <c r="QNI227" s="111"/>
      <c r="QNJ227" s="111"/>
      <c r="QNK227" s="111"/>
      <c r="QNL227" s="111"/>
      <c r="QNM227" s="111"/>
      <c r="QNN227" s="111"/>
      <c r="QNO227" s="111"/>
      <c r="QNP227" s="111"/>
      <c r="QNQ227" s="111"/>
      <c r="QNR227" s="111"/>
      <c r="QNS227" s="111"/>
      <c r="QNT227" s="111"/>
      <c r="QNU227" s="111"/>
      <c r="QNV227" s="111"/>
      <c r="QNW227" s="111"/>
      <c r="QNX227" s="111"/>
      <c r="QNY227" s="111"/>
      <c r="QNZ227" s="111"/>
      <c r="QOA227" s="111"/>
      <c r="QOB227" s="111"/>
      <c r="QOC227" s="111"/>
      <c r="QOD227" s="111"/>
      <c r="QOE227" s="111"/>
      <c r="QOF227" s="111"/>
      <c r="QOG227" s="111"/>
      <c r="QOH227" s="111"/>
      <c r="QOI227" s="111"/>
      <c r="QOJ227" s="111"/>
      <c r="QOK227" s="111"/>
      <c r="QOL227" s="111"/>
      <c r="QOM227" s="111"/>
      <c r="QON227" s="111"/>
      <c r="QOO227" s="111"/>
      <c r="QOP227" s="111"/>
      <c r="QOQ227" s="111"/>
      <c r="QOR227" s="111"/>
      <c r="QOS227" s="111"/>
      <c r="QOT227" s="111"/>
      <c r="QOU227" s="111"/>
      <c r="QOV227" s="111"/>
      <c r="QOW227" s="111"/>
      <c r="QOX227" s="111"/>
      <c r="QOY227" s="111"/>
      <c r="QOZ227" s="111"/>
      <c r="QPA227" s="111"/>
      <c r="QPB227" s="111"/>
      <c r="QPC227" s="111"/>
      <c r="QPD227" s="111"/>
      <c r="QPE227" s="111"/>
      <c r="QPF227" s="111"/>
      <c r="QPG227" s="111"/>
      <c r="QPH227" s="111"/>
      <c r="QPI227" s="111"/>
      <c r="QPJ227" s="111"/>
      <c r="QPK227" s="111"/>
      <c r="QPL227" s="111"/>
      <c r="QPM227" s="111"/>
      <c r="QPN227" s="111"/>
      <c r="QPO227" s="111"/>
      <c r="QPP227" s="111"/>
      <c r="QPQ227" s="111"/>
      <c r="QPR227" s="111"/>
      <c r="QPS227" s="111"/>
      <c r="QPT227" s="111"/>
      <c r="QPU227" s="111"/>
      <c r="QPV227" s="111"/>
      <c r="QPW227" s="111"/>
      <c r="QPX227" s="111"/>
      <c r="QPY227" s="111"/>
      <c r="QPZ227" s="111"/>
      <c r="QQA227" s="111"/>
      <c r="QQB227" s="111"/>
      <c r="QQC227" s="111"/>
      <c r="QQD227" s="111"/>
      <c r="QQE227" s="111"/>
      <c r="QQF227" s="111"/>
      <c r="QQG227" s="111"/>
      <c r="QQH227" s="111"/>
      <c r="QQI227" s="111"/>
      <c r="QQJ227" s="111"/>
      <c r="QQK227" s="111"/>
      <c r="QQL227" s="111"/>
      <c r="QQM227" s="111"/>
      <c r="QQN227" s="111"/>
      <c r="QQO227" s="111"/>
      <c r="QQP227" s="111"/>
      <c r="QQQ227" s="111"/>
      <c r="QQR227" s="111"/>
      <c r="QQS227" s="111"/>
      <c r="QQT227" s="111"/>
      <c r="QQU227" s="111"/>
      <c r="QQV227" s="111"/>
      <c r="QQW227" s="111"/>
      <c r="QQX227" s="111"/>
      <c r="QQY227" s="111"/>
      <c r="QQZ227" s="111"/>
      <c r="QRA227" s="111"/>
      <c r="QRB227" s="111"/>
      <c r="QRC227" s="111"/>
      <c r="QRD227" s="111"/>
      <c r="QRE227" s="111"/>
      <c r="QRF227" s="111"/>
      <c r="QRG227" s="111"/>
      <c r="QRH227" s="111"/>
      <c r="QRI227" s="111"/>
      <c r="QRJ227" s="111"/>
      <c r="QRK227" s="111"/>
      <c r="QRL227" s="111"/>
      <c r="QRM227" s="111"/>
      <c r="QRN227" s="111"/>
      <c r="QRO227" s="111"/>
      <c r="QRP227" s="111"/>
      <c r="QRQ227" s="111"/>
      <c r="QRR227" s="111"/>
      <c r="QRS227" s="111"/>
      <c r="QRT227" s="111"/>
      <c r="QRU227" s="111"/>
      <c r="QRV227" s="111"/>
      <c r="QRW227" s="111"/>
      <c r="QRX227" s="111"/>
      <c r="QRY227" s="111"/>
      <c r="QRZ227" s="111"/>
      <c r="QSA227" s="111"/>
      <c r="QSB227" s="111"/>
      <c r="QSC227" s="111"/>
      <c r="QSD227" s="111"/>
      <c r="QSE227" s="111"/>
      <c r="QSF227" s="111"/>
      <c r="QSG227" s="111"/>
      <c r="QSH227" s="111"/>
      <c r="QSI227" s="111"/>
      <c r="QSJ227" s="111"/>
      <c r="QSK227" s="111"/>
      <c r="QSL227" s="111"/>
      <c r="QSM227" s="111"/>
      <c r="QSN227" s="111"/>
      <c r="QSO227" s="111"/>
      <c r="QSP227" s="111"/>
      <c r="QSQ227" s="111"/>
      <c r="QSR227" s="111"/>
      <c r="QSS227" s="111"/>
      <c r="QST227" s="111"/>
      <c r="QSU227" s="111"/>
      <c r="QSV227" s="111"/>
      <c r="QSW227" s="111"/>
      <c r="QSX227" s="111"/>
      <c r="QSY227" s="111"/>
      <c r="QSZ227" s="111"/>
      <c r="QTA227" s="111"/>
      <c r="QTB227" s="111"/>
      <c r="QTC227" s="111"/>
      <c r="QTD227" s="111"/>
      <c r="QTE227" s="111"/>
      <c r="QTF227" s="111"/>
      <c r="QTG227" s="111"/>
      <c r="QTH227" s="111"/>
      <c r="QTI227" s="111"/>
      <c r="QTJ227" s="111"/>
      <c r="QTK227" s="111"/>
      <c r="QTL227" s="111"/>
      <c r="QTM227" s="111"/>
      <c r="QTN227" s="111"/>
      <c r="QTO227" s="111"/>
      <c r="QTP227" s="111"/>
      <c r="QTQ227" s="111"/>
      <c r="QTR227" s="111"/>
      <c r="QTS227" s="111"/>
      <c r="QTT227" s="111"/>
      <c r="QTU227" s="111"/>
      <c r="QTV227" s="111"/>
      <c r="QTW227" s="111"/>
      <c r="QTX227" s="111"/>
      <c r="QTY227" s="111"/>
      <c r="QTZ227" s="111"/>
      <c r="QUA227" s="111"/>
      <c r="QUB227" s="111"/>
      <c r="QUC227" s="111"/>
      <c r="QUD227" s="111"/>
      <c r="QUE227" s="111"/>
      <c r="QUF227" s="111"/>
      <c r="QUG227" s="111"/>
      <c r="QUH227" s="111"/>
      <c r="QUI227" s="111"/>
      <c r="QUJ227" s="111"/>
      <c r="QUK227" s="111"/>
      <c r="QUL227" s="111"/>
      <c r="QUM227" s="111"/>
      <c r="QUN227" s="111"/>
      <c r="QUO227" s="111"/>
      <c r="QUP227" s="111"/>
      <c r="QUQ227" s="111"/>
      <c r="QUR227" s="111"/>
      <c r="QUS227" s="111"/>
      <c r="QUT227" s="111"/>
      <c r="QUU227" s="111"/>
      <c r="QUV227" s="111"/>
      <c r="QUW227" s="111"/>
      <c r="QUX227" s="111"/>
      <c r="QUY227" s="111"/>
      <c r="QUZ227" s="111"/>
      <c r="QVA227" s="111"/>
      <c r="QVB227" s="111"/>
      <c r="QVC227" s="111"/>
      <c r="QVD227" s="111"/>
      <c r="QVE227" s="111"/>
      <c r="QVF227" s="111"/>
      <c r="QVG227" s="111"/>
      <c r="QVH227" s="111"/>
      <c r="QVI227" s="111"/>
      <c r="QVJ227" s="111"/>
      <c r="QVK227" s="111"/>
      <c r="QVL227" s="111"/>
      <c r="QVM227" s="111"/>
      <c r="QVN227" s="111"/>
      <c r="QVO227" s="111"/>
      <c r="QVP227" s="111"/>
      <c r="QVQ227" s="111"/>
      <c r="QVR227" s="111"/>
      <c r="QVS227" s="111"/>
      <c r="QVT227" s="111"/>
      <c r="QVU227" s="111"/>
      <c r="QVV227" s="111"/>
      <c r="QVW227" s="111"/>
      <c r="QVX227" s="111"/>
      <c r="QVY227" s="111"/>
      <c r="QVZ227" s="111"/>
      <c r="QWA227" s="111"/>
      <c r="QWB227" s="111"/>
      <c r="QWC227" s="111"/>
      <c r="QWD227" s="111"/>
      <c r="QWE227" s="111"/>
      <c r="QWF227" s="111"/>
      <c r="QWG227" s="111"/>
      <c r="QWH227" s="111"/>
      <c r="QWI227" s="111"/>
      <c r="QWJ227" s="111"/>
      <c r="QWK227" s="111"/>
      <c r="QWL227" s="111"/>
      <c r="QWM227" s="111"/>
      <c r="QWN227" s="111"/>
      <c r="QWO227" s="111"/>
      <c r="QWP227" s="111"/>
      <c r="QWQ227" s="111"/>
      <c r="QWR227" s="111"/>
      <c r="QWS227" s="111"/>
      <c r="QWT227" s="111"/>
      <c r="QWU227" s="111"/>
      <c r="QWV227" s="111"/>
      <c r="QWW227" s="111"/>
      <c r="QWX227" s="111"/>
      <c r="QWY227" s="111"/>
      <c r="QWZ227" s="111"/>
      <c r="QXA227" s="111"/>
      <c r="QXB227" s="111"/>
      <c r="QXC227" s="111"/>
      <c r="QXD227" s="111"/>
      <c r="QXE227" s="111"/>
      <c r="QXF227" s="111"/>
      <c r="QXG227" s="111"/>
      <c r="QXH227" s="111"/>
      <c r="QXI227" s="111"/>
      <c r="QXJ227" s="111"/>
      <c r="QXK227" s="111"/>
      <c r="QXL227" s="111"/>
      <c r="QXM227" s="111"/>
      <c r="QXN227" s="111"/>
      <c r="QXO227" s="111"/>
      <c r="QXP227" s="111"/>
      <c r="QXQ227" s="111"/>
      <c r="QXR227" s="111"/>
      <c r="QXS227" s="111"/>
      <c r="QXT227" s="111"/>
      <c r="QXU227" s="111"/>
      <c r="QXV227" s="111"/>
      <c r="QXW227" s="111"/>
      <c r="QXX227" s="111"/>
      <c r="QXY227" s="111"/>
      <c r="QXZ227" s="111"/>
      <c r="QYA227" s="111"/>
      <c r="QYB227" s="111"/>
      <c r="QYC227" s="111"/>
      <c r="QYD227" s="111"/>
      <c r="QYE227" s="111"/>
      <c r="QYF227" s="111"/>
      <c r="QYG227" s="111"/>
      <c r="QYH227" s="111"/>
      <c r="QYI227" s="111"/>
      <c r="QYJ227" s="111"/>
      <c r="QYK227" s="111"/>
      <c r="QYL227" s="111"/>
      <c r="QYM227" s="111"/>
      <c r="QYN227" s="111"/>
      <c r="QYO227" s="111"/>
      <c r="QYP227" s="111"/>
      <c r="QYQ227" s="111"/>
      <c r="QYR227" s="111"/>
      <c r="QYS227" s="111"/>
      <c r="QYT227" s="111"/>
      <c r="QYU227" s="111"/>
      <c r="QYV227" s="111"/>
      <c r="QYW227" s="111"/>
      <c r="QYX227" s="111"/>
      <c r="QYY227" s="111"/>
      <c r="QYZ227" s="111"/>
      <c r="QZA227" s="111"/>
      <c r="QZB227" s="111"/>
      <c r="QZC227" s="111"/>
      <c r="QZD227" s="111"/>
      <c r="QZE227" s="111"/>
      <c r="QZF227" s="111"/>
      <c r="QZG227" s="111"/>
      <c r="QZH227" s="111"/>
      <c r="QZI227" s="111"/>
      <c r="QZJ227" s="111"/>
      <c r="QZK227" s="111"/>
      <c r="QZL227" s="111"/>
      <c r="QZM227" s="111"/>
      <c r="QZN227" s="111"/>
      <c r="QZO227" s="111"/>
      <c r="QZP227" s="111"/>
      <c r="QZQ227" s="111"/>
      <c r="QZR227" s="111"/>
      <c r="QZS227" s="111"/>
      <c r="QZT227" s="111"/>
      <c r="QZU227" s="111"/>
      <c r="QZV227" s="111"/>
      <c r="QZW227" s="111"/>
      <c r="QZX227" s="111"/>
      <c r="QZY227" s="111"/>
      <c r="QZZ227" s="111"/>
      <c r="RAA227" s="111"/>
      <c r="RAB227" s="111"/>
      <c r="RAC227" s="111"/>
      <c r="RAD227" s="111"/>
      <c r="RAE227" s="111"/>
      <c r="RAF227" s="111"/>
      <c r="RAG227" s="111"/>
      <c r="RAH227" s="111"/>
      <c r="RAI227" s="111"/>
      <c r="RAJ227" s="111"/>
      <c r="RAK227" s="111"/>
      <c r="RAL227" s="111"/>
      <c r="RAM227" s="111"/>
      <c r="RAN227" s="111"/>
      <c r="RAO227" s="111"/>
      <c r="RAP227" s="111"/>
      <c r="RAQ227" s="111"/>
      <c r="RAR227" s="111"/>
      <c r="RAS227" s="111"/>
      <c r="RAT227" s="111"/>
      <c r="RAU227" s="111"/>
      <c r="RAV227" s="111"/>
      <c r="RAW227" s="111"/>
      <c r="RAX227" s="111"/>
      <c r="RAY227" s="111"/>
      <c r="RAZ227" s="111"/>
      <c r="RBA227" s="111"/>
      <c r="RBB227" s="111"/>
      <c r="RBC227" s="111"/>
      <c r="RBD227" s="111"/>
      <c r="RBE227" s="111"/>
      <c r="RBF227" s="111"/>
      <c r="RBG227" s="111"/>
      <c r="RBH227" s="111"/>
      <c r="RBI227" s="111"/>
      <c r="RBJ227" s="111"/>
      <c r="RBK227" s="111"/>
      <c r="RBL227" s="111"/>
      <c r="RBM227" s="111"/>
      <c r="RBN227" s="111"/>
      <c r="RBO227" s="111"/>
      <c r="RBP227" s="111"/>
      <c r="RBQ227" s="111"/>
      <c r="RBR227" s="111"/>
      <c r="RBS227" s="111"/>
      <c r="RBT227" s="111"/>
      <c r="RBU227" s="111"/>
      <c r="RBV227" s="111"/>
      <c r="RBW227" s="111"/>
      <c r="RBX227" s="111"/>
      <c r="RBY227" s="111"/>
      <c r="RBZ227" s="111"/>
      <c r="RCA227" s="111"/>
      <c r="RCB227" s="111"/>
      <c r="RCC227" s="111"/>
      <c r="RCD227" s="111"/>
      <c r="RCE227" s="111"/>
      <c r="RCF227" s="111"/>
      <c r="RCG227" s="111"/>
      <c r="RCH227" s="111"/>
      <c r="RCI227" s="111"/>
      <c r="RCJ227" s="111"/>
      <c r="RCK227" s="111"/>
      <c r="RCL227" s="111"/>
      <c r="RCM227" s="111"/>
      <c r="RCN227" s="111"/>
      <c r="RCO227" s="111"/>
      <c r="RCP227" s="111"/>
      <c r="RCQ227" s="111"/>
      <c r="RCR227" s="111"/>
      <c r="RCS227" s="111"/>
      <c r="RCT227" s="111"/>
      <c r="RCU227" s="111"/>
      <c r="RCV227" s="111"/>
      <c r="RCW227" s="111"/>
      <c r="RCX227" s="111"/>
      <c r="RCY227" s="111"/>
      <c r="RCZ227" s="111"/>
      <c r="RDA227" s="111"/>
      <c r="RDB227" s="111"/>
      <c r="RDC227" s="111"/>
      <c r="RDD227" s="111"/>
      <c r="RDE227" s="111"/>
      <c r="RDF227" s="111"/>
      <c r="RDG227" s="111"/>
      <c r="RDH227" s="111"/>
      <c r="RDI227" s="111"/>
      <c r="RDJ227" s="111"/>
      <c r="RDK227" s="111"/>
      <c r="RDL227" s="111"/>
      <c r="RDM227" s="111"/>
      <c r="RDN227" s="111"/>
      <c r="RDO227" s="111"/>
      <c r="RDP227" s="111"/>
      <c r="RDQ227" s="111"/>
      <c r="RDR227" s="111"/>
      <c r="RDS227" s="111"/>
      <c r="RDT227" s="111"/>
      <c r="RDU227" s="111"/>
      <c r="RDV227" s="111"/>
      <c r="RDW227" s="111"/>
      <c r="RDX227" s="111"/>
      <c r="RDY227" s="111"/>
      <c r="RDZ227" s="111"/>
      <c r="REA227" s="111"/>
      <c r="REB227" s="111"/>
      <c r="REC227" s="111"/>
      <c r="RED227" s="111"/>
      <c r="REE227" s="111"/>
      <c r="REF227" s="111"/>
      <c r="REG227" s="111"/>
      <c r="REH227" s="111"/>
      <c r="REI227" s="111"/>
      <c r="REJ227" s="111"/>
      <c r="REK227" s="111"/>
      <c r="REL227" s="111"/>
      <c r="REM227" s="111"/>
      <c r="REN227" s="111"/>
      <c r="REO227" s="111"/>
      <c r="REP227" s="111"/>
      <c r="REQ227" s="111"/>
      <c r="RER227" s="111"/>
      <c r="RES227" s="111"/>
      <c r="RET227" s="111"/>
      <c r="REU227" s="111"/>
      <c r="REV227" s="111"/>
      <c r="REW227" s="111"/>
      <c r="REX227" s="111"/>
      <c r="REY227" s="111"/>
      <c r="REZ227" s="111"/>
      <c r="RFA227" s="111"/>
      <c r="RFB227" s="111"/>
      <c r="RFC227" s="111"/>
      <c r="RFD227" s="111"/>
      <c r="RFE227" s="111"/>
      <c r="RFF227" s="111"/>
      <c r="RFG227" s="111"/>
      <c r="RFH227" s="111"/>
      <c r="RFI227" s="111"/>
      <c r="RFJ227" s="111"/>
      <c r="RFK227" s="111"/>
      <c r="RFL227" s="111"/>
      <c r="RFM227" s="111"/>
      <c r="RFN227" s="111"/>
      <c r="RFO227" s="111"/>
      <c r="RFP227" s="111"/>
      <c r="RFQ227" s="111"/>
      <c r="RFR227" s="111"/>
      <c r="RFS227" s="111"/>
      <c r="RFT227" s="111"/>
      <c r="RFU227" s="111"/>
      <c r="RFV227" s="111"/>
      <c r="RFW227" s="111"/>
      <c r="RFX227" s="111"/>
      <c r="RFY227" s="111"/>
      <c r="RFZ227" s="111"/>
      <c r="RGA227" s="111"/>
      <c r="RGB227" s="111"/>
      <c r="RGC227" s="111"/>
      <c r="RGD227" s="111"/>
      <c r="RGE227" s="111"/>
      <c r="RGF227" s="111"/>
      <c r="RGG227" s="111"/>
      <c r="RGH227" s="111"/>
      <c r="RGI227" s="111"/>
      <c r="RGJ227" s="111"/>
      <c r="RGK227" s="111"/>
      <c r="RGL227" s="111"/>
      <c r="RGM227" s="111"/>
      <c r="RGN227" s="111"/>
      <c r="RGO227" s="111"/>
      <c r="RGP227" s="111"/>
      <c r="RGQ227" s="111"/>
      <c r="RGR227" s="111"/>
      <c r="RGS227" s="111"/>
      <c r="RGT227" s="111"/>
      <c r="RGU227" s="111"/>
      <c r="RGV227" s="111"/>
      <c r="RGW227" s="111"/>
      <c r="RGX227" s="111"/>
      <c r="RGY227" s="111"/>
      <c r="RGZ227" s="111"/>
      <c r="RHA227" s="111"/>
      <c r="RHB227" s="111"/>
      <c r="RHC227" s="111"/>
      <c r="RHD227" s="111"/>
      <c r="RHE227" s="111"/>
      <c r="RHF227" s="111"/>
      <c r="RHG227" s="111"/>
      <c r="RHH227" s="111"/>
      <c r="RHI227" s="111"/>
      <c r="RHJ227" s="111"/>
      <c r="RHK227" s="111"/>
      <c r="RHL227" s="111"/>
      <c r="RHM227" s="111"/>
      <c r="RHN227" s="111"/>
      <c r="RHO227" s="111"/>
      <c r="RHP227" s="111"/>
      <c r="RHQ227" s="111"/>
      <c r="RHR227" s="111"/>
      <c r="RHS227" s="111"/>
      <c r="RHT227" s="111"/>
      <c r="RHU227" s="111"/>
      <c r="RHV227" s="111"/>
      <c r="RHW227" s="111"/>
      <c r="RHX227" s="111"/>
      <c r="RHY227" s="111"/>
      <c r="RHZ227" s="111"/>
      <c r="RIA227" s="111"/>
      <c r="RIB227" s="111"/>
      <c r="RIC227" s="111"/>
      <c r="RID227" s="111"/>
      <c r="RIE227" s="111"/>
      <c r="RIF227" s="111"/>
      <c r="RIG227" s="111"/>
      <c r="RIH227" s="111"/>
      <c r="RII227" s="111"/>
      <c r="RIJ227" s="111"/>
      <c r="RIK227" s="111"/>
      <c r="RIL227" s="111"/>
      <c r="RIM227" s="111"/>
      <c r="RIN227" s="111"/>
      <c r="RIO227" s="111"/>
      <c r="RIP227" s="111"/>
      <c r="RIQ227" s="111"/>
      <c r="RIR227" s="111"/>
      <c r="RIS227" s="111"/>
      <c r="RIT227" s="111"/>
      <c r="RIU227" s="111"/>
      <c r="RIV227" s="111"/>
      <c r="RIW227" s="111"/>
      <c r="RIX227" s="111"/>
      <c r="RIY227" s="111"/>
      <c r="RIZ227" s="111"/>
      <c r="RJA227" s="111"/>
      <c r="RJB227" s="111"/>
      <c r="RJC227" s="111"/>
      <c r="RJD227" s="111"/>
      <c r="RJE227" s="111"/>
      <c r="RJF227" s="111"/>
      <c r="RJG227" s="111"/>
      <c r="RJH227" s="111"/>
      <c r="RJI227" s="111"/>
      <c r="RJJ227" s="111"/>
      <c r="RJK227" s="111"/>
      <c r="RJL227" s="111"/>
      <c r="RJM227" s="111"/>
      <c r="RJN227" s="111"/>
      <c r="RJO227" s="111"/>
      <c r="RJP227" s="111"/>
      <c r="RJQ227" s="111"/>
      <c r="RJR227" s="111"/>
      <c r="RJS227" s="111"/>
      <c r="RJT227" s="111"/>
      <c r="RJU227" s="111"/>
      <c r="RJV227" s="111"/>
      <c r="RJW227" s="111"/>
      <c r="RJX227" s="111"/>
      <c r="RJY227" s="111"/>
      <c r="RJZ227" s="111"/>
      <c r="RKA227" s="111"/>
      <c r="RKB227" s="111"/>
      <c r="RKC227" s="111"/>
      <c r="RKD227" s="111"/>
      <c r="RKE227" s="111"/>
      <c r="RKF227" s="111"/>
      <c r="RKG227" s="111"/>
      <c r="RKH227" s="111"/>
      <c r="RKI227" s="111"/>
      <c r="RKJ227" s="111"/>
      <c r="RKK227" s="111"/>
      <c r="RKL227" s="111"/>
      <c r="RKM227" s="111"/>
      <c r="RKN227" s="111"/>
      <c r="RKO227" s="111"/>
      <c r="RKP227" s="111"/>
      <c r="RKQ227" s="111"/>
      <c r="RKR227" s="111"/>
      <c r="RKS227" s="111"/>
      <c r="RKT227" s="111"/>
      <c r="RKU227" s="111"/>
      <c r="RKV227" s="111"/>
      <c r="RKW227" s="111"/>
      <c r="RKX227" s="111"/>
      <c r="RKY227" s="111"/>
      <c r="RKZ227" s="111"/>
      <c r="RLA227" s="111"/>
      <c r="RLB227" s="111"/>
      <c r="RLC227" s="111"/>
      <c r="RLD227" s="111"/>
      <c r="RLE227" s="111"/>
      <c r="RLF227" s="111"/>
      <c r="RLG227" s="111"/>
      <c r="RLH227" s="111"/>
      <c r="RLI227" s="111"/>
      <c r="RLJ227" s="111"/>
      <c r="RLK227" s="111"/>
      <c r="RLL227" s="111"/>
      <c r="RLM227" s="111"/>
      <c r="RLN227" s="111"/>
      <c r="RLO227" s="111"/>
      <c r="RLP227" s="111"/>
      <c r="RLQ227" s="111"/>
      <c r="RLR227" s="111"/>
      <c r="RLS227" s="111"/>
      <c r="RLT227" s="111"/>
      <c r="RLU227" s="111"/>
      <c r="RLV227" s="111"/>
      <c r="RLW227" s="111"/>
      <c r="RLX227" s="111"/>
      <c r="RLY227" s="111"/>
      <c r="RLZ227" s="111"/>
      <c r="RMA227" s="111"/>
      <c r="RMB227" s="111"/>
      <c r="RMC227" s="111"/>
      <c r="RMD227" s="111"/>
      <c r="RME227" s="111"/>
      <c r="RMF227" s="111"/>
      <c r="RMG227" s="111"/>
      <c r="RMH227" s="111"/>
      <c r="RMI227" s="111"/>
      <c r="RMJ227" s="111"/>
      <c r="RMK227" s="111"/>
      <c r="RML227" s="111"/>
      <c r="RMM227" s="111"/>
      <c r="RMN227" s="111"/>
      <c r="RMO227" s="111"/>
      <c r="RMP227" s="111"/>
      <c r="RMQ227" s="111"/>
      <c r="RMR227" s="111"/>
      <c r="RMS227" s="111"/>
      <c r="RMT227" s="111"/>
      <c r="RMU227" s="111"/>
      <c r="RMV227" s="111"/>
      <c r="RMW227" s="111"/>
      <c r="RMX227" s="111"/>
      <c r="RMY227" s="111"/>
      <c r="RMZ227" s="111"/>
      <c r="RNA227" s="111"/>
      <c r="RNB227" s="111"/>
      <c r="RNC227" s="111"/>
      <c r="RND227" s="111"/>
      <c r="RNE227" s="111"/>
      <c r="RNF227" s="111"/>
      <c r="RNG227" s="111"/>
      <c r="RNH227" s="111"/>
      <c r="RNI227" s="111"/>
      <c r="RNJ227" s="111"/>
      <c r="RNK227" s="111"/>
      <c r="RNL227" s="111"/>
      <c r="RNM227" s="111"/>
      <c r="RNN227" s="111"/>
      <c r="RNO227" s="111"/>
      <c r="RNP227" s="111"/>
      <c r="RNQ227" s="111"/>
      <c r="RNR227" s="111"/>
      <c r="RNS227" s="111"/>
      <c r="RNT227" s="111"/>
      <c r="RNU227" s="111"/>
      <c r="RNV227" s="111"/>
      <c r="RNW227" s="111"/>
      <c r="RNX227" s="111"/>
      <c r="RNY227" s="111"/>
      <c r="RNZ227" s="111"/>
      <c r="ROA227" s="111"/>
      <c r="ROB227" s="111"/>
      <c r="ROC227" s="111"/>
      <c r="ROD227" s="111"/>
      <c r="ROE227" s="111"/>
      <c r="ROF227" s="111"/>
      <c r="ROG227" s="111"/>
      <c r="ROH227" s="111"/>
      <c r="ROI227" s="111"/>
      <c r="ROJ227" s="111"/>
      <c r="ROK227" s="111"/>
      <c r="ROL227" s="111"/>
      <c r="ROM227" s="111"/>
      <c r="RON227" s="111"/>
      <c r="ROO227" s="111"/>
      <c r="ROP227" s="111"/>
      <c r="ROQ227" s="111"/>
      <c r="ROR227" s="111"/>
      <c r="ROS227" s="111"/>
      <c r="ROT227" s="111"/>
      <c r="ROU227" s="111"/>
      <c r="ROV227" s="111"/>
      <c r="ROW227" s="111"/>
      <c r="ROX227" s="111"/>
      <c r="ROY227" s="111"/>
      <c r="ROZ227" s="111"/>
      <c r="RPA227" s="111"/>
      <c r="RPB227" s="111"/>
      <c r="RPC227" s="111"/>
      <c r="RPD227" s="111"/>
      <c r="RPE227" s="111"/>
      <c r="RPF227" s="111"/>
      <c r="RPG227" s="111"/>
      <c r="RPH227" s="111"/>
      <c r="RPI227" s="111"/>
      <c r="RPJ227" s="111"/>
      <c r="RPK227" s="111"/>
      <c r="RPL227" s="111"/>
      <c r="RPM227" s="111"/>
      <c r="RPN227" s="111"/>
      <c r="RPO227" s="111"/>
      <c r="RPP227" s="111"/>
      <c r="RPQ227" s="111"/>
      <c r="RPR227" s="111"/>
      <c r="RPS227" s="111"/>
      <c r="RPT227" s="111"/>
      <c r="RPU227" s="111"/>
      <c r="RPV227" s="111"/>
      <c r="RPW227" s="111"/>
      <c r="RPX227" s="111"/>
      <c r="RPY227" s="111"/>
      <c r="RPZ227" s="111"/>
      <c r="RQA227" s="111"/>
      <c r="RQB227" s="111"/>
      <c r="RQC227" s="111"/>
      <c r="RQD227" s="111"/>
      <c r="RQE227" s="111"/>
      <c r="RQF227" s="111"/>
      <c r="RQG227" s="111"/>
      <c r="RQH227" s="111"/>
      <c r="RQI227" s="111"/>
      <c r="RQJ227" s="111"/>
      <c r="RQK227" s="111"/>
      <c r="RQL227" s="111"/>
      <c r="RQM227" s="111"/>
      <c r="RQN227" s="111"/>
      <c r="RQO227" s="111"/>
      <c r="RQP227" s="111"/>
      <c r="RQQ227" s="111"/>
      <c r="RQR227" s="111"/>
      <c r="RQS227" s="111"/>
      <c r="RQT227" s="111"/>
      <c r="RQU227" s="111"/>
      <c r="RQV227" s="111"/>
      <c r="RQW227" s="111"/>
      <c r="RQX227" s="111"/>
      <c r="RQY227" s="111"/>
      <c r="RQZ227" s="111"/>
      <c r="RRA227" s="111"/>
      <c r="RRB227" s="111"/>
      <c r="RRC227" s="111"/>
      <c r="RRD227" s="111"/>
      <c r="RRE227" s="111"/>
      <c r="RRF227" s="111"/>
      <c r="RRG227" s="111"/>
      <c r="RRH227" s="111"/>
      <c r="RRI227" s="111"/>
      <c r="RRJ227" s="111"/>
      <c r="RRK227" s="111"/>
      <c r="RRL227" s="111"/>
      <c r="RRM227" s="111"/>
      <c r="RRN227" s="111"/>
      <c r="RRO227" s="111"/>
      <c r="RRP227" s="111"/>
      <c r="RRQ227" s="111"/>
      <c r="RRR227" s="111"/>
      <c r="RRS227" s="111"/>
      <c r="RRT227" s="111"/>
      <c r="RRU227" s="111"/>
      <c r="RRV227" s="111"/>
      <c r="RRW227" s="111"/>
      <c r="RRX227" s="111"/>
      <c r="RRY227" s="111"/>
      <c r="RRZ227" s="111"/>
      <c r="RSA227" s="111"/>
      <c r="RSB227" s="111"/>
      <c r="RSC227" s="111"/>
      <c r="RSD227" s="111"/>
      <c r="RSE227" s="111"/>
      <c r="RSF227" s="111"/>
      <c r="RSG227" s="111"/>
      <c r="RSH227" s="111"/>
      <c r="RSI227" s="111"/>
      <c r="RSJ227" s="111"/>
      <c r="RSK227" s="111"/>
      <c r="RSL227" s="111"/>
      <c r="RSM227" s="111"/>
      <c r="RSN227" s="111"/>
      <c r="RSO227" s="111"/>
      <c r="RSP227" s="111"/>
      <c r="RSQ227" s="111"/>
      <c r="RSR227" s="111"/>
      <c r="RSS227" s="111"/>
      <c r="RST227" s="111"/>
      <c r="RSU227" s="111"/>
      <c r="RSV227" s="111"/>
      <c r="RSW227" s="111"/>
      <c r="RSX227" s="111"/>
      <c r="RSY227" s="111"/>
      <c r="RSZ227" s="111"/>
      <c r="RTA227" s="111"/>
      <c r="RTB227" s="111"/>
      <c r="RTC227" s="111"/>
      <c r="RTD227" s="111"/>
      <c r="RTE227" s="111"/>
      <c r="RTF227" s="111"/>
      <c r="RTG227" s="111"/>
      <c r="RTH227" s="111"/>
      <c r="RTI227" s="111"/>
      <c r="RTJ227" s="111"/>
      <c r="RTK227" s="111"/>
      <c r="RTL227" s="111"/>
      <c r="RTM227" s="111"/>
      <c r="RTN227" s="111"/>
      <c r="RTO227" s="111"/>
      <c r="RTP227" s="111"/>
      <c r="RTQ227" s="111"/>
      <c r="RTR227" s="111"/>
      <c r="RTS227" s="111"/>
      <c r="RTT227" s="111"/>
      <c r="RTU227" s="111"/>
      <c r="RTV227" s="111"/>
      <c r="RTW227" s="111"/>
      <c r="RTX227" s="111"/>
      <c r="RTY227" s="111"/>
      <c r="RTZ227" s="111"/>
      <c r="RUA227" s="111"/>
      <c r="RUB227" s="111"/>
      <c r="RUC227" s="111"/>
      <c r="RUD227" s="111"/>
      <c r="RUE227" s="111"/>
      <c r="RUF227" s="111"/>
      <c r="RUG227" s="111"/>
      <c r="RUH227" s="111"/>
      <c r="RUI227" s="111"/>
      <c r="RUJ227" s="111"/>
      <c r="RUK227" s="111"/>
      <c r="RUL227" s="111"/>
      <c r="RUM227" s="111"/>
      <c r="RUN227" s="111"/>
      <c r="RUO227" s="111"/>
      <c r="RUP227" s="111"/>
      <c r="RUQ227" s="111"/>
      <c r="RUR227" s="111"/>
      <c r="RUS227" s="111"/>
      <c r="RUT227" s="111"/>
      <c r="RUU227" s="111"/>
      <c r="RUV227" s="111"/>
      <c r="RUW227" s="111"/>
      <c r="RUX227" s="111"/>
      <c r="RUY227" s="111"/>
      <c r="RUZ227" s="111"/>
      <c r="RVA227" s="111"/>
      <c r="RVB227" s="111"/>
      <c r="RVC227" s="111"/>
      <c r="RVD227" s="111"/>
      <c r="RVE227" s="111"/>
      <c r="RVF227" s="111"/>
      <c r="RVG227" s="111"/>
      <c r="RVH227" s="111"/>
      <c r="RVI227" s="111"/>
      <c r="RVJ227" s="111"/>
      <c r="RVK227" s="111"/>
      <c r="RVL227" s="111"/>
      <c r="RVM227" s="111"/>
      <c r="RVN227" s="111"/>
      <c r="RVO227" s="111"/>
      <c r="RVP227" s="111"/>
      <c r="RVQ227" s="111"/>
      <c r="RVR227" s="111"/>
      <c r="RVS227" s="111"/>
      <c r="RVT227" s="111"/>
      <c r="RVU227" s="111"/>
      <c r="RVV227" s="111"/>
      <c r="RVW227" s="111"/>
      <c r="RVX227" s="111"/>
      <c r="RVY227" s="111"/>
      <c r="RVZ227" s="111"/>
      <c r="RWA227" s="111"/>
      <c r="RWB227" s="111"/>
      <c r="RWC227" s="111"/>
      <c r="RWD227" s="111"/>
      <c r="RWE227" s="111"/>
      <c r="RWF227" s="111"/>
      <c r="RWG227" s="111"/>
      <c r="RWH227" s="111"/>
      <c r="RWI227" s="111"/>
      <c r="RWJ227" s="111"/>
      <c r="RWK227" s="111"/>
      <c r="RWL227" s="111"/>
      <c r="RWM227" s="111"/>
      <c r="RWN227" s="111"/>
      <c r="RWO227" s="111"/>
      <c r="RWP227" s="111"/>
      <c r="RWQ227" s="111"/>
      <c r="RWR227" s="111"/>
      <c r="RWS227" s="111"/>
      <c r="RWT227" s="111"/>
      <c r="RWU227" s="111"/>
      <c r="RWV227" s="111"/>
      <c r="RWW227" s="111"/>
      <c r="RWX227" s="111"/>
      <c r="RWY227" s="111"/>
      <c r="RWZ227" s="111"/>
      <c r="RXA227" s="111"/>
      <c r="RXB227" s="111"/>
      <c r="RXC227" s="111"/>
      <c r="RXD227" s="111"/>
      <c r="RXE227" s="111"/>
      <c r="RXF227" s="111"/>
      <c r="RXG227" s="111"/>
      <c r="RXH227" s="111"/>
      <c r="RXI227" s="111"/>
      <c r="RXJ227" s="111"/>
      <c r="RXK227" s="111"/>
      <c r="RXL227" s="111"/>
      <c r="RXM227" s="111"/>
      <c r="RXN227" s="111"/>
      <c r="RXO227" s="111"/>
      <c r="RXP227" s="111"/>
      <c r="RXQ227" s="111"/>
      <c r="RXR227" s="111"/>
      <c r="RXS227" s="111"/>
      <c r="RXT227" s="111"/>
      <c r="RXU227" s="111"/>
      <c r="RXV227" s="111"/>
      <c r="RXW227" s="111"/>
      <c r="RXX227" s="111"/>
      <c r="RXY227" s="111"/>
      <c r="RXZ227" s="111"/>
      <c r="RYA227" s="111"/>
      <c r="RYB227" s="111"/>
      <c r="RYC227" s="111"/>
      <c r="RYD227" s="111"/>
      <c r="RYE227" s="111"/>
      <c r="RYF227" s="111"/>
      <c r="RYG227" s="111"/>
      <c r="RYH227" s="111"/>
      <c r="RYI227" s="111"/>
      <c r="RYJ227" s="111"/>
      <c r="RYK227" s="111"/>
      <c r="RYL227" s="111"/>
      <c r="RYM227" s="111"/>
      <c r="RYN227" s="111"/>
      <c r="RYO227" s="111"/>
      <c r="RYP227" s="111"/>
      <c r="RYQ227" s="111"/>
      <c r="RYR227" s="111"/>
      <c r="RYS227" s="111"/>
      <c r="RYT227" s="111"/>
      <c r="RYU227" s="111"/>
      <c r="RYV227" s="111"/>
      <c r="RYW227" s="111"/>
      <c r="RYX227" s="111"/>
      <c r="RYY227" s="111"/>
      <c r="RYZ227" s="111"/>
      <c r="RZA227" s="111"/>
      <c r="RZB227" s="111"/>
      <c r="RZC227" s="111"/>
      <c r="RZD227" s="111"/>
      <c r="RZE227" s="111"/>
      <c r="RZF227" s="111"/>
      <c r="RZG227" s="111"/>
      <c r="RZH227" s="111"/>
      <c r="RZI227" s="111"/>
      <c r="RZJ227" s="111"/>
      <c r="RZK227" s="111"/>
      <c r="RZL227" s="111"/>
      <c r="RZM227" s="111"/>
      <c r="RZN227" s="111"/>
      <c r="RZO227" s="111"/>
      <c r="RZP227" s="111"/>
      <c r="RZQ227" s="111"/>
      <c r="RZR227" s="111"/>
      <c r="RZS227" s="111"/>
      <c r="RZT227" s="111"/>
      <c r="RZU227" s="111"/>
      <c r="RZV227" s="111"/>
      <c r="RZW227" s="111"/>
      <c r="RZX227" s="111"/>
      <c r="RZY227" s="111"/>
      <c r="RZZ227" s="111"/>
      <c r="SAA227" s="111"/>
      <c r="SAB227" s="111"/>
      <c r="SAC227" s="111"/>
      <c r="SAD227" s="111"/>
      <c r="SAE227" s="111"/>
      <c r="SAF227" s="111"/>
      <c r="SAG227" s="111"/>
      <c r="SAH227" s="111"/>
      <c r="SAI227" s="111"/>
      <c r="SAJ227" s="111"/>
      <c r="SAK227" s="111"/>
      <c r="SAL227" s="111"/>
      <c r="SAM227" s="111"/>
      <c r="SAN227" s="111"/>
      <c r="SAO227" s="111"/>
      <c r="SAP227" s="111"/>
      <c r="SAQ227" s="111"/>
      <c r="SAR227" s="111"/>
      <c r="SAS227" s="111"/>
      <c r="SAT227" s="111"/>
      <c r="SAU227" s="111"/>
      <c r="SAV227" s="111"/>
      <c r="SAW227" s="111"/>
      <c r="SAX227" s="111"/>
      <c r="SAY227" s="111"/>
      <c r="SAZ227" s="111"/>
      <c r="SBA227" s="111"/>
      <c r="SBB227" s="111"/>
      <c r="SBC227" s="111"/>
      <c r="SBD227" s="111"/>
      <c r="SBE227" s="111"/>
      <c r="SBF227" s="111"/>
      <c r="SBG227" s="111"/>
      <c r="SBH227" s="111"/>
      <c r="SBI227" s="111"/>
      <c r="SBJ227" s="111"/>
      <c r="SBK227" s="111"/>
      <c r="SBL227" s="111"/>
      <c r="SBM227" s="111"/>
      <c r="SBN227" s="111"/>
      <c r="SBO227" s="111"/>
      <c r="SBP227" s="111"/>
      <c r="SBQ227" s="111"/>
      <c r="SBR227" s="111"/>
      <c r="SBS227" s="111"/>
      <c r="SBT227" s="111"/>
      <c r="SBU227" s="111"/>
      <c r="SBV227" s="111"/>
      <c r="SBW227" s="111"/>
      <c r="SBX227" s="111"/>
      <c r="SBY227" s="111"/>
      <c r="SBZ227" s="111"/>
      <c r="SCA227" s="111"/>
      <c r="SCB227" s="111"/>
      <c r="SCC227" s="111"/>
      <c r="SCD227" s="111"/>
      <c r="SCE227" s="111"/>
      <c r="SCF227" s="111"/>
      <c r="SCG227" s="111"/>
      <c r="SCH227" s="111"/>
      <c r="SCI227" s="111"/>
      <c r="SCJ227" s="111"/>
      <c r="SCK227" s="111"/>
      <c r="SCL227" s="111"/>
      <c r="SCM227" s="111"/>
      <c r="SCN227" s="111"/>
      <c r="SCO227" s="111"/>
      <c r="SCP227" s="111"/>
      <c r="SCQ227" s="111"/>
      <c r="SCR227" s="111"/>
      <c r="SCS227" s="111"/>
      <c r="SCT227" s="111"/>
      <c r="SCU227" s="111"/>
      <c r="SCV227" s="111"/>
      <c r="SCW227" s="111"/>
      <c r="SCX227" s="111"/>
      <c r="SCY227" s="111"/>
      <c r="SCZ227" s="111"/>
      <c r="SDA227" s="111"/>
      <c r="SDB227" s="111"/>
      <c r="SDC227" s="111"/>
      <c r="SDD227" s="111"/>
      <c r="SDE227" s="111"/>
      <c r="SDF227" s="111"/>
      <c r="SDG227" s="111"/>
      <c r="SDH227" s="111"/>
      <c r="SDI227" s="111"/>
      <c r="SDJ227" s="111"/>
      <c r="SDK227" s="111"/>
      <c r="SDL227" s="111"/>
      <c r="SDM227" s="111"/>
      <c r="SDN227" s="111"/>
      <c r="SDO227" s="111"/>
      <c r="SDP227" s="111"/>
      <c r="SDQ227" s="111"/>
      <c r="SDR227" s="111"/>
      <c r="SDS227" s="111"/>
      <c r="SDT227" s="111"/>
      <c r="SDU227" s="111"/>
      <c r="SDV227" s="111"/>
      <c r="SDW227" s="111"/>
      <c r="SDX227" s="111"/>
      <c r="SDY227" s="111"/>
      <c r="SDZ227" s="111"/>
      <c r="SEA227" s="111"/>
      <c r="SEB227" s="111"/>
      <c r="SEC227" s="111"/>
      <c r="SED227" s="111"/>
      <c r="SEE227" s="111"/>
      <c r="SEF227" s="111"/>
      <c r="SEG227" s="111"/>
      <c r="SEH227" s="111"/>
      <c r="SEI227" s="111"/>
      <c r="SEJ227" s="111"/>
      <c r="SEK227" s="111"/>
      <c r="SEL227" s="111"/>
      <c r="SEM227" s="111"/>
      <c r="SEN227" s="111"/>
      <c r="SEO227" s="111"/>
      <c r="SEP227" s="111"/>
      <c r="SEQ227" s="111"/>
      <c r="SER227" s="111"/>
      <c r="SES227" s="111"/>
      <c r="SET227" s="111"/>
      <c r="SEU227" s="111"/>
      <c r="SEV227" s="111"/>
      <c r="SEW227" s="111"/>
      <c r="SEX227" s="111"/>
      <c r="SEY227" s="111"/>
      <c r="SEZ227" s="111"/>
      <c r="SFA227" s="111"/>
      <c r="SFB227" s="111"/>
      <c r="SFC227" s="111"/>
      <c r="SFD227" s="111"/>
      <c r="SFE227" s="111"/>
      <c r="SFF227" s="111"/>
      <c r="SFG227" s="111"/>
      <c r="SFH227" s="111"/>
      <c r="SFI227" s="111"/>
      <c r="SFJ227" s="111"/>
      <c r="SFK227" s="111"/>
      <c r="SFL227" s="111"/>
      <c r="SFM227" s="111"/>
      <c r="SFN227" s="111"/>
      <c r="SFO227" s="111"/>
      <c r="SFP227" s="111"/>
      <c r="SFQ227" s="111"/>
      <c r="SFR227" s="111"/>
      <c r="SFS227" s="111"/>
      <c r="SFT227" s="111"/>
      <c r="SFU227" s="111"/>
      <c r="SFV227" s="111"/>
      <c r="SFW227" s="111"/>
      <c r="SFX227" s="111"/>
      <c r="SFY227" s="111"/>
      <c r="SFZ227" s="111"/>
      <c r="SGA227" s="111"/>
      <c r="SGB227" s="111"/>
      <c r="SGC227" s="111"/>
      <c r="SGD227" s="111"/>
      <c r="SGE227" s="111"/>
      <c r="SGF227" s="111"/>
      <c r="SGG227" s="111"/>
      <c r="SGH227" s="111"/>
      <c r="SGI227" s="111"/>
      <c r="SGJ227" s="111"/>
      <c r="SGK227" s="111"/>
      <c r="SGL227" s="111"/>
      <c r="SGM227" s="111"/>
      <c r="SGN227" s="111"/>
      <c r="SGO227" s="111"/>
      <c r="SGP227" s="111"/>
      <c r="SGQ227" s="111"/>
      <c r="SGR227" s="111"/>
      <c r="SGS227" s="111"/>
      <c r="SGT227" s="111"/>
      <c r="SGU227" s="111"/>
      <c r="SGV227" s="111"/>
      <c r="SGW227" s="111"/>
      <c r="SGX227" s="111"/>
      <c r="SGY227" s="111"/>
      <c r="SGZ227" s="111"/>
      <c r="SHA227" s="111"/>
      <c r="SHB227" s="111"/>
      <c r="SHC227" s="111"/>
      <c r="SHD227" s="111"/>
      <c r="SHE227" s="111"/>
      <c r="SHF227" s="111"/>
      <c r="SHG227" s="111"/>
      <c r="SHH227" s="111"/>
      <c r="SHI227" s="111"/>
      <c r="SHJ227" s="111"/>
      <c r="SHK227" s="111"/>
      <c r="SHL227" s="111"/>
      <c r="SHM227" s="111"/>
      <c r="SHN227" s="111"/>
      <c r="SHO227" s="111"/>
      <c r="SHP227" s="111"/>
      <c r="SHQ227" s="111"/>
      <c r="SHR227" s="111"/>
      <c r="SHS227" s="111"/>
      <c r="SHT227" s="111"/>
      <c r="SHU227" s="111"/>
      <c r="SHV227" s="111"/>
      <c r="SHW227" s="111"/>
      <c r="SHX227" s="111"/>
      <c r="SHY227" s="111"/>
      <c r="SHZ227" s="111"/>
      <c r="SIA227" s="111"/>
      <c r="SIB227" s="111"/>
      <c r="SIC227" s="111"/>
      <c r="SID227" s="111"/>
      <c r="SIE227" s="111"/>
      <c r="SIF227" s="111"/>
      <c r="SIG227" s="111"/>
      <c r="SIH227" s="111"/>
      <c r="SII227" s="111"/>
      <c r="SIJ227" s="111"/>
      <c r="SIK227" s="111"/>
      <c r="SIL227" s="111"/>
      <c r="SIM227" s="111"/>
      <c r="SIN227" s="111"/>
      <c r="SIO227" s="111"/>
      <c r="SIP227" s="111"/>
      <c r="SIQ227" s="111"/>
      <c r="SIR227" s="111"/>
      <c r="SIS227" s="111"/>
      <c r="SIT227" s="111"/>
      <c r="SIU227" s="111"/>
      <c r="SIV227" s="111"/>
      <c r="SIW227" s="111"/>
      <c r="SIX227" s="111"/>
      <c r="SIY227" s="111"/>
      <c r="SIZ227" s="111"/>
      <c r="SJA227" s="111"/>
      <c r="SJB227" s="111"/>
      <c r="SJC227" s="111"/>
      <c r="SJD227" s="111"/>
      <c r="SJE227" s="111"/>
      <c r="SJF227" s="111"/>
      <c r="SJG227" s="111"/>
      <c r="SJH227" s="111"/>
      <c r="SJI227" s="111"/>
      <c r="SJJ227" s="111"/>
      <c r="SJK227" s="111"/>
      <c r="SJL227" s="111"/>
      <c r="SJM227" s="111"/>
      <c r="SJN227" s="111"/>
      <c r="SJO227" s="111"/>
      <c r="SJP227" s="111"/>
      <c r="SJQ227" s="111"/>
      <c r="SJR227" s="111"/>
      <c r="SJS227" s="111"/>
      <c r="SJT227" s="111"/>
      <c r="SJU227" s="111"/>
      <c r="SJV227" s="111"/>
      <c r="SJW227" s="111"/>
      <c r="SJX227" s="111"/>
      <c r="SJY227" s="111"/>
      <c r="SJZ227" s="111"/>
      <c r="SKA227" s="111"/>
      <c r="SKB227" s="111"/>
      <c r="SKC227" s="111"/>
      <c r="SKD227" s="111"/>
      <c r="SKE227" s="111"/>
      <c r="SKF227" s="111"/>
      <c r="SKG227" s="111"/>
      <c r="SKH227" s="111"/>
      <c r="SKI227" s="111"/>
      <c r="SKJ227" s="111"/>
      <c r="SKK227" s="111"/>
      <c r="SKL227" s="111"/>
      <c r="SKM227" s="111"/>
      <c r="SKN227" s="111"/>
      <c r="SKO227" s="111"/>
      <c r="SKP227" s="111"/>
      <c r="SKQ227" s="111"/>
      <c r="SKR227" s="111"/>
      <c r="SKS227" s="111"/>
      <c r="SKT227" s="111"/>
      <c r="SKU227" s="111"/>
      <c r="SKV227" s="111"/>
      <c r="SKW227" s="111"/>
      <c r="SKX227" s="111"/>
      <c r="SKY227" s="111"/>
      <c r="SKZ227" s="111"/>
      <c r="SLA227" s="111"/>
      <c r="SLB227" s="111"/>
      <c r="SLC227" s="111"/>
      <c r="SLD227" s="111"/>
      <c r="SLE227" s="111"/>
      <c r="SLF227" s="111"/>
      <c r="SLG227" s="111"/>
      <c r="SLH227" s="111"/>
      <c r="SLI227" s="111"/>
      <c r="SLJ227" s="111"/>
      <c r="SLK227" s="111"/>
      <c r="SLL227" s="111"/>
      <c r="SLM227" s="111"/>
      <c r="SLN227" s="111"/>
      <c r="SLO227" s="111"/>
      <c r="SLP227" s="111"/>
      <c r="SLQ227" s="111"/>
      <c r="SLR227" s="111"/>
      <c r="SLS227" s="111"/>
      <c r="SLT227" s="111"/>
      <c r="SLU227" s="111"/>
      <c r="SLV227" s="111"/>
      <c r="SLW227" s="111"/>
      <c r="SLX227" s="111"/>
      <c r="SLY227" s="111"/>
      <c r="SLZ227" s="111"/>
      <c r="SMA227" s="111"/>
      <c r="SMB227" s="111"/>
      <c r="SMC227" s="111"/>
      <c r="SMD227" s="111"/>
      <c r="SME227" s="111"/>
      <c r="SMF227" s="111"/>
      <c r="SMG227" s="111"/>
      <c r="SMH227" s="111"/>
      <c r="SMI227" s="111"/>
      <c r="SMJ227" s="111"/>
      <c r="SMK227" s="111"/>
      <c r="SML227" s="111"/>
      <c r="SMM227" s="111"/>
      <c r="SMN227" s="111"/>
      <c r="SMO227" s="111"/>
      <c r="SMP227" s="111"/>
      <c r="SMQ227" s="111"/>
      <c r="SMR227" s="111"/>
      <c r="SMS227" s="111"/>
      <c r="SMT227" s="111"/>
      <c r="SMU227" s="111"/>
      <c r="SMV227" s="111"/>
      <c r="SMW227" s="111"/>
      <c r="SMX227" s="111"/>
      <c r="SMY227" s="111"/>
      <c r="SMZ227" s="111"/>
      <c r="SNA227" s="111"/>
      <c r="SNB227" s="111"/>
      <c r="SNC227" s="111"/>
      <c r="SND227" s="111"/>
      <c r="SNE227" s="111"/>
      <c r="SNF227" s="111"/>
      <c r="SNG227" s="111"/>
      <c r="SNH227" s="111"/>
      <c r="SNI227" s="111"/>
      <c r="SNJ227" s="111"/>
      <c r="SNK227" s="111"/>
      <c r="SNL227" s="111"/>
      <c r="SNM227" s="111"/>
      <c r="SNN227" s="111"/>
      <c r="SNO227" s="111"/>
      <c r="SNP227" s="111"/>
      <c r="SNQ227" s="111"/>
      <c r="SNR227" s="111"/>
      <c r="SNS227" s="111"/>
      <c r="SNT227" s="111"/>
      <c r="SNU227" s="111"/>
      <c r="SNV227" s="111"/>
      <c r="SNW227" s="111"/>
      <c r="SNX227" s="111"/>
      <c r="SNY227" s="111"/>
      <c r="SNZ227" s="111"/>
      <c r="SOA227" s="111"/>
      <c r="SOB227" s="111"/>
      <c r="SOC227" s="111"/>
      <c r="SOD227" s="111"/>
      <c r="SOE227" s="111"/>
      <c r="SOF227" s="111"/>
      <c r="SOG227" s="111"/>
      <c r="SOH227" s="111"/>
      <c r="SOI227" s="111"/>
      <c r="SOJ227" s="111"/>
      <c r="SOK227" s="111"/>
      <c r="SOL227" s="111"/>
      <c r="SOM227" s="111"/>
      <c r="SON227" s="111"/>
      <c r="SOO227" s="111"/>
      <c r="SOP227" s="111"/>
      <c r="SOQ227" s="111"/>
      <c r="SOR227" s="111"/>
      <c r="SOS227" s="111"/>
      <c r="SOT227" s="111"/>
      <c r="SOU227" s="111"/>
      <c r="SOV227" s="111"/>
      <c r="SOW227" s="111"/>
      <c r="SOX227" s="111"/>
      <c r="SOY227" s="111"/>
      <c r="SOZ227" s="111"/>
      <c r="SPA227" s="111"/>
      <c r="SPB227" s="111"/>
      <c r="SPC227" s="111"/>
      <c r="SPD227" s="111"/>
      <c r="SPE227" s="111"/>
      <c r="SPF227" s="111"/>
      <c r="SPG227" s="111"/>
      <c r="SPH227" s="111"/>
      <c r="SPI227" s="111"/>
      <c r="SPJ227" s="111"/>
      <c r="SPK227" s="111"/>
      <c r="SPL227" s="111"/>
      <c r="SPM227" s="111"/>
      <c r="SPN227" s="111"/>
      <c r="SPO227" s="111"/>
      <c r="SPP227" s="111"/>
      <c r="SPQ227" s="111"/>
      <c r="SPR227" s="111"/>
      <c r="SPS227" s="111"/>
      <c r="SPT227" s="111"/>
      <c r="SPU227" s="111"/>
      <c r="SPV227" s="111"/>
      <c r="SPW227" s="111"/>
      <c r="SPX227" s="111"/>
      <c r="SPY227" s="111"/>
      <c r="SPZ227" s="111"/>
      <c r="SQA227" s="111"/>
      <c r="SQB227" s="111"/>
      <c r="SQC227" s="111"/>
      <c r="SQD227" s="111"/>
      <c r="SQE227" s="111"/>
      <c r="SQF227" s="111"/>
      <c r="SQG227" s="111"/>
      <c r="SQH227" s="111"/>
      <c r="SQI227" s="111"/>
      <c r="SQJ227" s="111"/>
      <c r="SQK227" s="111"/>
      <c r="SQL227" s="111"/>
      <c r="SQM227" s="111"/>
      <c r="SQN227" s="111"/>
      <c r="SQO227" s="111"/>
      <c r="SQP227" s="111"/>
      <c r="SQQ227" s="111"/>
      <c r="SQR227" s="111"/>
      <c r="SQS227" s="111"/>
      <c r="SQT227" s="111"/>
      <c r="SQU227" s="111"/>
      <c r="SQV227" s="111"/>
      <c r="SQW227" s="111"/>
      <c r="SQX227" s="111"/>
      <c r="SQY227" s="111"/>
      <c r="SQZ227" s="111"/>
      <c r="SRA227" s="111"/>
      <c r="SRB227" s="111"/>
      <c r="SRC227" s="111"/>
      <c r="SRD227" s="111"/>
      <c r="SRE227" s="111"/>
      <c r="SRF227" s="111"/>
      <c r="SRG227" s="111"/>
      <c r="SRH227" s="111"/>
      <c r="SRI227" s="111"/>
      <c r="SRJ227" s="111"/>
      <c r="SRK227" s="111"/>
      <c r="SRL227" s="111"/>
      <c r="SRM227" s="111"/>
      <c r="SRN227" s="111"/>
      <c r="SRO227" s="111"/>
      <c r="SRP227" s="111"/>
      <c r="SRQ227" s="111"/>
      <c r="SRR227" s="111"/>
      <c r="SRS227" s="111"/>
      <c r="SRT227" s="111"/>
      <c r="SRU227" s="111"/>
      <c r="SRV227" s="111"/>
      <c r="SRW227" s="111"/>
      <c r="SRX227" s="111"/>
      <c r="SRY227" s="111"/>
      <c r="SRZ227" s="111"/>
      <c r="SSA227" s="111"/>
      <c r="SSB227" s="111"/>
      <c r="SSC227" s="111"/>
      <c r="SSD227" s="111"/>
      <c r="SSE227" s="111"/>
      <c r="SSF227" s="111"/>
      <c r="SSG227" s="111"/>
      <c r="SSH227" s="111"/>
      <c r="SSI227" s="111"/>
      <c r="SSJ227" s="111"/>
      <c r="SSK227" s="111"/>
      <c r="SSL227" s="111"/>
      <c r="SSM227" s="111"/>
      <c r="SSN227" s="111"/>
      <c r="SSO227" s="111"/>
      <c r="SSP227" s="111"/>
      <c r="SSQ227" s="111"/>
      <c r="SSR227" s="111"/>
      <c r="SSS227" s="111"/>
      <c r="SST227" s="111"/>
      <c r="SSU227" s="111"/>
      <c r="SSV227" s="111"/>
      <c r="SSW227" s="111"/>
      <c r="SSX227" s="111"/>
      <c r="SSY227" s="111"/>
      <c r="SSZ227" s="111"/>
      <c r="STA227" s="111"/>
      <c r="STB227" s="111"/>
      <c r="STC227" s="111"/>
      <c r="STD227" s="111"/>
      <c r="STE227" s="111"/>
      <c r="STF227" s="111"/>
      <c r="STG227" s="111"/>
      <c r="STH227" s="111"/>
      <c r="STI227" s="111"/>
      <c r="STJ227" s="111"/>
      <c r="STK227" s="111"/>
      <c r="STL227" s="111"/>
      <c r="STM227" s="111"/>
      <c r="STN227" s="111"/>
      <c r="STO227" s="111"/>
      <c r="STP227" s="111"/>
      <c r="STQ227" s="111"/>
      <c r="STR227" s="111"/>
      <c r="STS227" s="111"/>
      <c r="STT227" s="111"/>
      <c r="STU227" s="111"/>
      <c r="STV227" s="111"/>
      <c r="STW227" s="111"/>
      <c r="STX227" s="111"/>
      <c r="STY227" s="111"/>
      <c r="STZ227" s="111"/>
      <c r="SUA227" s="111"/>
      <c r="SUB227" s="111"/>
      <c r="SUC227" s="111"/>
      <c r="SUD227" s="111"/>
      <c r="SUE227" s="111"/>
      <c r="SUF227" s="111"/>
      <c r="SUG227" s="111"/>
      <c r="SUH227" s="111"/>
      <c r="SUI227" s="111"/>
      <c r="SUJ227" s="111"/>
      <c r="SUK227" s="111"/>
      <c r="SUL227" s="111"/>
      <c r="SUM227" s="111"/>
      <c r="SUN227" s="111"/>
      <c r="SUO227" s="111"/>
      <c r="SUP227" s="111"/>
      <c r="SUQ227" s="111"/>
      <c r="SUR227" s="111"/>
      <c r="SUS227" s="111"/>
      <c r="SUT227" s="111"/>
      <c r="SUU227" s="111"/>
      <c r="SUV227" s="111"/>
      <c r="SUW227" s="111"/>
      <c r="SUX227" s="111"/>
      <c r="SUY227" s="111"/>
      <c r="SUZ227" s="111"/>
      <c r="SVA227" s="111"/>
      <c r="SVB227" s="111"/>
      <c r="SVC227" s="111"/>
      <c r="SVD227" s="111"/>
      <c r="SVE227" s="111"/>
      <c r="SVF227" s="111"/>
      <c r="SVG227" s="111"/>
      <c r="SVH227" s="111"/>
      <c r="SVI227" s="111"/>
      <c r="SVJ227" s="111"/>
      <c r="SVK227" s="111"/>
      <c r="SVL227" s="111"/>
      <c r="SVM227" s="111"/>
      <c r="SVN227" s="111"/>
      <c r="SVO227" s="111"/>
      <c r="SVP227" s="111"/>
      <c r="SVQ227" s="111"/>
      <c r="SVR227" s="111"/>
      <c r="SVS227" s="111"/>
      <c r="SVT227" s="111"/>
      <c r="SVU227" s="111"/>
      <c r="SVV227" s="111"/>
      <c r="SVW227" s="111"/>
      <c r="SVX227" s="111"/>
      <c r="SVY227" s="111"/>
      <c r="SVZ227" s="111"/>
      <c r="SWA227" s="111"/>
      <c r="SWB227" s="111"/>
      <c r="SWC227" s="111"/>
      <c r="SWD227" s="111"/>
      <c r="SWE227" s="111"/>
      <c r="SWF227" s="111"/>
      <c r="SWG227" s="111"/>
      <c r="SWH227" s="111"/>
      <c r="SWI227" s="111"/>
      <c r="SWJ227" s="111"/>
      <c r="SWK227" s="111"/>
      <c r="SWL227" s="111"/>
      <c r="SWM227" s="111"/>
      <c r="SWN227" s="111"/>
      <c r="SWO227" s="111"/>
      <c r="SWP227" s="111"/>
      <c r="SWQ227" s="111"/>
      <c r="SWR227" s="111"/>
      <c r="SWS227" s="111"/>
      <c r="SWT227" s="111"/>
      <c r="SWU227" s="111"/>
      <c r="SWV227" s="111"/>
      <c r="SWW227" s="111"/>
      <c r="SWX227" s="111"/>
      <c r="SWY227" s="111"/>
      <c r="SWZ227" s="111"/>
      <c r="SXA227" s="111"/>
      <c r="SXB227" s="111"/>
      <c r="SXC227" s="111"/>
      <c r="SXD227" s="111"/>
      <c r="SXE227" s="111"/>
      <c r="SXF227" s="111"/>
      <c r="SXG227" s="111"/>
      <c r="SXH227" s="111"/>
      <c r="SXI227" s="111"/>
      <c r="SXJ227" s="111"/>
      <c r="SXK227" s="111"/>
      <c r="SXL227" s="111"/>
      <c r="SXM227" s="111"/>
      <c r="SXN227" s="111"/>
      <c r="SXO227" s="111"/>
      <c r="SXP227" s="111"/>
      <c r="SXQ227" s="111"/>
      <c r="SXR227" s="111"/>
      <c r="SXS227" s="111"/>
      <c r="SXT227" s="111"/>
      <c r="SXU227" s="111"/>
      <c r="SXV227" s="111"/>
      <c r="SXW227" s="111"/>
      <c r="SXX227" s="111"/>
      <c r="SXY227" s="111"/>
      <c r="SXZ227" s="111"/>
      <c r="SYA227" s="111"/>
      <c r="SYB227" s="111"/>
      <c r="SYC227" s="111"/>
      <c r="SYD227" s="111"/>
      <c r="SYE227" s="111"/>
      <c r="SYF227" s="111"/>
      <c r="SYG227" s="111"/>
      <c r="SYH227" s="111"/>
      <c r="SYI227" s="111"/>
      <c r="SYJ227" s="111"/>
      <c r="SYK227" s="111"/>
      <c r="SYL227" s="111"/>
      <c r="SYM227" s="111"/>
      <c r="SYN227" s="111"/>
      <c r="SYO227" s="111"/>
      <c r="SYP227" s="111"/>
      <c r="SYQ227" s="111"/>
      <c r="SYR227" s="111"/>
      <c r="SYS227" s="111"/>
      <c r="SYT227" s="111"/>
      <c r="SYU227" s="111"/>
      <c r="SYV227" s="111"/>
      <c r="SYW227" s="111"/>
      <c r="SYX227" s="111"/>
      <c r="SYY227" s="111"/>
      <c r="SYZ227" s="111"/>
      <c r="SZA227" s="111"/>
      <c r="SZB227" s="111"/>
      <c r="SZC227" s="111"/>
      <c r="SZD227" s="111"/>
      <c r="SZE227" s="111"/>
      <c r="SZF227" s="111"/>
      <c r="SZG227" s="111"/>
      <c r="SZH227" s="111"/>
      <c r="SZI227" s="111"/>
      <c r="SZJ227" s="111"/>
      <c r="SZK227" s="111"/>
      <c r="SZL227" s="111"/>
      <c r="SZM227" s="111"/>
      <c r="SZN227" s="111"/>
      <c r="SZO227" s="111"/>
      <c r="SZP227" s="111"/>
      <c r="SZQ227" s="111"/>
      <c r="SZR227" s="111"/>
      <c r="SZS227" s="111"/>
      <c r="SZT227" s="111"/>
      <c r="SZU227" s="111"/>
      <c r="SZV227" s="111"/>
      <c r="SZW227" s="111"/>
      <c r="SZX227" s="111"/>
      <c r="SZY227" s="111"/>
      <c r="SZZ227" s="111"/>
      <c r="TAA227" s="111"/>
      <c r="TAB227" s="111"/>
      <c r="TAC227" s="111"/>
      <c r="TAD227" s="111"/>
      <c r="TAE227" s="111"/>
      <c r="TAF227" s="111"/>
      <c r="TAG227" s="111"/>
      <c r="TAH227" s="111"/>
      <c r="TAI227" s="111"/>
      <c r="TAJ227" s="111"/>
      <c r="TAK227" s="111"/>
      <c r="TAL227" s="111"/>
      <c r="TAM227" s="111"/>
      <c r="TAN227" s="111"/>
      <c r="TAO227" s="111"/>
      <c r="TAP227" s="111"/>
      <c r="TAQ227" s="111"/>
      <c r="TAR227" s="111"/>
      <c r="TAS227" s="111"/>
      <c r="TAT227" s="111"/>
      <c r="TAU227" s="111"/>
      <c r="TAV227" s="111"/>
      <c r="TAW227" s="111"/>
      <c r="TAX227" s="111"/>
      <c r="TAY227" s="111"/>
      <c r="TAZ227" s="111"/>
      <c r="TBA227" s="111"/>
      <c r="TBB227" s="111"/>
      <c r="TBC227" s="111"/>
      <c r="TBD227" s="111"/>
      <c r="TBE227" s="111"/>
      <c r="TBF227" s="111"/>
      <c r="TBG227" s="111"/>
      <c r="TBH227" s="111"/>
      <c r="TBI227" s="111"/>
      <c r="TBJ227" s="111"/>
      <c r="TBK227" s="111"/>
      <c r="TBL227" s="111"/>
      <c r="TBM227" s="111"/>
      <c r="TBN227" s="111"/>
      <c r="TBO227" s="111"/>
      <c r="TBP227" s="111"/>
      <c r="TBQ227" s="111"/>
      <c r="TBR227" s="111"/>
      <c r="TBS227" s="111"/>
      <c r="TBT227" s="111"/>
      <c r="TBU227" s="111"/>
      <c r="TBV227" s="111"/>
      <c r="TBW227" s="111"/>
      <c r="TBX227" s="111"/>
      <c r="TBY227" s="111"/>
      <c r="TBZ227" s="111"/>
      <c r="TCA227" s="111"/>
      <c r="TCB227" s="111"/>
      <c r="TCC227" s="111"/>
      <c r="TCD227" s="111"/>
      <c r="TCE227" s="111"/>
      <c r="TCF227" s="111"/>
      <c r="TCG227" s="111"/>
      <c r="TCH227" s="111"/>
      <c r="TCI227" s="111"/>
      <c r="TCJ227" s="111"/>
      <c r="TCK227" s="111"/>
      <c r="TCL227" s="111"/>
      <c r="TCM227" s="111"/>
      <c r="TCN227" s="111"/>
      <c r="TCO227" s="111"/>
      <c r="TCP227" s="111"/>
      <c r="TCQ227" s="111"/>
      <c r="TCR227" s="111"/>
      <c r="TCS227" s="111"/>
      <c r="TCT227" s="111"/>
      <c r="TCU227" s="111"/>
      <c r="TCV227" s="111"/>
      <c r="TCW227" s="111"/>
      <c r="TCX227" s="111"/>
      <c r="TCY227" s="111"/>
      <c r="TCZ227" s="111"/>
      <c r="TDA227" s="111"/>
      <c r="TDB227" s="111"/>
      <c r="TDC227" s="111"/>
      <c r="TDD227" s="111"/>
      <c r="TDE227" s="111"/>
      <c r="TDF227" s="111"/>
      <c r="TDG227" s="111"/>
      <c r="TDH227" s="111"/>
      <c r="TDI227" s="111"/>
      <c r="TDJ227" s="111"/>
      <c r="TDK227" s="111"/>
      <c r="TDL227" s="111"/>
      <c r="TDM227" s="111"/>
      <c r="TDN227" s="111"/>
      <c r="TDO227" s="111"/>
      <c r="TDP227" s="111"/>
      <c r="TDQ227" s="111"/>
      <c r="TDR227" s="111"/>
      <c r="TDS227" s="111"/>
      <c r="TDT227" s="111"/>
      <c r="TDU227" s="111"/>
      <c r="TDV227" s="111"/>
      <c r="TDW227" s="111"/>
      <c r="TDX227" s="111"/>
      <c r="TDY227" s="111"/>
      <c r="TDZ227" s="111"/>
      <c r="TEA227" s="111"/>
      <c r="TEB227" s="111"/>
      <c r="TEC227" s="111"/>
      <c r="TED227" s="111"/>
      <c r="TEE227" s="111"/>
      <c r="TEF227" s="111"/>
      <c r="TEG227" s="111"/>
      <c r="TEH227" s="111"/>
      <c r="TEI227" s="111"/>
      <c r="TEJ227" s="111"/>
      <c r="TEK227" s="111"/>
      <c r="TEL227" s="111"/>
      <c r="TEM227" s="111"/>
      <c r="TEN227" s="111"/>
      <c r="TEO227" s="111"/>
      <c r="TEP227" s="111"/>
      <c r="TEQ227" s="111"/>
      <c r="TER227" s="111"/>
      <c r="TES227" s="111"/>
      <c r="TET227" s="111"/>
      <c r="TEU227" s="111"/>
      <c r="TEV227" s="111"/>
      <c r="TEW227" s="111"/>
      <c r="TEX227" s="111"/>
      <c r="TEY227" s="111"/>
      <c r="TEZ227" s="111"/>
      <c r="TFA227" s="111"/>
      <c r="TFB227" s="111"/>
      <c r="TFC227" s="111"/>
      <c r="TFD227" s="111"/>
      <c r="TFE227" s="111"/>
      <c r="TFF227" s="111"/>
      <c r="TFG227" s="111"/>
      <c r="TFH227" s="111"/>
      <c r="TFI227" s="111"/>
      <c r="TFJ227" s="111"/>
      <c r="TFK227" s="111"/>
      <c r="TFL227" s="111"/>
      <c r="TFM227" s="111"/>
      <c r="TFN227" s="111"/>
      <c r="TFO227" s="111"/>
      <c r="TFP227" s="111"/>
      <c r="TFQ227" s="111"/>
      <c r="TFR227" s="111"/>
      <c r="TFS227" s="111"/>
      <c r="TFT227" s="111"/>
      <c r="TFU227" s="111"/>
      <c r="TFV227" s="111"/>
      <c r="TFW227" s="111"/>
      <c r="TFX227" s="111"/>
      <c r="TFY227" s="111"/>
      <c r="TFZ227" s="111"/>
      <c r="TGA227" s="111"/>
      <c r="TGB227" s="111"/>
      <c r="TGC227" s="111"/>
      <c r="TGD227" s="111"/>
      <c r="TGE227" s="111"/>
      <c r="TGF227" s="111"/>
      <c r="TGG227" s="111"/>
      <c r="TGH227" s="111"/>
      <c r="TGI227" s="111"/>
      <c r="TGJ227" s="111"/>
      <c r="TGK227" s="111"/>
      <c r="TGL227" s="111"/>
      <c r="TGM227" s="111"/>
      <c r="TGN227" s="111"/>
      <c r="TGO227" s="111"/>
      <c r="TGP227" s="111"/>
      <c r="TGQ227" s="111"/>
      <c r="TGR227" s="111"/>
      <c r="TGS227" s="111"/>
      <c r="TGT227" s="111"/>
      <c r="TGU227" s="111"/>
      <c r="TGV227" s="111"/>
      <c r="TGW227" s="111"/>
      <c r="TGX227" s="111"/>
      <c r="TGY227" s="111"/>
      <c r="TGZ227" s="111"/>
      <c r="THA227" s="111"/>
      <c r="THB227" s="111"/>
      <c r="THC227" s="111"/>
      <c r="THD227" s="111"/>
      <c r="THE227" s="111"/>
      <c r="THF227" s="111"/>
      <c r="THG227" s="111"/>
      <c r="THH227" s="111"/>
      <c r="THI227" s="111"/>
      <c r="THJ227" s="111"/>
      <c r="THK227" s="111"/>
      <c r="THL227" s="111"/>
      <c r="THM227" s="111"/>
      <c r="THN227" s="111"/>
      <c r="THO227" s="111"/>
      <c r="THP227" s="111"/>
      <c r="THQ227" s="111"/>
      <c r="THR227" s="111"/>
      <c r="THS227" s="111"/>
      <c r="THT227" s="111"/>
      <c r="THU227" s="111"/>
      <c r="THV227" s="111"/>
      <c r="THW227" s="111"/>
      <c r="THX227" s="111"/>
      <c r="THY227" s="111"/>
      <c r="THZ227" s="111"/>
      <c r="TIA227" s="111"/>
      <c r="TIB227" s="111"/>
      <c r="TIC227" s="111"/>
      <c r="TID227" s="111"/>
      <c r="TIE227" s="111"/>
      <c r="TIF227" s="111"/>
      <c r="TIG227" s="111"/>
      <c r="TIH227" s="111"/>
      <c r="TII227" s="111"/>
      <c r="TIJ227" s="111"/>
      <c r="TIK227" s="111"/>
      <c r="TIL227" s="111"/>
      <c r="TIM227" s="111"/>
      <c r="TIN227" s="111"/>
      <c r="TIO227" s="111"/>
      <c r="TIP227" s="111"/>
      <c r="TIQ227" s="111"/>
      <c r="TIR227" s="111"/>
      <c r="TIS227" s="111"/>
      <c r="TIT227" s="111"/>
      <c r="TIU227" s="111"/>
      <c r="TIV227" s="111"/>
      <c r="TIW227" s="111"/>
      <c r="TIX227" s="111"/>
      <c r="TIY227" s="111"/>
      <c r="TIZ227" s="111"/>
      <c r="TJA227" s="111"/>
      <c r="TJB227" s="111"/>
      <c r="TJC227" s="111"/>
      <c r="TJD227" s="111"/>
      <c r="TJE227" s="111"/>
      <c r="TJF227" s="111"/>
      <c r="TJG227" s="111"/>
      <c r="TJH227" s="111"/>
      <c r="TJI227" s="111"/>
      <c r="TJJ227" s="111"/>
      <c r="TJK227" s="111"/>
      <c r="TJL227" s="111"/>
      <c r="TJM227" s="111"/>
      <c r="TJN227" s="111"/>
      <c r="TJO227" s="111"/>
      <c r="TJP227" s="111"/>
      <c r="TJQ227" s="111"/>
      <c r="TJR227" s="111"/>
      <c r="TJS227" s="111"/>
      <c r="TJT227" s="111"/>
      <c r="TJU227" s="111"/>
      <c r="TJV227" s="111"/>
      <c r="TJW227" s="111"/>
      <c r="TJX227" s="111"/>
      <c r="TJY227" s="111"/>
      <c r="TJZ227" s="111"/>
      <c r="TKA227" s="111"/>
      <c r="TKB227" s="111"/>
      <c r="TKC227" s="111"/>
      <c r="TKD227" s="111"/>
      <c r="TKE227" s="111"/>
      <c r="TKF227" s="111"/>
      <c r="TKG227" s="111"/>
      <c r="TKH227" s="111"/>
      <c r="TKI227" s="111"/>
      <c r="TKJ227" s="111"/>
      <c r="TKK227" s="111"/>
      <c r="TKL227" s="111"/>
      <c r="TKM227" s="111"/>
      <c r="TKN227" s="111"/>
      <c r="TKO227" s="111"/>
      <c r="TKP227" s="111"/>
      <c r="TKQ227" s="111"/>
      <c r="TKR227" s="111"/>
      <c r="TKS227" s="111"/>
      <c r="TKT227" s="111"/>
      <c r="TKU227" s="111"/>
      <c r="TKV227" s="111"/>
      <c r="TKW227" s="111"/>
      <c r="TKX227" s="111"/>
      <c r="TKY227" s="111"/>
      <c r="TKZ227" s="111"/>
      <c r="TLA227" s="111"/>
      <c r="TLB227" s="111"/>
      <c r="TLC227" s="111"/>
      <c r="TLD227" s="111"/>
      <c r="TLE227" s="111"/>
      <c r="TLF227" s="111"/>
      <c r="TLG227" s="111"/>
      <c r="TLH227" s="111"/>
      <c r="TLI227" s="111"/>
      <c r="TLJ227" s="111"/>
      <c r="TLK227" s="111"/>
      <c r="TLL227" s="111"/>
      <c r="TLM227" s="111"/>
      <c r="TLN227" s="111"/>
      <c r="TLO227" s="111"/>
      <c r="TLP227" s="111"/>
      <c r="TLQ227" s="111"/>
      <c r="TLR227" s="111"/>
      <c r="TLS227" s="111"/>
      <c r="TLT227" s="111"/>
      <c r="TLU227" s="111"/>
      <c r="TLV227" s="111"/>
      <c r="TLW227" s="111"/>
      <c r="TLX227" s="111"/>
      <c r="TLY227" s="111"/>
      <c r="TLZ227" s="111"/>
      <c r="TMA227" s="111"/>
      <c r="TMB227" s="111"/>
      <c r="TMC227" s="111"/>
      <c r="TMD227" s="111"/>
      <c r="TME227" s="111"/>
      <c r="TMF227" s="111"/>
      <c r="TMG227" s="111"/>
      <c r="TMH227" s="111"/>
      <c r="TMI227" s="111"/>
      <c r="TMJ227" s="111"/>
      <c r="TMK227" s="111"/>
      <c r="TML227" s="111"/>
      <c r="TMM227" s="111"/>
      <c r="TMN227" s="111"/>
      <c r="TMO227" s="111"/>
      <c r="TMP227" s="111"/>
      <c r="TMQ227" s="111"/>
      <c r="TMR227" s="111"/>
      <c r="TMS227" s="111"/>
      <c r="TMT227" s="111"/>
      <c r="TMU227" s="111"/>
      <c r="TMV227" s="111"/>
      <c r="TMW227" s="111"/>
      <c r="TMX227" s="111"/>
      <c r="TMY227" s="111"/>
      <c r="TMZ227" s="111"/>
      <c r="TNA227" s="111"/>
      <c r="TNB227" s="111"/>
      <c r="TNC227" s="111"/>
      <c r="TND227" s="111"/>
      <c r="TNE227" s="111"/>
      <c r="TNF227" s="111"/>
      <c r="TNG227" s="111"/>
      <c r="TNH227" s="111"/>
      <c r="TNI227" s="111"/>
      <c r="TNJ227" s="111"/>
      <c r="TNK227" s="111"/>
      <c r="TNL227" s="111"/>
      <c r="TNM227" s="111"/>
      <c r="TNN227" s="111"/>
      <c r="TNO227" s="111"/>
      <c r="TNP227" s="111"/>
      <c r="TNQ227" s="111"/>
      <c r="TNR227" s="111"/>
      <c r="TNS227" s="111"/>
      <c r="TNT227" s="111"/>
      <c r="TNU227" s="111"/>
      <c r="TNV227" s="111"/>
      <c r="TNW227" s="111"/>
      <c r="TNX227" s="111"/>
      <c r="TNY227" s="111"/>
      <c r="TNZ227" s="111"/>
      <c r="TOA227" s="111"/>
      <c r="TOB227" s="111"/>
      <c r="TOC227" s="111"/>
      <c r="TOD227" s="111"/>
      <c r="TOE227" s="111"/>
      <c r="TOF227" s="111"/>
      <c r="TOG227" s="111"/>
      <c r="TOH227" s="111"/>
      <c r="TOI227" s="111"/>
      <c r="TOJ227" s="111"/>
      <c r="TOK227" s="111"/>
      <c r="TOL227" s="111"/>
      <c r="TOM227" s="111"/>
      <c r="TON227" s="111"/>
      <c r="TOO227" s="111"/>
      <c r="TOP227" s="111"/>
      <c r="TOQ227" s="111"/>
      <c r="TOR227" s="111"/>
      <c r="TOS227" s="111"/>
      <c r="TOT227" s="111"/>
      <c r="TOU227" s="111"/>
      <c r="TOV227" s="111"/>
      <c r="TOW227" s="111"/>
      <c r="TOX227" s="111"/>
      <c r="TOY227" s="111"/>
      <c r="TOZ227" s="111"/>
      <c r="TPA227" s="111"/>
      <c r="TPB227" s="111"/>
      <c r="TPC227" s="111"/>
      <c r="TPD227" s="111"/>
      <c r="TPE227" s="111"/>
      <c r="TPF227" s="111"/>
      <c r="TPG227" s="111"/>
      <c r="TPH227" s="111"/>
      <c r="TPI227" s="111"/>
      <c r="TPJ227" s="111"/>
      <c r="TPK227" s="111"/>
      <c r="TPL227" s="111"/>
      <c r="TPM227" s="111"/>
      <c r="TPN227" s="111"/>
      <c r="TPO227" s="111"/>
      <c r="TPP227" s="111"/>
      <c r="TPQ227" s="111"/>
      <c r="TPR227" s="111"/>
      <c r="TPS227" s="111"/>
      <c r="TPT227" s="111"/>
      <c r="TPU227" s="111"/>
      <c r="TPV227" s="111"/>
      <c r="TPW227" s="111"/>
      <c r="TPX227" s="111"/>
      <c r="TPY227" s="111"/>
      <c r="TPZ227" s="111"/>
      <c r="TQA227" s="111"/>
      <c r="TQB227" s="111"/>
      <c r="TQC227" s="111"/>
      <c r="TQD227" s="111"/>
      <c r="TQE227" s="111"/>
      <c r="TQF227" s="111"/>
      <c r="TQG227" s="111"/>
      <c r="TQH227" s="111"/>
      <c r="TQI227" s="111"/>
      <c r="TQJ227" s="111"/>
      <c r="TQK227" s="111"/>
      <c r="TQL227" s="111"/>
      <c r="TQM227" s="111"/>
      <c r="TQN227" s="111"/>
      <c r="TQO227" s="111"/>
      <c r="TQP227" s="111"/>
      <c r="TQQ227" s="111"/>
      <c r="TQR227" s="111"/>
      <c r="TQS227" s="111"/>
      <c r="TQT227" s="111"/>
      <c r="TQU227" s="111"/>
      <c r="TQV227" s="111"/>
      <c r="TQW227" s="111"/>
      <c r="TQX227" s="111"/>
      <c r="TQY227" s="111"/>
      <c r="TQZ227" s="111"/>
      <c r="TRA227" s="111"/>
      <c r="TRB227" s="111"/>
      <c r="TRC227" s="111"/>
      <c r="TRD227" s="111"/>
      <c r="TRE227" s="111"/>
      <c r="TRF227" s="111"/>
      <c r="TRG227" s="111"/>
      <c r="TRH227" s="111"/>
      <c r="TRI227" s="111"/>
      <c r="TRJ227" s="111"/>
      <c r="TRK227" s="111"/>
      <c r="TRL227" s="111"/>
      <c r="TRM227" s="111"/>
      <c r="TRN227" s="111"/>
      <c r="TRO227" s="111"/>
      <c r="TRP227" s="111"/>
      <c r="TRQ227" s="111"/>
      <c r="TRR227" s="111"/>
      <c r="TRS227" s="111"/>
      <c r="TRT227" s="111"/>
      <c r="TRU227" s="111"/>
      <c r="TRV227" s="111"/>
      <c r="TRW227" s="111"/>
      <c r="TRX227" s="111"/>
      <c r="TRY227" s="111"/>
      <c r="TRZ227" s="111"/>
      <c r="TSA227" s="111"/>
      <c r="TSB227" s="111"/>
      <c r="TSC227" s="111"/>
      <c r="TSD227" s="111"/>
      <c r="TSE227" s="111"/>
      <c r="TSF227" s="111"/>
      <c r="TSG227" s="111"/>
      <c r="TSH227" s="111"/>
      <c r="TSI227" s="111"/>
      <c r="TSJ227" s="111"/>
      <c r="TSK227" s="111"/>
      <c r="TSL227" s="111"/>
      <c r="TSM227" s="111"/>
      <c r="TSN227" s="111"/>
      <c r="TSO227" s="111"/>
      <c r="TSP227" s="111"/>
      <c r="TSQ227" s="111"/>
      <c r="TSR227" s="111"/>
      <c r="TSS227" s="111"/>
      <c r="TST227" s="111"/>
      <c r="TSU227" s="111"/>
      <c r="TSV227" s="111"/>
      <c r="TSW227" s="111"/>
      <c r="TSX227" s="111"/>
      <c r="TSY227" s="111"/>
      <c r="TSZ227" s="111"/>
      <c r="TTA227" s="111"/>
      <c r="TTB227" s="111"/>
      <c r="TTC227" s="111"/>
      <c r="TTD227" s="111"/>
      <c r="TTE227" s="111"/>
      <c r="TTF227" s="111"/>
      <c r="TTG227" s="111"/>
      <c r="TTH227" s="111"/>
      <c r="TTI227" s="111"/>
      <c r="TTJ227" s="111"/>
      <c r="TTK227" s="111"/>
      <c r="TTL227" s="111"/>
      <c r="TTM227" s="111"/>
      <c r="TTN227" s="111"/>
      <c r="TTO227" s="111"/>
      <c r="TTP227" s="111"/>
      <c r="TTQ227" s="111"/>
      <c r="TTR227" s="111"/>
      <c r="TTS227" s="111"/>
      <c r="TTT227" s="111"/>
      <c r="TTU227" s="111"/>
      <c r="TTV227" s="111"/>
      <c r="TTW227" s="111"/>
      <c r="TTX227" s="111"/>
      <c r="TTY227" s="111"/>
      <c r="TTZ227" s="111"/>
      <c r="TUA227" s="111"/>
      <c r="TUB227" s="111"/>
      <c r="TUC227" s="111"/>
      <c r="TUD227" s="111"/>
      <c r="TUE227" s="111"/>
      <c r="TUF227" s="111"/>
      <c r="TUG227" s="111"/>
      <c r="TUH227" s="111"/>
      <c r="TUI227" s="111"/>
      <c r="TUJ227" s="111"/>
      <c r="TUK227" s="111"/>
      <c r="TUL227" s="111"/>
      <c r="TUM227" s="111"/>
      <c r="TUN227" s="111"/>
      <c r="TUO227" s="111"/>
      <c r="TUP227" s="111"/>
      <c r="TUQ227" s="111"/>
      <c r="TUR227" s="111"/>
      <c r="TUS227" s="111"/>
      <c r="TUT227" s="111"/>
      <c r="TUU227" s="111"/>
      <c r="TUV227" s="111"/>
      <c r="TUW227" s="111"/>
      <c r="TUX227" s="111"/>
      <c r="TUY227" s="111"/>
      <c r="TUZ227" s="111"/>
      <c r="TVA227" s="111"/>
      <c r="TVB227" s="111"/>
      <c r="TVC227" s="111"/>
      <c r="TVD227" s="111"/>
      <c r="TVE227" s="111"/>
      <c r="TVF227" s="111"/>
      <c r="TVG227" s="111"/>
      <c r="TVH227" s="111"/>
      <c r="TVI227" s="111"/>
      <c r="TVJ227" s="111"/>
      <c r="TVK227" s="111"/>
      <c r="TVL227" s="111"/>
      <c r="TVM227" s="111"/>
      <c r="TVN227" s="111"/>
      <c r="TVO227" s="111"/>
      <c r="TVP227" s="111"/>
      <c r="TVQ227" s="111"/>
      <c r="TVR227" s="111"/>
      <c r="TVS227" s="111"/>
      <c r="TVT227" s="111"/>
      <c r="TVU227" s="111"/>
      <c r="TVV227" s="111"/>
      <c r="TVW227" s="111"/>
      <c r="TVX227" s="111"/>
      <c r="TVY227" s="111"/>
      <c r="TVZ227" s="111"/>
      <c r="TWA227" s="111"/>
      <c r="TWB227" s="111"/>
      <c r="TWC227" s="111"/>
      <c r="TWD227" s="111"/>
      <c r="TWE227" s="111"/>
      <c r="TWF227" s="111"/>
      <c r="TWG227" s="111"/>
      <c r="TWH227" s="111"/>
      <c r="TWI227" s="111"/>
      <c r="TWJ227" s="111"/>
      <c r="TWK227" s="111"/>
      <c r="TWL227" s="111"/>
      <c r="TWM227" s="111"/>
      <c r="TWN227" s="111"/>
      <c r="TWO227" s="111"/>
      <c r="TWP227" s="111"/>
      <c r="TWQ227" s="111"/>
      <c r="TWR227" s="111"/>
      <c r="TWS227" s="111"/>
      <c r="TWT227" s="111"/>
      <c r="TWU227" s="111"/>
      <c r="TWV227" s="111"/>
      <c r="TWW227" s="111"/>
      <c r="TWX227" s="111"/>
      <c r="TWY227" s="111"/>
      <c r="TWZ227" s="111"/>
      <c r="TXA227" s="111"/>
      <c r="TXB227" s="111"/>
      <c r="TXC227" s="111"/>
      <c r="TXD227" s="111"/>
      <c r="TXE227" s="111"/>
      <c r="TXF227" s="111"/>
      <c r="TXG227" s="111"/>
      <c r="TXH227" s="111"/>
      <c r="TXI227" s="111"/>
      <c r="TXJ227" s="111"/>
      <c r="TXK227" s="111"/>
      <c r="TXL227" s="111"/>
      <c r="TXM227" s="111"/>
      <c r="TXN227" s="111"/>
      <c r="TXO227" s="111"/>
      <c r="TXP227" s="111"/>
      <c r="TXQ227" s="111"/>
      <c r="TXR227" s="111"/>
      <c r="TXS227" s="111"/>
      <c r="TXT227" s="111"/>
      <c r="TXU227" s="111"/>
      <c r="TXV227" s="111"/>
      <c r="TXW227" s="111"/>
      <c r="TXX227" s="111"/>
      <c r="TXY227" s="111"/>
      <c r="TXZ227" s="111"/>
      <c r="TYA227" s="111"/>
      <c r="TYB227" s="111"/>
      <c r="TYC227" s="111"/>
      <c r="TYD227" s="111"/>
      <c r="TYE227" s="111"/>
      <c r="TYF227" s="111"/>
      <c r="TYG227" s="111"/>
      <c r="TYH227" s="111"/>
      <c r="TYI227" s="111"/>
      <c r="TYJ227" s="111"/>
      <c r="TYK227" s="111"/>
      <c r="TYL227" s="111"/>
      <c r="TYM227" s="111"/>
      <c r="TYN227" s="111"/>
      <c r="TYO227" s="111"/>
      <c r="TYP227" s="111"/>
      <c r="TYQ227" s="111"/>
      <c r="TYR227" s="111"/>
      <c r="TYS227" s="111"/>
      <c r="TYT227" s="111"/>
      <c r="TYU227" s="111"/>
      <c r="TYV227" s="111"/>
      <c r="TYW227" s="111"/>
      <c r="TYX227" s="111"/>
      <c r="TYY227" s="111"/>
      <c r="TYZ227" s="111"/>
      <c r="TZA227" s="111"/>
      <c r="TZB227" s="111"/>
      <c r="TZC227" s="111"/>
      <c r="TZD227" s="111"/>
      <c r="TZE227" s="111"/>
      <c r="TZF227" s="111"/>
      <c r="TZG227" s="111"/>
      <c r="TZH227" s="111"/>
      <c r="TZI227" s="111"/>
      <c r="TZJ227" s="111"/>
      <c r="TZK227" s="111"/>
      <c r="TZL227" s="111"/>
      <c r="TZM227" s="111"/>
      <c r="TZN227" s="111"/>
      <c r="TZO227" s="111"/>
      <c r="TZP227" s="111"/>
      <c r="TZQ227" s="111"/>
      <c r="TZR227" s="111"/>
      <c r="TZS227" s="111"/>
      <c r="TZT227" s="111"/>
      <c r="TZU227" s="111"/>
      <c r="TZV227" s="111"/>
      <c r="TZW227" s="111"/>
      <c r="TZX227" s="111"/>
      <c r="TZY227" s="111"/>
      <c r="TZZ227" s="111"/>
      <c r="UAA227" s="111"/>
      <c r="UAB227" s="111"/>
      <c r="UAC227" s="111"/>
      <c r="UAD227" s="111"/>
      <c r="UAE227" s="111"/>
      <c r="UAF227" s="111"/>
      <c r="UAG227" s="111"/>
      <c r="UAH227" s="111"/>
      <c r="UAI227" s="111"/>
      <c r="UAJ227" s="111"/>
      <c r="UAK227" s="111"/>
      <c r="UAL227" s="111"/>
      <c r="UAM227" s="111"/>
      <c r="UAN227" s="111"/>
      <c r="UAO227" s="111"/>
      <c r="UAP227" s="111"/>
      <c r="UAQ227" s="111"/>
      <c r="UAR227" s="111"/>
      <c r="UAS227" s="111"/>
      <c r="UAT227" s="111"/>
      <c r="UAU227" s="111"/>
      <c r="UAV227" s="111"/>
      <c r="UAW227" s="111"/>
      <c r="UAX227" s="111"/>
      <c r="UAY227" s="111"/>
      <c r="UAZ227" s="111"/>
      <c r="UBA227" s="111"/>
      <c r="UBB227" s="111"/>
      <c r="UBC227" s="111"/>
      <c r="UBD227" s="111"/>
      <c r="UBE227" s="111"/>
      <c r="UBF227" s="111"/>
      <c r="UBG227" s="111"/>
      <c r="UBH227" s="111"/>
      <c r="UBI227" s="111"/>
      <c r="UBJ227" s="111"/>
      <c r="UBK227" s="111"/>
      <c r="UBL227" s="111"/>
      <c r="UBM227" s="111"/>
      <c r="UBN227" s="111"/>
      <c r="UBO227" s="111"/>
      <c r="UBP227" s="111"/>
      <c r="UBQ227" s="111"/>
      <c r="UBR227" s="111"/>
      <c r="UBS227" s="111"/>
      <c r="UBT227" s="111"/>
      <c r="UBU227" s="111"/>
      <c r="UBV227" s="111"/>
      <c r="UBW227" s="111"/>
      <c r="UBX227" s="111"/>
      <c r="UBY227" s="111"/>
      <c r="UBZ227" s="111"/>
      <c r="UCA227" s="111"/>
      <c r="UCB227" s="111"/>
      <c r="UCC227" s="111"/>
      <c r="UCD227" s="111"/>
      <c r="UCE227" s="111"/>
      <c r="UCF227" s="111"/>
      <c r="UCG227" s="111"/>
      <c r="UCH227" s="111"/>
      <c r="UCI227" s="111"/>
      <c r="UCJ227" s="111"/>
      <c r="UCK227" s="111"/>
      <c r="UCL227" s="111"/>
      <c r="UCM227" s="111"/>
      <c r="UCN227" s="111"/>
      <c r="UCO227" s="111"/>
      <c r="UCP227" s="111"/>
      <c r="UCQ227" s="111"/>
      <c r="UCR227" s="111"/>
      <c r="UCS227" s="111"/>
      <c r="UCT227" s="111"/>
      <c r="UCU227" s="111"/>
      <c r="UCV227" s="111"/>
      <c r="UCW227" s="111"/>
      <c r="UCX227" s="111"/>
      <c r="UCY227" s="111"/>
      <c r="UCZ227" s="111"/>
      <c r="UDA227" s="111"/>
      <c r="UDB227" s="111"/>
      <c r="UDC227" s="111"/>
      <c r="UDD227" s="111"/>
      <c r="UDE227" s="111"/>
      <c r="UDF227" s="111"/>
      <c r="UDG227" s="111"/>
      <c r="UDH227" s="111"/>
      <c r="UDI227" s="111"/>
      <c r="UDJ227" s="111"/>
      <c r="UDK227" s="111"/>
      <c r="UDL227" s="111"/>
      <c r="UDM227" s="111"/>
      <c r="UDN227" s="111"/>
      <c r="UDO227" s="111"/>
      <c r="UDP227" s="111"/>
      <c r="UDQ227" s="111"/>
      <c r="UDR227" s="111"/>
      <c r="UDS227" s="111"/>
      <c r="UDT227" s="111"/>
      <c r="UDU227" s="111"/>
      <c r="UDV227" s="111"/>
      <c r="UDW227" s="111"/>
      <c r="UDX227" s="111"/>
      <c r="UDY227" s="111"/>
      <c r="UDZ227" s="111"/>
      <c r="UEA227" s="111"/>
      <c r="UEB227" s="111"/>
      <c r="UEC227" s="111"/>
      <c r="UED227" s="111"/>
      <c r="UEE227" s="111"/>
      <c r="UEF227" s="111"/>
      <c r="UEG227" s="111"/>
      <c r="UEH227" s="111"/>
      <c r="UEI227" s="111"/>
      <c r="UEJ227" s="111"/>
      <c r="UEK227" s="111"/>
      <c r="UEL227" s="111"/>
      <c r="UEM227" s="111"/>
      <c r="UEN227" s="111"/>
      <c r="UEO227" s="111"/>
      <c r="UEP227" s="111"/>
      <c r="UEQ227" s="111"/>
      <c r="UER227" s="111"/>
      <c r="UES227" s="111"/>
      <c r="UET227" s="111"/>
      <c r="UEU227" s="111"/>
      <c r="UEV227" s="111"/>
      <c r="UEW227" s="111"/>
      <c r="UEX227" s="111"/>
      <c r="UEY227" s="111"/>
      <c r="UEZ227" s="111"/>
      <c r="UFA227" s="111"/>
      <c r="UFB227" s="111"/>
      <c r="UFC227" s="111"/>
      <c r="UFD227" s="111"/>
      <c r="UFE227" s="111"/>
      <c r="UFF227" s="111"/>
      <c r="UFG227" s="111"/>
      <c r="UFH227" s="111"/>
      <c r="UFI227" s="111"/>
      <c r="UFJ227" s="111"/>
      <c r="UFK227" s="111"/>
      <c r="UFL227" s="111"/>
      <c r="UFM227" s="111"/>
      <c r="UFN227" s="111"/>
      <c r="UFO227" s="111"/>
      <c r="UFP227" s="111"/>
      <c r="UFQ227" s="111"/>
      <c r="UFR227" s="111"/>
      <c r="UFS227" s="111"/>
      <c r="UFT227" s="111"/>
      <c r="UFU227" s="111"/>
      <c r="UFV227" s="111"/>
      <c r="UFW227" s="111"/>
      <c r="UFX227" s="111"/>
      <c r="UFY227" s="111"/>
      <c r="UFZ227" s="111"/>
      <c r="UGA227" s="111"/>
      <c r="UGB227" s="111"/>
      <c r="UGC227" s="111"/>
      <c r="UGD227" s="111"/>
      <c r="UGE227" s="111"/>
      <c r="UGF227" s="111"/>
      <c r="UGG227" s="111"/>
      <c r="UGH227" s="111"/>
      <c r="UGI227" s="111"/>
      <c r="UGJ227" s="111"/>
      <c r="UGK227" s="111"/>
      <c r="UGL227" s="111"/>
      <c r="UGM227" s="111"/>
      <c r="UGN227" s="111"/>
      <c r="UGO227" s="111"/>
      <c r="UGP227" s="111"/>
      <c r="UGQ227" s="111"/>
      <c r="UGR227" s="111"/>
      <c r="UGS227" s="111"/>
      <c r="UGT227" s="111"/>
      <c r="UGU227" s="111"/>
      <c r="UGV227" s="111"/>
      <c r="UGW227" s="111"/>
      <c r="UGX227" s="111"/>
      <c r="UGY227" s="111"/>
      <c r="UGZ227" s="111"/>
      <c r="UHA227" s="111"/>
      <c r="UHB227" s="111"/>
      <c r="UHC227" s="111"/>
      <c r="UHD227" s="111"/>
      <c r="UHE227" s="111"/>
      <c r="UHF227" s="111"/>
      <c r="UHG227" s="111"/>
      <c r="UHH227" s="111"/>
      <c r="UHI227" s="111"/>
      <c r="UHJ227" s="111"/>
      <c r="UHK227" s="111"/>
      <c r="UHL227" s="111"/>
      <c r="UHM227" s="111"/>
      <c r="UHN227" s="111"/>
      <c r="UHO227" s="111"/>
      <c r="UHP227" s="111"/>
      <c r="UHQ227" s="111"/>
      <c r="UHR227" s="111"/>
      <c r="UHS227" s="111"/>
      <c r="UHT227" s="111"/>
      <c r="UHU227" s="111"/>
      <c r="UHV227" s="111"/>
      <c r="UHW227" s="111"/>
      <c r="UHX227" s="111"/>
      <c r="UHY227" s="111"/>
      <c r="UHZ227" s="111"/>
      <c r="UIA227" s="111"/>
      <c r="UIB227" s="111"/>
      <c r="UIC227" s="111"/>
      <c r="UID227" s="111"/>
      <c r="UIE227" s="111"/>
      <c r="UIF227" s="111"/>
      <c r="UIG227" s="111"/>
      <c r="UIH227" s="111"/>
      <c r="UII227" s="111"/>
      <c r="UIJ227" s="111"/>
      <c r="UIK227" s="111"/>
      <c r="UIL227" s="111"/>
      <c r="UIM227" s="111"/>
      <c r="UIN227" s="111"/>
      <c r="UIO227" s="111"/>
      <c r="UIP227" s="111"/>
      <c r="UIQ227" s="111"/>
      <c r="UIR227" s="111"/>
      <c r="UIS227" s="111"/>
      <c r="UIT227" s="111"/>
      <c r="UIU227" s="111"/>
      <c r="UIV227" s="111"/>
      <c r="UIW227" s="111"/>
      <c r="UIX227" s="111"/>
      <c r="UIY227" s="111"/>
      <c r="UIZ227" s="111"/>
      <c r="UJA227" s="111"/>
      <c r="UJB227" s="111"/>
      <c r="UJC227" s="111"/>
      <c r="UJD227" s="111"/>
      <c r="UJE227" s="111"/>
      <c r="UJF227" s="111"/>
      <c r="UJG227" s="111"/>
      <c r="UJH227" s="111"/>
      <c r="UJI227" s="111"/>
      <c r="UJJ227" s="111"/>
      <c r="UJK227" s="111"/>
      <c r="UJL227" s="111"/>
      <c r="UJM227" s="111"/>
      <c r="UJN227" s="111"/>
      <c r="UJO227" s="111"/>
      <c r="UJP227" s="111"/>
      <c r="UJQ227" s="111"/>
      <c r="UJR227" s="111"/>
      <c r="UJS227" s="111"/>
      <c r="UJT227" s="111"/>
      <c r="UJU227" s="111"/>
      <c r="UJV227" s="111"/>
      <c r="UJW227" s="111"/>
      <c r="UJX227" s="111"/>
      <c r="UJY227" s="111"/>
      <c r="UJZ227" s="111"/>
      <c r="UKA227" s="111"/>
      <c r="UKB227" s="111"/>
      <c r="UKC227" s="111"/>
      <c r="UKD227" s="111"/>
      <c r="UKE227" s="111"/>
      <c r="UKF227" s="111"/>
      <c r="UKG227" s="111"/>
      <c r="UKH227" s="111"/>
      <c r="UKI227" s="111"/>
      <c r="UKJ227" s="111"/>
      <c r="UKK227" s="111"/>
      <c r="UKL227" s="111"/>
      <c r="UKM227" s="111"/>
      <c r="UKN227" s="111"/>
      <c r="UKO227" s="111"/>
      <c r="UKP227" s="111"/>
      <c r="UKQ227" s="111"/>
      <c r="UKR227" s="111"/>
      <c r="UKS227" s="111"/>
      <c r="UKT227" s="111"/>
      <c r="UKU227" s="111"/>
      <c r="UKV227" s="111"/>
      <c r="UKW227" s="111"/>
      <c r="UKX227" s="111"/>
      <c r="UKY227" s="111"/>
      <c r="UKZ227" s="111"/>
      <c r="ULA227" s="111"/>
      <c r="ULB227" s="111"/>
      <c r="ULC227" s="111"/>
      <c r="ULD227" s="111"/>
      <c r="ULE227" s="111"/>
      <c r="ULF227" s="111"/>
      <c r="ULG227" s="111"/>
      <c r="ULH227" s="111"/>
      <c r="ULI227" s="111"/>
      <c r="ULJ227" s="111"/>
      <c r="ULK227" s="111"/>
      <c r="ULL227" s="111"/>
      <c r="ULM227" s="111"/>
      <c r="ULN227" s="111"/>
      <c r="ULO227" s="111"/>
      <c r="ULP227" s="111"/>
      <c r="ULQ227" s="111"/>
      <c r="ULR227" s="111"/>
      <c r="ULS227" s="111"/>
      <c r="ULT227" s="111"/>
      <c r="ULU227" s="111"/>
      <c r="ULV227" s="111"/>
      <c r="ULW227" s="111"/>
      <c r="ULX227" s="111"/>
      <c r="ULY227" s="111"/>
      <c r="ULZ227" s="111"/>
      <c r="UMA227" s="111"/>
      <c r="UMB227" s="111"/>
      <c r="UMC227" s="111"/>
      <c r="UMD227" s="111"/>
      <c r="UME227" s="111"/>
      <c r="UMF227" s="111"/>
      <c r="UMG227" s="111"/>
      <c r="UMH227" s="111"/>
      <c r="UMI227" s="111"/>
      <c r="UMJ227" s="111"/>
      <c r="UMK227" s="111"/>
      <c r="UML227" s="111"/>
      <c r="UMM227" s="111"/>
      <c r="UMN227" s="111"/>
      <c r="UMO227" s="111"/>
      <c r="UMP227" s="111"/>
      <c r="UMQ227" s="111"/>
      <c r="UMR227" s="111"/>
      <c r="UMS227" s="111"/>
      <c r="UMT227" s="111"/>
      <c r="UMU227" s="111"/>
      <c r="UMV227" s="111"/>
      <c r="UMW227" s="111"/>
      <c r="UMX227" s="111"/>
      <c r="UMY227" s="111"/>
      <c r="UMZ227" s="111"/>
      <c r="UNA227" s="111"/>
      <c r="UNB227" s="111"/>
      <c r="UNC227" s="111"/>
      <c r="UND227" s="111"/>
      <c r="UNE227" s="111"/>
      <c r="UNF227" s="111"/>
      <c r="UNG227" s="111"/>
      <c r="UNH227" s="111"/>
      <c r="UNI227" s="111"/>
      <c r="UNJ227" s="111"/>
      <c r="UNK227" s="111"/>
      <c r="UNL227" s="111"/>
      <c r="UNM227" s="111"/>
      <c r="UNN227" s="111"/>
      <c r="UNO227" s="111"/>
      <c r="UNP227" s="111"/>
      <c r="UNQ227" s="111"/>
      <c r="UNR227" s="111"/>
      <c r="UNS227" s="111"/>
      <c r="UNT227" s="111"/>
      <c r="UNU227" s="111"/>
      <c r="UNV227" s="111"/>
      <c r="UNW227" s="111"/>
      <c r="UNX227" s="111"/>
      <c r="UNY227" s="111"/>
      <c r="UNZ227" s="111"/>
      <c r="UOA227" s="111"/>
      <c r="UOB227" s="111"/>
      <c r="UOC227" s="111"/>
      <c r="UOD227" s="111"/>
      <c r="UOE227" s="111"/>
      <c r="UOF227" s="111"/>
      <c r="UOG227" s="111"/>
      <c r="UOH227" s="111"/>
      <c r="UOI227" s="111"/>
      <c r="UOJ227" s="111"/>
      <c r="UOK227" s="111"/>
      <c r="UOL227" s="111"/>
      <c r="UOM227" s="111"/>
      <c r="UON227" s="111"/>
      <c r="UOO227" s="111"/>
      <c r="UOP227" s="111"/>
      <c r="UOQ227" s="111"/>
      <c r="UOR227" s="111"/>
      <c r="UOS227" s="111"/>
      <c r="UOT227" s="111"/>
      <c r="UOU227" s="111"/>
      <c r="UOV227" s="111"/>
      <c r="UOW227" s="111"/>
      <c r="UOX227" s="111"/>
      <c r="UOY227" s="111"/>
      <c r="UOZ227" s="111"/>
      <c r="UPA227" s="111"/>
      <c r="UPB227" s="111"/>
      <c r="UPC227" s="111"/>
      <c r="UPD227" s="111"/>
      <c r="UPE227" s="111"/>
      <c r="UPF227" s="111"/>
      <c r="UPG227" s="111"/>
      <c r="UPH227" s="111"/>
      <c r="UPI227" s="111"/>
      <c r="UPJ227" s="111"/>
      <c r="UPK227" s="111"/>
      <c r="UPL227" s="111"/>
      <c r="UPM227" s="111"/>
      <c r="UPN227" s="111"/>
      <c r="UPO227" s="111"/>
      <c r="UPP227" s="111"/>
      <c r="UPQ227" s="111"/>
      <c r="UPR227" s="111"/>
      <c r="UPS227" s="111"/>
      <c r="UPT227" s="111"/>
      <c r="UPU227" s="111"/>
      <c r="UPV227" s="111"/>
      <c r="UPW227" s="111"/>
      <c r="UPX227" s="111"/>
      <c r="UPY227" s="111"/>
      <c r="UPZ227" s="111"/>
      <c r="UQA227" s="111"/>
      <c r="UQB227" s="111"/>
      <c r="UQC227" s="111"/>
      <c r="UQD227" s="111"/>
      <c r="UQE227" s="111"/>
      <c r="UQF227" s="111"/>
      <c r="UQG227" s="111"/>
      <c r="UQH227" s="111"/>
      <c r="UQI227" s="111"/>
      <c r="UQJ227" s="111"/>
      <c r="UQK227" s="111"/>
      <c r="UQL227" s="111"/>
      <c r="UQM227" s="111"/>
      <c r="UQN227" s="111"/>
      <c r="UQO227" s="111"/>
      <c r="UQP227" s="111"/>
      <c r="UQQ227" s="111"/>
      <c r="UQR227" s="111"/>
      <c r="UQS227" s="111"/>
      <c r="UQT227" s="111"/>
      <c r="UQU227" s="111"/>
      <c r="UQV227" s="111"/>
      <c r="UQW227" s="111"/>
      <c r="UQX227" s="111"/>
      <c r="UQY227" s="111"/>
      <c r="UQZ227" s="111"/>
      <c r="URA227" s="111"/>
      <c r="URB227" s="111"/>
      <c r="URC227" s="111"/>
      <c r="URD227" s="111"/>
      <c r="URE227" s="111"/>
      <c r="URF227" s="111"/>
      <c r="URG227" s="111"/>
      <c r="URH227" s="111"/>
      <c r="URI227" s="111"/>
      <c r="URJ227" s="111"/>
      <c r="URK227" s="111"/>
      <c r="URL227" s="111"/>
      <c r="URM227" s="111"/>
      <c r="URN227" s="111"/>
      <c r="URO227" s="111"/>
      <c r="URP227" s="111"/>
      <c r="URQ227" s="111"/>
      <c r="URR227" s="111"/>
      <c r="URS227" s="111"/>
      <c r="URT227" s="111"/>
      <c r="URU227" s="111"/>
      <c r="URV227" s="111"/>
      <c r="URW227" s="111"/>
      <c r="URX227" s="111"/>
      <c r="URY227" s="111"/>
      <c r="URZ227" s="111"/>
      <c r="USA227" s="111"/>
      <c r="USB227" s="111"/>
      <c r="USC227" s="111"/>
      <c r="USD227" s="111"/>
      <c r="USE227" s="111"/>
      <c r="USF227" s="111"/>
      <c r="USG227" s="111"/>
      <c r="USH227" s="111"/>
      <c r="USI227" s="111"/>
      <c r="USJ227" s="111"/>
      <c r="USK227" s="111"/>
      <c r="USL227" s="111"/>
      <c r="USM227" s="111"/>
      <c r="USN227" s="111"/>
      <c r="USO227" s="111"/>
      <c r="USP227" s="111"/>
      <c r="USQ227" s="111"/>
      <c r="USR227" s="111"/>
      <c r="USS227" s="111"/>
      <c r="UST227" s="111"/>
      <c r="USU227" s="111"/>
      <c r="USV227" s="111"/>
      <c r="USW227" s="111"/>
      <c r="USX227" s="111"/>
      <c r="USY227" s="111"/>
      <c r="USZ227" s="111"/>
      <c r="UTA227" s="111"/>
      <c r="UTB227" s="111"/>
      <c r="UTC227" s="111"/>
      <c r="UTD227" s="111"/>
      <c r="UTE227" s="111"/>
      <c r="UTF227" s="111"/>
      <c r="UTG227" s="111"/>
      <c r="UTH227" s="111"/>
      <c r="UTI227" s="111"/>
      <c r="UTJ227" s="111"/>
      <c r="UTK227" s="111"/>
      <c r="UTL227" s="111"/>
      <c r="UTM227" s="111"/>
      <c r="UTN227" s="111"/>
      <c r="UTO227" s="111"/>
      <c r="UTP227" s="111"/>
      <c r="UTQ227" s="111"/>
      <c r="UTR227" s="111"/>
      <c r="UTS227" s="111"/>
      <c r="UTT227" s="111"/>
      <c r="UTU227" s="111"/>
      <c r="UTV227" s="111"/>
      <c r="UTW227" s="111"/>
      <c r="UTX227" s="111"/>
      <c r="UTY227" s="111"/>
      <c r="UTZ227" s="111"/>
      <c r="UUA227" s="111"/>
      <c r="UUB227" s="111"/>
      <c r="UUC227" s="111"/>
      <c r="UUD227" s="111"/>
      <c r="UUE227" s="111"/>
      <c r="UUF227" s="111"/>
      <c r="UUG227" s="111"/>
      <c r="UUH227" s="111"/>
      <c r="UUI227" s="111"/>
      <c r="UUJ227" s="111"/>
      <c r="UUK227" s="111"/>
      <c r="UUL227" s="111"/>
      <c r="UUM227" s="111"/>
      <c r="UUN227" s="111"/>
      <c r="UUO227" s="111"/>
      <c r="UUP227" s="111"/>
      <c r="UUQ227" s="111"/>
      <c r="UUR227" s="111"/>
      <c r="UUS227" s="111"/>
      <c r="UUT227" s="111"/>
      <c r="UUU227" s="111"/>
      <c r="UUV227" s="111"/>
      <c r="UUW227" s="111"/>
      <c r="UUX227" s="111"/>
      <c r="UUY227" s="111"/>
      <c r="UUZ227" s="111"/>
      <c r="UVA227" s="111"/>
      <c r="UVB227" s="111"/>
      <c r="UVC227" s="111"/>
      <c r="UVD227" s="111"/>
      <c r="UVE227" s="111"/>
      <c r="UVF227" s="111"/>
      <c r="UVG227" s="111"/>
      <c r="UVH227" s="111"/>
      <c r="UVI227" s="111"/>
      <c r="UVJ227" s="111"/>
      <c r="UVK227" s="111"/>
      <c r="UVL227" s="111"/>
      <c r="UVM227" s="111"/>
      <c r="UVN227" s="111"/>
      <c r="UVO227" s="111"/>
      <c r="UVP227" s="111"/>
      <c r="UVQ227" s="111"/>
      <c r="UVR227" s="111"/>
      <c r="UVS227" s="111"/>
      <c r="UVT227" s="111"/>
      <c r="UVU227" s="111"/>
      <c r="UVV227" s="111"/>
      <c r="UVW227" s="111"/>
      <c r="UVX227" s="111"/>
      <c r="UVY227" s="111"/>
      <c r="UVZ227" s="111"/>
      <c r="UWA227" s="111"/>
      <c r="UWB227" s="111"/>
      <c r="UWC227" s="111"/>
      <c r="UWD227" s="111"/>
      <c r="UWE227" s="111"/>
      <c r="UWF227" s="111"/>
      <c r="UWG227" s="111"/>
      <c r="UWH227" s="111"/>
      <c r="UWI227" s="111"/>
      <c r="UWJ227" s="111"/>
      <c r="UWK227" s="111"/>
      <c r="UWL227" s="111"/>
      <c r="UWM227" s="111"/>
      <c r="UWN227" s="111"/>
      <c r="UWO227" s="111"/>
      <c r="UWP227" s="111"/>
      <c r="UWQ227" s="111"/>
      <c r="UWR227" s="111"/>
      <c r="UWS227" s="111"/>
      <c r="UWT227" s="111"/>
      <c r="UWU227" s="111"/>
      <c r="UWV227" s="111"/>
      <c r="UWW227" s="111"/>
      <c r="UWX227" s="111"/>
      <c r="UWY227" s="111"/>
      <c r="UWZ227" s="111"/>
      <c r="UXA227" s="111"/>
      <c r="UXB227" s="111"/>
      <c r="UXC227" s="111"/>
      <c r="UXD227" s="111"/>
      <c r="UXE227" s="111"/>
      <c r="UXF227" s="111"/>
      <c r="UXG227" s="111"/>
      <c r="UXH227" s="111"/>
      <c r="UXI227" s="111"/>
      <c r="UXJ227" s="111"/>
      <c r="UXK227" s="111"/>
      <c r="UXL227" s="111"/>
      <c r="UXM227" s="111"/>
      <c r="UXN227" s="111"/>
      <c r="UXO227" s="111"/>
      <c r="UXP227" s="111"/>
      <c r="UXQ227" s="111"/>
      <c r="UXR227" s="111"/>
      <c r="UXS227" s="111"/>
      <c r="UXT227" s="111"/>
      <c r="UXU227" s="111"/>
      <c r="UXV227" s="111"/>
      <c r="UXW227" s="111"/>
      <c r="UXX227" s="111"/>
      <c r="UXY227" s="111"/>
      <c r="UXZ227" s="111"/>
      <c r="UYA227" s="111"/>
      <c r="UYB227" s="111"/>
      <c r="UYC227" s="111"/>
      <c r="UYD227" s="111"/>
      <c r="UYE227" s="111"/>
      <c r="UYF227" s="111"/>
      <c r="UYG227" s="111"/>
      <c r="UYH227" s="111"/>
      <c r="UYI227" s="111"/>
      <c r="UYJ227" s="111"/>
      <c r="UYK227" s="111"/>
      <c r="UYL227" s="111"/>
      <c r="UYM227" s="111"/>
      <c r="UYN227" s="111"/>
      <c r="UYO227" s="111"/>
      <c r="UYP227" s="111"/>
      <c r="UYQ227" s="111"/>
      <c r="UYR227" s="111"/>
      <c r="UYS227" s="111"/>
      <c r="UYT227" s="111"/>
      <c r="UYU227" s="111"/>
      <c r="UYV227" s="111"/>
      <c r="UYW227" s="111"/>
      <c r="UYX227" s="111"/>
      <c r="UYY227" s="111"/>
      <c r="UYZ227" s="111"/>
      <c r="UZA227" s="111"/>
      <c r="UZB227" s="111"/>
      <c r="UZC227" s="111"/>
      <c r="UZD227" s="111"/>
      <c r="UZE227" s="111"/>
      <c r="UZF227" s="111"/>
      <c r="UZG227" s="111"/>
      <c r="UZH227" s="111"/>
      <c r="UZI227" s="111"/>
      <c r="UZJ227" s="111"/>
      <c r="UZK227" s="111"/>
      <c r="UZL227" s="111"/>
      <c r="UZM227" s="111"/>
      <c r="UZN227" s="111"/>
      <c r="UZO227" s="111"/>
      <c r="UZP227" s="111"/>
      <c r="UZQ227" s="111"/>
      <c r="UZR227" s="111"/>
      <c r="UZS227" s="111"/>
      <c r="UZT227" s="111"/>
      <c r="UZU227" s="111"/>
      <c r="UZV227" s="111"/>
      <c r="UZW227" s="111"/>
      <c r="UZX227" s="111"/>
      <c r="UZY227" s="111"/>
      <c r="UZZ227" s="111"/>
      <c r="VAA227" s="111"/>
      <c r="VAB227" s="111"/>
      <c r="VAC227" s="111"/>
      <c r="VAD227" s="111"/>
      <c r="VAE227" s="111"/>
      <c r="VAF227" s="111"/>
      <c r="VAG227" s="111"/>
      <c r="VAH227" s="111"/>
      <c r="VAI227" s="111"/>
      <c r="VAJ227" s="111"/>
      <c r="VAK227" s="111"/>
      <c r="VAL227" s="111"/>
      <c r="VAM227" s="111"/>
      <c r="VAN227" s="111"/>
      <c r="VAO227" s="111"/>
      <c r="VAP227" s="111"/>
      <c r="VAQ227" s="111"/>
      <c r="VAR227" s="111"/>
      <c r="VAS227" s="111"/>
      <c r="VAT227" s="111"/>
      <c r="VAU227" s="111"/>
      <c r="VAV227" s="111"/>
      <c r="VAW227" s="111"/>
      <c r="VAX227" s="111"/>
      <c r="VAY227" s="111"/>
      <c r="VAZ227" s="111"/>
      <c r="VBA227" s="111"/>
      <c r="VBB227" s="111"/>
      <c r="VBC227" s="111"/>
      <c r="VBD227" s="111"/>
      <c r="VBE227" s="111"/>
      <c r="VBF227" s="111"/>
      <c r="VBG227" s="111"/>
      <c r="VBH227" s="111"/>
      <c r="VBI227" s="111"/>
      <c r="VBJ227" s="111"/>
      <c r="VBK227" s="111"/>
      <c r="VBL227" s="111"/>
      <c r="VBM227" s="111"/>
      <c r="VBN227" s="111"/>
      <c r="VBO227" s="111"/>
      <c r="VBP227" s="111"/>
      <c r="VBQ227" s="111"/>
      <c r="VBR227" s="111"/>
      <c r="VBS227" s="111"/>
      <c r="VBT227" s="111"/>
      <c r="VBU227" s="111"/>
      <c r="VBV227" s="111"/>
      <c r="VBW227" s="111"/>
      <c r="VBX227" s="111"/>
      <c r="VBY227" s="111"/>
      <c r="VBZ227" s="111"/>
      <c r="VCA227" s="111"/>
      <c r="VCB227" s="111"/>
      <c r="VCC227" s="111"/>
      <c r="VCD227" s="111"/>
      <c r="VCE227" s="111"/>
      <c r="VCF227" s="111"/>
      <c r="VCG227" s="111"/>
      <c r="VCH227" s="111"/>
      <c r="VCI227" s="111"/>
      <c r="VCJ227" s="111"/>
      <c r="VCK227" s="111"/>
      <c r="VCL227" s="111"/>
      <c r="VCM227" s="111"/>
      <c r="VCN227" s="111"/>
      <c r="VCO227" s="111"/>
      <c r="VCP227" s="111"/>
      <c r="VCQ227" s="111"/>
      <c r="VCR227" s="111"/>
      <c r="VCS227" s="111"/>
      <c r="VCT227" s="111"/>
      <c r="VCU227" s="111"/>
      <c r="VCV227" s="111"/>
      <c r="VCW227" s="111"/>
      <c r="VCX227" s="111"/>
      <c r="VCY227" s="111"/>
      <c r="VCZ227" s="111"/>
      <c r="VDA227" s="111"/>
      <c r="VDB227" s="111"/>
      <c r="VDC227" s="111"/>
      <c r="VDD227" s="111"/>
      <c r="VDE227" s="111"/>
      <c r="VDF227" s="111"/>
      <c r="VDG227" s="111"/>
      <c r="VDH227" s="111"/>
      <c r="VDI227" s="111"/>
      <c r="VDJ227" s="111"/>
      <c r="VDK227" s="111"/>
      <c r="VDL227" s="111"/>
      <c r="VDM227" s="111"/>
      <c r="VDN227" s="111"/>
      <c r="VDO227" s="111"/>
      <c r="VDP227" s="111"/>
      <c r="VDQ227" s="111"/>
      <c r="VDR227" s="111"/>
      <c r="VDS227" s="111"/>
      <c r="VDT227" s="111"/>
      <c r="VDU227" s="111"/>
      <c r="VDV227" s="111"/>
      <c r="VDW227" s="111"/>
      <c r="VDX227" s="111"/>
      <c r="VDY227" s="111"/>
      <c r="VDZ227" s="111"/>
      <c r="VEA227" s="111"/>
      <c r="VEB227" s="111"/>
      <c r="VEC227" s="111"/>
      <c r="VED227" s="111"/>
      <c r="VEE227" s="111"/>
      <c r="VEF227" s="111"/>
      <c r="VEG227" s="111"/>
      <c r="VEH227" s="111"/>
      <c r="VEI227" s="111"/>
      <c r="VEJ227" s="111"/>
      <c r="VEK227" s="111"/>
      <c r="VEL227" s="111"/>
      <c r="VEM227" s="111"/>
      <c r="VEN227" s="111"/>
      <c r="VEO227" s="111"/>
      <c r="VEP227" s="111"/>
      <c r="VEQ227" s="111"/>
      <c r="VER227" s="111"/>
      <c r="VES227" s="111"/>
      <c r="VET227" s="111"/>
      <c r="VEU227" s="111"/>
      <c r="VEV227" s="111"/>
      <c r="VEW227" s="111"/>
      <c r="VEX227" s="111"/>
      <c r="VEY227" s="111"/>
      <c r="VEZ227" s="111"/>
      <c r="VFA227" s="111"/>
      <c r="VFB227" s="111"/>
      <c r="VFC227" s="111"/>
      <c r="VFD227" s="111"/>
      <c r="VFE227" s="111"/>
      <c r="VFF227" s="111"/>
      <c r="VFG227" s="111"/>
      <c r="VFH227" s="111"/>
      <c r="VFI227" s="111"/>
      <c r="VFJ227" s="111"/>
      <c r="VFK227" s="111"/>
      <c r="VFL227" s="111"/>
      <c r="VFM227" s="111"/>
      <c r="VFN227" s="111"/>
      <c r="VFO227" s="111"/>
      <c r="VFP227" s="111"/>
      <c r="VFQ227" s="111"/>
      <c r="VFR227" s="111"/>
      <c r="VFS227" s="111"/>
      <c r="VFT227" s="111"/>
      <c r="VFU227" s="111"/>
      <c r="VFV227" s="111"/>
      <c r="VFW227" s="111"/>
      <c r="VFX227" s="111"/>
      <c r="VFY227" s="111"/>
      <c r="VFZ227" s="111"/>
      <c r="VGA227" s="111"/>
      <c r="VGB227" s="111"/>
      <c r="VGC227" s="111"/>
      <c r="VGD227" s="111"/>
      <c r="VGE227" s="111"/>
      <c r="VGF227" s="111"/>
      <c r="VGG227" s="111"/>
      <c r="VGH227" s="111"/>
      <c r="VGI227" s="111"/>
      <c r="VGJ227" s="111"/>
      <c r="VGK227" s="111"/>
      <c r="VGL227" s="111"/>
      <c r="VGM227" s="111"/>
      <c r="VGN227" s="111"/>
      <c r="VGO227" s="111"/>
      <c r="VGP227" s="111"/>
      <c r="VGQ227" s="111"/>
      <c r="VGR227" s="111"/>
      <c r="VGS227" s="111"/>
      <c r="VGT227" s="111"/>
      <c r="VGU227" s="111"/>
      <c r="VGV227" s="111"/>
      <c r="VGW227" s="111"/>
      <c r="VGX227" s="111"/>
      <c r="VGY227" s="111"/>
      <c r="VGZ227" s="111"/>
      <c r="VHA227" s="111"/>
      <c r="VHB227" s="111"/>
      <c r="VHC227" s="111"/>
      <c r="VHD227" s="111"/>
      <c r="VHE227" s="111"/>
      <c r="VHF227" s="111"/>
      <c r="VHG227" s="111"/>
      <c r="VHH227" s="111"/>
      <c r="VHI227" s="111"/>
      <c r="VHJ227" s="111"/>
      <c r="VHK227" s="111"/>
      <c r="VHL227" s="111"/>
      <c r="VHM227" s="111"/>
      <c r="VHN227" s="111"/>
      <c r="VHO227" s="111"/>
      <c r="VHP227" s="111"/>
      <c r="VHQ227" s="111"/>
      <c r="VHR227" s="111"/>
      <c r="VHS227" s="111"/>
      <c r="VHT227" s="111"/>
      <c r="VHU227" s="111"/>
      <c r="VHV227" s="111"/>
      <c r="VHW227" s="111"/>
      <c r="VHX227" s="111"/>
      <c r="VHY227" s="111"/>
      <c r="VHZ227" s="111"/>
      <c r="VIA227" s="111"/>
      <c r="VIB227" s="111"/>
      <c r="VIC227" s="111"/>
      <c r="VID227" s="111"/>
      <c r="VIE227" s="111"/>
      <c r="VIF227" s="111"/>
      <c r="VIG227" s="111"/>
      <c r="VIH227" s="111"/>
      <c r="VII227" s="111"/>
      <c r="VIJ227" s="111"/>
      <c r="VIK227" s="111"/>
      <c r="VIL227" s="111"/>
      <c r="VIM227" s="111"/>
      <c r="VIN227" s="111"/>
      <c r="VIO227" s="111"/>
      <c r="VIP227" s="111"/>
      <c r="VIQ227" s="111"/>
      <c r="VIR227" s="111"/>
      <c r="VIS227" s="111"/>
      <c r="VIT227" s="111"/>
      <c r="VIU227" s="111"/>
      <c r="VIV227" s="111"/>
      <c r="VIW227" s="111"/>
      <c r="VIX227" s="111"/>
      <c r="VIY227" s="111"/>
      <c r="VIZ227" s="111"/>
      <c r="VJA227" s="111"/>
      <c r="VJB227" s="111"/>
      <c r="VJC227" s="111"/>
      <c r="VJD227" s="111"/>
      <c r="VJE227" s="111"/>
      <c r="VJF227" s="111"/>
      <c r="VJG227" s="111"/>
      <c r="VJH227" s="111"/>
      <c r="VJI227" s="111"/>
      <c r="VJJ227" s="111"/>
      <c r="VJK227" s="111"/>
      <c r="VJL227" s="111"/>
      <c r="VJM227" s="111"/>
      <c r="VJN227" s="111"/>
      <c r="VJO227" s="111"/>
      <c r="VJP227" s="111"/>
      <c r="VJQ227" s="111"/>
      <c r="VJR227" s="111"/>
      <c r="VJS227" s="111"/>
      <c r="VJT227" s="111"/>
      <c r="VJU227" s="111"/>
      <c r="VJV227" s="111"/>
      <c r="VJW227" s="111"/>
      <c r="VJX227" s="111"/>
      <c r="VJY227" s="111"/>
      <c r="VJZ227" s="111"/>
      <c r="VKA227" s="111"/>
      <c r="VKB227" s="111"/>
      <c r="VKC227" s="111"/>
      <c r="VKD227" s="111"/>
      <c r="VKE227" s="111"/>
      <c r="VKF227" s="111"/>
      <c r="VKG227" s="111"/>
      <c r="VKH227" s="111"/>
      <c r="VKI227" s="111"/>
      <c r="VKJ227" s="111"/>
      <c r="VKK227" s="111"/>
      <c r="VKL227" s="111"/>
      <c r="VKM227" s="111"/>
      <c r="VKN227" s="111"/>
      <c r="VKO227" s="111"/>
      <c r="VKP227" s="111"/>
      <c r="VKQ227" s="111"/>
      <c r="VKR227" s="111"/>
      <c r="VKS227" s="111"/>
      <c r="VKT227" s="111"/>
      <c r="VKU227" s="111"/>
      <c r="VKV227" s="111"/>
      <c r="VKW227" s="111"/>
      <c r="VKX227" s="111"/>
      <c r="VKY227" s="111"/>
      <c r="VKZ227" s="111"/>
      <c r="VLA227" s="111"/>
      <c r="VLB227" s="111"/>
      <c r="VLC227" s="111"/>
      <c r="VLD227" s="111"/>
      <c r="VLE227" s="111"/>
      <c r="VLF227" s="111"/>
      <c r="VLG227" s="111"/>
      <c r="VLH227" s="111"/>
      <c r="VLI227" s="111"/>
      <c r="VLJ227" s="111"/>
      <c r="VLK227" s="111"/>
      <c r="VLL227" s="111"/>
      <c r="VLM227" s="111"/>
      <c r="VLN227" s="111"/>
      <c r="VLO227" s="111"/>
      <c r="VLP227" s="111"/>
      <c r="VLQ227" s="111"/>
      <c r="VLR227" s="111"/>
      <c r="VLS227" s="111"/>
      <c r="VLT227" s="111"/>
      <c r="VLU227" s="111"/>
      <c r="VLV227" s="111"/>
      <c r="VLW227" s="111"/>
      <c r="VLX227" s="111"/>
      <c r="VLY227" s="111"/>
      <c r="VLZ227" s="111"/>
      <c r="VMA227" s="111"/>
      <c r="VMB227" s="111"/>
      <c r="VMC227" s="111"/>
      <c r="VMD227" s="111"/>
      <c r="VME227" s="111"/>
      <c r="VMF227" s="111"/>
      <c r="VMG227" s="111"/>
      <c r="VMH227" s="111"/>
      <c r="VMI227" s="111"/>
      <c r="VMJ227" s="111"/>
      <c r="VMK227" s="111"/>
      <c r="VML227" s="111"/>
      <c r="VMM227" s="111"/>
      <c r="VMN227" s="111"/>
      <c r="VMO227" s="111"/>
      <c r="VMP227" s="111"/>
      <c r="VMQ227" s="111"/>
      <c r="VMR227" s="111"/>
      <c r="VMS227" s="111"/>
      <c r="VMT227" s="111"/>
      <c r="VMU227" s="111"/>
      <c r="VMV227" s="111"/>
      <c r="VMW227" s="111"/>
      <c r="VMX227" s="111"/>
      <c r="VMY227" s="111"/>
      <c r="VMZ227" s="111"/>
      <c r="VNA227" s="111"/>
      <c r="VNB227" s="111"/>
      <c r="VNC227" s="111"/>
      <c r="VND227" s="111"/>
      <c r="VNE227" s="111"/>
      <c r="VNF227" s="111"/>
      <c r="VNG227" s="111"/>
      <c r="VNH227" s="111"/>
      <c r="VNI227" s="111"/>
      <c r="VNJ227" s="111"/>
      <c r="VNK227" s="111"/>
      <c r="VNL227" s="111"/>
      <c r="VNM227" s="111"/>
      <c r="VNN227" s="111"/>
      <c r="VNO227" s="111"/>
      <c r="VNP227" s="111"/>
      <c r="VNQ227" s="111"/>
      <c r="VNR227" s="111"/>
      <c r="VNS227" s="111"/>
      <c r="VNT227" s="111"/>
      <c r="VNU227" s="111"/>
      <c r="VNV227" s="111"/>
      <c r="VNW227" s="111"/>
      <c r="VNX227" s="111"/>
      <c r="VNY227" s="111"/>
      <c r="VNZ227" s="111"/>
      <c r="VOA227" s="111"/>
      <c r="VOB227" s="111"/>
      <c r="VOC227" s="111"/>
      <c r="VOD227" s="111"/>
      <c r="VOE227" s="111"/>
      <c r="VOF227" s="111"/>
      <c r="VOG227" s="111"/>
      <c r="VOH227" s="111"/>
      <c r="VOI227" s="111"/>
      <c r="VOJ227" s="111"/>
      <c r="VOK227" s="111"/>
      <c r="VOL227" s="111"/>
      <c r="VOM227" s="111"/>
      <c r="VON227" s="111"/>
      <c r="VOO227" s="111"/>
      <c r="VOP227" s="111"/>
      <c r="VOQ227" s="111"/>
      <c r="VOR227" s="111"/>
      <c r="VOS227" s="111"/>
      <c r="VOT227" s="111"/>
      <c r="VOU227" s="111"/>
      <c r="VOV227" s="111"/>
      <c r="VOW227" s="111"/>
      <c r="VOX227" s="111"/>
      <c r="VOY227" s="111"/>
      <c r="VOZ227" s="111"/>
      <c r="VPA227" s="111"/>
      <c r="VPB227" s="111"/>
      <c r="VPC227" s="111"/>
      <c r="VPD227" s="111"/>
      <c r="VPE227" s="111"/>
      <c r="VPF227" s="111"/>
      <c r="VPG227" s="111"/>
      <c r="VPH227" s="111"/>
      <c r="VPI227" s="111"/>
      <c r="VPJ227" s="111"/>
      <c r="VPK227" s="111"/>
      <c r="VPL227" s="111"/>
      <c r="VPM227" s="111"/>
      <c r="VPN227" s="111"/>
      <c r="VPO227" s="111"/>
      <c r="VPP227" s="111"/>
      <c r="VPQ227" s="111"/>
      <c r="VPR227" s="111"/>
      <c r="VPS227" s="111"/>
      <c r="VPT227" s="111"/>
      <c r="VPU227" s="111"/>
      <c r="VPV227" s="111"/>
      <c r="VPW227" s="111"/>
      <c r="VPX227" s="111"/>
      <c r="VPY227" s="111"/>
      <c r="VPZ227" s="111"/>
      <c r="VQA227" s="111"/>
      <c r="VQB227" s="111"/>
      <c r="VQC227" s="111"/>
      <c r="VQD227" s="111"/>
      <c r="VQE227" s="111"/>
      <c r="VQF227" s="111"/>
      <c r="VQG227" s="111"/>
      <c r="VQH227" s="111"/>
      <c r="VQI227" s="111"/>
      <c r="VQJ227" s="111"/>
      <c r="VQK227" s="111"/>
      <c r="VQL227" s="111"/>
      <c r="VQM227" s="111"/>
      <c r="VQN227" s="111"/>
      <c r="VQO227" s="111"/>
      <c r="VQP227" s="111"/>
      <c r="VQQ227" s="111"/>
      <c r="VQR227" s="111"/>
      <c r="VQS227" s="111"/>
      <c r="VQT227" s="111"/>
      <c r="VQU227" s="111"/>
      <c r="VQV227" s="111"/>
      <c r="VQW227" s="111"/>
      <c r="VQX227" s="111"/>
      <c r="VQY227" s="111"/>
      <c r="VQZ227" s="111"/>
      <c r="VRA227" s="111"/>
      <c r="VRB227" s="111"/>
      <c r="VRC227" s="111"/>
      <c r="VRD227" s="111"/>
      <c r="VRE227" s="111"/>
      <c r="VRF227" s="111"/>
      <c r="VRG227" s="111"/>
      <c r="VRH227" s="111"/>
      <c r="VRI227" s="111"/>
      <c r="VRJ227" s="111"/>
      <c r="VRK227" s="111"/>
      <c r="VRL227" s="111"/>
      <c r="VRM227" s="111"/>
      <c r="VRN227" s="111"/>
      <c r="VRO227" s="111"/>
      <c r="VRP227" s="111"/>
      <c r="VRQ227" s="111"/>
      <c r="VRR227" s="111"/>
      <c r="VRS227" s="111"/>
      <c r="VRT227" s="111"/>
      <c r="VRU227" s="111"/>
      <c r="VRV227" s="111"/>
      <c r="VRW227" s="111"/>
      <c r="VRX227" s="111"/>
      <c r="VRY227" s="111"/>
      <c r="VRZ227" s="111"/>
      <c r="VSA227" s="111"/>
      <c r="VSB227" s="111"/>
      <c r="VSC227" s="111"/>
      <c r="VSD227" s="111"/>
      <c r="VSE227" s="111"/>
      <c r="VSF227" s="111"/>
      <c r="VSG227" s="111"/>
      <c r="VSH227" s="111"/>
      <c r="VSI227" s="111"/>
      <c r="VSJ227" s="111"/>
      <c r="VSK227" s="111"/>
      <c r="VSL227" s="111"/>
      <c r="VSM227" s="111"/>
      <c r="VSN227" s="111"/>
      <c r="VSO227" s="111"/>
      <c r="VSP227" s="111"/>
      <c r="VSQ227" s="111"/>
      <c r="VSR227" s="111"/>
      <c r="VSS227" s="111"/>
      <c r="VST227" s="111"/>
      <c r="VSU227" s="111"/>
      <c r="VSV227" s="111"/>
      <c r="VSW227" s="111"/>
      <c r="VSX227" s="111"/>
      <c r="VSY227" s="111"/>
      <c r="VSZ227" s="111"/>
      <c r="VTA227" s="111"/>
      <c r="VTB227" s="111"/>
      <c r="VTC227" s="111"/>
      <c r="VTD227" s="111"/>
      <c r="VTE227" s="111"/>
      <c r="VTF227" s="111"/>
      <c r="VTG227" s="111"/>
      <c r="VTH227" s="111"/>
      <c r="VTI227" s="111"/>
      <c r="VTJ227" s="111"/>
      <c r="VTK227" s="111"/>
      <c r="VTL227" s="111"/>
      <c r="VTM227" s="111"/>
      <c r="VTN227" s="111"/>
      <c r="VTO227" s="111"/>
      <c r="VTP227" s="111"/>
      <c r="VTQ227" s="111"/>
      <c r="VTR227" s="111"/>
      <c r="VTS227" s="111"/>
      <c r="VTT227" s="111"/>
      <c r="VTU227" s="111"/>
      <c r="VTV227" s="111"/>
      <c r="VTW227" s="111"/>
      <c r="VTX227" s="111"/>
      <c r="VTY227" s="111"/>
      <c r="VTZ227" s="111"/>
      <c r="VUA227" s="111"/>
      <c r="VUB227" s="111"/>
      <c r="VUC227" s="111"/>
      <c r="VUD227" s="111"/>
      <c r="VUE227" s="111"/>
      <c r="VUF227" s="111"/>
      <c r="VUG227" s="111"/>
      <c r="VUH227" s="111"/>
      <c r="VUI227" s="111"/>
      <c r="VUJ227" s="111"/>
      <c r="VUK227" s="111"/>
      <c r="VUL227" s="111"/>
      <c r="VUM227" s="111"/>
      <c r="VUN227" s="111"/>
      <c r="VUO227" s="111"/>
      <c r="VUP227" s="111"/>
      <c r="VUQ227" s="111"/>
      <c r="VUR227" s="111"/>
      <c r="VUS227" s="111"/>
      <c r="VUT227" s="111"/>
      <c r="VUU227" s="111"/>
      <c r="VUV227" s="111"/>
      <c r="VUW227" s="111"/>
      <c r="VUX227" s="111"/>
      <c r="VUY227" s="111"/>
      <c r="VUZ227" s="111"/>
      <c r="VVA227" s="111"/>
      <c r="VVB227" s="111"/>
      <c r="VVC227" s="111"/>
      <c r="VVD227" s="111"/>
      <c r="VVE227" s="111"/>
      <c r="VVF227" s="111"/>
      <c r="VVG227" s="111"/>
      <c r="VVH227" s="111"/>
      <c r="VVI227" s="111"/>
      <c r="VVJ227" s="111"/>
      <c r="VVK227" s="111"/>
      <c r="VVL227" s="111"/>
      <c r="VVM227" s="111"/>
      <c r="VVN227" s="111"/>
      <c r="VVO227" s="111"/>
      <c r="VVP227" s="111"/>
      <c r="VVQ227" s="111"/>
      <c r="VVR227" s="111"/>
      <c r="VVS227" s="111"/>
      <c r="VVT227" s="111"/>
      <c r="VVU227" s="111"/>
      <c r="VVV227" s="111"/>
      <c r="VVW227" s="111"/>
      <c r="VVX227" s="111"/>
      <c r="VVY227" s="111"/>
      <c r="VVZ227" s="111"/>
      <c r="VWA227" s="111"/>
      <c r="VWB227" s="111"/>
      <c r="VWC227" s="111"/>
      <c r="VWD227" s="111"/>
      <c r="VWE227" s="111"/>
      <c r="VWF227" s="111"/>
      <c r="VWG227" s="111"/>
      <c r="VWH227" s="111"/>
      <c r="VWI227" s="111"/>
      <c r="VWJ227" s="111"/>
      <c r="VWK227" s="111"/>
      <c r="VWL227" s="111"/>
      <c r="VWM227" s="111"/>
      <c r="VWN227" s="111"/>
      <c r="VWO227" s="111"/>
      <c r="VWP227" s="111"/>
      <c r="VWQ227" s="111"/>
      <c r="VWR227" s="111"/>
      <c r="VWS227" s="111"/>
      <c r="VWT227" s="111"/>
      <c r="VWU227" s="111"/>
      <c r="VWV227" s="111"/>
      <c r="VWW227" s="111"/>
      <c r="VWX227" s="111"/>
      <c r="VWY227" s="111"/>
      <c r="VWZ227" s="111"/>
      <c r="VXA227" s="111"/>
      <c r="VXB227" s="111"/>
      <c r="VXC227" s="111"/>
      <c r="VXD227" s="111"/>
      <c r="VXE227" s="111"/>
      <c r="VXF227" s="111"/>
      <c r="VXG227" s="111"/>
      <c r="VXH227" s="111"/>
      <c r="VXI227" s="111"/>
      <c r="VXJ227" s="111"/>
      <c r="VXK227" s="111"/>
      <c r="VXL227" s="111"/>
      <c r="VXM227" s="111"/>
      <c r="VXN227" s="111"/>
      <c r="VXO227" s="111"/>
      <c r="VXP227" s="111"/>
      <c r="VXQ227" s="111"/>
      <c r="VXR227" s="111"/>
      <c r="VXS227" s="111"/>
      <c r="VXT227" s="111"/>
      <c r="VXU227" s="111"/>
      <c r="VXV227" s="111"/>
      <c r="VXW227" s="111"/>
      <c r="VXX227" s="111"/>
      <c r="VXY227" s="111"/>
      <c r="VXZ227" s="111"/>
      <c r="VYA227" s="111"/>
      <c r="VYB227" s="111"/>
      <c r="VYC227" s="111"/>
      <c r="VYD227" s="111"/>
      <c r="VYE227" s="111"/>
      <c r="VYF227" s="111"/>
      <c r="VYG227" s="111"/>
      <c r="VYH227" s="111"/>
      <c r="VYI227" s="111"/>
      <c r="VYJ227" s="111"/>
      <c r="VYK227" s="111"/>
      <c r="VYL227" s="111"/>
      <c r="VYM227" s="111"/>
      <c r="VYN227" s="111"/>
      <c r="VYO227" s="111"/>
      <c r="VYP227" s="111"/>
      <c r="VYQ227" s="111"/>
      <c r="VYR227" s="111"/>
      <c r="VYS227" s="111"/>
      <c r="VYT227" s="111"/>
      <c r="VYU227" s="111"/>
      <c r="VYV227" s="111"/>
      <c r="VYW227" s="111"/>
      <c r="VYX227" s="111"/>
      <c r="VYY227" s="111"/>
      <c r="VYZ227" s="111"/>
      <c r="VZA227" s="111"/>
      <c r="VZB227" s="111"/>
      <c r="VZC227" s="111"/>
      <c r="VZD227" s="111"/>
      <c r="VZE227" s="111"/>
      <c r="VZF227" s="111"/>
      <c r="VZG227" s="111"/>
      <c r="VZH227" s="111"/>
      <c r="VZI227" s="111"/>
      <c r="VZJ227" s="111"/>
      <c r="VZK227" s="111"/>
      <c r="VZL227" s="111"/>
      <c r="VZM227" s="111"/>
      <c r="VZN227" s="111"/>
      <c r="VZO227" s="111"/>
      <c r="VZP227" s="111"/>
      <c r="VZQ227" s="111"/>
      <c r="VZR227" s="111"/>
      <c r="VZS227" s="111"/>
      <c r="VZT227" s="111"/>
      <c r="VZU227" s="111"/>
      <c r="VZV227" s="111"/>
      <c r="VZW227" s="111"/>
      <c r="VZX227" s="111"/>
      <c r="VZY227" s="111"/>
      <c r="VZZ227" s="111"/>
      <c r="WAA227" s="111"/>
      <c r="WAB227" s="111"/>
      <c r="WAC227" s="111"/>
      <c r="WAD227" s="111"/>
      <c r="WAE227" s="111"/>
      <c r="WAF227" s="111"/>
      <c r="WAG227" s="111"/>
      <c r="WAH227" s="111"/>
      <c r="WAI227" s="111"/>
      <c r="WAJ227" s="111"/>
      <c r="WAK227" s="111"/>
      <c r="WAL227" s="111"/>
      <c r="WAM227" s="111"/>
      <c r="WAN227" s="111"/>
      <c r="WAO227" s="111"/>
      <c r="WAP227" s="111"/>
      <c r="WAQ227" s="111"/>
      <c r="WAR227" s="111"/>
      <c r="WAS227" s="111"/>
      <c r="WAT227" s="111"/>
      <c r="WAU227" s="111"/>
      <c r="WAV227" s="111"/>
      <c r="WAW227" s="111"/>
      <c r="WAX227" s="111"/>
      <c r="WAY227" s="111"/>
      <c r="WAZ227" s="111"/>
      <c r="WBA227" s="111"/>
      <c r="WBB227" s="111"/>
      <c r="WBC227" s="111"/>
      <c r="WBD227" s="111"/>
      <c r="WBE227" s="111"/>
      <c r="WBF227" s="111"/>
      <c r="WBG227" s="111"/>
      <c r="WBH227" s="111"/>
      <c r="WBI227" s="111"/>
      <c r="WBJ227" s="111"/>
      <c r="WBK227" s="111"/>
      <c r="WBL227" s="111"/>
      <c r="WBM227" s="111"/>
      <c r="WBN227" s="111"/>
      <c r="WBO227" s="111"/>
      <c r="WBP227" s="111"/>
      <c r="WBQ227" s="111"/>
      <c r="WBR227" s="111"/>
      <c r="WBS227" s="111"/>
      <c r="WBT227" s="111"/>
      <c r="WBU227" s="111"/>
      <c r="WBV227" s="111"/>
      <c r="WBW227" s="111"/>
      <c r="WBX227" s="111"/>
      <c r="WBY227" s="111"/>
      <c r="WBZ227" s="111"/>
      <c r="WCA227" s="111"/>
      <c r="WCB227" s="111"/>
      <c r="WCC227" s="111"/>
      <c r="WCD227" s="111"/>
      <c r="WCE227" s="111"/>
      <c r="WCF227" s="111"/>
      <c r="WCG227" s="111"/>
      <c r="WCH227" s="111"/>
      <c r="WCI227" s="111"/>
      <c r="WCJ227" s="111"/>
      <c r="WCK227" s="111"/>
      <c r="WCL227" s="111"/>
      <c r="WCM227" s="111"/>
      <c r="WCN227" s="111"/>
      <c r="WCO227" s="111"/>
      <c r="WCP227" s="111"/>
      <c r="WCQ227" s="111"/>
      <c r="WCR227" s="111"/>
      <c r="WCS227" s="111"/>
      <c r="WCT227" s="111"/>
      <c r="WCU227" s="111"/>
      <c r="WCV227" s="111"/>
      <c r="WCW227" s="111"/>
      <c r="WCX227" s="111"/>
      <c r="WCY227" s="111"/>
      <c r="WCZ227" s="111"/>
      <c r="WDA227" s="111"/>
      <c r="WDB227" s="111"/>
      <c r="WDC227" s="111"/>
      <c r="WDD227" s="111"/>
      <c r="WDE227" s="111"/>
      <c r="WDF227" s="111"/>
      <c r="WDG227" s="111"/>
      <c r="WDH227" s="111"/>
      <c r="WDI227" s="111"/>
      <c r="WDJ227" s="111"/>
      <c r="WDK227" s="111"/>
      <c r="WDL227" s="111"/>
      <c r="WDM227" s="111"/>
      <c r="WDN227" s="111"/>
      <c r="WDO227" s="111"/>
      <c r="WDP227" s="111"/>
      <c r="WDQ227" s="111"/>
      <c r="WDR227" s="111"/>
      <c r="WDS227" s="111"/>
      <c r="WDT227" s="111"/>
      <c r="WDU227" s="111"/>
      <c r="WDV227" s="111"/>
      <c r="WDW227" s="111"/>
      <c r="WDX227" s="111"/>
      <c r="WDY227" s="111"/>
      <c r="WDZ227" s="111"/>
      <c r="WEA227" s="111"/>
      <c r="WEB227" s="111"/>
      <c r="WEC227" s="111"/>
      <c r="WED227" s="111"/>
      <c r="WEE227" s="111"/>
      <c r="WEF227" s="111"/>
      <c r="WEG227" s="111"/>
      <c r="WEH227" s="111"/>
      <c r="WEI227" s="111"/>
      <c r="WEJ227" s="111"/>
      <c r="WEK227" s="111"/>
      <c r="WEL227" s="111"/>
      <c r="WEM227" s="111"/>
      <c r="WEN227" s="111"/>
      <c r="WEO227" s="111"/>
      <c r="WEP227" s="111"/>
      <c r="WEQ227" s="111"/>
      <c r="WER227" s="111"/>
      <c r="WES227" s="111"/>
      <c r="WET227" s="111"/>
      <c r="WEU227" s="111"/>
      <c r="WEV227" s="111"/>
      <c r="WEW227" s="111"/>
      <c r="WEX227" s="111"/>
      <c r="WEY227" s="111"/>
      <c r="WEZ227" s="111"/>
      <c r="WFA227" s="111"/>
      <c r="WFB227" s="111"/>
      <c r="WFC227" s="111"/>
      <c r="WFD227" s="111"/>
      <c r="WFE227" s="111"/>
      <c r="WFF227" s="111"/>
      <c r="WFG227" s="111"/>
      <c r="WFH227" s="111"/>
      <c r="WFI227" s="111"/>
      <c r="WFJ227" s="111"/>
      <c r="WFK227" s="111"/>
      <c r="WFL227" s="111"/>
      <c r="WFM227" s="111"/>
      <c r="WFN227" s="111"/>
      <c r="WFO227" s="111"/>
      <c r="WFP227" s="111"/>
      <c r="WFQ227" s="111"/>
      <c r="WFR227" s="111"/>
      <c r="WFS227" s="111"/>
      <c r="WFT227" s="111"/>
      <c r="WFU227" s="111"/>
      <c r="WFV227" s="111"/>
      <c r="WFW227" s="111"/>
      <c r="WFX227" s="111"/>
      <c r="WFY227" s="111"/>
      <c r="WFZ227" s="111"/>
      <c r="WGA227" s="111"/>
      <c r="WGB227" s="111"/>
      <c r="WGC227" s="111"/>
      <c r="WGD227" s="111"/>
      <c r="WGE227" s="111"/>
      <c r="WGF227" s="111"/>
      <c r="WGG227" s="111"/>
      <c r="WGH227" s="111"/>
      <c r="WGI227" s="111"/>
      <c r="WGJ227" s="111"/>
      <c r="WGK227" s="111"/>
      <c r="WGL227" s="111"/>
      <c r="WGM227" s="111"/>
      <c r="WGN227" s="111"/>
      <c r="WGO227" s="111"/>
      <c r="WGP227" s="111"/>
      <c r="WGQ227" s="111"/>
      <c r="WGR227" s="111"/>
      <c r="WGS227" s="111"/>
      <c r="WGT227" s="111"/>
      <c r="WGU227" s="111"/>
      <c r="WGV227" s="111"/>
      <c r="WGW227" s="111"/>
      <c r="WGX227" s="111"/>
      <c r="WGY227" s="111"/>
      <c r="WGZ227" s="111"/>
      <c r="WHA227" s="111"/>
      <c r="WHB227" s="111"/>
      <c r="WHC227" s="111"/>
      <c r="WHD227" s="111"/>
      <c r="WHE227" s="111"/>
      <c r="WHF227" s="111"/>
      <c r="WHG227" s="111"/>
      <c r="WHH227" s="111"/>
      <c r="WHI227" s="111"/>
      <c r="WHJ227" s="111"/>
      <c r="WHK227" s="111"/>
      <c r="WHL227" s="111"/>
      <c r="WHM227" s="111"/>
      <c r="WHN227" s="111"/>
      <c r="WHO227" s="111"/>
      <c r="WHP227" s="111"/>
      <c r="WHQ227" s="111"/>
      <c r="WHR227" s="111"/>
      <c r="WHS227" s="111"/>
      <c r="WHT227" s="111"/>
      <c r="WHU227" s="111"/>
      <c r="WHV227" s="111"/>
      <c r="WHW227" s="111"/>
      <c r="WHX227" s="111"/>
      <c r="WHY227" s="111"/>
      <c r="WHZ227" s="111"/>
      <c r="WIA227" s="111"/>
      <c r="WIB227" s="111"/>
      <c r="WIC227" s="111"/>
      <c r="WID227" s="111"/>
      <c r="WIE227" s="111"/>
      <c r="WIF227" s="111"/>
      <c r="WIG227" s="111"/>
      <c r="WIH227" s="111"/>
      <c r="WII227" s="111"/>
      <c r="WIJ227" s="111"/>
      <c r="WIK227" s="111"/>
      <c r="WIL227" s="111"/>
      <c r="WIM227" s="111"/>
      <c r="WIN227" s="111"/>
      <c r="WIO227" s="111"/>
      <c r="WIP227" s="111"/>
      <c r="WIQ227" s="111"/>
      <c r="WIR227" s="111"/>
      <c r="WIS227" s="111"/>
      <c r="WIT227" s="111"/>
      <c r="WIU227" s="111"/>
      <c r="WIV227" s="111"/>
      <c r="WIW227" s="111"/>
      <c r="WIX227" s="111"/>
      <c r="WIY227" s="111"/>
      <c r="WIZ227" s="111"/>
      <c r="WJA227" s="111"/>
      <c r="WJB227" s="111"/>
      <c r="WJC227" s="111"/>
      <c r="WJD227" s="111"/>
      <c r="WJE227" s="111"/>
      <c r="WJF227" s="111"/>
      <c r="WJG227" s="111"/>
      <c r="WJH227" s="111"/>
      <c r="WJI227" s="111"/>
      <c r="WJJ227" s="111"/>
      <c r="WJK227" s="111"/>
      <c r="WJL227" s="111"/>
      <c r="WJM227" s="111"/>
      <c r="WJN227" s="111"/>
      <c r="WJO227" s="111"/>
      <c r="WJP227" s="111"/>
      <c r="WJQ227" s="111"/>
      <c r="WJR227" s="111"/>
      <c r="WJS227" s="111"/>
      <c r="WJT227" s="111"/>
      <c r="WJU227" s="111"/>
      <c r="WJV227" s="111"/>
      <c r="WJW227" s="111"/>
      <c r="WJX227" s="111"/>
      <c r="WJY227" s="111"/>
      <c r="WJZ227" s="111"/>
      <c r="WKA227" s="111"/>
      <c r="WKB227" s="111"/>
      <c r="WKC227" s="111"/>
      <c r="WKD227" s="111"/>
      <c r="WKE227" s="111"/>
      <c r="WKF227" s="111"/>
      <c r="WKG227" s="111"/>
      <c r="WKH227" s="111"/>
      <c r="WKI227" s="111"/>
      <c r="WKJ227" s="111"/>
      <c r="WKK227" s="111"/>
      <c r="WKL227" s="111"/>
      <c r="WKM227" s="111"/>
      <c r="WKN227" s="111"/>
      <c r="WKO227" s="111"/>
      <c r="WKP227" s="111"/>
      <c r="WKQ227" s="111"/>
      <c r="WKR227" s="111"/>
      <c r="WKS227" s="111"/>
      <c r="WKT227" s="111"/>
      <c r="WKU227" s="111"/>
      <c r="WKV227" s="111"/>
      <c r="WKW227" s="111"/>
      <c r="WKX227" s="111"/>
      <c r="WKY227" s="111"/>
      <c r="WKZ227" s="111"/>
      <c r="WLA227" s="111"/>
      <c r="WLB227" s="111"/>
      <c r="WLC227" s="111"/>
      <c r="WLD227" s="111"/>
      <c r="WLE227" s="111"/>
      <c r="WLF227" s="111"/>
      <c r="WLG227" s="111"/>
      <c r="WLH227" s="111"/>
      <c r="WLI227" s="111"/>
      <c r="WLJ227" s="111"/>
      <c r="WLK227" s="111"/>
      <c r="WLL227" s="111"/>
      <c r="WLM227" s="111"/>
      <c r="WLN227" s="111"/>
      <c r="WLO227" s="111"/>
      <c r="WLP227" s="111"/>
      <c r="WLQ227" s="111"/>
      <c r="WLR227" s="111"/>
      <c r="WLS227" s="111"/>
      <c r="WLT227" s="111"/>
      <c r="WLU227" s="111"/>
      <c r="WLV227" s="111"/>
      <c r="WLW227" s="111"/>
      <c r="WLX227" s="111"/>
      <c r="WLY227" s="111"/>
      <c r="WLZ227" s="111"/>
      <c r="WMA227" s="111"/>
      <c r="WMB227" s="111"/>
      <c r="WMC227" s="111"/>
      <c r="WMD227" s="111"/>
      <c r="WME227" s="111"/>
      <c r="WMF227" s="111"/>
      <c r="WMG227" s="111"/>
      <c r="WMH227" s="111"/>
      <c r="WMI227" s="111"/>
      <c r="WMJ227" s="111"/>
      <c r="WMK227" s="111"/>
      <c r="WML227" s="111"/>
      <c r="WMM227" s="111"/>
      <c r="WMN227" s="111"/>
      <c r="WMO227" s="111"/>
      <c r="WMP227" s="111"/>
      <c r="WMQ227" s="111"/>
      <c r="WMR227" s="111"/>
      <c r="WMS227" s="111"/>
      <c r="WMT227" s="111"/>
      <c r="WMU227" s="111"/>
      <c r="WMV227" s="111"/>
      <c r="WMW227" s="111"/>
      <c r="WMX227" s="111"/>
      <c r="WMY227" s="111"/>
      <c r="WMZ227" s="111"/>
      <c r="WNA227" s="111"/>
      <c r="WNB227" s="111"/>
      <c r="WNC227" s="111"/>
      <c r="WND227" s="111"/>
      <c r="WNE227" s="111"/>
      <c r="WNF227" s="111"/>
      <c r="WNG227" s="111"/>
      <c r="WNH227" s="111"/>
      <c r="WNI227" s="111"/>
      <c r="WNJ227" s="111"/>
      <c r="WNK227" s="111"/>
      <c r="WNL227" s="111"/>
      <c r="WNM227" s="111"/>
      <c r="WNN227" s="111"/>
      <c r="WNO227" s="111"/>
      <c r="WNP227" s="111"/>
      <c r="WNQ227" s="111"/>
      <c r="WNR227" s="111"/>
      <c r="WNS227" s="111"/>
      <c r="WNT227" s="111"/>
      <c r="WNU227" s="111"/>
      <c r="WNV227" s="111"/>
      <c r="WNW227" s="111"/>
      <c r="WNX227" s="111"/>
      <c r="WNY227" s="111"/>
      <c r="WNZ227" s="111"/>
      <c r="WOA227" s="111"/>
      <c r="WOB227" s="111"/>
      <c r="WOC227" s="111"/>
      <c r="WOD227" s="111"/>
      <c r="WOE227" s="111"/>
      <c r="WOF227" s="111"/>
      <c r="WOG227" s="111"/>
      <c r="WOH227" s="111"/>
      <c r="WOI227" s="111"/>
      <c r="WOJ227" s="111"/>
      <c r="WOK227" s="111"/>
      <c r="WOL227" s="111"/>
      <c r="WOM227" s="111"/>
      <c r="WON227" s="111"/>
      <c r="WOO227" s="111"/>
      <c r="WOP227" s="111"/>
      <c r="WOQ227" s="111"/>
      <c r="WOR227" s="111"/>
      <c r="WOS227" s="111"/>
      <c r="WOT227" s="111"/>
      <c r="WOU227" s="111"/>
      <c r="WOV227" s="111"/>
      <c r="WOW227" s="111"/>
      <c r="WOX227" s="111"/>
      <c r="WOY227" s="111"/>
      <c r="WOZ227" s="111"/>
      <c r="WPA227" s="111"/>
      <c r="WPB227" s="111"/>
      <c r="WPC227" s="111"/>
      <c r="WPD227" s="111"/>
      <c r="WPE227" s="111"/>
      <c r="WPF227" s="111"/>
      <c r="WPG227" s="111"/>
      <c r="WPH227" s="111"/>
      <c r="WPI227" s="111"/>
      <c r="WPJ227" s="111"/>
      <c r="WPK227" s="111"/>
      <c r="WPL227" s="111"/>
      <c r="WPM227" s="111"/>
      <c r="WPN227" s="111"/>
      <c r="WPO227" s="111"/>
      <c r="WPP227" s="111"/>
      <c r="WPQ227" s="111"/>
      <c r="WPR227" s="111"/>
      <c r="WPS227" s="111"/>
      <c r="WPT227" s="111"/>
      <c r="WPU227" s="111"/>
      <c r="WPV227" s="111"/>
      <c r="WPW227" s="111"/>
      <c r="WPX227" s="111"/>
      <c r="WPY227" s="111"/>
      <c r="WPZ227" s="111"/>
      <c r="WQA227" s="111"/>
      <c r="WQB227" s="111"/>
      <c r="WQC227" s="111"/>
      <c r="WQD227" s="111"/>
      <c r="WQE227" s="111"/>
      <c r="WQF227" s="111"/>
      <c r="WQG227" s="111"/>
      <c r="WQH227" s="111"/>
      <c r="WQI227" s="111"/>
      <c r="WQJ227" s="111"/>
      <c r="WQK227" s="111"/>
      <c r="WQL227" s="111"/>
      <c r="WQM227" s="111"/>
      <c r="WQN227" s="111"/>
      <c r="WQO227" s="111"/>
      <c r="WQP227" s="111"/>
      <c r="WQQ227" s="111"/>
      <c r="WQR227" s="111"/>
      <c r="WQS227" s="111"/>
      <c r="WQT227" s="111"/>
      <c r="WQU227" s="111"/>
      <c r="WQV227" s="111"/>
      <c r="WQW227" s="111"/>
      <c r="WQX227" s="111"/>
      <c r="WQY227" s="111"/>
      <c r="WQZ227" s="111"/>
      <c r="WRA227" s="111"/>
      <c r="WRB227" s="111"/>
      <c r="WRC227" s="111"/>
      <c r="WRD227" s="111"/>
      <c r="WRE227" s="111"/>
      <c r="WRF227" s="111"/>
      <c r="WRG227" s="111"/>
      <c r="WRH227" s="111"/>
      <c r="WRI227" s="111"/>
      <c r="WRJ227" s="111"/>
      <c r="WRK227" s="111"/>
      <c r="WRL227" s="111"/>
      <c r="WRM227" s="111"/>
      <c r="WRN227" s="111"/>
      <c r="WRO227" s="111"/>
      <c r="WRP227" s="111"/>
      <c r="WRQ227" s="111"/>
      <c r="WRR227" s="111"/>
      <c r="WRS227" s="111"/>
      <c r="WRT227" s="111"/>
      <c r="WRU227" s="111"/>
      <c r="WRV227" s="111"/>
      <c r="WRW227" s="111"/>
      <c r="WRX227" s="111"/>
      <c r="WRY227" s="111"/>
      <c r="WRZ227" s="111"/>
      <c r="WSA227" s="111"/>
      <c r="WSB227" s="111"/>
      <c r="WSC227" s="111"/>
      <c r="WSD227" s="111"/>
      <c r="WSE227" s="111"/>
      <c r="WSF227" s="111"/>
      <c r="WSG227" s="111"/>
      <c r="WSH227" s="111"/>
      <c r="WSI227" s="111"/>
      <c r="WSJ227" s="111"/>
      <c r="WSK227" s="111"/>
      <c r="WSL227" s="111"/>
      <c r="WSM227" s="111"/>
      <c r="WSN227" s="111"/>
      <c r="WSO227" s="111"/>
      <c r="WSP227" s="111"/>
      <c r="WSQ227" s="111"/>
      <c r="WSR227" s="111"/>
      <c r="WSS227" s="111"/>
      <c r="WST227" s="111"/>
      <c r="WSU227" s="111"/>
      <c r="WSV227" s="111"/>
      <c r="WSW227" s="111"/>
      <c r="WSX227" s="111"/>
      <c r="WSY227" s="111"/>
      <c r="WSZ227" s="111"/>
      <c r="WTA227" s="111"/>
      <c r="WTB227" s="111"/>
      <c r="WTC227" s="111"/>
      <c r="WTD227" s="111"/>
      <c r="WTE227" s="111"/>
      <c r="WTF227" s="111"/>
      <c r="WTG227" s="111"/>
      <c r="WTH227" s="111"/>
      <c r="WTI227" s="111"/>
      <c r="WTJ227" s="111"/>
      <c r="WTK227" s="111"/>
      <c r="WTL227" s="111"/>
      <c r="WTM227" s="111"/>
      <c r="WTN227" s="111"/>
      <c r="WTO227" s="111"/>
      <c r="WTP227" s="111"/>
      <c r="WTQ227" s="111"/>
      <c r="WTR227" s="111"/>
      <c r="WTS227" s="111"/>
      <c r="WTT227" s="111"/>
      <c r="WTU227" s="111"/>
      <c r="WTV227" s="111"/>
      <c r="WTW227" s="111"/>
      <c r="WTX227" s="111"/>
      <c r="WTY227" s="111"/>
      <c r="WTZ227" s="111"/>
      <c r="WUA227" s="111"/>
      <c r="WUB227" s="111"/>
      <c r="WUC227" s="111"/>
      <c r="WUD227" s="111"/>
      <c r="WUE227" s="111"/>
      <c r="WUF227" s="111"/>
      <c r="WUG227" s="111"/>
      <c r="WUH227" s="111"/>
      <c r="WUI227" s="111"/>
      <c r="WUJ227" s="111"/>
      <c r="WUK227" s="111"/>
      <c r="WUL227" s="111"/>
      <c r="WUM227" s="111"/>
      <c r="WUN227" s="111"/>
      <c r="WUO227" s="111"/>
      <c r="WUP227" s="111"/>
      <c r="WUQ227" s="111"/>
      <c r="WUR227" s="111"/>
      <c r="WUS227" s="111"/>
      <c r="WUT227" s="111"/>
      <c r="WUU227" s="111"/>
      <c r="WUV227" s="111"/>
      <c r="WUW227" s="111"/>
      <c r="WUX227" s="111"/>
      <c r="WUY227" s="111"/>
      <c r="WUZ227" s="111"/>
      <c r="WVA227" s="111"/>
      <c r="WVB227" s="111"/>
      <c r="WVC227" s="111"/>
      <c r="WVD227" s="111"/>
      <c r="WVE227" s="111"/>
      <c r="WVF227" s="111"/>
      <c r="WVG227" s="111"/>
      <c r="WVH227" s="111"/>
      <c r="WVI227" s="111"/>
      <c r="WVJ227" s="111"/>
      <c r="WVK227" s="111"/>
      <c r="WVL227" s="111"/>
      <c r="WVM227" s="111"/>
      <c r="WVN227" s="111"/>
      <c r="WVO227" s="111"/>
      <c r="WVP227" s="111"/>
      <c r="WVQ227" s="111"/>
      <c r="WVR227" s="111"/>
      <c r="WVS227" s="111"/>
      <c r="WVT227" s="111"/>
      <c r="WVU227" s="111"/>
      <c r="WVV227" s="111"/>
      <c r="WVW227" s="111"/>
      <c r="WVX227" s="111"/>
      <c r="WVY227" s="111"/>
      <c r="WVZ227" s="111"/>
      <c r="WWA227" s="111"/>
      <c r="WWB227" s="111"/>
      <c r="WWC227" s="111"/>
      <c r="WWD227" s="111"/>
      <c r="WWE227" s="111"/>
      <c r="WWF227" s="111"/>
      <c r="WWG227" s="111"/>
      <c r="WWH227" s="111"/>
      <c r="WWI227" s="111"/>
      <c r="WWJ227" s="111"/>
      <c r="WWK227" s="111"/>
      <c r="WWL227" s="111"/>
      <c r="WWM227" s="111"/>
      <c r="WWN227" s="111"/>
      <c r="WWO227" s="111"/>
      <c r="WWP227" s="111"/>
      <c r="WWQ227" s="111"/>
      <c r="WWR227" s="111"/>
      <c r="WWS227" s="111"/>
      <c r="WWT227" s="111"/>
      <c r="WWU227" s="111"/>
      <c r="WWV227" s="111"/>
      <c r="WWW227" s="111"/>
      <c r="WWX227" s="111"/>
      <c r="WWY227" s="111"/>
      <c r="WWZ227" s="111"/>
      <c r="WXA227" s="111"/>
      <c r="WXB227" s="111"/>
      <c r="WXC227" s="111"/>
      <c r="WXD227" s="111"/>
      <c r="WXE227" s="111"/>
      <c r="WXF227" s="111"/>
      <c r="WXG227" s="111"/>
      <c r="WXH227" s="111"/>
      <c r="WXI227" s="111"/>
      <c r="WXJ227" s="111"/>
      <c r="WXK227" s="111"/>
      <c r="WXL227" s="111"/>
      <c r="WXM227" s="111"/>
      <c r="WXN227" s="111"/>
      <c r="WXO227" s="111"/>
      <c r="WXP227" s="111"/>
      <c r="WXQ227" s="111"/>
      <c r="WXR227" s="111"/>
      <c r="WXS227" s="111"/>
      <c r="WXT227" s="111"/>
      <c r="WXU227" s="111"/>
      <c r="WXV227" s="111"/>
      <c r="WXW227" s="111"/>
      <c r="WXX227" s="111"/>
      <c r="WXY227" s="111"/>
      <c r="WXZ227" s="111"/>
      <c r="WYA227" s="111"/>
      <c r="WYB227" s="111"/>
      <c r="WYC227" s="111"/>
      <c r="WYD227" s="111"/>
      <c r="WYE227" s="111"/>
      <c r="WYF227" s="111"/>
      <c r="WYG227" s="111"/>
      <c r="WYH227" s="111"/>
      <c r="WYI227" s="111"/>
      <c r="WYJ227" s="111"/>
      <c r="WYK227" s="111"/>
      <c r="WYL227" s="111"/>
      <c r="WYM227" s="111"/>
      <c r="WYN227" s="111"/>
      <c r="WYO227" s="111"/>
      <c r="WYP227" s="111"/>
      <c r="WYQ227" s="111"/>
      <c r="WYR227" s="111"/>
      <c r="WYS227" s="111"/>
      <c r="WYT227" s="111"/>
      <c r="WYU227" s="111"/>
      <c r="WYV227" s="111"/>
      <c r="WYW227" s="111"/>
      <c r="WYX227" s="111"/>
      <c r="WYY227" s="111"/>
      <c r="WYZ227" s="111"/>
      <c r="WZA227" s="111"/>
      <c r="WZB227" s="111"/>
      <c r="WZC227" s="111"/>
      <c r="WZD227" s="111"/>
      <c r="WZE227" s="111"/>
      <c r="WZF227" s="111"/>
      <c r="WZG227" s="111"/>
      <c r="WZH227" s="111"/>
      <c r="WZI227" s="111"/>
      <c r="WZJ227" s="111"/>
      <c r="WZK227" s="111"/>
      <c r="WZL227" s="111"/>
      <c r="WZM227" s="111"/>
      <c r="WZN227" s="111"/>
      <c r="WZO227" s="111"/>
      <c r="WZP227" s="111"/>
      <c r="WZQ227" s="111"/>
      <c r="WZR227" s="111"/>
      <c r="WZS227" s="111"/>
      <c r="WZT227" s="111"/>
      <c r="WZU227" s="111"/>
      <c r="WZV227" s="111"/>
      <c r="WZW227" s="111"/>
      <c r="WZX227" s="111"/>
      <c r="WZY227" s="111"/>
      <c r="WZZ227" s="111"/>
      <c r="XAA227" s="111"/>
      <c r="XAB227" s="111"/>
      <c r="XAC227" s="111"/>
      <c r="XAD227" s="111"/>
      <c r="XAE227" s="111"/>
      <c r="XAF227" s="111"/>
      <c r="XAG227" s="111"/>
      <c r="XAH227" s="111"/>
      <c r="XAI227" s="111"/>
      <c r="XAJ227" s="111"/>
      <c r="XAK227" s="111"/>
      <c r="XAL227" s="111"/>
      <c r="XAM227" s="111"/>
      <c r="XAN227" s="111"/>
      <c r="XAO227" s="111"/>
      <c r="XAP227" s="111"/>
      <c r="XAQ227" s="111"/>
      <c r="XAR227" s="111"/>
      <c r="XAS227" s="111"/>
      <c r="XAT227" s="111"/>
      <c r="XAU227" s="111"/>
      <c r="XAV227" s="111"/>
      <c r="XAW227" s="111"/>
      <c r="XAX227" s="111"/>
      <c r="XAY227" s="111"/>
      <c r="XAZ227" s="111"/>
      <c r="XBA227" s="111"/>
      <c r="XBB227" s="111"/>
      <c r="XBC227" s="111"/>
      <c r="XBD227" s="111"/>
      <c r="XBE227" s="111"/>
      <c r="XBF227" s="111"/>
      <c r="XBG227" s="111"/>
      <c r="XBH227" s="111"/>
      <c r="XBI227" s="111"/>
      <c r="XBJ227" s="111"/>
      <c r="XBK227" s="111"/>
      <c r="XBL227" s="111"/>
      <c r="XBM227" s="111"/>
      <c r="XBN227" s="111"/>
      <c r="XBO227" s="111"/>
      <c r="XBP227" s="111"/>
      <c r="XBQ227" s="111"/>
      <c r="XBR227" s="111"/>
      <c r="XBS227" s="111"/>
      <c r="XBT227" s="111"/>
      <c r="XBU227" s="111"/>
      <c r="XBV227" s="111"/>
      <c r="XBW227" s="111"/>
      <c r="XBX227" s="111"/>
      <c r="XBY227" s="111"/>
      <c r="XBZ227" s="111"/>
      <c r="XCA227" s="111"/>
      <c r="XCB227" s="111"/>
      <c r="XCC227" s="111"/>
      <c r="XCD227" s="111"/>
      <c r="XCE227" s="111"/>
      <c r="XCF227" s="111"/>
      <c r="XCG227" s="111"/>
      <c r="XCH227" s="111"/>
      <c r="XCI227" s="111"/>
      <c r="XCJ227" s="111"/>
      <c r="XCK227" s="111"/>
      <c r="XCL227" s="111"/>
      <c r="XCM227" s="111"/>
      <c r="XCN227" s="111"/>
      <c r="XCO227" s="111"/>
      <c r="XCP227" s="111"/>
      <c r="XCQ227" s="111"/>
      <c r="XCR227" s="111"/>
      <c r="XCS227" s="111"/>
      <c r="XCT227" s="111"/>
      <c r="XCU227" s="111"/>
      <c r="XCV227" s="111"/>
      <c r="XCW227" s="111"/>
      <c r="XCX227" s="111"/>
      <c r="XCY227" s="111"/>
      <c r="XCZ227" s="111"/>
      <c r="XDA227" s="111"/>
      <c r="XDB227" s="111"/>
      <c r="XDC227" s="111"/>
      <c r="XDD227" s="111"/>
      <c r="XDE227" s="111"/>
      <c r="XDF227" s="111"/>
      <c r="XDG227" s="111"/>
      <c r="XDH227" s="111"/>
      <c r="XDI227" s="111"/>
      <c r="XDJ227" s="111"/>
      <c r="XDK227" s="111"/>
      <c r="XDL227" s="111"/>
      <c r="XDM227" s="111"/>
      <c r="XDN227" s="111"/>
      <c r="XDO227" s="111"/>
      <c r="XDP227" s="111"/>
      <c r="XDQ227" s="111"/>
      <c r="XDR227" s="111"/>
      <c r="XDS227" s="111"/>
      <c r="XDT227" s="111"/>
      <c r="XDU227" s="111"/>
      <c r="XDV227" s="111"/>
      <c r="XDW227" s="111"/>
      <c r="XDX227" s="111"/>
      <c r="XDY227" s="111"/>
      <c r="XDZ227" s="111"/>
      <c r="XEA227" s="111"/>
      <c r="XEB227" s="111"/>
      <c r="XEC227" s="111"/>
      <c r="XED227" s="111"/>
      <c r="XEE227" s="111"/>
      <c r="XEF227" s="111"/>
      <c r="XEG227" s="111"/>
      <c r="XEH227" s="111"/>
      <c r="XEI227" s="111"/>
      <c r="XEJ227" s="111"/>
      <c r="XEK227" s="111"/>
      <c r="XEL227" s="111"/>
      <c r="XEM227" s="111"/>
      <c r="XEN227" s="111"/>
      <c r="XEO227" s="111"/>
      <c r="XEP227" s="111"/>
      <c r="XEQ227" s="111"/>
      <c r="XER227" s="111"/>
      <c r="XES227" s="111"/>
      <c r="XET227" s="111"/>
      <c r="XEU227" s="111"/>
      <c r="XEV227" s="111"/>
      <c r="XEW227" s="111"/>
      <c r="XEX227" s="111"/>
      <c r="XEY227" s="111"/>
      <c r="XEZ227" s="111"/>
      <c r="XFA227" s="111"/>
      <c r="XFB227" s="111"/>
      <c r="XFC227" s="111"/>
      <c r="XFD227" s="111"/>
    </row>
    <row r="228" spans="1:16384" ht="12.75" hidden="1" customHeight="1">
      <c r="A228" s="147">
        <v>227</v>
      </c>
      <c r="B228" s="223">
        <v>197525</v>
      </c>
      <c r="C228" s="52" t="s">
        <v>128</v>
      </c>
      <c r="D228" s="57">
        <v>42887</v>
      </c>
      <c r="E228" s="58" t="s">
        <v>718</v>
      </c>
      <c r="F228" s="59">
        <v>42903</v>
      </c>
      <c r="G228" s="52">
        <f t="shared" si="10"/>
        <v>16</v>
      </c>
      <c r="H228" s="52" t="s">
        <v>363</v>
      </c>
      <c r="I228" s="111"/>
      <c r="J228" s="60" t="s">
        <v>614</v>
      </c>
      <c r="K228" s="94">
        <v>1399</v>
      </c>
      <c r="L228" s="94">
        <v>1399</v>
      </c>
      <c r="M228" s="96">
        <v>0</v>
      </c>
      <c r="N228" s="111"/>
      <c r="O228" s="93">
        <f t="shared" si="12"/>
        <v>1315.06</v>
      </c>
      <c r="P228" s="61" t="s">
        <v>262</v>
      </c>
      <c r="Q228" s="119" t="s">
        <v>1342</v>
      </c>
      <c r="R228" s="224" t="s">
        <v>501</v>
      </c>
      <c r="S228" s="225" t="s">
        <v>466</v>
      </c>
      <c r="T228" s="224" t="s">
        <v>338</v>
      </c>
      <c r="U228" s="224" t="s">
        <v>734</v>
      </c>
      <c r="V228" s="224" t="s">
        <v>735</v>
      </c>
      <c r="W228" s="111"/>
      <c r="X228" s="111"/>
      <c r="Y228" s="111"/>
      <c r="Z228" s="117" t="s">
        <v>726</v>
      </c>
      <c r="AA228" s="111"/>
      <c r="AB228" s="111"/>
      <c r="AC228" s="63">
        <f t="shared" si="11"/>
        <v>1</v>
      </c>
      <c r="AD228" s="111"/>
      <c r="AE228" s="111"/>
      <c r="AF228" s="111"/>
      <c r="AG228" s="111"/>
      <c r="AH228" s="64" t="s">
        <v>746</v>
      </c>
      <c r="AI228" s="111"/>
      <c r="AJ228" s="111"/>
      <c r="AK228" s="111"/>
      <c r="AL228" s="111"/>
      <c r="AM228" s="121"/>
      <c r="AN228" s="65"/>
      <c r="AO228" s="65"/>
      <c r="AP228" s="65"/>
      <c r="AQ228" s="65"/>
      <c r="AR228" s="65"/>
      <c r="AS228" s="65"/>
      <c r="AT228" s="65"/>
      <c r="AU228" s="65"/>
      <c r="AV228" s="65"/>
      <c r="AW228" s="65"/>
      <c r="AX228" s="65"/>
      <c r="AY228" s="65"/>
      <c r="AZ228" s="65"/>
      <c r="BA228" s="65"/>
      <c r="BB228" s="65"/>
      <c r="BC228" s="65"/>
      <c r="BD228" s="65"/>
      <c r="BE228" s="65"/>
      <c r="BF228" s="65"/>
      <c r="BG228" s="65"/>
      <c r="BH228" s="65"/>
      <c r="BI228" s="65"/>
      <c r="BJ228" s="65"/>
      <c r="BK228" s="65"/>
      <c r="BL228" s="65"/>
      <c r="BM228" s="65"/>
      <c r="BN228" s="65"/>
      <c r="BO228" s="65"/>
      <c r="BP228" s="65"/>
      <c r="BQ228" s="65"/>
      <c r="BR228" s="65"/>
      <c r="BS228" s="65"/>
      <c r="BT228" s="65"/>
      <c r="BU228" s="65"/>
      <c r="BV228" s="65"/>
    </row>
    <row r="229" spans="1:16384" ht="12.75" hidden="1" customHeight="1">
      <c r="A229" s="147">
        <v>228</v>
      </c>
      <c r="B229" s="223">
        <v>197896</v>
      </c>
      <c r="C229" s="52" t="s">
        <v>128</v>
      </c>
      <c r="D229" s="57">
        <v>42887</v>
      </c>
      <c r="E229" s="58" t="s">
        <v>718</v>
      </c>
      <c r="F229" s="59">
        <v>42919</v>
      </c>
      <c r="G229" s="221">
        <f t="shared" si="10"/>
        <v>32</v>
      </c>
      <c r="H229" s="52" t="s">
        <v>363</v>
      </c>
      <c r="I229" s="221"/>
      <c r="J229" s="60" t="s">
        <v>614</v>
      </c>
      <c r="K229" s="94">
        <v>1299</v>
      </c>
      <c r="L229" s="94">
        <v>1299</v>
      </c>
      <c r="M229" s="96">
        <v>0</v>
      </c>
      <c r="N229" s="221"/>
      <c r="O229" s="93">
        <f t="shared" si="12"/>
        <v>1221.06</v>
      </c>
      <c r="P229" s="61" t="s">
        <v>264</v>
      </c>
      <c r="Q229" s="119" t="s">
        <v>1342</v>
      </c>
      <c r="R229" s="224" t="s">
        <v>691</v>
      </c>
      <c r="S229" s="225" t="s">
        <v>466</v>
      </c>
      <c r="T229" s="224" t="s">
        <v>338</v>
      </c>
      <c r="U229" s="224" t="s">
        <v>720</v>
      </c>
      <c r="V229" s="224" t="s">
        <v>721</v>
      </c>
      <c r="W229" s="224" t="s">
        <v>725</v>
      </c>
      <c r="X229" s="117"/>
      <c r="Y229" s="221"/>
      <c r="Z229" s="221" t="s">
        <v>687</v>
      </c>
      <c r="AA229" s="146"/>
      <c r="AB229" s="52"/>
      <c r="AC229" s="63">
        <f t="shared" si="11"/>
        <v>1</v>
      </c>
      <c r="AD229" s="221"/>
      <c r="AE229" s="221" t="s">
        <v>1553</v>
      </c>
      <c r="AF229" s="52"/>
      <c r="AG229" s="52"/>
      <c r="AH229" s="105" t="s">
        <v>689</v>
      </c>
      <c r="AI229" s="117"/>
      <c r="AJ229" s="117"/>
      <c r="AK229" s="146"/>
      <c r="AL229" s="117"/>
      <c r="AM229" s="101"/>
      <c r="AN229" s="65"/>
      <c r="AO229" s="65"/>
      <c r="AP229" s="65"/>
      <c r="AQ229" s="65"/>
      <c r="AR229" s="65"/>
      <c r="AS229" s="65"/>
      <c r="AT229" s="65"/>
      <c r="AU229" s="65"/>
      <c r="AV229" s="65"/>
      <c r="AW229" s="65"/>
      <c r="AX229" s="65"/>
      <c r="AY229" s="65"/>
      <c r="AZ229" s="65"/>
      <c r="BA229" s="65"/>
      <c r="BB229" s="65"/>
      <c r="BC229" s="65"/>
      <c r="BD229" s="65"/>
      <c r="BE229" s="65"/>
      <c r="BF229" s="65"/>
      <c r="BG229" s="65"/>
      <c r="BH229" s="65"/>
      <c r="BI229" s="65"/>
      <c r="BJ229" s="65"/>
      <c r="BK229" s="65"/>
      <c r="BL229" s="65"/>
      <c r="BM229" s="65"/>
      <c r="BN229" s="65"/>
      <c r="BO229" s="65"/>
      <c r="BP229" s="65"/>
      <c r="BQ229" s="65"/>
      <c r="BR229" s="65"/>
      <c r="BS229" s="65"/>
      <c r="BT229" s="65"/>
      <c r="BU229" s="65"/>
      <c r="BV229" s="65"/>
    </row>
    <row r="230" spans="1:16384" ht="12.75" hidden="1" customHeight="1">
      <c r="A230" s="147">
        <v>229</v>
      </c>
      <c r="B230" s="223">
        <v>196633</v>
      </c>
      <c r="C230" s="52" t="s">
        <v>121</v>
      </c>
      <c r="D230" s="57">
        <v>42891</v>
      </c>
      <c r="E230" s="58" t="s">
        <v>718</v>
      </c>
      <c r="F230" s="118">
        <v>42901</v>
      </c>
      <c r="G230" s="146">
        <f t="shared" si="10"/>
        <v>10</v>
      </c>
      <c r="H230" s="52" t="s">
        <v>133</v>
      </c>
      <c r="I230" s="221"/>
      <c r="J230" s="60" t="s">
        <v>614</v>
      </c>
      <c r="K230" s="94">
        <v>1104</v>
      </c>
      <c r="L230" s="94">
        <v>1104.1500000000001</v>
      </c>
      <c r="M230" s="221">
        <v>350</v>
      </c>
      <c r="N230" s="221">
        <v>230</v>
      </c>
      <c r="O230" s="93">
        <f t="shared" si="12"/>
        <v>687.76</v>
      </c>
      <c r="P230" s="119" t="s">
        <v>263</v>
      </c>
      <c r="Q230" s="119" t="s">
        <v>1341</v>
      </c>
      <c r="R230" s="117" t="s">
        <v>134</v>
      </c>
      <c r="S230" s="62" t="s">
        <v>465</v>
      </c>
      <c r="T230" s="221" t="s">
        <v>88</v>
      </c>
      <c r="U230" s="224" t="s">
        <v>740</v>
      </c>
      <c r="V230" s="221" t="s">
        <v>139</v>
      </c>
      <c r="W230" s="221"/>
      <c r="X230" s="52"/>
      <c r="Y230" s="221" t="s">
        <v>316</v>
      </c>
      <c r="Z230" s="52" t="s">
        <v>124</v>
      </c>
      <c r="AA230" s="222">
        <v>42893</v>
      </c>
      <c r="AB230" s="52" t="s">
        <v>195</v>
      </c>
      <c r="AC230" s="63">
        <f t="shared" si="11"/>
        <v>1</v>
      </c>
      <c r="AD230" s="221" t="s">
        <v>217</v>
      </c>
      <c r="AE230" s="221" t="s">
        <v>218</v>
      </c>
      <c r="AF230" s="52"/>
      <c r="AG230" s="52"/>
      <c r="AH230" s="64" t="s">
        <v>786</v>
      </c>
      <c r="AI230" s="117" t="s">
        <v>184</v>
      </c>
      <c r="AJ230" s="146"/>
      <c r="AK230" s="225" t="s">
        <v>906</v>
      </c>
      <c r="AL230" s="117" t="s">
        <v>645</v>
      </c>
      <c r="AM230" s="146"/>
      <c r="AN230" s="65"/>
      <c r="AO230" s="65"/>
      <c r="AP230" s="65"/>
      <c r="AQ230" s="65"/>
      <c r="AR230" s="65"/>
      <c r="AS230" s="65"/>
      <c r="AT230" s="65"/>
      <c r="AU230" s="65"/>
      <c r="AV230" s="65"/>
      <c r="AW230" s="65"/>
      <c r="AX230" s="65"/>
      <c r="AY230" s="65"/>
      <c r="AZ230" s="65"/>
      <c r="BA230" s="65"/>
      <c r="BB230" s="65"/>
      <c r="BC230" s="65"/>
      <c r="BD230" s="65"/>
      <c r="BE230" s="65"/>
      <c r="BF230" s="65"/>
      <c r="BG230" s="65"/>
      <c r="BH230" s="65"/>
      <c r="BI230" s="65"/>
      <c r="BJ230" s="65"/>
      <c r="BK230" s="65"/>
      <c r="BL230" s="65"/>
      <c r="BM230" s="65"/>
      <c r="BN230" s="65"/>
      <c r="BO230" s="65"/>
      <c r="BP230" s="65"/>
      <c r="BQ230" s="65"/>
      <c r="BR230" s="65"/>
      <c r="BS230" s="65"/>
      <c r="BT230" s="65"/>
      <c r="BU230" s="65"/>
      <c r="BV230" s="65"/>
    </row>
    <row r="231" spans="1:16384" ht="12.75" hidden="1" customHeight="1">
      <c r="A231" s="147">
        <v>230</v>
      </c>
      <c r="B231" s="223">
        <v>196636</v>
      </c>
      <c r="C231" s="117" t="s">
        <v>121</v>
      </c>
      <c r="D231" s="57">
        <v>42891</v>
      </c>
      <c r="E231" s="58" t="s">
        <v>718</v>
      </c>
      <c r="F231" s="118">
        <v>42894</v>
      </c>
      <c r="G231" s="221">
        <f t="shared" si="10"/>
        <v>3</v>
      </c>
      <c r="H231" s="117" t="s">
        <v>363</v>
      </c>
      <c r="I231" s="221"/>
      <c r="J231" s="60" t="s">
        <v>614</v>
      </c>
      <c r="K231" s="94">
        <v>2899</v>
      </c>
      <c r="L231" s="94">
        <v>2899</v>
      </c>
      <c r="M231" s="96">
        <v>0</v>
      </c>
      <c r="N231" s="221"/>
      <c r="O231" s="93">
        <f t="shared" si="12"/>
        <v>2725.06</v>
      </c>
      <c r="P231" s="119" t="s">
        <v>264</v>
      </c>
      <c r="Q231" s="119" t="s">
        <v>1342</v>
      </c>
      <c r="R231" s="117" t="s">
        <v>134</v>
      </c>
      <c r="S231" s="62" t="s">
        <v>465</v>
      </c>
      <c r="T231" s="221" t="s">
        <v>88</v>
      </c>
      <c r="U231" s="67" t="s">
        <v>741</v>
      </c>
      <c r="V231" s="221" t="s">
        <v>745</v>
      </c>
      <c r="W231" s="221"/>
      <c r="X231" s="117"/>
      <c r="Y231" s="221"/>
      <c r="Z231" s="117" t="s">
        <v>124</v>
      </c>
      <c r="AA231" s="221"/>
      <c r="AB231" s="117" t="s">
        <v>140</v>
      </c>
      <c r="AC231" s="63">
        <f t="shared" si="11"/>
        <v>1</v>
      </c>
      <c r="AD231" s="221" t="s">
        <v>217</v>
      </c>
      <c r="AE231" s="221" t="s">
        <v>218</v>
      </c>
      <c r="AF231" s="117"/>
      <c r="AG231" s="117"/>
      <c r="AH231" s="64" t="s">
        <v>785</v>
      </c>
      <c r="AI231" s="117"/>
      <c r="AJ231" s="221"/>
      <c r="AK231" s="145"/>
      <c r="AL231" s="117"/>
      <c r="AM231" s="221"/>
      <c r="AN231" s="65"/>
      <c r="AO231" s="65"/>
      <c r="AP231" s="65"/>
      <c r="AQ231" s="65"/>
      <c r="AR231" s="65"/>
      <c r="AS231" s="65"/>
      <c r="AT231" s="65"/>
      <c r="AU231" s="65"/>
      <c r="AV231" s="65"/>
      <c r="AW231" s="65"/>
      <c r="AX231" s="65"/>
      <c r="AY231" s="65"/>
      <c r="AZ231" s="65"/>
      <c r="BA231" s="65"/>
      <c r="BB231" s="65"/>
      <c r="BC231" s="65"/>
      <c r="BD231" s="65"/>
      <c r="BE231" s="65"/>
      <c r="BF231" s="65"/>
      <c r="BG231" s="65"/>
      <c r="BH231" s="65"/>
      <c r="BI231" s="65"/>
      <c r="BJ231" s="65"/>
      <c r="BK231" s="65"/>
      <c r="BL231" s="65"/>
      <c r="BM231" s="65"/>
      <c r="BN231" s="65"/>
      <c r="BO231" s="65"/>
      <c r="BP231" s="65"/>
      <c r="BQ231" s="65"/>
      <c r="BR231" s="65"/>
      <c r="BS231" s="65"/>
      <c r="BT231" s="65"/>
      <c r="BU231" s="65"/>
      <c r="BV231" s="65"/>
    </row>
    <row r="232" spans="1:16384" ht="12.75" hidden="1" customHeight="1">
      <c r="A232" s="147">
        <v>231</v>
      </c>
      <c r="B232" s="223">
        <v>196852</v>
      </c>
      <c r="C232" s="52" t="s">
        <v>121</v>
      </c>
      <c r="D232" s="57">
        <v>42891</v>
      </c>
      <c r="E232" s="58" t="s">
        <v>718</v>
      </c>
      <c r="F232" s="59">
        <v>42897</v>
      </c>
      <c r="G232" s="146">
        <f t="shared" si="10"/>
        <v>6</v>
      </c>
      <c r="H232" s="52" t="s">
        <v>133</v>
      </c>
      <c r="I232" s="221"/>
      <c r="J232" s="60" t="s">
        <v>610</v>
      </c>
      <c r="K232" s="94">
        <v>3654.15</v>
      </c>
      <c r="L232" s="94">
        <v>3654.15</v>
      </c>
      <c r="M232" s="221"/>
      <c r="N232" s="221"/>
      <c r="O232" s="151">
        <f t="shared" si="12"/>
        <v>0</v>
      </c>
      <c r="P232" s="61" t="s">
        <v>264</v>
      </c>
      <c r="Q232" s="119" t="s">
        <v>1342</v>
      </c>
      <c r="R232" s="146" t="s">
        <v>134</v>
      </c>
      <c r="S232" s="62" t="s">
        <v>465</v>
      </c>
      <c r="T232" s="221" t="s">
        <v>88</v>
      </c>
      <c r="U232" s="221" t="s">
        <v>1460</v>
      </c>
      <c r="V232" s="221" t="s">
        <v>396</v>
      </c>
      <c r="W232" s="221"/>
      <c r="X232" s="52"/>
      <c r="Y232" s="221"/>
      <c r="Z232" s="52" t="s">
        <v>124</v>
      </c>
      <c r="AA232" s="221"/>
      <c r="AB232" s="52"/>
      <c r="AC232" s="63">
        <f t="shared" si="11"/>
        <v>0</v>
      </c>
      <c r="AD232" s="221"/>
      <c r="AE232" s="221" t="s">
        <v>217</v>
      </c>
      <c r="AF232" s="52" t="s">
        <v>225</v>
      </c>
      <c r="AG232" s="52"/>
      <c r="AH232" s="64" t="s">
        <v>769</v>
      </c>
      <c r="AI232" s="117"/>
      <c r="AJ232" s="221"/>
      <c r="AK232" s="145"/>
      <c r="AL232" s="117"/>
      <c r="AM232" s="221"/>
    </row>
    <row r="233" spans="1:16384" ht="12.75" hidden="1" customHeight="1">
      <c r="A233" s="147">
        <v>232</v>
      </c>
      <c r="B233" s="223">
        <v>197112</v>
      </c>
      <c r="C233" s="52" t="s">
        <v>128</v>
      </c>
      <c r="D233" s="57">
        <v>42891</v>
      </c>
      <c r="E233" s="58" t="s">
        <v>718</v>
      </c>
      <c r="F233" s="59">
        <v>42896</v>
      </c>
      <c r="G233" s="146">
        <f t="shared" si="10"/>
        <v>5</v>
      </c>
      <c r="H233" s="52" t="s">
        <v>133</v>
      </c>
      <c r="I233" s="221"/>
      <c r="J233" s="60" t="s">
        <v>614</v>
      </c>
      <c r="K233" s="94">
        <v>1999</v>
      </c>
      <c r="L233" s="94">
        <v>1999</v>
      </c>
      <c r="M233" s="221"/>
      <c r="N233" s="221"/>
      <c r="O233" s="151">
        <f t="shared" si="12"/>
        <v>0</v>
      </c>
      <c r="P233" s="61" t="s">
        <v>264</v>
      </c>
      <c r="Q233" s="119" t="s">
        <v>1342</v>
      </c>
      <c r="R233" s="146" t="s">
        <v>390</v>
      </c>
      <c r="S233" s="62" t="s">
        <v>1547</v>
      </c>
      <c r="T233" s="224" t="s">
        <v>764</v>
      </c>
      <c r="U233" s="224" t="s">
        <v>764</v>
      </c>
      <c r="V233" s="224" t="s">
        <v>90</v>
      </c>
      <c r="W233" s="221"/>
      <c r="X233" s="117"/>
      <c r="Y233" s="221"/>
      <c r="Z233" s="117" t="s">
        <v>765</v>
      </c>
      <c r="AA233" s="146"/>
      <c r="AB233" s="52"/>
      <c r="AC233" s="63">
        <f t="shared" si="11"/>
        <v>0</v>
      </c>
      <c r="AD233" s="221"/>
      <c r="AE233" s="221" t="s">
        <v>217</v>
      </c>
      <c r="AF233" s="52" t="s">
        <v>225</v>
      </c>
      <c r="AG233" s="52"/>
      <c r="AH233" s="64"/>
      <c r="AI233" s="117"/>
      <c r="AJ233" s="146"/>
      <c r="AK233" s="146"/>
      <c r="AL233" s="117"/>
      <c r="AM233" s="117"/>
    </row>
    <row r="234" spans="1:16384" ht="25.5" hidden="1" customHeight="1">
      <c r="A234" s="147">
        <v>233</v>
      </c>
      <c r="B234" s="172">
        <v>197297</v>
      </c>
      <c r="C234" s="52" t="s">
        <v>128</v>
      </c>
      <c r="D234" s="57">
        <v>42891</v>
      </c>
      <c r="E234" s="58" t="s">
        <v>718</v>
      </c>
      <c r="F234" s="59">
        <v>42903</v>
      </c>
      <c r="G234" s="52">
        <f t="shared" si="10"/>
        <v>12</v>
      </c>
      <c r="H234" s="52" t="s">
        <v>133</v>
      </c>
      <c r="I234" s="221"/>
      <c r="J234" s="60" t="s">
        <v>610</v>
      </c>
      <c r="K234" s="94">
        <v>2299</v>
      </c>
      <c r="L234" s="94">
        <v>2299</v>
      </c>
      <c r="M234" s="221">
        <v>760</v>
      </c>
      <c r="N234" s="221">
        <v>0</v>
      </c>
      <c r="O234" s="93">
        <f t="shared" si="12"/>
        <v>1401.06</v>
      </c>
      <c r="P234" s="61" t="s">
        <v>264</v>
      </c>
      <c r="Q234" s="119" t="s">
        <v>1342</v>
      </c>
      <c r="R234" s="224" t="s">
        <v>691</v>
      </c>
      <c r="S234" s="225" t="s">
        <v>466</v>
      </c>
      <c r="T234" s="221" t="s">
        <v>405</v>
      </c>
      <c r="U234" s="224" t="s">
        <v>732</v>
      </c>
      <c r="V234" s="224" t="s">
        <v>760</v>
      </c>
      <c r="W234" s="224" t="s">
        <v>733</v>
      </c>
      <c r="X234" s="117"/>
      <c r="Y234" s="221" t="s">
        <v>316</v>
      </c>
      <c r="Z234" s="117" t="s">
        <v>726</v>
      </c>
      <c r="AA234" s="222">
        <v>42895</v>
      </c>
      <c r="AB234" s="52" t="s">
        <v>140</v>
      </c>
      <c r="AC234" s="63">
        <f t="shared" si="11"/>
        <v>1</v>
      </c>
      <c r="AD234" s="221" t="s">
        <v>217</v>
      </c>
      <c r="AE234" s="221" t="s">
        <v>218</v>
      </c>
      <c r="AF234" s="52"/>
      <c r="AG234" s="52"/>
      <c r="AH234" s="64" t="s">
        <v>813</v>
      </c>
      <c r="AI234" s="117" t="s">
        <v>184</v>
      </c>
      <c r="AJ234" s="222">
        <v>42898</v>
      </c>
      <c r="AK234" s="225" t="s">
        <v>909</v>
      </c>
      <c r="AL234" s="117" t="s">
        <v>645</v>
      </c>
      <c r="AM234" s="222">
        <v>42906</v>
      </c>
    </row>
    <row r="235" spans="1:16384" ht="12.75" hidden="1" customHeight="1">
      <c r="A235" s="147">
        <v>234</v>
      </c>
      <c r="B235" s="223">
        <v>197311</v>
      </c>
      <c r="C235" s="52" t="s">
        <v>86</v>
      </c>
      <c r="D235" s="57">
        <v>42891</v>
      </c>
      <c r="E235" s="58" t="s">
        <v>718</v>
      </c>
      <c r="F235" s="59">
        <v>42904</v>
      </c>
      <c r="G235" s="52">
        <f t="shared" si="10"/>
        <v>13</v>
      </c>
      <c r="H235" s="117" t="s">
        <v>133</v>
      </c>
      <c r="I235" s="221"/>
      <c r="J235" s="60" t="s">
        <v>614</v>
      </c>
      <c r="K235" s="94">
        <v>2849</v>
      </c>
      <c r="L235" s="94">
        <v>2849.05</v>
      </c>
      <c r="M235" s="221">
        <v>290</v>
      </c>
      <c r="N235" s="221">
        <v>100</v>
      </c>
      <c r="O235" s="93">
        <f t="shared" si="12"/>
        <v>2388.06</v>
      </c>
      <c r="P235" s="61" t="s">
        <v>264</v>
      </c>
      <c r="Q235" s="119" t="s">
        <v>1342</v>
      </c>
      <c r="R235" s="221" t="s">
        <v>134</v>
      </c>
      <c r="S235" s="62" t="s">
        <v>465</v>
      </c>
      <c r="T235" s="221" t="s">
        <v>88</v>
      </c>
      <c r="U235" s="224" t="s">
        <v>449</v>
      </c>
      <c r="V235" s="221" t="s">
        <v>429</v>
      </c>
      <c r="W235" s="221"/>
      <c r="X235" s="221"/>
      <c r="Y235" s="221" t="s">
        <v>316</v>
      </c>
      <c r="Z235" s="52" t="s">
        <v>189</v>
      </c>
      <c r="AA235" s="222">
        <v>42893</v>
      </c>
      <c r="AB235" s="221" t="s">
        <v>140</v>
      </c>
      <c r="AC235" s="63">
        <f t="shared" si="11"/>
        <v>1</v>
      </c>
      <c r="AD235" s="221" t="s">
        <v>217</v>
      </c>
      <c r="AE235" s="221" t="s">
        <v>218</v>
      </c>
      <c r="AF235" s="221"/>
      <c r="AG235" s="221"/>
      <c r="AH235" s="64"/>
      <c r="AI235" s="221" t="s">
        <v>184</v>
      </c>
      <c r="AJ235" s="221"/>
      <c r="AK235" s="225" t="s">
        <v>902</v>
      </c>
      <c r="AL235" s="221" t="s">
        <v>645</v>
      </c>
      <c r="AM235" s="221"/>
      <c r="AP235" s="53" t="s">
        <v>84</v>
      </c>
    </row>
    <row r="236" spans="1:16384" ht="12.75" hidden="1" customHeight="1">
      <c r="A236" s="147">
        <v>235</v>
      </c>
      <c r="B236" s="173">
        <v>197446</v>
      </c>
      <c r="C236" s="52" t="s">
        <v>86</v>
      </c>
      <c r="D236" s="57">
        <v>42891</v>
      </c>
      <c r="E236" s="58" t="s">
        <v>718</v>
      </c>
      <c r="F236" s="59">
        <v>42923</v>
      </c>
      <c r="G236" s="52">
        <f t="shared" si="10"/>
        <v>32</v>
      </c>
      <c r="H236" s="52" t="s">
        <v>133</v>
      </c>
      <c r="I236" s="221" t="s">
        <v>218</v>
      </c>
      <c r="J236" s="60" t="s">
        <v>614</v>
      </c>
      <c r="K236" s="94">
        <v>1199</v>
      </c>
      <c r="L236" s="94">
        <v>1199</v>
      </c>
      <c r="M236" s="221">
        <v>140</v>
      </c>
      <c r="N236" s="221">
        <v>200</v>
      </c>
      <c r="O236" s="93">
        <f t="shared" si="12"/>
        <v>927.06</v>
      </c>
      <c r="P236" s="61" t="s">
        <v>261</v>
      </c>
      <c r="Q236" s="119" t="s">
        <v>1341</v>
      </c>
      <c r="R236" s="221" t="s">
        <v>143</v>
      </c>
      <c r="S236" s="62" t="s">
        <v>465</v>
      </c>
      <c r="T236" s="221" t="s">
        <v>88</v>
      </c>
      <c r="U236" s="224" t="s">
        <v>731</v>
      </c>
      <c r="V236" s="221" t="s">
        <v>432</v>
      </c>
      <c r="W236" s="224"/>
      <c r="X236" s="52"/>
      <c r="Y236" s="221" t="s">
        <v>316</v>
      </c>
      <c r="Z236" s="52" t="s">
        <v>189</v>
      </c>
      <c r="AA236" s="222">
        <v>42891</v>
      </c>
      <c r="AB236" s="52" t="s">
        <v>140</v>
      </c>
      <c r="AC236" s="63">
        <f t="shared" si="11"/>
        <v>1</v>
      </c>
      <c r="AD236" s="221" t="s">
        <v>217</v>
      </c>
      <c r="AE236" s="221" t="s">
        <v>218</v>
      </c>
      <c r="AF236" s="52"/>
      <c r="AG236" s="52"/>
      <c r="AH236" s="64" t="s">
        <v>804</v>
      </c>
      <c r="AI236" s="117" t="s">
        <v>184</v>
      </c>
      <c r="AJ236" s="222">
        <v>42898</v>
      </c>
      <c r="AK236" s="225" t="s">
        <v>907</v>
      </c>
      <c r="AL236" s="117" t="s">
        <v>645</v>
      </c>
      <c r="AM236" s="222">
        <v>42906</v>
      </c>
    </row>
    <row r="237" spans="1:16384" ht="12.75" hidden="1" customHeight="1">
      <c r="A237" s="147">
        <v>236</v>
      </c>
      <c r="B237" s="223">
        <v>197447</v>
      </c>
      <c r="C237" s="52" t="s">
        <v>86</v>
      </c>
      <c r="D237" s="57">
        <v>42891</v>
      </c>
      <c r="E237" s="58" t="s">
        <v>718</v>
      </c>
      <c r="F237" s="59">
        <v>42902</v>
      </c>
      <c r="G237" s="52">
        <f t="shared" si="10"/>
        <v>11</v>
      </c>
      <c r="H237" s="52" t="s">
        <v>133</v>
      </c>
      <c r="I237" s="222" t="s">
        <v>218</v>
      </c>
      <c r="J237" s="60" t="s">
        <v>614</v>
      </c>
      <c r="K237" s="94">
        <v>1139</v>
      </c>
      <c r="L237" s="94">
        <v>1139.05</v>
      </c>
      <c r="M237" s="221">
        <v>160</v>
      </c>
      <c r="N237" s="221">
        <v>150</v>
      </c>
      <c r="O237" s="93">
        <f t="shared" si="12"/>
        <v>910.66000000000008</v>
      </c>
      <c r="P237" s="61" t="s">
        <v>262</v>
      </c>
      <c r="Q237" s="119" t="s">
        <v>1342</v>
      </c>
      <c r="R237" s="117" t="s">
        <v>143</v>
      </c>
      <c r="S237" s="62" t="s">
        <v>465</v>
      </c>
      <c r="T237" s="221" t="s">
        <v>88</v>
      </c>
      <c r="U237" s="224" t="s">
        <v>738</v>
      </c>
      <c r="V237" s="224" t="s">
        <v>90</v>
      </c>
      <c r="W237" s="117"/>
      <c r="X237" s="52"/>
      <c r="Y237" s="221" t="s">
        <v>316</v>
      </c>
      <c r="Z237" s="52" t="s">
        <v>189</v>
      </c>
      <c r="AA237" s="222">
        <v>42895</v>
      </c>
      <c r="AB237" s="52" t="s">
        <v>140</v>
      </c>
      <c r="AC237" s="63">
        <f t="shared" si="11"/>
        <v>1</v>
      </c>
      <c r="AD237" s="221" t="s">
        <v>217</v>
      </c>
      <c r="AE237" s="221" t="s">
        <v>218</v>
      </c>
      <c r="AF237" s="52"/>
      <c r="AG237" s="52"/>
      <c r="AH237" s="64" t="s">
        <v>771</v>
      </c>
      <c r="AI237" s="117" t="s">
        <v>184</v>
      </c>
      <c r="AJ237" s="222">
        <v>42906</v>
      </c>
      <c r="AK237" s="225" t="s">
        <v>915</v>
      </c>
      <c r="AL237" s="117" t="s">
        <v>645</v>
      </c>
      <c r="AM237" s="222">
        <v>42906</v>
      </c>
    </row>
    <row r="238" spans="1:16384" ht="25.5" hidden="1" customHeight="1">
      <c r="A238" s="147">
        <v>237</v>
      </c>
      <c r="B238" s="223">
        <v>197459</v>
      </c>
      <c r="C238" s="117" t="s">
        <v>121</v>
      </c>
      <c r="D238" s="57">
        <v>42891</v>
      </c>
      <c r="E238" s="58" t="s">
        <v>718</v>
      </c>
      <c r="F238" s="59">
        <v>42901</v>
      </c>
      <c r="G238" s="52">
        <f t="shared" si="10"/>
        <v>10</v>
      </c>
      <c r="H238" s="146" t="s">
        <v>133</v>
      </c>
      <c r="I238" s="221"/>
      <c r="J238" s="60" t="s">
        <v>614</v>
      </c>
      <c r="K238" s="94">
        <v>1399</v>
      </c>
      <c r="L238" s="94">
        <v>1399</v>
      </c>
      <c r="M238" s="221"/>
      <c r="N238" s="221"/>
      <c r="O238" s="151">
        <f t="shared" si="12"/>
        <v>0</v>
      </c>
      <c r="P238" s="61" t="s">
        <v>263</v>
      </c>
      <c r="Q238" s="119" t="s">
        <v>1341</v>
      </c>
      <c r="R238" s="224" t="s">
        <v>375</v>
      </c>
      <c r="S238" s="225" t="s">
        <v>469</v>
      </c>
      <c r="T238" s="224" t="s">
        <v>376</v>
      </c>
      <c r="U238" s="224" t="s">
        <v>743</v>
      </c>
      <c r="V238" s="146" t="s">
        <v>744</v>
      </c>
      <c r="W238" s="117"/>
      <c r="X238" s="117" t="s">
        <v>142</v>
      </c>
      <c r="Y238" s="146"/>
      <c r="Z238" s="221" t="s">
        <v>367</v>
      </c>
      <c r="AA238" s="146"/>
      <c r="AB238" s="52"/>
      <c r="AC238" s="63">
        <f t="shared" si="11"/>
        <v>0</v>
      </c>
      <c r="AD238" s="221"/>
      <c r="AE238" s="221" t="s">
        <v>217</v>
      </c>
      <c r="AF238" s="52" t="s">
        <v>225</v>
      </c>
      <c r="AG238" s="52" t="s">
        <v>142</v>
      </c>
      <c r="AH238" s="64"/>
      <c r="AI238" s="117"/>
      <c r="AJ238" s="146"/>
      <c r="AK238" s="145"/>
      <c r="AL238" s="117"/>
      <c r="AM238" s="146"/>
    </row>
    <row r="239" spans="1:16384" ht="25.5" hidden="1" customHeight="1">
      <c r="A239" s="147">
        <v>238</v>
      </c>
      <c r="B239" s="173">
        <v>197554</v>
      </c>
      <c r="C239" s="117" t="s">
        <v>86</v>
      </c>
      <c r="D239" s="57">
        <v>42891</v>
      </c>
      <c r="E239" s="58" t="s">
        <v>718</v>
      </c>
      <c r="F239" s="59">
        <v>42904</v>
      </c>
      <c r="G239" s="52">
        <f t="shared" si="10"/>
        <v>13</v>
      </c>
      <c r="H239" s="117" t="s">
        <v>133</v>
      </c>
      <c r="I239" s="221" t="s">
        <v>218</v>
      </c>
      <c r="J239" s="60" t="s">
        <v>614</v>
      </c>
      <c r="K239" s="94">
        <v>1349</v>
      </c>
      <c r="L239" s="94">
        <v>1349</v>
      </c>
      <c r="M239" s="221">
        <v>140</v>
      </c>
      <c r="N239" s="221">
        <v>270</v>
      </c>
      <c r="O239" s="93">
        <f t="shared" si="12"/>
        <v>998.06</v>
      </c>
      <c r="P239" s="61" t="s">
        <v>263</v>
      </c>
      <c r="Q239" s="119" t="s">
        <v>1341</v>
      </c>
      <c r="R239" s="117" t="s">
        <v>143</v>
      </c>
      <c r="S239" s="62" t="s">
        <v>465</v>
      </c>
      <c r="T239" s="221" t="s">
        <v>88</v>
      </c>
      <c r="U239" s="224" t="s">
        <v>739</v>
      </c>
      <c r="V239" s="146" t="s">
        <v>432</v>
      </c>
      <c r="W239" s="117"/>
      <c r="X239" s="117"/>
      <c r="Y239" s="117" t="s">
        <v>316</v>
      </c>
      <c r="Z239" s="146" t="s">
        <v>189</v>
      </c>
      <c r="AA239" s="222">
        <v>42892</v>
      </c>
      <c r="AB239" s="52" t="s">
        <v>140</v>
      </c>
      <c r="AC239" s="63">
        <f t="shared" si="11"/>
        <v>1</v>
      </c>
      <c r="AD239" s="221" t="s">
        <v>217</v>
      </c>
      <c r="AE239" s="221" t="s">
        <v>218</v>
      </c>
      <c r="AF239" s="52"/>
      <c r="AG239" s="52"/>
      <c r="AH239" s="64" t="s">
        <v>805</v>
      </c>
      <c r="AI239" s="117" t="s">
        <v>184</v>
      </c>
      <c r="AJ239" s="222">
        <v>42898</v>
      </c>
      <c r="AK239" s="225" t="s">
        <v>908</v>
      </c>
      <c r="AL239" s="117" t="s">
        <v>645</v>
      </c>
      <c r="AM239" s="222">
        <v>42906</v>
      </c>
    </row>
    <row r="240" spans="1:16384" ht="25.5" hidden="1" customHeight="1">
      <c r="A240" s="147">
        <v>239</v>
      </c>
      <c r="B240" s="223">
        <v>197694</v>
      </c>
      <c r="C240" s="52" t="s">
        <v>86</v>
      </c>
      <c r="D240" s="57">
        <v>42891</v>
      </c>
      <c r="E240" s="58" t="s">
        <v>718</v>
      </c>
      <c r="F240" s="222">
        <v>42904</v>
      </c>
      <c r="G240" s="52">
        <f t="shared" si="10"/>
        <v>13</v>
      </c>
      <c r="H240" s="146" t="s">
        <v>133</v>
      </c>
      <c r="I240" s="221"/>
      <c r="J240" s="60" t="s">
        <v>614</v>
      </c>
      <c r="K240" s="94">
        <v>1999</v>
      </c>
      <c r="L240" s="94">
        <v>1999</v>
      </c>
      <c r="M240" s="221">
        <v>290</v>
      </c>
      <c r="N240" s="221">
        <v>220</v>
      </c>
      <c r="O240" s="93">
        <f t="shared" si="12"/>
        <v>1589.06</v>
      </c>
      <c r="P240" s="61" t="s">
        <v>263</v>
      </c>
      <c r="Q240" s="119" t="s">
        <v>1341</v>
      </c>
      <c r="R240" s="117" t="s">
        <v>134</v>
      </c>
      <c r="S240" s="62" t="s">
        <v>465</v>
      </c>
      <c r="T240" s="221" t="s">
        <v>88</v>
      </c>
      <c r="U240" s="224" t="s">
        <v>449</v>
      </c>
      <c r="V240" s="221" t="s">
        <v>429</v>
      </c>
      <c r="W240" s="117"/>
      <c r="X240" s="117"/>
      <c r="Y240" s="117" t="s">
        <v>316</v>
      </c>
      <c r="Z240" s="52" t="s">
        <v>189</v>
      </c>
      <c r="AA240" s="222">
        <v>42893</v>
      </c>
      <c r="AB240" s="117" t="s">
        <v>140</v>
      </c>
      <c r="AC240" s="63">
        <f t="shared" si="11"/>
        <v>1</v>
      </c>
      <c r="AD240" s="221" t="s">
        <v>217</v>
      </c>
      <c r="AE240" s="221" t="s">
        <v>218</v>
      </c>
      <c r="AF240" s="117"/>
      <c r="AG240" s="117"/>
      <c r="AH240" s="64"/>
      <c r="AI240" s="117" t="s">
        <v>184</v>
      </c>
      <c r="AJ240" s="146"/>
      <c r="AK240" s="225" t="s">
        <v>903</v>
      </c>
      <c r="AL240" s="117" t="s">
        <v>645</v>
      </c>
      <c r="AM240" s="146"/>
    </row>
    <row r="241" spans="1:39" ht="12.75" hidden="1" customHeight="1">
      <c r="A241" s="147">
        <v>240</v>
      </c>
      <c r="B241" s="223">
        <v>197697</v>
      </c>
      <c r="C241" s="221" t="s">
        <v>86</v>
      </c>
      <c r="D241" s="57">
        <v>42891</v>
      </c>
      <c r="E241" s="58" t="s">
        <v>718</v>
      </c>
      <c r="F241" s="222">
        <v>42905</v>
      </c>
      <c r="G241" s="221">
        <f t="shared" si="10"/>
        <v>14</v>
      </c>
      <c r="H241" s="221" t="s">
        <v>133</v>
      </c>
      <c r="I241" s="222"/>
      <c r="J241" s="60" t="s">
        <v>614</v>
      </c>
      <c r="K241" s="94">
        <v>2910</v>
      </c>
      <c r="L241" s="94">
        <v>2910</v>
      </c>
      <c r="M241" s="221">
        <v>290</v>
      </c>
      <c r="N241" s="221">
        <v>220</v>
      </c>
      <c r="O241" s="227">
        <f t="shared" si="12"/>
        <v>2445.4</v>
      </c>
      <c r="P241" s="224" t="s">
        <v>264</v>
      </c>
      <c r="Q241" s="119" t="s">
        <v>1342</v>
      </c>
      <c r="R241" s="221" t="s">
        <v>134</v>
      </c>
      <c r="S241" s="225" t="s">
        <v>465</v>
      </c>
      <c r="T241" s="221" t="s">
        <v>88</v>
      </c>
      <c r="U241" s="221" t="s">
        <v>1460</v>
      </c>
      <c r="V241" s="221" t="s">
        <v>429</v>
      </c>
      <c r="W241" s="221"/>
      <c r="X241" s="221"/>
      <c r="Y241" s="221" t="s">
        <v>316</v>
      </c>
      <c r="Z241" s="221" t="s">
        <v>189</v>
      </c>
      <c r="AA241" s="222">
        <v>42893</v>
      </c>
      <c r="AB241" s="221" t="s">
        <v>140</v>
      </c>
      <c r="AC241" s="226">
        <f t="shared" si="11"/>
        <v>1</v>
      </c>
      <c r="AD241" s="221" t="s">
        <v>217</v>
      </c>
      <c r="AE241" s="221" t="s">
        <v>218</v>
      </c>
      <c r="AF241" s="221"/>
      <c r="AG241" s="221"/>
      <c r="AH241" s="64"/>
      <c r="AI241" s="221" t="s">
        <v>184</v>
      </c>
      <c r="AJ241" s="221"/>
      <c r="AK241" s="225" t="s">
        <v>904</v>
      </c>
      <c r="AL241" s="221" t="s">
        <v>645</v>
      </c>
      <c r="AM241" s="221"/>
    </row>
    <row r="242" spans="1:39" ht="12.75" hidden="1" customHeight="1">
      <c r="A242" s="147">
        <v>241</v>
      </c>
      <c r="B242" s="223">
        <v>197557</v>
      </c>
      <c r="C242" s="52" t="s">
        <v>86</v>
      </c>
      <c r="D242" s="57">
        <v>42892</v>
      </c>
      <c r="E242" s="58" t="s">
        <v>718</v>
      </c>
      <c r="F242" s="59">
        <v>42905</v>
      </c>
      <c r="G242" s="52">
        <f t="shared" ref="G242:G305" si="13">F242-D242</f>
        <v>13</v>
      </c>
      <c r="H242" s="52" t="s">
        <v>133</v>
      </c>
      <c r="I242" s="221"/>
      <c r="J242" s="60" t="s">
        <v>614</v>
      </c>
      <c r="K242" s="94">
        <v>3999</v>
      </c>
      <c r="L242" s="94">
        <v>3999</v>
      </c>
      <c r="M242" s="221"/>
      <c r="N242" s="221"/>
      <c r="O242" s="151">
        <f t="shared" si="12"/>
        <v>0</v>
      </c>
      <c r="P242" s="61" t="s">
        <v>264</v>
      </c>
      <c r="Q242" s="119" t="s">
        <v>1342</v>
      </c>
      <c r="R242" s="224" t="s">
        <v>122</v>
      </c>
      <c r="S242" s="225" t="s">
        <v>469</v>
      </c>
      <c r="T242" s="224" t="s">
        <v>114</v>
      </c>
      <c r="U242" s="224" t="s">
        <v>374</v>
      </c>
      <c r="V242" s="221" t="s">
        <v>222</v>
      </c>
      <c r="W242" s="52"/>
      <c r="X242" s="52"/>
      <c r="Y242" s="117"/>
      <c r="Z242" s="52" t="s">
        <v>170</v>
      </c>
      <c r="AA242" s="221"/>
      <c r="AB242" s="52"/>
      <c r="AC242" s="63">
        <f t="shared" si="11"/>
        <v>0</v>
      </c>
      <c r="AD242" s="221"/>
      <c r="AE242" s="221" t="s">
        <v>217</v>
      </c>
      <c r="AF242" s="52" t="s">
        <v>225</v>
      </c>
      <c r="AG242" s="52"/>
      <c r="AH242" s="64"/>
      <c r="AI242" s="117"/>
      <c r="AJ242" s="146"/>
      <c r="AK242" s="145"/>
      <c r="AL242" s="117"/>
      <c r="AM242" s="146"/>
    </row>
    <row r="243" spans="1:39" ht="12.75" hidden="1" customHeight="1">
      <c r="A243" s="147">
        <v>242</v>
      </c>
      <c r="B243" s="223">
        <v>197786</v>
      </c>
      <c r="C243" s="52" t="s">
        <v>86</v>
      </c>
      <c r="D243" s="57">
        <v>42892</v>
      </c>
      <c r="E243" s="58" t="s">
        <v>718</v>
      </c>
      <c r="F243" s="59">
        <v>42905</v>
      </c>
      <c r="G243" s="146">
        <f t="shared" si="13"/>
        <v>13</v>
      </c>
      <c r="H243" s="146" t="s">
        <v>133</v>
      </c>
      <c r="I243" s="221"/>
      <c r="J243" s="60" t="s">
        <v>614</v>
      </c>
      <c r="K243" s="94">
        <v>2850</v>
      </c>
      <c r="L243" s="94">
        <v>2850</v>
      </c>
      <c r="M243" s="221">
        <v>290</v>
      </c>
      <c r="N243" s="221">
        <v>220</v>
      </c>
      <c r="O243" s="93">
        <f t="shared" si="12"/>
        <v>2389</v>
      </c>
      <c r="P243" s="61" t="s">
        <v>264</v>
      </c>
      <c r="Q243" s="119" t="s">
        <v>1342</v>
      </c>
      <c r="R243" s="146" t="s">
        <v>134</v>
      </c>
      <c r="S243" s="62" t="s">
        <v>465</v>
      </c>
      <c r="T243" s="221" t="s">
        <v>88</v>
      </c>
      <c r="U243" s="224" t="s">
        <v>449</v>
      </c>
      <c r="V243" s="221" t="s">
        <v>429</v>
      </c>
      <c r="W243" s="221"/>
      <c r="X243" s="117"/>
      <c r="Y243" s="117" t="s">
        <v>316</v>
      </c>
      <c r="Z243" s="221" t="s">
        <v>189</v>
      </c>
      <c r="AA243" s="222">
        <v>42893</v>
      </c>
      <c r="AB243" s="52" t="s">
        <v>140</v>
      </c>
      <c r="AC243" s="63">
        <f t="shared" si="11"/>
        <v>1</v>
      </c>
      <c r="AD243" s="221" t="s">
        <v>217</v>
      </c>
      <c r="AE243" s="221" t="s">
        <v>218</v>
      </c>
      <c r="AF243" s="52"/>
      <c r="AG243" s="52"/>
      <c r="AH243" s="64"/>
      <c r="AI243" s="117" t="s">
        <v>184</v>
      </c>
      <c r="AJ243" s="221"/>
      <c r="AK243" s="225" t="s">
        <v>905</v>
      </c>
      <c r="AL243" s="117" t="s">
        <v>645</v>
      </c>
      <c r="AM243" s="221"/>
    </row>
    <row r="244" spans="1:39" ht="12.75" hidden="1" customHeight="1">
      <c r="A244" s="147">
        <v>243</v>
      </c>
      <c r="B244" s="223">
        <v>197893</v>
      </c>
      <c r="C244" s="52" t="s">
        <v>86</v>
      </c>
      <c r="D244" s="57">
        <v>42892</v>
      </c>
      <c r="E244" s="58" t="s">
        <v>718</v>
      </c>
      <c r="F244" s="59">
        <v>42905</v>
      </c>
      <c r="G244" s="117">
        <f t="shared" si="13"/>
        <v>13</v>
      </c>
      <c r="H244" s="52" t="s">
        <v>133</v>
      </c>
      <c r="I244" s="221"/>
      <c r="J244" s="60" t="s">
        <v>614</v>
      </c>
      <c r="K244" s="94">
        <v>2599</v>
      </c>
      <c r="L244" s="94">
        <v>2599</v>
      </c>
      <c r="M244" s="221"/>
      <c r="N244" s="221"/>
      <c r="O244" s="151">
        <f t="shared" si="12"/>
        <v>0</v>
      </c>
      <c r="P244" s="61" t="s">
        <v>264</v>
      </c>
      <c r="Q244" s="119" t="s">
        <v>1342</v>
      </c>
      <c r="R244" s="224" t="s">
        <v>122</v>
      </c>
      <c r="S244" s="225" t="s">
        <v>469</v>
      </c>
      <c r="T244" s="224" t="s">
        <v>114</v>
      </c>
      <c r="U244" s="224" t="s">
        <v>458</v>
      </c>
      <c r="V244" s="221" t="s">
        <v>222</v>
      </c>
      <c r="W244" s="117"/>
      <c r="X244" s="52"/>
      <c r="Y244" s="52"/>
      <c r="Z244" s="221" t="s">
        <v>170</v>
      </c>
      <c r="AA244" s="221"/>
      <c r="AB244" s="52"/>
      <c r="AC244" s="63">
        <f t="shared" si="11"/>
        <v>0</v>
      </c>
      <c r="AD244" s="221"/>
      <c r="AE244" s="221" t="s">
        <v>217</v>
      </c>
      <c r="AF244" s="52" t="s">
        <v>225</v>
      </c>
      <c r="AG244" s="52"/>
      <c r="AH244" s="64"/>
      <c r="AI244" s="117"/>
      <c r="AJ244" s="221"/>
      <c r="AK244" s="145"/>
      <c r="AL244" s="117"/>
      <c r="AM244" s="221"/>
    </row>
    <row r="245" spans="1:39" ht="12.75" hidden="1" customHeight="1">
      <c r="A245" s="147">
        <v>244</v>
      </c>
      <c r="B245" s="223">
        <v>197703</v>
      </c>
      <c r="C245" s="52" t="s">
        <v>86</v>
      </c>
      <c r="D245" s="57">
        <v>42893</v>
      </c>
      <c r="E245" s="58" t="s">
        <v>718</v>
      </c>
      <c r="F245" s="59">
        <v>42904</v>
      </c>
      <c r="G245" s="146">
        <f t="shared" si="13"/>
        <v>11</v>
      </c>
      <c r="H245" s="117" t="s">
        <v>133</v>
      </c>
      <c r="I245" s="221" t="s">
        <v>218</v>
      </c>
      <c r="J245" s="60" t="s">
        <v>614</v>
      </c>
      <c r="K245" s="94">
        <v>2799</v>
      </c>
      <c r="L245" s="94">
        <v>2799</v>
      </c>
      <c r="M245" s="221">
        <v>520</v>
      </c>
      <c r="N245" s="221">
        <v>95</v>
      </c>
      <c r="O245" s="93">
        <f t="shared" si="12"/>
        <v>2111.06</v>
      </c>
      <c r="P245" s="119" t="s">
        <v>264</v>
      </c>
      <c r="Q245" s="119" t="s">
        <v>1342</v>
      </c>
      <c r="R245" s="221" t="s">
        <v>143</v>
      </c>
      <c r="S245" s="62" t="s">
        <v>465</v>
      </c>
      <c r="T245" s="221" t="s">
        <v>88</v>
      </c>
      <c r="U245" s="224" t="s">
        <v>747</v>
      </c>
      <c r="V245" s="224" t="s">
        <v>90</v>
      </c>
      <c r="W245" s="117"/>
      <c r="X245" s="117"/>
      <c r="Y245" s="117" t="s">
        <v>316</v>
      </c>
      <c r="Z245" s="117" t="s">
        <v>189</v>
      </c>
      <c r="AA245" s="222">
        <v>42895</v>
      </c>
      <c r="AB245" s="52" t="s">
        <v>140</v>
      </c>
      <c r="AC245" s="63">
        <f t="shared" si="11"/>
        <v>1</v>
      </c>
      <c r="AD245" s="221" t="s">
        <v>217</v>
      </c>
      <c r="AE245" s="221" t="s">
        <v>218</v>
      </c>
      <c r="AF245" s="52"/>
      <c r="AG245" s="52"/>
      <c r="AH245" s="64"/>
      <c r="AI245" s="117" t="s">
        <v>184</v>
      </c>
      <c r="AJ245" s="222">
        <v>42906</v>
      </c>
      <c r="AK245" s="225" t="s">
        <v>919</v>
      </c>
      <c r="AL245" s="117" t="s">
        <v>645</v>
      </c>
      <c r="AM245" s="222">
        <v>42906</v>
      </c>
    </row>
    <row r="246" spans="1:39" ht="12.75" hidden="1" customHeight="1">
      <c r="A246" s="147">
        <v>245</v>
      </c>
      <c r="B246" s="223">
        <v>197956</v>
      </c>
      <c r="C246" s="52" t="s">
        <v>121</v>
      </c>
      <c r="D246" s="57">
        <v>42893</v>
      </c>
      <c r="E246" s="58" t="s">
        <v>718</v>
      </c>
      <c r="F246" s="59">
        <v>42904</v>
      </c>
      <c r="G246" s="52">
        <f t="shared" si="13"/>
        <v>11</v>
      </c>
      <c r="H246" s="52" t="s">
        <v>133</v>
      </c>
      <c r="I246" s="221" t="s">
        <v>218</v>
      </c>
      <c r="J246" s="60" t="s">
        <v>614</v>
      </c>
      <c r="K246" s="94">
        <v>999</v>
      </c>
      <c r="L246" s="94">
        <v>999</v>
      </c>
      <c r="M246" s="221">
        <v>220</v>
      </c>
      <c r="N246" s="221">
        <v>100</v>
      </c>
      <c r="O246" s="93">
        <f t="shared" si="12"/>
        <v>719.06</v>
      </c>
      <c r="P246" s="224" t="s">
        <v>264</v>
      </c>
      <c r="Q246" s="119" t="s">
        <v>1342</v>
      </c>
      <c r="R246" s="117" t="s">
        <v>134</v>
      </c>
      <c r="S246" s="225" t="s">
        <v>465</v>
      </c>
      <c r="T246" s="224" t="s">
        <v>114</v>
      </c>
      <c r="U246" s="224" t="s">
        <v>748</v>
      </c>
      <c r="V246" s="146" t="s">
        <v>750</v>
      </c>
      <c r="W246" s="52"/>
      <c r="X246" s="52"/>
      <c r="Y246" s="146" t="s">
        <v>84</v>
      </c>
      <c r="Z246" s="52" t="s">
        <v>367</v>
      </c>
      <c r="AA246" s="222">
        <v>42895</v>
      </c>
      <c r="AB246" s="52" t="s">
        <v>195</v>
      </c>
      <c r="AC246" s="63">
        <f t="shared" si="11"/>
        <v>1</v>
      </c>
      <c r="AD246" s="221" t="s">
        <v>217</v>
      </c>
      <c r="AE246" s="221" t="s">
        <v>218</v>
      </c>
      <c r="AF246" s="52"/>
      <c r="AG246" s="52"/>
      <c r="AH246" s="64"/>
      <c r="AI246" s="117" t="s">
        <v>184</v>
      </c>
      <c r="AJ246" s="221"/>
      <c r="AK246" s="225" t="s">
        <v>914</v>
      </c>
      <c r="AL246" s="117" t="s">
        <v>645</v>
      </c>
      <c r="AM246" s="221"/>
    </row>
    <row r="247" spans="1:39" ht="12.75" hidden="1" customHeight="1">
      <c r="A247" s="147">
        <v>246</v>
      </c>
      <c r="B247" s="223">
        <v>197963</v>
      </c>
      <c r="C247" s="52" t="s">
        <v>86</v>
      </c>
      <c r="D247" s="57">
        <v>42893</v>
      </c>
      <c r="E247" s="58" t="s">
        <v>718</v>
      </c>
      <c r="F247" s="59">
        <v>42909</v>
      </c>
      <c r="G247" s="117">
        <f t="shared" si="13"/>
        <v>16</v>
      </c>
      <c r="H247" s="146" t="s">
        <v>133</v>
      </c>
      <c r="I247" s="221" t="s">
        <v>218</v>
      </c>
      <c r="J247" s="60" t="s">
        <v>614</v>
      </c>
      <c r="K247" s="94">
        <v>1299</v>
      </c>
      <c r="L247" s="94">
        <v>1299</v>
      </c>
      <c r="M247" s="221">
        <v>160</v>
      </c>
      <c r="N247" s="221">
        <v>150</v>
      </c>
      <c r="O247" s="93">
        <f t="shared" si="12"/>
        <v>1061.06</v>
      </c>
      <c r="P247" s="224" t="s">
        <v>261</v>
      </c>
      <c r="Q247" s="119" t="s">
        <v>1341</v>
      </c>
      <c r="R247" s="221" t="s">
        <v>143</v>
      </c>
      <c r="S247" s="62" t="s">
        <v>465</v>
      </c>
      <c r="T247" s="221" t="s">
        <v>88</v>
      </c>
      <c r="U247" s="224" t="s">
        <v>423</v>
      </c>
      <c r="V247" s="224" t="s">
        <v>90</v>
      </c>
      <c r="W247" s="117"/>
      <c r="X247" s="52"/>
      <c r="Y247" s="146" t="s">
        <v>316</v>
      </c>
      <c r="Z247" s="117" t="s">
        <v>189</v>
      </c>
      <c r="AA247" s="222">
        <v>42895</v>
      </c>
      <c r="AB247" s="52" t="s">
        <v>140</v>
      </c>
      <c r="AC247" s="63">
        <f t="shared" si="11"/>
        <v>1</v>
      </c>
      <c r="AD247" s="221" t="s">
        <v>217</v>
      </c>
      <c r="AE247" s="221" t="s">
        <v>218</v>
      </c>
      <c r="AF247" s="52"/>
      <c r="AG247" s="52"/>
      <c r="AH247" s="64" t="s">
        <v>783</v>
      </c>
      <c r="AI247" s="117" t="s">
        <v>184</v>
      </c>
      <c r="AJ247" s="222">
        <v>42906</v>
      </c>
      <c r="AK247" s="225" t="s">
        <v>918</v>
      </c>
      <c r="AL247" s="117" t="s">
        <v>645</v>
      </c>
      <c r="AM247" s="222">
        <v>42906</v>
      </c>
    </row>
    <row r="248" spans="1:39" ht="12.75" hidden="1" customHeight="1">
      <c r="A248" s="147">
        <v>247</v>
      </c>
      <c r="B248" s="223">
        <v>198113</v>
      </c>
      <c r="C248" s="52" t="s">
        <v>86</v>
      </c>
      <c r="D248" s="57">
        <v>42893</v>
      </c>
      <c r="E248" s="58" t="s">
        <v>718</v>
      </c>
      <c r="F248" s="59">
        <v>42909</v>
      </c>
      <c r="G248" s="117">
        <f t="shared" si="13"/>
        <v>16</v>
      </c>
      <c r="H248" s="221" t="s">
        <v>133</v>
      </c>
      <c r="I248" s="221"/>
      <c r="J248" s="60" t="s">
        <v>614</v>
      </c>
      <c r="K248" s="94">
        <v>1329.05</v>
      </c>
      <c r="L248" s="94">
        <v>1329.05</v>
      </c>
      <c r="M248" s="221"/>
      <c r="N248" s="221"/>
      <c r="O248" s="151">
        <f t="shared" si="12"/>
        <v>0</v>
      </c>
      <c r="P248" s="224" t="s">
        <v>264</v>
      </c>
      <c r="Q248" s="119" t="s">
        <v>1342</v>
      </c>
      <c r="R248" s="117" t="s">
        <v>143</v>
      </c>
      <c r="S248" s="62" t="s">
        <v>465</v>
      </c>
      <c r="T248" s="221" t="s">
        <v>88</v>
      </c>
      <c r="U248" s="224" t="s">
        <v>424</v>
      </c>
      <c r="V248" s="221" t="s">
        <v>749</v>
      </c>
      <c r="W248" s="117"/>
      <c r="X248" s="52"/>
      <c r="Y248" s="221"/>
      <c r="Z248" s="52" t="s">
        <v>189</v>
      </c>
      <c r="AA248" s="221"/>
      <c r="AB248" s="52"/>
      <c r="AC248" s="63">
        <f t="shared" si="11"/>
        <v>0</v>
      </c>
      <c r="AD248" s="221"/>
      <c r="AE248" s="221" t="s">
        <v>217</v>
      </c>
      <c r="AF248" s="52" t="s">
        <v>225</v>
      </c>
      <c r="AG248" s="52"/>
      <c r="AH248" s="64"/>
      <c r="AI248" s="117"/>
      <c r="AJ248" s="146"/>
      <c r="AK248" s="145"/>
      <c r="AL248" s="117"/>
      <c r="AM248" s="146"/>
    </row>
    <row r="249" spans="1:39" ht="12.75" hidden="1" customHeight="1">
      <c r="A249" s="147">
        <v>248</v>
      </c>
      <c r="B249" s="170">
        <v>197208</v>
      </c>
      <c r="C249" s="52" t="s">
        <v>128</v>
      </c>
      <c r="D249" s="57">
        <v>42894</v>
      </c>
      <c r="E249" s="58" t="s">
        <v>718</v>
      </c>
      <c r="F249" s="59">
        <v>42898</v>
      </c>
      <c r="G249" s="146">
        <f t="shared" si="13"/>
        <v>4</v>
      </c>
      <c r="H249" s="146" t="s">
        <v>133</v>
      </c>
      <c r="I249" s="221"/>
      <c r="J249" s="60" t="s">
        <v>614</v>
      </c>
      <c r="K249" s="94">
        <v>1299</v>
      </c>
      <c r="L249" s="94">
        <v>1299</v>
      </c>
      <c r="M249" s="221"/>
      <c r="N249" s="221"/>
      <c r="O249" s="151">
        <f t="shared" si="12"/>
        <v>0</v>
      </c>
      <c r="P249" s="61" t="s">
        <v>264</v>
      </c>
      <c r="Q249" s="119" t="s">
        <v>1342</v>
      </c>
      <c r="R249" s="221" t="s">
        <v>752</v>
      </c>
      <c r="S249" s="225" t="s">
        <v>466</v>
      </c>
      <c r="T249" s="221" t="s">
        <v>405</v>
      </c>
      <c r="U249" s="224" t="s">
        <v>757</v>
      </c>
      <c r="V249" s="148" t="s">
        <v>257</v>
      </c>
      <c r="W249" s="52"/>
      <c r="X249" s="52"/>
      <c r="Y249" s="146"/>
      <c r="Z249" s="117" t="s">
        <v>259</v>
      </c>
      <c r="AA249" s="146"/>
      <c r="AB249" s="52"/>
      <c r="AC249" s="63">
        <f t="shared" si="11"/>
        <v>0</v>
      </c>
      <c r="AD249" s="221"/>
      <c r="AE249" s="221" t="s">
        <v>217</v>
      </c>
      <c r="AF249" s="117" t="s">
        <v>225</v>
      </c>
      <c r="AG249" s="52" t="s">
        <v>142</v>
      </c>
      <c r="AH249" s="64"/>
      <c r="AI249" s="117"/>
      <c r="AJ249" s="146"/>
      <c r="AK249" s="145"/>
      <c r="AL249" s="117"/>
      <c r="AM249" s="146"/>
    </row>
    <row r="250" spans="1:39" ht="12.75" hidden="1" customHeight="1">
      <c r="A250" s="147">
        <v>249</v>
      </c>
      <c r="B250" s="170">
        <v>197320</v>
      </c>
      <c r="C250" s="52" t="s">
        <v>128</v>
      </c>
      <c r="D250" s="57">
        <v>42894</v>
      </c>
      <c r="E250" s="58" t="s">
        <v>718</v>
      </c>
      <c r="F250" s="59">
        <v>42900</v>
      </c>
      <c r="G250" s="117">
        <f t="shared" si="13"/>
        <v>6</v>
      </c>
      <c r="H250" s="221" t="s">
        <v>133</v>
      </c>
      <c r="I250" s="221"/>
      <c r="J250" s="60" t="s">
        <v>610</v>
      </c>
      <c r="K250" s="94">
        <v>1614.05</v>
      </c>
      <c r="L250" s="94">
        <v>1614.05</v>
      </c>
      <c r="M250" s="221"/>
      <c r="N250" s="221"/>
      <c r="O250" s="151">
        <f t="shared" si="12"/>
        <v>0</v>
      </c>
      <c r="P250" s="224" t="s">
        <v>264</v>
      </c>
      <c r="Q250" s="119" t="s">
        <v>1342</v>
      </c>
      <c r="R250" s="146" t="s">
        <v>752</v>
      </c>
      <c r="S250" s="225" t="s">
        <v>466</v>
      </c>
      <c r="T250" s="221" t="s">
        <v>405</v>
      </c>
      <c r="U250" s="224" t="s">
        <v>754</v>
      </c>
      <c r="V250" s="221" t="s">
        <v>759</v>
      </c>
      <c r="W250" s="117"/>
      <c r="X250" s="52"/>
      <c r="Y250" s="221"/>
      <c r="Z250" s="52" t="s">
        <v>339</v>
      </c>
      <c r="AA250" s="221"/>
      <c r="AB250" s="52"/>
      <c r="AC250" s="63">
        <f t="shared" si="11"/>
        <v>0</v>
      </c>
      <c r="AD250" s="221"/>
      <c r="AE250" s="221" t="s">
        <v>217</v>
      </c>
      <c r="AF250" s="117" t="s">
        <v>225</v>
      </c>
      <c r="AG250" s="52"/>
      <c r="AH250" s="64" t="s">
        <v>768</v>
      </c>
      <c r="AI250" s="117"/>
      <c r="AJ250" s="221"/>
      <c r="AK250" s="145"/>
      <c r="AL250" s="117"/>
      <c r="AM250" s="221"/>
    </row>
    <row r="251" spans="1:39" ht="12.75" hidden="1" customHeight="1">
      <c r="A251" s="147">
        <v>250</v>
      </c>
      <c r="B251" s="170">
        <v>197744</v>
      </c>
      <c r="C251" s="117" t="s">
        <v>128</v>
      </c>
      <c r="D251" s="57">
        <v>42894</v>
      </c>
      <c r="E251" s="58" t="s">
        <v>718</v>
      </c>
      <c r="F251" s="118">
        <v>42903</v>
      </c>
      <c r="G251" s="117">
        <f t="shared" si="13"/>
        <v>9</v>
      </c>
      <c r="H251" s="221" t="s">
        <v>133</v>
      </c>
      <c r="I251" s="221"/>
      <c r="J251" s="60" t="s">
        <v>610</v>
      </c>
      <c r="K251" s="94">
        <v>1899</v>
      </c>
      <c r="L251" s="94">
        <v>1899</v>
      </c>
      <c r="M251" s="221"/>
      <c r="N251" s="221"/>
      <c r="O251" s="151">
        <f t="shared" si="12"/>
        <v>0</v>
      </c>
      <c r="P251" s="119" t="s">
        <v>264</v>
      </c>
      <c r="Q251" s="119" t="s">
        <v>1342</v>
      </c>
      <c r="R251" s="221" t="s">
        <v>254</v>
      </c>
      <c r="S251" s="225" t="s">
        <v>466</v>
      </c>
      <c r="T251" s="221" t="s">
        <v>405</v>
      </c>
      <c r="U251" s="224" t="s">
        <v>755</v>
      </c>
      <c r="V251" s="148" t="s">
        <v>257</v>
      </c>
      <c r="W251" s="117"/>
      <c r="X251" s="117"/>
      <c r="Y251" s="221"/>
      <c r="Z251" s="117" t="s">
        <v>259</v>
      </c>
      <c r="AA251" s="221"/>
      <c r="AB251" s="117"/>
      <c r="AC251" s="63">
        <f t="shared" si="11"/>
        <v>0</v>
      </c>
      <c r="AD251" s="221"/>
      <c r="AE251" s="221" t="s">
        <v>217</v>
      </c>
      <c r="AF251" s="117" t="s">
        <v>225</v>
      </c>
      <c r="AG251" s="117"/>
      <c r="AH251" s="64"/>
      <c r="AI251" s="117"/>
      <c r="AJ251" s="221"/>
      <c r="AK251" s="145"/>
      <c r="AL251" s="117"/>
      <c r="AM251" s="221"/>
    </row>
    <row r="252" spans="1:39" ht="12.75" hidden="1" customHeight="1">
      <c r="A252" s="147">
        <v>251</v>
      </c>
      <c r="B252" s="223">
        <v>197922</v>
      </c>
      <c r="C252" s="117" t="s">
        <v>128</v>
      </c>
      <c r="D252" s="57">
        <v>42894</v>
      </c>
      <c r="E252" s="58" t="s">
        <v>718</v>
      </c>
      <c r="F252" s="118">
        <v>42905</v>
      </c>
      <c r="G252" s="117">
        <f t="shared" si="13"/>
        <v>11</v>
      </c>
      <c r="H252" s="221" t="s">
        <v>133</v>
      </c>
      <c r="I252" s="221"/>
      <c r="J252" s="60" t="s">
        <v>610</v>
      </c>
      <c r="K252" s="94">
        <v>3685.03</v>
      </c>
      <c r="L252" s="94">
        <v>3685.03</v>
      </c>
      <c r="M252" s="221"/>
      <c r="N252" s="221"/>
      <c r="O252" s="151">
        <f t="shared" si="12"/>
        <v>0</v>
      </c>
      <c r="P252" s="119" t="s">
        <v>264</v>
      </c>
      <c r="Q252" s="119" t="s">
        <v>1342</v>
      </c>
      <c r="R252" s="117" t="s">
        <v>751</v>
      </c>
      <c r="S252" s="225" t="s">
        <v>469</v>
      </c>
      <c r="T252" s="224" t="s">
        <v>762</v>
      </c>
      <c r="U252" s="224" t="s">
        <v>753</v>
      </c>
      <c r="V252" s="221" t="s">
        <v>758</v>
      </c>
      <c r="W252" s="146"/>
      <c r="X252" s="117"/>
      <c r="Y252" s="221"/>
      <c r="Z252" s="117" t="s">
        <v>296</v>
      </c>
      <c r="AA252" s="221"/>
      <c r="AB252" s="117"/>
      <c r="AC252" s="63">
        <f t="shared" si="11"/>
        <v>0</v>
      </c>
      <c r="AD252" s="221"/>
      <c r="AE252" s="221" t="s">
        <v>217</v>
      </c>
      <c r="AF252" s="117" t="s">
        <v>225</v>
      </c>
      <c r="AG252" s="117"/>
      <c r="AH252" s="64" t="s">
        <v>761</v>
      </c>
      <c r="AI252" s="117"/>
      <c r="AJ252" s="221"/>
      <c r="AK252" s="145"/>
      <c r="AL252" s="117"/>
      <c r="AM252" s="221"/>
    </row>
    <row r="253" spans="1:39" ht="12.75" hidden="1" customHeight="1">
      <c r="A253" s="147">
        <v>252</v>
      </c>
      <c r="B253" s="170">
        <v>198206</v>
      </c>
      <c r="C253" s="117" t="s">
        <v>86</v>
      </c>
      <c r="D253" s="57">
        <v>42894</v>
      </c>
      <c r="E253" s="58" t="s">
        <v>718</v>
      </c>
      <c r="F253" s="118">
        <v>42910</v>
      </c>
      <c r="G253" s="117">
        <f t="shared" si="13"/>
        <v>16</v>
      </c>
      <c r="H253" s="146" t="s">
        <v>133</v>
      </c>
      <c r="I253" s="221"/>
      <c r="J253" s="60" t="s">
        <v>614</v>
      </c>
      <c r="K253" s="94">
        <v>1399</v>
      </c>
      <c r="L253" s="94">
        <v>1399</v>
      </c>
      <c r="M253" s="221">
        <v>320</v>
      </c>
      <c r="N253" s="221">
        <v>160</v>
      </c>
      <c r="O253" s="93">
        <f t="shared" si="12"/>
        <v>995.06</v>
      </c>
      <c r="P253" s="119" t="s">
        <v>262</v>
      </c>
      <c r="Q253" s="119" t="s">
        <v>1342</v>
      </c>
      <c r="R253" s="224" t="s">
        <v>122</v>
      </c>
      <c r="S253" s="225" t="s">
        <v>469</v>
      </c>
      <c r="T253" s="224" t="s">
        <v>114</v>
      </c>
      <c r="U253" s="224" t="s">
        <v>305</v>
      </c>
      <c r="V253" s="222" t="s">
        <v>169</v>
      </c>
      <c r="W253" s="117"/>
      <c r="X253" s="117"/>
      <c r="Y253" s="221" t="s">
        <v>316</v>
      </c>
      <c r="Z253" s="117" t="s">
        <v>170</v>
      </c>
      <c r="AA253" s="221"/>
      <c r="AB253" s="117" t="s">
        <v>140</v>
      </c>
      <c r="AC253" s="63">
        <f t="shared" si="11"/>
        <v>1</v>
      </c>
      <c r="AD253" s="221" t="s">
        <v>217</v>
      </c>
      <c r="AE253" s="221" t="s">
        <v>218</v>
      </c>
      <c r="AF253" s="117"/>
      <c r="AG253" s="117"/>
      <c r="AH253" s="64"/>
      <c r="AI253" s="117" t="s">
        <v>184</v>
      </c>
      <c r="AJ253" s="146"/>
      <c r="AK253" s="225" t="s">
        <v>911</v>
      </c>
      <c r="AL253" s="117" t="s">
        <v>645</v>
      </c>
      <c r="AM253" s="146"/>
    </row>
    <row r="254" spans="1:39" ht="25.5" hidden="1" customHeight="1">
      <c r="A254" s="147">
        <v>253</v>
      </c>
      <c r="B254" s="170">
        <v>198596</v>
      </c>
      <c r="C254" s="117" t="s">
        <v>121</v>
      </c>
      <c r="D254" s="57">
        <v>42894</v>
      </c>
      <c r="E254" s="58" t="s">
        <v>718</v>
      </c>
      <c r="F254" s="118">
        <v>42905</v>
      </c>
      <c r="G254" s="117">
        <f t="shared" si="13"/>
        <v>11</v>
      </c>
      <c r="H254" s="146" t="s">
        <v>133</v>
      </c>
      <c r="I254" s="221"/>
      <c r="J254" s="60" t="s">
        <v>610</v>
      </c>
      <c r="K254" s="94">
        <v>2099</v>
      </c>
      <c r="L254" s="94">
        <v>2099</v>
      </c>
      <c r="M254" s="221"/>
      <c r="N254" s="221"/>
      <c r="O254" s="151">
        <f t="shared" si="12"/>
        <v>0</v>
      </c>
      <c r="P254" s="119" t="s">
        <v>263</v>
      </c>
      <c r="Q254" s="119" t="s">
        <v>1341</v>
      </c>
      <c r="R254" s="146" t="s">
        <v>134</v>
      </c>
      <c r="S254" s="62" t="s">
        <v>465</v>
      </c>
      <c r="T254" s="221" t="s">
        <v>88</v>
      </c>
      <c r="U254" s="224" t="s">
        <v>756</v>
      </c>
      <c r="V254" s="224" t="s">
        <v>763</v>
      </c>
      <c r="W254" s="117"/>
      <c r="X254" s="117"/>
      <c r="Y254" s="146"/>
      <c r="Z254" s="221" t="s">
        <v>367</v>
      </c>
      <c r="AA254" s="221"/>
      <c r="AB254" s="117"/>
      <c r="AC254" s="63">
        <f t="shared" si="11"/>
        <v>0</v>
      </c>
      <c r="AD254" s="221"/>
      <c r="AE254" s="221" t="s">
        <v>217</v>
      </c>
      <c r="AF254" s="117" t="s">
        <v>225</v>
      </c>
      <c r="AG254" s="117"/>
      <c r="AH254" s="64"/>
      <c r="AI254" s="117"/>
      <c r="AJ254" s="221"/>
      <c r="AK254" s="145"/>
      <c r="AL254" s="117"/>
      <c r="AM254" s="221"/>
    </row>
    <row r="255" spans="1:39" ht="12.75" hidden="1" customHeight="1">
      <c r="A255" s="147">
        <v>254</v>
      </c>
      <c r="B255" s="170">
        <v>198202</v>
      </c>
      <c r="C255" s="117" t="s">
        <v>86</v>
      </c>
      <c r="D255" s="57">
        <v>42895</v>
      </c>
      <c r="E255" s="58" t="s">
        <v>718</v>
      </c>
      <c r="F255" s="118">
        <v>42910</v>
      </c>
      <c r="G255" s="146">
        <f t="shared" si="13"/>
        <v>15</v>
      </c>
      <c r="H255" s="146" t="s">
        <v>363</v>
      </c>
      <c r="I255" s="221"/>
      <c r="J255" s="60" t="s">
        <v>614</v>
      </c>
      <c r="K255" s="94">
        <v>999</v>
      </c>
      <c r="L255" s="94">
        <v>999</v>
      </c>
      <c r="M255" s="96">
        <v>0</v>
      </c>
      <c r="N255" s="221"/>
      <c r="O255" s="93">
        <f t="shared" si="12"/>
        <v>939.06</v>
      </c>
      <c r="P255" s="119" t="s">
        <v>262</v>
      </c>
      <c r="Q255" s="119" t="s">
        <v>1342</v>
      </c>
      <c r="R255" s="146" t="s">
        <v>143</v>
      </c>
      <c r="S255" s="62" t="s">
        <v>465</v>
      </c>
      <c r="T255" s="221" t="s">
        <v>88</v>
      </c>
      <c r="U255" s="221" t="s">
        <v>431</v>
      </c>
      <c r="V255" s="221" t="s">
        <v>432</v>
      </c>
      <c r="W255" s="117"/>
      <c r="X255" s="117"/>
      <c r="Y255" s="146"/>
      <c r="Z255" s="117" t="s">
        <v>189</v>
      </c>
      <c r="AA255" s="222">
        <v>42895</v>
      </c>
      <c r="AB255" s="117" t="s">
        <v>140</v>
      </c>
      <c r="AC255" s="63">
        <f t="shared" si="11"/>
        <v>1</v>
      </c>
      <c r="AD255" s="221"/>
      <c r="AE255" s="117"/>
      <c r="AF255" s="117"/>
      <c r="AG255" s="117"/>
      <c r="AH255" s="64" t="s">
        <v>784</v>
      </c>
      <c r="AI255" s="117"/>
      <c r="AJ255" s="146"/>
      <c r="AK255" s="145"/>
      <c r="AL255" s="117"/>
      <c r="AM255" s="146"/>
    </row>
    <row r="256" spans="1:39" ht="12.75" hidden="1" customHeight="1">
      <c r="A256" s="147">
        <v>255</v>
      </c>
      <c r="B256" s="174">
        <v>198394</v>
      </c>
      <c r="C256" s="117" t="s">
        <v>128</v>
      </c>
      <c r="D256" s="57">
        <v>42895</v>
      </c>
      <c r="E256" s="58" t="s">
        <v>718</v>
      </c>
      <c r="F256" s="118">
        <v>42906</v>
      </c>
      <c r="G256" s="146">
        <f t="shared" si="13"/>
        <v>11</v>
      </c>
      <c r="H256" s="146" t="s">
        <v>363</v>
      </c>
      <c r="I256" s="221"/>
      <c r="J256" s="60" t="s">
        <v>614</v>
      </c>
      <c r="K256" s="94">
        <v>1999</v>
      </c>
      <c r="L256" s="94">
        <v>1999</v>
      </c>
      <c r="M256" s="96">
        <v>0</v>
      </c>
      <c r="N256" s="221"/>
      <c r="O256" s="151">
        <f t="shared" si="12"/>
        <v>0</v>
      </c>
      <c r="P256" s="119" t="s">
        <v>264</v>
      </c>
      <c r="Q256" s="119" t="s">
        <v>1342</v>
      </c>
      <c r="R256" s="146" t="s">
        <v>143</v>
      </c>
      <c r="S256" s="62" t="s">
        <v>465</v>
      </c>
      <c r="T256" s="224" t="s">
        <v>144</v>
      </c>
      <c r="U256" s="224" t="s">
        <v>835</v>
      </c>
      <c r="V256" s="224" t="s">
        <v>836</v>
      </c>
      <c r="W256" s="117"/>
      <c r="X256" s="146"/>
      <c r="Y256" s="146"/>
      <c r="Z256" s="117" t="s">
        <v>137</v>
      </c>
      <c r="AA256" s="221"/>
      <c r="AB256" s="117"/>
      <c r="AC256" s="63">
        <f t="shared" si="11"/>
        <v>0</v>
      </c>
      <c r="AD256" s="221"/>
      <c r="AE256" s="221" t="s">
        <v>217</v>
      </c>
      <c r="AF256" s="117" t="s">
        <v>225</v>
      </c>
      <c r="AG256" s="117"/>
      <c r="AH256" s="64" t="s">
        <v>837</v>
      </c>
      <c r="AI256" s="117"/>
      <c r="AJ256" s="221"/>
      <c r="AK256" s="145"/>
      <c r="AL256" s="117"/>
      <c r="AM256" s="221"/>
    </row>
    <row r="257" spans="1:39" ht="12.75" hidden="1" customHeight="1">
      <c r="A257" s="147">
        <v>256</v>
      </c>
      <c r="B257" s="170">
        <v>197113</v>
      </c>
      <c r="C257" s="117" t="s">
        <v>121</v>
      </c>
      <c r="D257" s="57">
        <v>42898</v>
      </c>
      <c r="E257" s="58" t="s">
        <v>718</v>
      </c>
      <c r="F257" s="118">
        <v>42898</v>
      </c>
      <c r="G257" s="146">
        <f t="shared" si="13"/>
        <v>0</v>
      </c>
      <c r="H257" s="146" t="s">
        <v>133</v>
      </c>
      <c r="I257" s="221"/>
      <c r="J257" s="60" t="s">
        <v>614</v>
      </c>
      <c r="K257" s="94">
        <v>2640</v>
      </c>
      <c r="L257" s="94">
        <v>2640</v>
      </c>
      <c r="M257" s="221">
        <v>340</v>
      </c>
      <c r="N257" s="221">
        <v>270</v>
      </c>
      <c r="O257" s="93">
        <f t="shared" si="12"/>
        <v>2141.6</v>
      </c>
      <c r="P257" s="119" t="s">
        <v>264</v>
      </c>
      <c r="Q257" s="119" t="s">
        <v>1342</v>
      </c>
      <c r="R257" s="146" t="s">
        <v>122</v>
      </c>
      <c r="S257" s="225" t="s">
        <v>469</v>
      </c>
      <c r="T257" s="224" t="s">
        <v>164</v>
      </c>
      <c r="U257" s="224" t="s">
        <v>776</v>
      </c>
      <c r="V257" s="222" t="s">
        <v>169</v>
      </c>
      <c r="W257" s="221"/>
      <c r="X257" s="117"/>
      <c r="Y257" s="146" t="s">
        <v>316</v>
      </c>
      <c r="Z257" s="117" t="s">
        <v>202</v>
      </c>
      <c r="AA257" s="222">
        <v>42899</v>
      </c>
      <c r="AB257" s="117" t="s">
        <v>782</v>
      </c>
      <c r="AC257" s="63">
        <f t="shared" si="11"/>
        <v>1</v>
      </c>
      <c r="AD257" s="221" t="s">
        <v>217</v>
      </c>
      <c r="AE257" s="221" t="s">
        <v>218</v>
      </c>
      <c r="AF257" s="117"/>
      <c r="AG257" s="117"/>
      <c r="AH257" s="64"/>
      <c r="AI257" s="117" t="s">
        <v>184</v>
      </c>
      <c r="AJ257" s="222">
        <v>42906</v>
      </c>
      <c r="AK257" s="225" t="s">
        <v>916</v>
      </c>
      <c r="AL257" s="117" t="s">
        <v>645</v>
      </c>
      <c r="AM257" s="222">
        <v>42906</v>
      </c>
    </row>
    <row r="258" spans="1:39" ht="12.75" hidden="1" customHeight="1">
      <c r="A258" s="147">
        <v>257</v>
      </c>
      <c r="B258" s="170">
        <v>197660</v>
      </c>
      <c r="C258" s="117" t="s">
        <v>86</v>
      </c>
      <c r="D258" s="57">
        <v>42898</v>
      </c>
      <c r="E258" s="58" t="s">
        <v>718</v>
      </c>
      <c r="F258" s="118">
        <v>42905</v>
      </c>
      <c r="G258" s="146">
        <f t="shared" si="13"/>
        <v>7</v>
      </c>
      <c r="H258" s="117" t="s">
        <v>133</v>
      </c>
      <c r="I258" s="221"/>
      <c r="J258" s="60" t="s">
        <v>614</v>
      </c>
      <c r="K258" s="94">
        <v>2799</v>
      </c>
      <c r="L258" s="94">
        <v>2799</v>
      </c>
      <c r="M258" s="221">
        <v>290</v>
      </c>
      <c r="N258" s="221">
        <v>0</v>
      </c>
      <c r="O258" s="93">
        <f t="shared" si="12"/>
        <v>2341.06</v>
      </c>
      <c r="P258" s="119" t="s">
        <v>264</v>
      </c>
      <c r="Q258" s="119" t="s">
        <v>1342</v>
      </c>
      <c r="R258" s="146" t="s">
        <v>134</v>
      </c>
      <c r="S258" s="62" t="s">
        <v>465</v>
      </c>
      <c r="T258" s="221" t="s">
        <v>88</v>
      </c>
      <c r="U258" s="67" t="s">
        <v>741</v>
      </c>
      <c r="V258" s="221" t="s">
        <v>429</v>
      </c>
      <c r="W258" s="117"/>
      <c r="X258" s="117"/>
      <c r="Y258" s="146" t="s">
        <v>316</v>
      </c>
      <c r="Z258" s="117" t="s">
        <v>189</v>
      </c>
      <c r="AA258" s="222">
        <v>42899</v>
      </c>
      <c r="AB258" s="117" t="s">
        <v>782</v>
      </c>
      <c r="AC258" s="63">
        <f t="shared" ref="AC258:AC321" si="14">+IF(O258&gt;0,1,0)</f>
        <v>1</v>
      </c>
      <c r="AD258" s="221" t="s">
        <v>217</v>
      </c>
      <c r="AE258" s="221" t="s">
        <v>218</v>
      </c>
      <c r="AF258" s="117"/>
      <c r="AG258" s="117"/>
      <c r="AH258" s="64"/>
      <c r="AI258" s="117" t="s">
        <v>184</v>
      </c>
      <c r="AJ258" s="222">
        <v>42906</v>
      </c>
      <c r="AK258" s="225" t="s">
        <v>917</v>
      </c>
      <c r="AL258" s="117" t="s">
        <v>645</v>
      </c>
      <c r="AM258" s="222">
        <v>42906</v>
      </c>
    </row>
    <row r="259" spans="1:39" ht="12.75" hidden="1" customHeight="1">
      <c r="A259" s="147">
        <v>258</v>
      </c>
      <c r="B259" s="170">
        <v>197674</v>
      </c>
      <c r="C259" s="117" t="s">
        <v>121</v>
      </c>
      <c r="D259" s="57">
        <v>42898</v>
      </c>
      <c r="E259" s="58" t="s">
        <v>718</v>
      </c>
      <c r="F259" s="118">
        <v>42903</v>
      </c>
      <c r="G259" s="117">
        <f t="shared" si="13"/>
        <v>5</v>
      </c>
      <c r="H259" s="146" t="s">
        <v>133</v>
      </c>
      <c r="I259" s="221"/>
      <c r="J259" s="60" t="s">
        <v>610</v>
      </c>
      <c r="K259" s="94">
        <v>3899</v>
      </c>
      <c r="L259" s="94">
        <v>3899</v>
      </c>
      <c r="M259" s="221"/>
      <c r="N259" s="221"/>
      <c r="O259" s="151">
        <f t="shared" si="12"/>
        <v>0</v>
      </c>
      <c r="P259" s="119" t="s">
        <v>264</v>
      </c>
      <c r="Q259" s="119" t="s">
        <v>1342</v>
      </c>
      <c r="R259" s="117" t="s">
        <v>134</v>
      </c>
      <c r="S259" s="62" t="s">
        <v>465</v>
      </c>
      <c r="T259" s="224" t="s">
        <v>114</v>
      </c>
      <c r="U259" s="224" t="s">
        <v>777</v>
      </c>
      <c r="V259" s="221" t="s">
        <v>429</v>
      </c>
      <c r="W259" s="117"/>
      <c r="X259" s="117"/>
      <c r="Y259" s="146"/>
      <c r="Z259" s="117" t="s">
        <v>124</v>
      </c>
      <c r="AA259" s="222"/>
      <c r="AB259" s="117"/>
      <c r="AC259" s="63">
        <f t="shared" si="14"/>
        <v>0</v>
      </c>
      <c r="AD259" s="221"/>
      <c r="AE259" s="221" t="s">
        <v>217</v>
      </c>
      <c r="AF259" s="117" t="s">
        <v>225</v>
      </c>
      <c r="AG259" s="117"/>
      <c r="AH259" s="64"/>
      <c r="AI259" s="117"/>
      <c r="AJ259" s="117"/>
      <c r="AK259" s="145"/>
      <c r="AL259" s="117"/>
      <c r="AM259" s="117"/>
    </row>
    <row r="260" spans="1:39" ht="12.75" hidden="1" customHeight="1">
      <c r="A260" s="147">
        <v>259</v>
      </c>
      <c r="B260" s="170">
        <v>197723</v>
      </c>
      <c r="C260" s="117" t="s">
        <v>121</v>
      </c>
      <c r="D260" s="57">
        <v>42898</v>
      </c>
      <c r="E260" s="58" t="s">
        <v>718</v>
      </c>
      <c r="F260" s="118">
        <v>42904</v>
      </c>
      <c r="G260" s="117">
        <f t="shared" si="13"/>
        <v>6</v>
      </c>
      <c r="H260" s="146" t="s">
        <v>133</v>
      </c>
      <c r="I260" s="221"/>
      <c r="J260" s="60" t="s">
        <v>615</v>
      </c>
      <c r="K260" s="94">
        <v>2500</v>
      </c>
      <c r="L260" s="94">
        <v>2500</v>
      </c>
      <c r="M260" s="221"/>
      <c r="N260" s="221"/>
      <c r="O260" s="93">
        <f t="shared" si="12"/>
        <v>2350</v>
      </c>
      <c r="P260" s="119" t="s">
        <v>264</v>
      </c>
      <c r="Q260" s="119" t="s">
        <v>1342</v>
      </c>
      <c r="R260" s="221" t="s">
        <v>300</v>
      </c>
      <c r="S260" s="225" t="s">
        <v>469</v>
      </c>
      <c r="T260" s="224" t="s">
        <v>376</v>
      </c>
      <c r="U260" s="224" t="s">
        <v>775</v>
      </c>
      <c r="V260" s="224" t="s">
        <v>839</v>
      </c>
      <c r="W260" s="117"/>
      <c r="X260" s="117"/>
      <c r="Y260" s="146"/>
      <c r="Z260" s="117" t="s">
        <v>253</v>
      </c>
      <c r="AA260" s="222"/>
      <c r="AB260" s="117"/>
      <c r="AC260" s="63">
        <f t="shared" si="14"/>
        <v>1</v>
      </c>
      <c r="AD260" s="221"/>
      <c r="AE260" s="221" t="s">
        <v>218</v>
      </c>
      <c r="AF260" s="117" t="s">
        <v>225</v>
      </c>
      <c r="AG260" s="117"/>
      <c r="AH260" s="64" t="s">
        <v>812</v>
      </c>
      <c r="AI260" s="117"/>
      <c r="AJ260" s="221"/>
      <c r="AK260" s="145"/>
      <c r="AL260" s="117"/>
      <c r="AM260" s="221"/>
    </row>
    <row r="261" spans="1:39" ht="15.75" hidden="1" customHeight="1">
      <c r="A261" s="147">
        <v>260</v>
      </c>
      <c r="B261" s="170">
        <v>198262</v>
      </c>
      <c r="C261" s="146" t="s">
        <v>540</v>
      </c>
      <c r="D261" s="57">
        <v>42898</v>
      </c>
      <c r="E261" s="58" t="s">
        <v>718</v>
      </c>
      <c r="F261" s="118">
        <v>42910</v>
      </c>
      <c r="G261" s="117">
        <f t="shared" si="13"/>
        <v>12</v>
      </c>
      <c r="H261" s="146" t="s">
        <v>133</v>
      </c>
      <c r="I261" s="221"/>
      <c r="J261" s="60" t="s">
        <v>610</v>
      </c>
      <c r="K261" s="94">
        <v>4799</v>
      </c>
      <c r="L261" s="94">
        <v>4799</v>
      </c>
      <c r="M261" s="221"/>
      <c r="N261" s="221"/>
      <c r="O261" s="151">
        <f t="shared" si="12"/>
        <v>0</v>
      </c>
      <c r="P261" s="119" t="s">
        <v>264</v>
      </c>
      <c r="Q261" s="119" t="s">
        <v>1342</v>
      </c>
      <c r="R261" s="146" t="s">
        <v>143</v>
      </c>
      <c r="S261" s="62" t="s">
        <v>465</v>
      </c>
      <c r="T261" s="224" t="s">
        <v>144</v>
      </c>
      <c r="U261" s="224" t="s">
        <v>772</v>
      </c>
      <c r="V261" s="221" t="s">
        <v>309</v>
      </c>
      <c r="W261" s="117"/>
      <c r="X261" s="117"/>
      <c r="Y261" s="221"/>
      <c r="Z261" s="117" t="s">
        <v>137</v>
      </c>
      <c r="AA261" s="222"/>
      <c r="AB261" s="117"/>
      <c r="AC261" s="63">
        <f t="shared" si="14"/>
        <v>0</v>
      </c>
      <c r="AD261" s="221"/>
      <c r="AE261" s="221" t="s">
        <v>217</v>
      </c>
      <c r="AF261" s="117" t="s">
        <v>225</v>
      </c>
      <c r="AG261" s="117"/>
      <c r="AH261" s="64"/>
      <c r="AI261" s="117"/>
      <c r="AJ261" s="146"/>
      <c r="AK261" s="145"/>
      <c r="AL261" s="117"/>
      <c r="AM261" s="146"/>
    </row>
    <row r="262" spans="1:39" ht="12.75" hidden="1" customHeight="1">
      <c r="A262" s="147">
        <v>261</v>
      </c>
      <c r="B262" s="170">
        <v>198405</v>
      </c>
      <c r="C262" s="146" t="s">
        <v>86</v>
      </c>
      <c r="D262" s="57">
        <v>42898</v>
      </c>
      <c r="E262" s="58" t="s">
        <v>718</v>
      </c>
      <c r="F262" s="118">
        <v>42911</v>
      </c>
      <c r="G262" s="117">
        <f t="shared" si="13"/>
        <v>13</v>
      </c>
      <c r="H262" s="146" t="s">
        <v>133</v>
      </c>
      <c r="I262" s="221"/>
      <c r="J262" s="60" t="s">
        <v>615</v>
      </c>
      <c r="K262" s="94">
        <v>3599</v>
      </c>
      <c r="L262" s="94">
        <v>3599</v>
      </c>
      <c r="M262" s="221">
        <v>290</v>
      </c>
      <c r="N262" s="221">
        <v>220</v>
      </c>
      <c r="O262" s="93">
        <f t="shared" si="12"/>
        <v>3093.06</v>
      </c>
      <c r="P262" s="119" t="s">
        <v>264</v>
      </c>
      <c r="Q262" s="119" t="s">
        <v>1342</v>
      </c>
      <c r="R262" s="146" t="s">
        <v>134</v>
      </c>
      <c r="S262" s="62" t="s">
        <v>465</v>
      </c>
      <c r="T262" s="221" t="s">
        <v>88</v>
      </c>
      <c r="U262" s="224" t="s">
        <v>482</v>
      </c>
      <c r="V262" s="146" t="s">
        <v>429</v>
      </c>
      <c r="W262" s="117"/>
      <c r="X262" s="117"/>
      <c r="Y262" s="221" t="s">
        <v>316</v>
      </c>
      <c r="Z262" s="117" t="s">
        <v>189</v>
      </c>
      <c r="AA262" s="222">
        <v>42902</v>
      </c>
      <c r="AB262" s="117" t="s">
        <v>127</v>
      </c>
      <c r="AC262" s="63">
        <f t="shared" si="14"/>
        <v>1</v>
      </c>
      <c r="AD262" s="221" t="s">
        <v>217</v>
      </c>
      <c r="AE262" s="221" t="s">
        <v>218</v>
      </c>
      <c r="AF262" s="117"/>
      <c r="AG262" s="117"/>
      <c r="AH262" s="64"/>
      <c r="AI262" s="117" t="s">
        <v>184</v>
      </c>
      <c r="AJ262" s="222">
        <v>42912</v>
      </c>
      <c r="AK262" s="225" t="s">
        <v>848</v>
      </c>
      <c r="AL262" s="117" t="s">
        <v>645</v>
      </c>
      <c r="AM262" s="222">
        <v>42912</v>
      </c>
    </row>
    <row r="263" spans="1:39" ht="12.75" hidden="1" customHeight="1">
      <c r="A263" s="147">
        <v>262</v>
      </c>
      <c r="B263" s="170">
        <v>198414</v>
      </c>
      <c r="C263" s="146" t="s">
        <v>86</v>
      </c>
      <c r="D263" s="57">
        <v>42898</v>
      </c>
      <c r="E263" s="58" t="s">
        <v>718</v>
      </c>
      <c r="F263" s="118">
        <v>42911</v>
      </c>
      <c r="G263" s="117">
        <f t="shared" si="13"/>
        <v>13</v>
      </c>
      <c r="H263" s="146" t="s">
        <v>133</v>
      </c>
      <c r="I263" s="221"/>
      <c r="J263" s="60" t="s">
        <v>615</v>
      </c>
      <c r="K263" s="94">
        <v>2899</v>
      </c>
      <c r="L263" s="94">
        <v>2899</v>
      </c>
      <c r="M263" s="221">
        <v>290</v>
      </c>
      <c r="N263" s="221">
        <v>220</v>
      </c>
      <c r="O263" s="93">
        <f t="shared" si="12"/>
        <v>2435.06</v>
      </c>
      <c r="P263" s="119" t="s">
        <v>264</v>
      </c>
      <c r="Q263" s="119" t="s">
        <v>1342</v>
      </c>
      <c r="R263" s="117" t="s">
        <v>134</v>
      </c>
      <c r="S263" s="62" t="s">
        <v>465</v>
      </c>
      <c r="T263" s="221" t="s">
        <v>88</v>
      </c>
      <c r="U263" s="224" t="s">
        <v>449</v>
      </c>
      <c r="V263" s="221" t="s">
        <v>429</v>
      </c>
      <c r="W263" s="221"/>
      <c r="X263" s="117"/>
      <c r="Y263" s="146" t="s">
        <v>316</v>
      </c>
      <c r="Z263" s="117" t="s">
        <v>189</v>
      </c>
      <c r="AA263" s="222">
        <v>42902</v>
      </c>
      <c r="AB263" s="117" t="s">
        <v>127</v>
      </c>
      <c r="AC263" s="63">
        <f t="shared" si="14"/>
        <v>1</v>
      </c>
      <c r="AD263" s="221" t="s">
        <v>217</v>
      </c>
      <c r="AE263" s="221" t="s">
        <v>218</v>
      </c>
      <c r="AF263" s="117"/>
      <c r="AG263" s="117"/>
      <c r="AH263" s="64"/>
      <c r="AI263" s="117" t="s">
        <v>184</v>
      </c>
      <c r="AJ263" s="222">
        <v>42912</v>
      </c>
      <c r="AK263" s="225" t="s">
        <v>849</v>
      </c>
      <c r="AL263" s="117" t="s">
        <v>645</v>
      </c>
      <c r="AM263" s="222">
        <v>42912</v>
      </c>
    </row>
    <row r="264" spans="1:39" ht="12.75" hidden="1" customHeight="1">
      <c r="A264" s="147">
        <v>263</v>
      </c>
      <c r="B264" s="170">
        <v>198446</v>
      </c>
      <c r="C264" s="146" t="s">
        <v>540</v>
      </c>
      <c r="D264" s="57">
        <v>42898</v>
      </c>
      <c r="E264" s="58" t="s">
        <v>718</v>
      </c>
      <c r="F264" s="118">
        <v>42910</v>
      </c>
      <c r="G264" s="146">
        <f t="shared" si="13"/>
        <v>12</v>
      </c>
      <c r="H264" s="146" t="s">
        <v>133</v>
      </c>
      <c r="I264" s="221"/>
      <c r="J264" s="60" t="s">
        <v>610</v>
      </c>
      <c r="K264" s="94">
        <v>1709.05</v>
      </c>
      <c r="L264" s="94">
        <v>1709.05</v>
      </c>
      <c r="M264" s="221"/>
      <c r="N264" s="221"/>
      <c r="O264" s="151">
        <f t="shared" si="12"/>
        <v>0</v>
      </c>
      <c r="P264" s="119" t="s">
        <v>264</v>
      </c>
      <c r="Q264" s="119" t="s">
        <v>1342</v>
      </c>
      <c r="R264" s="146" t="s">
        <v>143</v>
      </c>
      <c r="S264" s="62" t="s">
        <v>465</v>
      </c>
      <c r="T264" s="224" t="s">
        <v>144</v>
      </c>
      <c r="U264" s="224" t="s">
        <v>773</v>
      </c>
      <c r="V264" s="224" t="s">
        <v>519</v>
      </c>
      <c r="W264" s="221"/>
      <c r="X264" s="146"/>
      <c r="Y264" s="221"/>
      <c r="Z264" s="146" t="s">
        <v>137</v>
      </c>
      <c r="AA264" s="222"/>
      <c r="AB264" s="146"/>
      <c r="AC264" s="63">
        <f t="shared" si="14"/>
        <v>0</v>
      </c>
      <c r="AD264" s="221"/>
      <c r="AE264" s="221" t="s">
        <v>217</v>
      </c>
      <c r="AF264" s="146" t="s">
        <v>225</v>
      </c>
      <c r="AG264" s="146"/>
      <c r="AH264" s="64"/>
      <c r="AI264" s="146"/>
      <c r="AJ264" s="221"/>
      <c r="AK264" s="145"/>
      <c r="AL264" s="146"/>
      <c r="AM264" s="221"/>
    </row>
    <row r="265" spans="1:39" ht="25.5" hidden="1" customHeight="1">
      <c r="A265" s="147">
        <v>264</v>
      </c>
      <c r="B265" s="170">
        <v>198529</v>
      </c>
      <c r="C265" s="117" t="s">
        <v>540</v>
      </c>
      <c r="D265" s="57">
        <v>42898</v>
      </c>
      <c r="E265" s="58" t="s">
        <v>718</v>
      </c>
      <c r="F265" s="118">
        <v>42910</v>
      </c>
      <c r="G265" s="117">
        <f t="shared" si="13"/>
        <v>12</v>
      </c>
      <c r="H265" s="117" t="s">
        <v>363</v>
      </c>
      <c r="I265" s="221"/>
      <c r="J265" s="60" t="s">
        <v>614</v>
      </c>
      <c r="K265" s="94">
        <v>1599</v>
      </c>
      <c r="L265" s="94">
        <v>1599</v>
      </c>
      <c r="M265" s="96">
        <v>0</v>
      </c>
      <c r="N265" s="221"/>
      <c r="O265" s="93">
        <f t="shared" si="12"/>
        <v>1503.06</v>
      </c>
      <c r="P265" s="119" t="s">
        <v>263</v>
      </c>
      <c r="Q265" s="119" t="s">
        <v>1341</v>
      </c>
      <c r="R265" s="117" t="s">
        <v>134</v>
      </c>
      <c r="S265" s="62" t="s">
        <v>465</v>
      </c>
      <c r="T265" s="224" t="s">
        <v>162</v>
      </c>
      <c r="U265" s="224" t="s">
        <v>774</v>
      </c>
      <c r="V265" s="221" t="s">
        <v>389</v>
      </c>
      <c r="W265" s="221"/>
      <c r="X265" s="117"/>
      <c r="Y265" s="117"/>
      <c r="Z265" s="117" t="s">
        <v>780</v>
      </c>
      <c r="AA265" s="222"/>
      <c r="AB265" s="117"/>
      <c r="AC265" s="63">
        <f t="shared" si="14"/>
        <v>1</v>
      </c>
      <c r="AD265" s="221"/>
      <c r="AE265" s="117"/>
      <c r="AF265" s="117"/>
      <c r="AG265" s="117"/>
      <c r="AH265" s="64" t="s">
        <v>824</v>
      </c>
      <c r="AI265" s="117"/>
      <c r="AJ265" s="221"/>
      <c r="AK265" s="145"/>
      <c r="AL265" s="117"/>
      <c r="AM265" s="221"/>
    </row>
    <row r="266" spans="1:39" ht="12.75" hidden="1" customHeight="1">
      <c r="A266" s="147">
        <v>265</v>
      </c>
      <c r="B266" s="170">
        <v>197839</v>
      </c>
      <c r="C266" s="146" t="s">
        <v>121</v>
      </c>
      <c r="D266" s="57">
        <v>42899</v>
      </c>
      <c r="E266" s="58" t="s">
        <v>718</v>
      </c>
      <c r="F266" s="118">
        <v>42903</v>
      </c>
      <c r="G266" s="117">
        <f t="shared" si="13"/>
        <v>4</v>
      </c>
      <c r="H266" s="146" t="s">
        <v>133</v>
      </c>
      <c r="I266" s="221"/>
      <c r="J266" s="60" t="s">
        <v>610</v>
      </c>
      <c r="K266" s="94">
        <v>1899</v>
      </c>
      <c r="L266" s="94">
        <v>1899</v>
      </c>
      <c r="M266" s="221"/>
      <c r="N266" s="221"/>
      <c r="O266" s="151">
        <f t="shared" si="12"/>
        <v>0</v>
      </c>
      <c r="P266" s="119" t="s">
        <v>264</v>
      </c>
      <c r="Q266" s="119" t="s">
        <v>1342</v>
      </c>
      <c r="R266" s="221" t="s">
        <v>375</v>
      </c>
      <c r="S266" s="225" t="s">
        <v>469</v>
      </c>
      <c r="T266" s="224" t="s">
        <v>376</v>
      </c>
      <c r="U266" s="224" t="s">
        <v>778</v>
      </c>
      <c r="V266" s="224" t="s">
        <v>834</v>
      </c>
      <c r="W266" s="221"/>
      <c r="X266" s="221"/>
      <c r="Y266" s="221"/>
      <c r="Z266" s="117" t="s">
        <v>489</v>
      </c>
      <c r="AA266" s="222"/>
      <c r="AB266" s="221"/>
      <c r="AC266" s="63">
        <f t="shared" si="14"/>
        <v>0</v>
      </c>
      <c r="AD266" s="221"/>
      <c r="AE266" s="221" t="s">
        <v>217</v>
      </c>
      <c r="AF266" s="221" t="s">
        <v>225</v>
      </c>
      <c r="AG266" s="221"/>
      <c r="AH266" s="64"/>
      <c r="AI266" s="221"/>
      <c r="AJ266" s="221"/>
      <c r="AK266" s="145"/>
      <c r="AL266" s="221"/>
      <c r="AM266" s="221"/>
    </row>
    <row r="267" spans="1:39" ht="12.75" hidden="1" customHeight="1">
      <c r="A267" s="147">
        <v>266</v>
      </c>
      <c r="B267" s="170">
        <v>198611</v>
      </c>
      <c r="C267" s="117" t="s">
        <v>86</v>
      </c>
      <c r="D267" s="57">
        <v>42899</v>
      </c>
      <c r="E267" s="58" t="s">
        <v>718</v>
      </c>
      <c r="F267" s="118">
        <v>42914</v>
      </c>
      <c r="G267" s="117">
        <f t="shared" si="13"/>
        <v>15</v>
      </c>
      <c r="H267" s="146" t="s">
        <v>133</v>
      </c>
      <c r="I267" s="221"/>
      <c r="J267" s="60" t="s">
        <v>610</v>
      </c>
      <c r="K267" s="94">
        <v>899</v>
      </c>
      <c r="L267" s="94">
        <v>899</v>
      </c>
      <c r="M267" s="221"/>
      <c r="N267" s="221"/>
      <c r="O267" s="151">
        <f t="shared" si="12"/>
        <v>0</v>
      </c>
      <c r="P267" s="119" t="s">
        <v>262</v>
      </c>
      <c r="Q267" s="119" t="s">
        <v>1342</v>
      </c>
      <c r="R267" s="221" t="s">
        <v>143</v>
      </c>
      <c r="S267" s="62" t="s">
        <v>465</v>
      </c>
      <c r="T267" s="221" t="s">
        <v>88</v>
      </c>
      <c r="U267" s="224" t="s">
        <v>779</v>
      </c>
      <c r="V267" s="119" t="s">
        <v>90</v>
      </c>
      <c r="W267" s="221"/>
      <c r="X267" s="117"/>
      <c r="Y267" s="221"/>
      <c r="Z267" s="117" t="s">
        <v>189</v>
      </c>
      <c r="AA267" s="222"/>
      <c r="AB267" s="117"/>
      <c r="AC267" s="63">
        <f t="shared" si="14"/>
        <v>0</v>
      </c>
      <c r="AD267" s="221"/>
      <c r="AE267" s="221" t="s">
        <v>217</v>
      </c>
      <c r="AF267" s="117" t="s">
        <v>225</v>
      </c>
      <c r="AG267" s="117"/>
      <c r="AH267" s="64"/>
      <c r="AI267" s="117"/>
      <c r="AJ267" s="146"/>
      <c r="AK267" s="145"/>
      <c r="AL267" s="117"/>
      <c r="AM267" s="146"/>
    </row>
    <row r="268" spans="1:39" ht="25.5" hidden="1" customHeight="1">
      <c r="A268" s="147">
        <v>267</v>
      </c>
      <c r="B268" s="170">
        <v>197936</v>
      </c>
      <c r="C268" s="146" t="s">
        <v>540</v>
      </c>
      <c r="D268" s="57">
        <v>42900</v>
      </c>
      <c r="E268" s="58" t="s">
        <v>718</v>
      </c>
      <c r="F268" s="118">
        <v>42905</v>
      </c>
      <c r="G268" s="146">
        <f t="shared" si="13"/>
        <v>5</v>
      </c>
      <c r="H268" s="146" t="s">
        <v>133</v>
      </c>
      <c r="I268" s="221" t="s">
        <v>608</v>
      </c>
      <c r="J268" s="60" t="s">
        <v>614</v>
      </c>
      <c r="K268" s="94">
        <v>1999</v>
      </c>
      <c r="L268" s="94">
        <v>1999</v>
      </c>
      <c r="M268" s="221"/>
      <c r="N268" s="221"/>
      <c r="O268" s="151">
        <f t="shared" si="12"/>
        <v>0</v>
      </c>
      <c r="P268" s="119" t="s">
        <v>264</v>
      </c>
      <c r="Q268" s="119" t="s">
        <v>1342</v>
      </c>
      <c r="R268" s="146" t="s">
        <v>838</v>
      </c>
      <c r="S268" s="225" t="s">
        <v>469</v>
      </c>
      <c r="T268" s="224" t="s">
        <v>114</v>
      </c>
      <c r="U268" s="224" t="s">
        <v>788</v>
      </c>
      <c r="V268" s="224" t="s">
        <v>840</v>
      </c>
      <c r="W268" s="224" t="s">
        <v>842</v>
      </c>
      <c r="X268" s="146"/>
      <c r="Y268" s="146"/>
      <c r="Z268" s="146" t="s">
        <v>147</v>
      </c>
      <c r="AA268" s="222"/>
      <c r="AB268" s="146"/>
      <c r="AC268" s="63">
        <f t="shared" si="14"/>
        <v>0</v>
      </c>
      <c r="AD268" s="221"/>
      <c r="AE268" s="221" t="s">
        <v>217</v>
      </c>
      <c r="AF268" s="146" t="s">
        <v>225</v>
      </c>
      <c r="AG268" s="146"/>
      <c r="AH268" s="64"/>
      <c r="AI268" s="146"/>
      <c r="AJ268" s="146"/>
      <c r="AK268" s="145"/>
      <c r="AL268" s="146"/>
      <c r="AM268" s="117"/>
    </row>
    <row r="269" spans="1:39" ht="12.75" hidden="1" customHeight="1">
      <c r="A269" s="147">
        <v>268</v>
      </c>
      <c r="B269" s="170">
        <v>198477</v>
      </c>
      <c r="C269" s="146" t="s">
        <v>540</v>
      </c>
      <c r="D269" s="57">
        <v>42900</v>
      </c>
      <c r="E269" s="58" t="s">
        <v>718</v>
      </c>
      <c r="F269" s="118">
        <v>42914</v>
      </c>
      <c r="G269" s="146">
        <f t="shared" si="13"/>
        <v>14</v>
      </c>
      <c r="H269" s="146" t="s">
        <v>133</v>
      </c>
      <c r="I269" s="221" t="s">
        <v>608</v>
      </c>
      <c r="J269" s="60" t="s">
        <v>614</v>
      </c>
      <c r="K269" s="94">
        <v>1599</v>
      </c>
      <c r="L269" s="94">
        <v>1599</v>
      </c>
      <c r="M269" s="221"/>
      <c r="N269" s="221"/>
      <c r="O269" s="151">
        <f t="shared" si="12"/>
        <v>0</v>
      </c>
      <c r="P269" s="119" t="s">
        <v>264</v>
      </c>
      <c r="Q269" s="119" t="s">
        <v>1342</v>
      </c>
      <c r="R269" s="146" t="s">
        <v>691</v>
      </c>
      <c r="S269" s="225" t="s">
        <v>466</v>
      </c>
      <c r="T269" s="221" t="s">
        <v>405</v>
      </c>
      <c r="U269" s="224" t="s">
        <v>543</v>
      </c>
      <c r="V269" s="148" t="s">
        <v>257</v>
      </c>
      <c r="W269" s="146" t="s">
        <v>791</v>
      </c>
      <c r="X269" s="146"/>
      <c r="Y269" s="146"/>
      <c r="Z269" s="146" t="s">
        <v>1189</v>
      </c>
      <c r="AA269" s="222"/>
      <c r="AB269" s="146"/>
      <c r="AC269" s="63">
        <f t="shared" si="14"/>
        <v>0</v>
      </c>
      <c r="AD269" s="221"/>
      <c r="AE269" s="221" t="s">
        <v>217</v>
      </c>
      <c r="AF269" s="146" t="s">
        <v>225</v>
      </c>
      <c r="AG269" s="146"/>
      <c r="AH269" s="64"/>
      <c r="AI269" s="146"/>
      <c r="AJ269" s="221"/>
      <c r="AK269" s="145"/>
      <c r="AL269" s="146"/>
      <c r="AM269" s="221"/>
    </row>
    <row r="270" spans="1:39" ht="25.5" hidden="1" customHeight="1">
      <c r="A270" s="147">
        <v>269</v>
      </c>
      <c r="B270" s="170">
        <v>198520</v>
      </c>
      <c r="C270" s="146" t="s">
        <v>540</v>
      </c>
      <c r="D270" s="57">
        <v>42900</v>
      </c>
      <c r="E270" s="58" t="s">
        <v>718</v>
      </c>
      <c r="F270" s="118">
        <v>42937</v>
      </c>
      <c r="G270" s="146">
        <f t="shared" si="13"/>
        <v>37</v>
      </c>
      <c r="H270" s="146" t="s">
        <v>133</v>
      </c>
      <c r="I270" s="221" t="s">
        <v>608</v>
      </c>
      <c r="J270" s="60" t="s">
        <v>614</v>
      </c>
      <c r="K270" s="94">
        <v>2499</v>
      </c>
      <c r="L270" s="94">
        <v>2499</v>
      </c>
      <c r="M270" s="221"/>
      <c r="N270" s="221"/>
      <c r="O270" s="151">
        <f t="shared" si="12"/>
        <v>0</v>
      </c>
      <c r="P270" s="119" t="s">
        <v>263</v>
      </c>
      <c r="Q270" s="119" t="s">
        <v>1341</v>
      </c>
      <c r="R270" s="146" t="s">
        <v>787</v>
      </c>
      <c r="S270" s="225" t="s">
        <v>466</v>
      </c>
      <c r="T270" s="148" t="s">
        <v>255</v>
      </c>
      <c r="U270" s="224" t="s">
        <v>789</v>
      </c>
      <c r="V270" s="224" t="s">
        <v>841</v>
      </c>
      <c r="W270" s="146" t="s">
        <v>790</v>
      </c>
      <c r="X270" s="146"/>
      <c r="Y270" s="146"/>
      <c r="Z270" s="146" t="s">
        <v>801</v>
      </c>
      <c r="AA270" s="222"/>
      <c r="AB270" s="146"/>
      <c r="AC270" s="63">
        <f t="shared" si="14"/>
        <v>0</v>
      </c>
      <c r="AD270" s="221"/>
      <c r="AE270" s="221" t="s">
        <v>217</v>
      </c>
      <c r="AF270" s="146" t="s">
        <v>225</v>
      </c>
      <c r="AG270" s="146"/>
      <c r="AH270" s="64"/>
      <c r="AI270" s="146"/>
      <c r="AJ270" s="221"/>
      <c r="AK270" s="145"/>
      <c r="AL270" s="146"/>
      <c r="AM270" s="221"/>
    </row>
    <row r="271" spans="1:39" ht="12.75" hidden="1" customHeight="1">
      <c r="A271" s="147">
        <v>270</v>
      </c>
      <c r="B271" s="170">
        <v>198436</v>
      </c>
      <c r="C271" s="117" t="s">
        <v>540</v>
      </c>
      <c r="D271" s="57">
        <v>42901</v>
      </c>
      <c r="E271" s="58" t="s">
        <v>718</v>
      </c>
      <c r="F271" s="118">
        <v>42912</v>
      </c>
      <c r="G271" s="117">
        <f t="shared" si="13"/>
        <v>11</v>
      </c>
      <c r="H271" s="117" t="s">
        <v>363</v>
      </c>
      <c r="I271" s="221" t="s">
        <v>608</v>
      </c>
      <c r="J271" s="60" t="s">
        <v>614</v>
      </c>
      <c r="K271" s="94">
        <v>1499</v>
      </c>
      <c r="L271" s="94">
        <v>1499</v>
      </c>
      <c r="M271" s="96">
        <v>0</v>
      </c>
      <c r="N271" s="221"/>
      <c r="O271" s="93">
        <f t="shared" ref="O271:O334" si="15">IF(AE271="Reemplazo",0,K271-(K271*0.12*0.5)-(MAX(M271,N271)))</f>
        <v>1409.06</v>
      </c>
      <c r="P271" s="119" t="s">
        <v>262</v>
      </c>
      <c r="Q271" s="119" t="s">
        <v>1342</v>
      </c>
      <c r="R271" s="146" t="s">
        <v>254</v>
      </c>
      <c r="S271" s="225" t="s">
        <v>466</v>
      </c>
      <c r="T271" s="224" t="s">
        <v>338</v>
      </c>
      <c r="U271" s="221" t="s">
        <v>1355</v>
      </c>
      <c r="V271" s="119" t="s">
        <v>721</v>
      </c>
      <c r="W271" s="117" t="s">
        <v>792</v>
      </c>
      <c r="X271" s="117"/>
      <c r="Y271" s="221"/>
      <c r="Z271" s="117" t="s">
        <v>726</v>
      </c>
      <c r="AA271" s="222"/>
      <c r="AB271" s="117"/>
      <c r="AC271" s="63">
        <f t="shared" si="14"/>
        <v>1</v>
      </c>
      <c r="AD271" s="221"/>
      <c r="AE271" s="221" t="s">
        <v>218</v>
      </c>
      <c r="AF271" s="117"/>
      <c r="AG271" s="117"/>
      <c r="AH271" s="64"/>
      <c r="AI271" s="117"/>
      <c r="AJ271" s="146"/>
      <c r="AK271" s="145"/>
      <c r="AL271" s="117"/>
      <c r="AM271" s="146"/>
    </row>
    <row r="272" spans="1:39" ht="12.75" hidden="1" customHeight="1">
      <c r="A272" s="147">
        <v>271</v>
      </c>
      <c r="B272" s="170">
        <v>198482</v>
      </c>
      <c r="C272" s="117" t="s">
        <v>86</v>
      </c>
      <c r="D272" s="57">
        <v>42905</v>
      </c>
      <c r="E272" s="58" t="s">
        <v>718</v>
      </c>
      <c r="F272" s="118">
        <v>42921</v>
      </c>
      <c r="G272" s="117">
        <f t="shared" si="13"/>
        <v>16</v>
      </c>
      <c r="H272" s="146" t="s">
        <v>133</v>
      </c>
      <c r="I272" s="221"/>
      <c r="J272" s="60" t="s">
        <v>615</v>
      </c>
      <c r="K272" s="94">
        <v>1699</v>
      </c>
      <c r="L272" s="94">
        <v>1699</v>
      </c>
      <c r="M272" s="221"/>
      <c r="N272" s="221"/>
      <c r="O272" s="151">
        <f t="shared" si="15"/>
        <v>0</v>
      </c>
      <c r="P272" s="119" t="s">
        <v>264</v>
      </c>
      <c r="Q272" s="119" t="s">
        <v>1342</v>
      </c>
      <c r="R272" s="221" t="s">
        <v>143</v>
      </c>
      <c r="S272" s="62" t="s">
        <v>465</v>
      </c>
      <c r="T272" s="221" t="s">
        <v>88</v>
      </c>
      <c r="U272" s="224" t="s">
        <v>89</v>
      </c>
      <c r="V272" s="224" t="s">
        <v>90</v>
      </c>
      <c r="W272" s="221"/>
      <c r="X272" s="146"/>
      <c r="Y272" s="146"/>
      <c r="Z272" s="146" t="s">
        <v>189</v>
      </c>
      <c r="AA272" s="222"/>
      <c r="AB272" s="117"/>
      <c r="AC272" s="63">
        <f t="shared" si="14"/>
        <v>0</v>
      </c>
      <c r="AD272" s="221" t="s">
        <v>217</v>
      </c>
      <c r="AE272" s="221" t="s">
        <v>217</v>
      </c>
      <c r="AF272" s="117" t="s">
        <v>225</v>
      </c>
      <c r="AG272" s="117"/>
      <c r="AH272" s="64" t="s">
        <v>881</v>
      </c>
      <c r="AI272" s="117"/>
      <c r="AJ272" s="221"/>
      <c r="AK272" s="145"/>
      <c r="AL272" s="117"/>
      <c r="AM272" s="221"/>
    </row>
    <row r="273" spans="1:39" ht="12.75" hidden="1" customHeight="1">
      <c r="A273" s="147">
        <v>272</v>
      </c>
      <c r="B273" s="170">
        <v>198530</v>
      </c>
      <c r="C273" s="117" t="s">
        <v>86</v>
      </c>
      <c r="D273" s="57">
        <v>42905</v>
      </c>
      <c r="E273" s="58" t="s">
        <v>718</v>
      </c>
      <c r="F273" s="118">
        <v>42912</v>
      </c>
      <c r="G273" s="117">
        <f t="shared" si="13"/>
        <v>7</v>
      </c>
      <c r="H273" s="221" t="s">
        <v>133</v>
      </c>
      <c r="I273" s="221" t="s">
        <v>608</v>
      </c>
      <c r="J273" s="60" t="s">
        <v>610</v>
      </c>
      <c r="K273" s="94">
        <v>1599</v>
      </c>
      <c r="L273" s="94">
        <v>1599</v>
      </c>
      <c r="M273" s="221"/>
      <c r="N273" s="221"/>
      <c r="O273" s="151">
        <f t="shared" si="15"/>
        <v>0</v>
      </c>
      <c r="P273" s="119" t="s">
        <v>261</v>
      </c>
      <c r="Q273" s="119" t="s">
        <v>1341</v>
      </c>
      <c r="R273" s="117" t="s">
        <v>134</v>
      </c>
      <c r="S273" s="62" t="s">
        <v>465</v>
      </c>
      <c r="T273" s="221" t="s">
        <v>88</v>
      </c>
      <c r="U273" s="224" t="s">
        <v>793</v>
      </c>
      <c r="V273" s="224" t="s">
        <v>451</v>
      </c>
      <c r="W273" s="146" t="s">
        <v>794</v>
      </c>
      <c r="X273" s="146"/>
      <c r="Y273" s="221"/>
      <c r="Z273" s="146" t="s">
        <v>802</v>
      </c>
      <c r="AA273" s="222"/>
      <c r="AB273" s="117"/>
      <c r="AC273" s="63">
        <f t="shared" si="14"/>
        <v>0</v>
      </c>
      <c r="AD273" s="221"/>
      <c r="AE273" s="221" t="s">
        <v>217</v>
      </c>
      <c r="AF273" s="117" t="s">
        <v>225</v>
      </c>
      <c r="AG273" s="117"/>
      <c r="AH273" s="64"/>
      <c r="AI273" s="117"/>
      <c r="AJ273" s="146"/>
      <c r="AK273" s="145"/>
      <c r="AL273" s="117"/>
      <c r="AM273" s="221"/>
    </row>
    <row r="274" spans="1:39" ht="12.75" hidden="1" customHeight="1">
      <c r="A274" s="147">
        <v>273</v>
      </c>
      <c r="B274" s="170">
        <v>198632</v>
      </c>
      <c r="C274" s="117" t="s">
        <v>86</v>
      </c>
      <c r="D274" s="57">
        <v>42905</v>
      </c>
      <c r="E274" s="58" t="s">
        <v>718</v>
      </c>
      <c r="F274" s="118">
        <v>42916</v>
      </c>
      <c r="G274" s="117">
        <f t="shared" si="13"/>
        <v>11</v>
      </c>
      <c r="H274" s="117" t="s">
        <v>133</v>
      </c>
      <c r="I274" s="221" t="s">
        <v>218</v>
      </c>
      <c r="J274" s="60" t="s">
        <v>615</v>
      </c>
      <c r="K274" s="94">
        <v>3059</v>
      </c>
      <c r="L274" s="94">
        <v>3059.15</v>
      </c>
      <c r="M274" s="221">
        <v>220</v>
      </c>
      <c r="N274" s="221">
        <v>120</v>
      </c>
      <c r="O274" s="93">
        <f t="shared" si="15"/>
        <v>2655.46</v>
      </c>
      <c r="P274" s="119" t="s">
        <v>264</v>
      </c>
      <c r="Q274" s="119" t="s">
        <v>1342</v>
      </c>
      <c r="R274" s="146" t="s">
        <v>134</v>
      </c>
      <c r="S274" s="62" t="s">
        <v>465</v>
      </c>
      <c r="T274" s="221" t="s">
        <v>88</v>
      </c>
      <c r="U274" s="224" t="s">
        <v>449</v>
      </c>
      <c r="V274" s="221" t="s">
        <v>429</v>
      </c>
      <c r="W274" s="221" t="s">
        <v>795</v>
      </c>
      <c r="X274" s="117"/>
      <c r="Y274" s="146" t="s">
        <v>316</v>
      </c>
      <c r="Z274" s="146" t="s">
        <v>189</v>
      </c>
      <c r="AA274" s="222">
        <v>42906</v>
      </c>
      <c r="AB274" s="117" t="s">
        <v>140</v>
      </c>
      <c r="AC274" s="63">
        <f t="shared" si="14"/>
        <v>1</v>
      </c>
      <c r="AD274" s="221" t="s">
        <v>217</v>
      </c>
      <c r="AE274" s="221" t="s">
        <v>218</v>
      </c>
      <c r="AF274" s="117"/>
      <c r="AG274" s="117"/>
      <c r="AH274" s="64"/>
      <c r="AI274" s="117" t="s">
        <v>184</v>
      </c>
      <c r="AJ274" s="222">
        <v>42912</v>
      </c>
      <c r="AK274" s="225" t="s">
        <v>850</v>
      </c>
      <c r="AL274" s="117" t="s">
        <v>645</v>
      </c>
      <c r="AM274" s="222">
        <v>42912</v>
      </c>
    </row>
    <row r="275" spans="1:39" ht="12.75" hidden="1" customHeight="1">
      <c r="A275" s="147">
        <v>274</v>
      </c>
      <c r="B275" s="170">
        <v>198650</v>
      </c>
      <c r="C275" s="117" t="s">
        <v>129</v>
      </c>
      <c r="D275" s="57">
        <v>42905</v>
      </c>
      <c r="E275" s="58" t="s">
        <v>718</v>
      </c>
      <c r="F275" s="118">
        <v>42916</v>
      </c>
      <c r="G275" s="117">
        <f t="shared" si="13"/>
        <v>11</v>
      </c>
      <c r="H275" s="221" t="s">
        <v>133</v>
      </c>
      <c r="I275" s="221"/>
      <c r="J275" s="60" t="s">
        <v>615</v>
      </c>
      <c r="K275" s="94">
        <v>1821</v>
      </c>
      <c r="L275" s="94">
        <v>1821.2</v>
      </c>
      <c r="M275" s="221">
        <v>220</v>
      </c>
      <c r="N275" s="221">
        <v>80</v>
      </c>
      <c r="O275" s="93">
        <f t="shared" si="15"/>
        <v>1491.74</v>
      </c>
      <c r="P275" s="119" t="s">
        <v>264</v>
      </c>
      <c r="Q275" s="119" t="s">
        <v>1342</v>
      </c>
      <c r="R275" s="146" t="s">
        <v>134</v>
      </c>
      <c r="S275" s="62" t="s">
        <v>465</v>
      </c>
      <c r="T275" s="224" t="s">
        <v>164</v>
      </c>
      <c r="U275" s="224" t="s">
        <v>797</v>
      </c>
      <c r="V275" s="119" t="s">
        <v>90</v>
      </c>
      <c r="W275" s="221" t="s">
        <v>798</v>
      </c>
      <c r="X275" s="146"/>
      <c r="Y275" s="146" t="s">
        <v>316</v>
      </c>
      <c r="Z275" s="224" t="s">
        <v>202</v>
      </c>
      <c r="AA275" s="222">
        <v>42906</v>
      </c>
      <c r="AB275" s="117" t="s">
        <v>127</v>
      </c>
      <c r="AC275" s="63">
        <f t="shared" si="14"/>
        <v>1</v>
      </c>
      <c r="AD275" s="221" t="s">
        <v>217</v>
      </c>
      <c r="AE275" s="221" t="s">
        <v>218</v>
      </c>
      <c r="AF275" s="117"/>
      <c r="AG275" s="117"/>
      <c r="AH275" s="64"/>
      <c r="AI275" s="117" t="s">
        <v>184</v>
      </c>
      <c r="AJ275" s="222">
        <v>42912</v>
      </c>
      <c r="AK275" s="225" t="s">
        <v>845</v>
      </c>
      <c r="AL275" s="117" t="s">
        <v>645</v>
      </c>
      <c r="AM275" s="222">
        <v>42912</v>
      </c>
    </row>
    <row r="276" spans="1:39" ht="12.75" hidden="1" customHeight="1">
      <c r="A276" s="147">
        <v>275</v>
      </c>
      <c r="B276" s="170">
        <v>198700</v>
      </c>
      <c r="C276" s="117" t="s">
        <v>129</v>
      </c>
      <c r="D276" s="57">
        <v>42905</v>
      </c>
      <c r="E276" s="58" t="s">
        <v>718</v>
      </c>
      <c r="F276" s="118">
        <v>42916</v>
      </c>
      <c r="G276" s="117">
        <f t="shared" si="13"/>
        <v>11</v>
      </c>
      <c r="H276" s="117" t="s">
        <v>133</v>
      </c>
      <c r="I276" s="221"/>
      <c r="J276" s="60" t="s">
        <v>615</v>
      </c>
      <c r="K276" s="94">
        <v>2249</v>
      </c>
      <c r="L276" s="94">
        <v>2249</v>
      </c>
      <c r="M276" s="221">
        <v>220</v>
      </c>
      <c r="N276" s="221">
        <v>80</v>
      </c>
      <c r="O276" s="93">
        <f t="shared" si="15"/>
        <v>1894.06</v>
      </c>
      <c r="P276" s="119" t="s">
        <v>264</v>
      </c>
      <c r="Q276" s="119" t="s">
        <v>1342</v>
      </c>
      <c r="R276" s="221" t="s">
        <v>134</v>
      </c>
      <c r="S276" s="62" t="s">
        <v>465</v>
      </c>
      <c r="T276" s="224" t="s">
        <v>164</v>
      </c>
      <c r="U276" s="224" t="s">
        <v>799</v>
      </c>
      <c r="V276" s="224" t="s">
        <v>90</v>
      </c>
      <c r="W276" s="146" t="s">
        <v>798</v>
      </c>
      <c r="X276" s="146"/>
      <c r="Y276" s="146" t="s">
        <v>316</v>
      </c>
      <c r="Z276" s="224" t="s">
        <v>202</v>
      </c>
      <c r="AA276" s="222">
        <v>42906</v>
      </c>
      <c r="AB276" s="117" t="s">
        <v>127</v>
      </c>
      <c r="AC276" s="63">
        <f t="shared" si="14"/>
        <v>1</v>
      </c>
      <c r="AD276" s="221" t="s">
        <v>217</v>
      </c>
      <c r="AE276" s="221" t="s">
        <v>218</v>
      </c>
      <c r="AF276" s="117"/>
      <c r="AG276" s="117"/>
      <c r="AH276" s="64"/>
      <c r="AI276" s="117" t="s">
        <v>184</v>
      </c>
      <c r="AJ276" s="222">
        <v>42912</v>
      </c>
      <c r="AK276" s="225" t="s">
        <v>844</v>
      </c>
      <c r="AL276" s="117" t="s">
        <v>645</v>
      </c>
      <c r="AM276" s="222">
        <v>42912</v>
      </c>
    </row>
    <row r="277" spans="1:39" ht="12.75" hidden="1" customHeight="1">
      <c r="A277" s="147">
        <v>276</v>
      </c>
      <c r="B277" s="170">
        <v>198762</v>
      </c>
      <c r="C277" s="117" t="s">
        <v>86</v>
      </c>
      <c r="D277" s="57">
        <v>42905</v>
      </c>
      <c r="E277" s="58" t="s">
        <v>718</v>
      </c>
      <c r="F277" s="118">
        <v>42917</v>
      </c>
      <c r="G277" s="117">
        <f t="shared" si="13"/>
        <v>12</v>
      </c>
      <c r="H277" s="146" t="s">
        <v>133</v>
      </c>
      <c r="I277" s="221"/>
      <c r="J277" s="60" t="s">
        <v>615</v>
      </c>
      <c r="K277" s="94">
        <v>1899</v>
      </c>
      <c r="L277" s="94">
        <v>1899</v>
      </c>
      <c r="M277" s="221">
        <v>0</v>
      </c>
      <c r="N277" s="221"/>
      <c r="O277" s="151">
        <f t="shared" si="15"/>
        <v>0</v>
      </c>
      <c r="P277" s="119" t="s">
        <v>264</v>
      </c>
      <c r="Q277" s="119" t="s">
        <v>1342</v>
      </c>
      <c r="R277" s="146" t="s">
        <v>143</v>
      </c>
      <c r="S277" s="62" t="s">
        <v>465</v>
      </c>
      <c r="T277" s="221" t="s">
        <v>88</v>
      </c>
      <c r="U277" s="224" t="s">
        <v>89</v>
      </c>
      <c r="V277" s="224" t="s">
        <v>90</v>
      </c>
      <c r="W277" s="146"/>
      <c r="X277" s="146"/>
      <c r="Y277" s="117"/>
      <c r="Z277" s="146" t="s">
        <v>189</v>
      </c>
      <c r="AA277" s="222">
        <v>42907</v>
      </c>
      <c r="AB277" s="117" t="s">
        <v>400</v>
      </c>
      <c r="AC277" s="63">
        <f t="shared" si="14"/>
        <v>0</v>
      </c>
      <c r="AD277" s="221" t="s">
        <v>217</v>
      </c>
      <c r="AE277" s="221" t="s">
        <v>217</v>
      </c>
      <c r="AF277" s="117" t="s">
        <v>225</v>
      </c>
      <c r="AG277" s="117"/>
      <c r="AH277" s="64" t="s">
        <v>874</v>
      </c>
      <c r="AI277" s="117"/>
      <c r="AJ277" s="221"/>
      <c r="AK277" s="145"/>
      <c r="AL277" s="117"/>
      <c r="AM277" s="221"/>
    </row>
    <row r="278" spans="1:39" ht="12.75" hidden="1" customHeight="1">
      <c r="A278" s="147">
        <v>277</v>
      </c>
      <c r="B278" s="170">
        <v>198869</v>
      </c>
      <c r="C278" s="117" t="s">
        <v>540</v>
      </c>
      <c r="D278" s="57">
        <v>42905</v>
      </c>
      <c r="E278" s="58" t="s">
        <v>718</v>
      </c>
      <c r="F278" s="118">
        <v>42921</v>
      </c>
      <c r="G278" s="117">
        <f t="shared" si="13"/>
        <v>16</v>
      </c>
      <c r="H278" s="221" t="s">
        <v>133</v>
      </c>
      <c r="I278" s="221"/>
      <c r="J278" s="60" t="s">
        <v>610</v>
      </c>
      <c r="K278" s="94">
        <v>1949.1</v>
      </c>
      <c r="L278" s="94">
        <v>1949.1</v>
      </c>
      <c r="M278" s="221"/>
      <c r="N278" s="221"/>
      <c r="O278" s="151">
        <f t="shared" si="15"/>
        <v>0</v>
      </c>
      <c r="P278" s="119" t="s">
        <v>264</v>
      </c>
      <c r="Q278" s="119" t="s">
        <v>1342</v>
      </c>
      <c r="R278" s="146" t="s">
        <v>752</v>
      </c>
      <c r="S278" s="225" t="s">
        <v>466</v>
      </c>
      <c r="T278" s="224" t="s">
        <v>164</v>
      </c>
      <c r="U278" s="224" t="s">
        <v>796</v>
      </c>
      <c r="V278" s="221" t="s">
        <v>759</v>
      </c>
      <c r="W278" s="146" t="s">
        <v>794</v>
      </c>
      <c r="X278" s="117"/>
      <c r="Y278" s="146"/>
      <c r="Z278" s="117" t="s">
        <v>339</v>
      </c>
      <c r="AA278" s="222"/>
      <c r="AB278" s="117"/>
      <c r="AC278" s="63">
        <f t="shared" si="14"/>
        <v>0</v>
      </c>
      <c r="AD278" s="221"/>
      <c r="AE278" s="221" t="s">
        <v>217</v>
      </c>
      <c r="AF278" s="117" t="s">
        <v>225</v>
      </c>
      <c r="AG278" s="117"/>
      <c r="AH278" s="64"/>
      <c r="AI278" s="117"/>
      <c r="AJ278" s="117"/>
      <c r="AK278" s="145"/>
      <c r="AL278" s="117"/>
      <c r="AM278" s="117"/>
    </row>
    <row r="279" spans="1:39" ht="12.75" hidden="1" customHeight="1">
      <c r="A279" s="147">
        <v>278</v>
      </c>
      <c r="B279" s="170">
        <v>198988</v>
      </c>
      <c r="C279" s="117" t="s">
        <v>86</v>
      </c>
      <c r="D279" s="57">
        <v>42906</v>
      </c>
      <c r="E279" s="58" t="s">
        <v>718</v>
      </c>
      <c r="F279" s="118">
        <v>42918</v>
      </c>
      <c r="G279" s="117">
        <f t="shared" si="13"/>
        <v>12</v>
      </c>
      <c r="H279" s="146" t="s">
        <v>133</v>
      </c>
      <c r="I279" s="221" t="s">
        <v>218</v>
      </c>
      <c r="J279" s="60" t="s">
        <v>615</v>
      </c>
      <c r="K279" s="94">
        <v>1214</v>
      </c>
      <c r="L279" s="94">
        <v>1214.45</v>
      </c>
      <c r="M279" s="221">
        <v>320</v>
      </c>
      <c r="N279" s="221">
        <v>280</v>
      </c>
      <c r="O279" s="93">
        <f t="shared" si="15"/>
        <v>821.16000000000008</v>
      </c>
      <c r="P279" s="119" t="s">
        <v>262</v>
      </c>
      <c r="Q279" s="119" t="s">
        <v>1342</v>
      </c>
      <c r="R279" s="224" t="s">
        <v>122</v>
      </c>
      <c r="S279" s="225" t="s">
        <v>469</v>
      </c>
      <c r="T279" s="224" t="s">
        <v>114</v>
      </c>
      <c r="U279" s="224" t="s">
        <v>305</v>
      </c>
      <c r="V279" s="222" t="s">
        <v>169</v>
      </c>
      <c r="W279" s="146" t="s">
        <v>800</v>
      </c>
      <c r="X279" s="117"/>
      <c r="Y279" s="117" t="s">
        <v>316</v>
      </c>
      <c r="Z279" s="146" t="s">
        <v>170</v>
      </c>
      <c r="AA279" s="222">
        <v>42906</v>
      </c>
      <c r="AB279" s="117" t="s">
        <v>803</v>
      </c>
      <c r="AC279" s="63">
        <f t="shared" si="14"/>
        <v>1</v>
      </c>
      <c r="AD279" s="221" t="s">
        <v>217</v>
      </c>
      <c r="AE279" s="221" t="s">
        <v>218</v>
      </c>
      <c r="AF279" s="117"/>
      <c r="AG279" s="117"/>
      <c r="AH279" s="64"/>
      <c r="AI279" s="117" t="s">
        <v>184</v>
      </c>
      <c r="AJ279" s="222">
        <v>42912</v>
      </c>
      <c r="AK279" s="225" t="s">
        <v>846</v>
      </c>
      <c r="AL279" s="117" t="s">
        <v>645</v>
      </c>
      <c r="AM279" s="222">
        <v>42912</v>
      </c>
    </row>
    <row r="280" spans="1:39" ht="12.75" hidden="1" customHeight="1">
      <c r="A280" s="147">
        <v>279</v>
      </c>
      <c r="B280" s="170">
        <v>199139</v>
      </c>
      <c r="C280" s="117" t="s">
        <v>86</v>
      </c>
      <c r="D280" s="57">
        <v>42906</v>
      </c>
      <c r="E280" s="58" t="s">
        <v>718</v>
      </c>
      <c r="F280" s="118">
        <v>42922</v>
      </c>
      <c r="G280" s="117">
        <f t="shared" si="13"/>
        <v>16</v>
      </c>
      <c r="H280" s="146" t="s">
        <v>133</v>
      </c>
      <c r="I280" s="221"/>
      <c r="J280" s="60" t="s">
        <v>615</v>
      </c>
      <c r="K280" s="94">
        <v>1999</v>
      </c>
      <c r="L280" s="94">
        <v>1999</v>
      </c>
      <c r="M280" s="221">
        <v>320</v>
      </c>
      <c r="N280" s="221">
        <v>160</v>
      </c>
      <c r="O280" s="151">
        <f t="shared" si="15"/>
        <v>0</v>
      </c>
      <c r="P280" s="119" t="s">
        <v>262</v>
      </c>
      <c r="Q280" s="119" t="s">
        <v>1342</v>
      </c>
      <c r="R280" s="224" t="s">
        <v>122</v>
      </c>
      <c r="S280" s="225" t="s">
        <v>469</v>
      </c>
      <c r="T280" s="224" t="s">
        <v>114</v>
      </c>
      <c r="U280" s="224" t="s">
        <v>810</v>
      </c>
      <c r="V280" s="222" t="s">
        <v>169</v>
      </c>
      <c r="W280" s="146"/>
      <c r="X280" s="117"/>
      <c r="Y280" s="146" t="s">
        <v>316</v>
      </c>
      <c r="Z280" s="117" t="s">
        <v>170</v>
      </c>
      <c r="AA280" s="222">
        <v>42907</v>
      </c>
      <c r="AB280" s="117" t="s">
        <v>127</v>
      </c>
      <c r="AC280" s="63">
        <f t="shared" si="14"/>
        <v>0</v>
      </c>
      <c r="AD280" s="221"/>
      <c r="AE280" s="221" t="s">
        <v>217</v>
      </c>
      <c r="AF280" s="117" t="s">
        <v>941</v>
      </c>
      <c r="AG280" s="117"/>
      <c r="AH280" s="64" t="s">
        <v>876</v>
      </c>
      <c r="AI280" s="117" t="s">
        <v>184</v>
      </c>
      <c r="AJ280" s="117"/>
      <c r="AK280" s="145" t="s">
        <v>934</v>
      </c>
      <c r="AL280" s="117" t="s">
        <v>645</v>
      </c>
      <c r="AM280" s="117"/>
    </row>
    <row r="281" spans="1:39" ht="12.75" hidden="1" customHeight="1">
      <c r="A281" s="147">
        <v>280</v>
      </c>
      <c r="B281" s="170">
        <v>198603</v>
      </c>
      <c r="C281" s="117" t="s">
        <v>86</v>
      </c>
      <c r="D281" s="57">
        <v>42907</v>
      </c>
      <c r="E281" s="58" t="s">
        <v>718</v>
      </c>
      <c r="F281" s="118">
        <v>42923</v>
      </c>
      <c r="G281" s="117">
        <f t="shared" si="13"/>
        <v>16</v>
      </c>
      <c r="H281" s="117" t="s">
        <v>133</v>
      </c>
      <c r="I281" s="221"/>
      <c r="J281" s="60" t="s">
        <v>615</v>
      </c>
      <c r="K281" s="94">
        <v>2029</v>
      </c>
      <c r="L281" s="94">
        <v>2029</v>
      </c>
      <c r="M281" s="221">
        <v>290</v>
      </c>
      <c r="N281" s="221">
        <v>120</v>
      </c>
      <c r="O281" s="93">
        <f t="shared" si="15"/>
        <v>1617.26</v>
      </c>
      <c r="P281" s="119" t="s">
        <v>264</v>
      </c>
      <c r="Q281" s="119" t="s">
        <v>1342</v>
      </c>
      <c r="R281" s="146" t="s">
        <v>134</v>
      </c>
      <c r="S281" s="62" t="s">
        <v>465</v>
      </c>
      <c r="T281" s="221" t="s">
        <v>88</v>
      </c>
      <c r="U281" s="224" t="s">
        <v>814</v>
      </c>
      <c r="V281" s="221" t="s">
        <v>429</v>
      </c>
      <c r="W281" s="146" t="s">
        <v>795</v>
      </c>
      <c r="X281" s="117"/>
      <c r="Y281" s="221" t="s">
        <v>316</v>
      </c>
      <c r="Z281" s="146" t="s">
        <v>189</v>
      </c>
      <c r="AA281" s="222">
        <v>42907</v>
      </c>
      <c r="AB281" s="117" t="s">
        <v>127</v>
      </c>
      <c r="AC281" s="63">
        <f t="shared" si="14"/>
        <v>1</v>
      </c>
      <c r="AD281" s="221" t="s">
        <v>217</v>
      </c>
      <c r="AE281" s="221" t="s">
        <v>218</v>
      </c>
      <c r="AF281" s="117"/>
      <c r="AG281" s="117"/>
      <c r="AH281" s="64"/>
      <c r="AI281" s="146" t="s">
        <v>184</v>
      </c>
      <c r="AJ281" s="222">
        <v>42912</v>
      </c>
      <c r="AK281" s="62" t="s">
        <v>851</v>
      </c>
      <c r="AL281" s="146" t="s">
        <v>645</v>
      </c>
      <c r="AM281" s="222">
        <v>42912</v>
      </c>
    </row>
    <row r="282" spans="1:39" ht="12.75" hidden="1" customHeight="1">
      <c r="A282" s="147">
        <v>281</v>
      </c>
      <c r="B282" s="170">
        <v>198753</v>
      </c>
      <c r="C282" s="117" t="s">
        <v>86</v>
      </c>
      <c r="D282" s="57">
        <v>42907</v>
      </c>
      <c r="E282" s="58" t="s">
        <v>718</v>
      </c>
      <c r="F282" s="118">
        <v>42916</v>
      </c>
      <c r="G282" s="117">
        <f t="shared" si="13"/>
        <v>9</v>
      </c>
      <c r="H282" s="221" t="s">
        <v>363</v>
      </c>
      <c r="I282" s="221"/>
      <c r="J282" s="60" t="s">
        <v>615</v>
      </c>
      <c r="K282" s="94">
        <v>1323.32</v>
      </c>
      <c r="L282" s="94">
        <v>1323.32</v>
      </c>
      <c r="M282" s="96">
        <v>0</v>
      </c>
      <c r="N282" s="221"/>
      <c r="O282" s="93">
        <f t="shared" si="15"/>
        <v>1243.9207999999999</v>
      </c>
      <c r="P282" s="119" t="s">
        <v>262</v>
      </c>
      <c r="Q282" s="119" t="s">
        <v>1342</v>
      </c>
      <c r="R282" s="224" t="s">
        <v>122</v>
      </c>
      <c r="S282" s="225" t="s">
        <v>469</v>
      </c>
      <c r="T282" s="224" t="s">
        <v>114</v>
      </c>
      <c r="U282" s="224" t="s">
        <v>168</v>
      </c>
      <c r="V282" s="222" t="s">
        <v>169</v>
      </c>
      <c r="W282" s="146"/>
      <c r="X282" s="117"/>
      <c r="Y282" s="221"/>
      <c r="Z282" s="221" t="s">
        <v>170</v>
      </c>
      <c r="AA282" s="222"/>
      <c r="AB282" s="117"/>
      <c r="AC282" s="63">
        <f t="shared" si="14"/>
        <v>1</v>
      </c>
      <c r="AD282" s="221" t="s">
        <v>217</v>
      </c>
      <c r="AE282" s="221" t="s">
        <v>218</v>
      </c>
      <c r="AF282" s="117"/>
      <c r="AG282" s="117"/>
      <c r="AH282" s="64" t="s">
        <v>815</v>
      </c>
      <c r="AI282" s="117"/>
      <c r="AJ282" s="221"/>
      <c r="AK282" s="145"/>
      <c r="AL282" s="117"/>
      <c r="AM282" s="221"/>
    </row>
    <row r="283" spans="1:39" ht="12.75" hidden="1" customHeight="1">
      <c r="A283" s="147">
        <v>282</v>
      </c>
      <c r="B283" s="170">
        <v>198783</v>
      </c>
      <c r="C283" s="146" t="s">
        <v>540</v>
      </c>
      <c r="D283" s="57">
        <v>42907</v>
      </c>
      <c r="E283" s="58" t="s">
        <v>718</v>
      </c>
      <c r="F283" s="118">
        <v>42917</v>
      </c>
      <c r="G283" s="117">
        <f t="shared" si="13"/>
        <v>10</v>
      </c>
      <c r="H283" s="117" t="s">
        <v>133</v>
      </c>
      <c r="I283" s="221"/>
      <c r="J283" s="60" t="s">
        <v>614</v>
      </c>
      <c r="K283" s="94">
        <v>2374.0500000000002</v>
      </c>
      <c r="L283" s="94">
        <v>2374.0500000000002</v>
      </c>
      <c r="M283" s="221"/>
      <c r="N283" s="221"/>
      <c r="O283" s="93">
        <f t="shared" si="15"/>
        <v>2231.607</v>
      </c>
      <c r="P283" s="119" t="s">
        <v>264</v>
      </c>
      <c r="Q283" s="119" t="s">
        <v>1342</v>
      </c>
      <c r="R283" s="146" t="s">
        <v>501</v>
      </c>
      <c r="S283" s="225" t="s">
        <v>466</v>
      </c>
      <c r="T283" s="224" t="s">
        <v>338</v>
      </c>
      <c r="U283" s="224" t="s">
        <v>811</v>
      </c>
      <c r="V283" s="224" t="s">
        <v>559</v>
      </c>
      <c r="W283" s="146" t="s">
        <v>828</v>
      </c>
      <c r="X283" s="146"/>
      <c r="Y283" s="221"/>
      <c r="Z283" s="221" t="s">
        <v>259</v>
      </c>
      <c r="AA283" s="222"/>
      <c r="AB283" s="117"/>
      <c r="AC283" s="63">
        <f t="shared" si="14"/>
        <v>1</v>
      </c>
      <c r="AD283" s="221" t="s">
        <v>217</v>
      </c>
      <c r="AE283" s="221" t="s">
        <v>218</v>
      </c>
      <c r="AF283" s="117"/>
      <c r="AG283" s="117"/>
      <c r="AH283" s="64" t="s">
        <v>875</v>
      </c>
      <c r="AI283" s="146"/>
      <c r="AJ283" s="221"/>
      <c r="AK283" s="145"/>
      <c r="AL283" s="146"/>
      <c r="AM283" s="221"/>
    </row>
    <row r="284" spans="1:39" ht="25.5" hidden="1" customHeight="1">
      <c r="A284" s="147">
        <v>283</v>
      </c>
      <c r="B284" s="170">
        <v>199040</v>
      </c>
      <c r="C284" s="117" t="s">
        <v>86</v>
      </c>
      <c r="D284" s="57">
        <v>42907</v>
      </c>
      <c r="E284" s="58" t="s">
        <v>718</v>
      </c>
      <c r="F284" s="118">
        <v>42919</v>
      </c>
      <c r="G284" s="117">
        <f t="shared" si="13"/>
        <v>12</v>
      </c>
      <c r="H284" s="221" t="s">
        <v>363</v>
      </c>
      <c r="I284" s="221"/>
      <c r="J284" s="60" t="s">
        <v>615</v>
      </c>
      <c r="K284" s="94">
        <v>1599</v>
      </c>
      <c r="L284" s="94">
        <v>1599</v>
      </c>
      <c r="M284" s="96">
        <v>0</v>
      </c>
      <c r="N284" s="221"/>
      <c r="O284" s="93">
        <f t="shared" si="15"/>
        <v>1503.06</v>
      </c>
      <c r="P284" s="119" t="s">
        <v>263</v>
      </c>
      <c r="Q284" s="119" t="s">
        <v>1341</v>
      </c>
      <c r="R284" s="224" t="s">
        <v>122</v>
      </c>
      <c r="S284" s="225" t="s">
        <v>469</v>
      </c>
      <c r="T284" s="224" t="s">
        <v>114</v>
      </c>
      <c r="U284" s="119" t="s">
        <v>286</v>
      </c>
      <c r="V284" s="222" t="s">
        <v>169</v>
      </c>
      <c r="W284" s="146"/>
      <c r="X284" s="146"/>
      <c r="Y284" s="221"/>
      <c r="Z284" s="146" t="s">
        <v>170</v>
      </c>
      <c r="AA284" s="222"/>
      <c r="AB284" s="117"/>
      <c r="AC284" s="63">
        <f t="shared" si="14"/>
        <v>1</v>
      </c>
      <c r="AD284" s="221" t="s">
        <v>217</v>
      </c>
      <c r="AE284" s="221" t="s">
        <v>218</v>
      </c>
      <c r="AF284" s="117"/>
      <c r="AG284" s="117"/>
      <c r="AH284" s="64" t="s">
        <v>815</v>
      </c>
      <c r="AI284" s="117"/>
      <c r="AJ284" s="146"/>
      <c r="AK284" s="145"/>
      <c r="AL284" s="117"/>
      <c r="AM284" s="146"/>
    </row>
    <row r="285" spans="1:39" ht="12.75" hidden="1" customHeight="1">
      <c r="A285" s="147">
        <v>284</v>
      </c>
      <c r="B285" s="170">
        <v>199087</v>
      </c>
      <c r="C285" s="146" t="s">
        <v>86</v>
      </c>
      <c r="D285" s="57">
        <v>42907</v>
      </c>
      <c r="E285" s="58" t="s">
        <v>718</v>
      </c>
      <c r="F285" s="118">
        <v>42919</v>
      </c>
      <c r="G285" s="146">
        <f t="shared" si="13"/>
        <v>12</v>
      </c>
      <c r="H285" s="221" t="s">
        <v>133</v>
      </c>
      <c r="I285" s="221"/>
      <c r="J285" s="60" t="s">
        <v>615</v>
      </c>
      <c r="K285" s="94">
        <v>1899</v>
      </c>
      <c r="L285" s="94">
        <v>1899</v>
      </c>
      <c r="M285" s="221">
        <v>0</v>
      </c>
      <c r="N285" s="221"/>
      <c r="O285" s="151">
        <f t="shared" si="15"/>
        <v>0</v>
      </c>
      <c r="P285" s="119" t="s">
        <v>264</v>
      </c>
      <c r="Q285" s="119" t="s">
        <v>1342</v>
      </c>
      <c r="R285" s="146" t="s">
        <v>143</v>
      </c>
      <c r="S285" s="62" t="s">
        <v>465</v>
      </c>
      <c r="T285" s="221" t="s">
        <v>88</v>
      </c>
      <c r="U285" s="119" t="s">
        <v>297</v>
      </c>
      <c r="V285" s="224" t="s">
        <v>90</v>
      </c>
      <c r="W285" s="146"/>
      <c r="X285" s="146"/>
      <c r="Y285" s="146"/>
      <c r="Z285" s="146" t="s">
        <v>189</v>
      </c>
      <c r="AA285" s="222">
        <v>42907</v>
      </c>
      <c r="AB285" s="146" t="s">
        <v>140</v>
      </c>
      <c r="AC285" s="63">
        <f t="shared" si="14"/>
        <v>0</v>
      </c>
      <c r="AD285" s="221" t="s">
        <v>217</v>
      </c>
      <c r="AE285" s="221" t="s">
        <v>217</v>
      </c>
      <c r="AF285" s="146" t="s">
        <v>225</v>
      </c>
      <c r="AG285" s="146"/>
      <c r="AH285" s="64" t="s">
        <v>873</v>
      </c>
      <c r="AI285" s="146"/>
      <c r="AJ285" s="221"/>
      <c r="AK285" s="145"/>
      <c r="AL285" s="146"/>
      <c r="AM285" s="221"/>
    </row>
    <row r="286" spans="1:39" ht="12.75" hidden="1" customHeight="1">
      <c r="A286" s="147">
        <v>285</v>
      </c>
      <c r="B286" s="170">
        <v>199178</v>
      </c>
      <c r="C286" s="146" t="s">
        <v>86</v>
      </c>
      <c r="D286" s="57">
        <v>42907</v>
      </c>
      <c r="E286" s="58" t="s">
        <v>718</v>
      </c>
      <c r="F286" s="118">
        <v>42923</v>
      </c>
      <c r="G286" s="117">
        <f t="shared" si="13"/>
        <v>16</v>
      </c>
      <c r="H286" s="221" t="s">
        <v>133</v>
      </c>
      <c r="I286" s="221"/>
      <c r="J286" s="60" t="s">
        <v>615</v>
      </c>
      <c r="K286" s="94">
        <v>2499</v>
      </c>
      <c r="L286" s="94">
        <v>2499</v>
      </c>
      <c r="M286" s="221">
        <v>290</v>
      </c>
      <c r="N286" s="221">
        <v>0</v>
      </c>
      <c r="O286" s="93">
        <f t="shared" si="15"/>
        <v>2059.06</v>
      </c>
      <c r="P286" s="119" t="s">
        <v>264</v>
      </c>
      <c r="Q286" s="119" t="s">
        <v>1342</v>
      </c>
      <c r="R286" s="221" t="s">
        <v>134</v>
      </c>
      <c r="S286" s="62" t="s">
        <v>465</v>
      </c>
      <c r="T286" s="221" t="s">
        <v>88</v>
      </c>
      <c r="U286" s="67" t="s">
        <v>741</v>
      </c>
      <c r="V286" s="221" t="s">
        <v>429</v>
      </c>
      <c r="W286" s="146"/>
      <c r="X286" s="117"/>
      <c r="Y286" s="221" t="s">
        <v>316</v>
      </c>
      <c r="Z286" s="146" t="s">
        <v>781</v>
      </c>
      <c r="AA286" s="222">
        <v>42907</v>
      </c>
      <c r="AB286" s="117" t="s">
        <v>127</v>
      </c>
      <c r="AC286" s="63">
        <f t="shared" si="14"/>
        <v>1</v>
      </c>
      <c r="AD286" s="221" t="s">
        <v>217</v>
      </c>
      <c r="AE286" s="221" t="s">
        <v>218</v>
      </c>
      <c r="AF286" s="117"/>
      <c r="AG286" s="117" t="s">
        <v>346</v>
      </c>
      <c r="AH286" s="64"/>
      <c r="AI286" s="146" t="s">
        <v>184</v>
      </c>
      <c r="AJ286" s="222">
        <v>42912</v>
      </c>
      <c r="AK286" s="225" t="s">
        <v>852</v>
      </c>
      <c r="AL286" s="146" t="s">
        <v>645</v>
      </c>
      <c r="AM286" s="222">
        <v>42912</v>
      </c>
    </row>
    <row r="287" spans="1:39" ht="12.75" hidden="1" customHeight="1">
      <c r="A287" s="147">
        <v>286</v>
      </c>
      <c r="B287" s="170">
        <v>199243</v>
      </c>
      <c r="C287" s="146" t="s">
        <v>86</v>
      </c>
      <c r="D287" s="57">
        <v>42907</v>
      </c>
      <c r="E287" s="58" t="s">
        <v>718</v>
      </c>
      <c r="F287" s="118">
        <v>42923</v>
      </c>
      <c r="G287" s="117">
        <f t="shared" si="13"/>
        <v>16</v>
      </c>
      <c r="H287" s="117" t="s">
        <v>133</v>
      </c>
      <c r="I287" s="221"/>
      <c r="J287" s="60" t="s">
        <v>615</v>
      </c>
      <c r="K287" s="94">
        <v>1999</v>
      </c>
      <c r="L287" s="94">
        <v>1999</v>
      </c>
      <c r="M287" s="221">
        <v>320</v>
      </c>
      <c r="N287" s="221">
        <v>180</v>
      </c>
      <c r="O287" s="93">
        <f t="shared" si="15"/>
        <v>1559.06</v>
      </c>
      <c r="P287" s="119" t="s">
        <v>264</v>
      </c>
      <c r="Q287" s="119" t="s">
        <v>1342</v>
      </c>
      <c r="R287" s="224" t="s">
        <v>122</v>
      </c>
      <c r="S287" s="225" t="s">
        <v>469</v>
      </c>
      <c r="T287" s="224" t="s">
        <v>114</v>
      </c>
      <c r="U287" s="224" t="s">
        <v>810</v>
      </c>
      <c r="V287" s="222" t="s">
        <v>169</v>
      </c>
      <c r="W287" s="146" t="s">
        <v>800</v>
      </c>
      <c r="X287" s="146"/>
      <c r="Y287" s="146" t="s">
        <v>316</v>
      </c>
      <c r="Z287" s="146" t="s">
        <v>170</v>
      </c>
      <c r="AA287" s="222">
        <v>42907</v>
      </c>
      <c r="AB287" s="117" t="s">
        <v>127</v>
      </c>
      <c r="AC287" s="63">
        <f t="shared" si="14"/>
        <v>1</v>
      </c>
      <c r="AD287" s="221" t="s">
        <v>217</v>
      </c>
      <c r="AE287" s="221" t="s">
        <v>218</v>
      </c>
      <c r="AF287" s="117"/>
      <c r="AG287" s="117"/>
      <c r="AH287" s="64"/>
      <c r="AI287" s="146" t="s">
        <v>184</v>
      </c>
      <c r="AJ287" s="222">
        <v>42912</v>
      </c>
      <c r="AK287" s="225" t="s">
        <v>847</v>
      </c>
      <c r="AL287" s="146" t="s">
        <v>645</v>
      </c>
      <c r="AM287" s="222">
        <v>42912</v>
      </c>
    </row>
    <row r="288" spans="1:39" ht="25.5" hidden="1" customHeight="1">
      <c r="A288" s="147">
        <v>287</v>
      </c>
      <c r="B288" s="170">
        <v>196903</v>
      </c>
      <c r="C288" s="146" t="s">
        <v>540</v>
      </c>
      <c r="D288" s="57">
        <v>42908</v>
      </c>
      <c r="E288" s="58" t="s">
        <v>718</v>
      </c>
      <c r="F288" s="118">
        <v>42931</v>
      </c>
      <c r="G288" s="146">
        <f t="shared" si="13"/>
        <v>23</v>
      </c>
      <c r="H288" s="221" t="s">
        <v>363</v>
      </c>
      <c r="I288" s="221"/>
      <c r="J288" s="60" t="s">
        <v>614</v>
      </c>
      <c r="K288" s="94"/>
      <c r="L288" s="94" t="e">
        <v>#N/A</v>
      </c>
      <c r="M288" s="96">
        <v>0</v>
      </c>
      <c r="N288" s="221"/>
      <c r="O288" s="151">
        <f t="shared" si="15"/>
        <v>0</v>
      </c>
      <c r="P288" s="119" t="s">
        <v>263</v>
      </c>
      <c r="Q288" s="119" t="s">
        <v>1341</v>
      </c>
      <c r="R288" s="146" t="s">
        <v>787</v>
      </c>
      <c r="S288" s="225" t="s">
        <v>466</v>
      </c>
      <c r="T288" s="224" t="s">
        <v>593</v>
      </c>
      <c r="U288" s="224" t="s">
        <v>816</v>
      </c>
      <c r="V288" s="148" t="s">
        <v>257</v>
      </c>
      <c r="W288" s="146" t="s">
        <v>827</v>
      </c>
      <c r="X288" s="146"/>
      <c r="Y288" s="221"/>
      <c r="Z288" s="146" t="s">
        <v>259</v>
      </c>
      <c r="AA288" s="222"/>
      <c r="AB288" s="146"/>
      <c r="AC288" s="63">
        <f t="shared" si="14"/>
        <v>0</v>
      </c>
      <c r="AD288" s="221"/>
      <c r="AE288" s="146"/>
      <c r="AF288" s="146"/>
      <c r="AG288" s="146"/>
      <c r="AH288" s="126" t="s">
        <v>883</v>
      </c>
      <c r="AI288" s="146"/>
      <c r="AJ288" s="221"/>
      <c r="AK288" s="145"/>
      <c r="AL288" s="146"/>
      <c r="AM288" s="221"/>
    </row>
    <row r="289" spans="1:39" ht="25.5" hidden="1" customHeight="1">
      <c r="A289" s="147">
        <v>288</v>
      </c>
      <c r="B289" s="170">
        <v>197763</v>
      </c>
      <c r="C289" s="146" t="s">
        <v>121</v>
      </c>
      <c r="D289" s="57">
        <v>42908</v>
      </c>
      <c r="E289" s="58" t="s">
        <v>718</v>
      </c>
      <c r="F289" s="118">
        <v>42914</v>
      </c>
      <c r="G289" s="146">
        <f t="shared" si="13"/>
        <v>6</v>
      </c>
      <c r="H289" s="221" t="s">
        <v>133</v>
      </c>
      <c r="I289" s="221"/>
      <c r="J289" s="60" t="s">
        <v>614</v>
      </c>
      <c r="K289" s="94">
        <v>5579</v>
      </c>
      <c r="L289" s="94">
        <v>5579.07</v>
      </c>
      <c r="M289" s="221">
        <v>140</v>
      </c>
      <c r="N289" s="221">
        <v>270</v>
      </c>
      <c r="O289" s="151">
        <f t="shared" si="15"/>
        <v>4974.26</v>
      </c>
      <c r="P289" s="119" t="s">
        <v>264</v>
      </c>
      <c r="Q289" s="119" t="s">
        <v>1342</v>
      </c>
      <c r="R289" s="221" t="s">
        <v>87</v>
      </c>
      <c r="S289" s="62" t="s">
        <v>465</v>
      </c>
      <c r="T289" s="224" t="s">
        <v>164</v>
      </c>
      <c r="U289" s="224" t="s">
        <v>817</v>
      </c>
      <c r="V289" s="224" t="s">
        <v>826</v>
      </c>
      <c r="W289" s="224" t="s">
        <v>825</v>
      </c>
      <c r="X289" s="146"/>
      <c r="Y289" s="221" t="s">
        <v>316</v>
      </c>
      <c r="Z289" s="146" t="s">
        <v>202</v>
      </c>
      <c r="AA289" s="222">
        <v>42909</v>
      </c>
      <c r="AB289" s="146" t="s">
        <v>127</v>
      </c>
      <c r="AC289" s="63">
        <f t="shared" si="14"/>
        <v>1</v>
      </c>
      <c r="AD289" s="221" t="s">
        <v>217</v>
      </c>
      <c r="AE289" s="221" t="s">
        <v>218</v>
      </c>
      <c r="AF289" s="146"/>
      <c r="AG289" s="146"/>
      <c r="AH289" s="64" t="s">
        <v>877</v>
      </c>
      <c r="AI289" s="146" t="s">
        <v>184</v>
      </c>
      <c r="AJ289" s="146"/>
      <c r="AK289" s="145" t="s">
        <v>929</v>
      </c>
      <c r="AL289" s="146" t="s">
        <v>645</v>
      </c>
      <c r="AM289" s="146"/>
    </row>
    <row r="290" spans="1:39" ht="25.5" hidden="1" customHeight="1">
      <c r="A290" s="147">
        <v>289</v>
      </c>
      <c r="B290" s="170">
        <v>198396</v>
      </c>
      <c r="C290" s="117" t="s">
        <v>121</v>
      </c>
      <c r="D290" s="57">
        <v>42908</v>
      </c>
      <c r="E290" s="58" t="s">
        <v>718</v>
      </c>
      <c r="F290" s="118">
        <v>42925</v>
      </c>
      <c r="G290" s="117">
        <f t="shared" si="13"/>
        <v>17</v>
      </c>
      <c r="H290" s="221" t="s">
        <v>133</v>
      </c>
      <c r="I290" s="221"/>
      <c r="J290" s="60" t="s">
        <v>614</v>
      </c>
      <c r="K290" s="94">
        <v>1299</v>
      </c>
      <c r="L290" s="94">
        <v>1299</v>
      </c>
      <c r="M290" s="221"/>
      <c r="N290" s="221"/>
      <c r="O290" s="151">
        <f t="shared" si="15"/>
        <v>0</v>
      </c>
      <c r="P290" s="119" t="s">
        <v>263</v>
      </c>
      <c r="Q290" s="119" t="s">
        <v>1341</v>
      </c>
      <c r="R290" s="224" t="s">
        <v>460</v>
      </c>
      <c r="S290" s="225" t="s">
        <v>469</v>
      </c>
      <c r="T290" s="224" t="s">
        <v>818</v>
      </c>
      <c r="U290" s="119" t="s">
        <v>461</v>
      </c>
      <c r="V290" s="224" t="s">
        <v>90</v>
      </c>
      <c r="W290" s="146" t="s">
        <v>819</v>
      </c>
      <c r="X290" s="146"/>
      <c r="Y290" s="221"/>
      <c r="Z290" s="146" t="s">
        <v>292</v>
      </c>
      <c r="AA290" s="222"/>
      <c r="AB290" s="117"/>
      <c r="AC290" s="63">
        <f t="shared" si="14"/>
        <v>0</v>
      </c>
      <c r="AD290" s="221" t="s">
        <v>217</v>
      </c>
      <c r="AE290" s="221" t="s">
        <v>217</v>
      </c>
      <c r="AF290" s="117" t="s">
        <v>225</v>
      </c>
      <c r="AG290" s="117"/>
      <c r="AH290" s="64"/>
      <c r="AI290" s="117"/>
      <c r="AJ290" s="146"/>
      <c r="AK290" s="145"/>
      <c r="AL290" s="117"/>
      <c r="AM290" s="117"/>
    </row>
    <row r="291" spans="1:39" ht="12.75" hidden="1" customHeight="1">
      <c r="A291" s="147">
        <v>290</v>
      </c>
      <c r="B291" s="170">
        <v>199415</v>
      </c>
      <c r="C291" s="146" t="s">
        <v>86</v>
      </c>
      <c r="D291" s="57">
        <v>42909</v>
      </c>
      <c r="E291" s="58" t="s">
        <v>718</v>
      </c>
      <c r="F291" s="118">
        <v>42923</v>
      </c>
      <c r="G291" s="117">
        <f t="shared" si="13"/>
        <v>14</v>
      </c>
      <c r="H291" s="221" t="s">
        <v>133</v>
      </c>
      <c r="I291" s="221"/>
      <c r="J291" s="60" t="s">
        <v>614</v>
      </c>
      <c r="K291" s="94">
        <v>2399</v>
      </c>
      <c r="L291" s="94">
        <v>2399</v>
      </c>
      <c r="M291" s="221">
        <v>360</v>
      </c>
      <c r="N291" s="221">
        <v>200</v>
      </c>
      <c r="O291" s="93">
        <f t="shared" si="15"/>
        <v>1895.06</v>
      </c>
      <c r="P291" s="119" t="s">
        <v>264</v>
      </c>
      <c r="Q291" s="119" t="s">
        <v>1342</v>
      </c>
      <c r="R291" s="224" t="s">
        <v>122</v>
      </c>
      <c r="S291" s="225" t="s">
        <v>469</v>
      </c>
      <c r="T291" s="224" t="s">
        <v>114</v>
      </c>
      <c r="U291" s="224" t="s">
        <v>454</v>
      </c>
      <c r="V291" s="222" t="s">
        <v>169</v>
      </c>
      <c r="W291" s="146"/>
      <c r="X291" s="146"/>
      <c r="Y291" s="221" t="s">
        <v>316</v>
      </c>
      <c r="Z291" s="146" t="s">
        <v>170</v>
      </c>
      <c r="AA291" s="222">
        <v>42912</v>
      </c>
      <c r="AB291" s="117" t="s">
        <v>127</v>
      </c>
      <c r="AC291" s="63">
        <f t="shared" si="14"/>
        <v>1</v>
      </c>
      <c r="AD291" s="221" t="s">
        <v>217</v>
      </c>
      <c r="AE291" s="221" t="s">
        <v>218</v>
      </c>
      <c r="AF291" s="117"/>
      <c r="AG291" s="117"/>
      <c r="AH291" s="64" t="s">
        <v>878</v>
      </c>
      <c r="AI291" s="117" t="s">
        <v>184</v>
      </c>
      <c r="AJ291" s="146"/>
      <c r="AK291" s="145" t="s">
        <v>936</v>
      </c>
      <c r="AL291" s="117" t="s">
        <v>645</v>
      </c>
      <c r="AM291" s="117"/>
    </row>
    <row r="292" spans="1:39" ht="12.75" hidden="1" customHeight="1">
      <c r="A292" s="147">
        <v>291</v>
      </c>
      <c r="B292" s="170">
        <v>199420</v>
      </c>
      <c r="C292" s="117" t="s">
        <v>86</v>
      </c>
      <c r="D292" s="57">
        <v>42909</v>
      </c>
      <c r="E292" s="58" t="s">
        <v>718</v>
      </c>
      <c r="F292" s="118">
        <v>42923</v>
      </c>
      <c r="G292" s="117">
        <f t="shared" si="13"/>
        <v>14</v>
      </c>
      <c r="H292" s="221" t="s">
        <v>133</v>
      </c>
      <c r="I292" s="221"/>
      <c r="J292" s="60" t="s">
        <v>614</v>
      </c>
      <c r="K292" s="94">
        <v>1499</v>
      </c>
      <c r="L292" s="94">
        <v>1499</v>
      </c>
      <c r="M292" s="221">
        <v>320</v>
      </c>
      <c r="N292" s="221">
        <v>200</v>
      </c>
      <c r="O292" s="93">
        <f t="shared" si="15"/>
        <v>1089.06</v>
      </c>
      <c r="P292" s="119" t="s">
        <v>264</v>
      </c>
      <c r="Q292" s="119" t="s">
        <v>1342</v>
      </c>
      <c r="R292" s="224" t="s">
        <v>122</v>
      </c>
      <c r="S292" s="225" t="s">
        <v>469</v>
      </c>
      <c r="T292" s="224" t="s">
        <v>114</v>
      </c>
      <c r="U292" s="224" t="s">
        <v>305</v>
      </c>
      <c r="V292" s="222" t="s">
        <v>169</v>
      </c>
      <c r="W292" s="146"/>
      <c r="X292" s="146"/>
      <c r="Y292" s="221" t="s">
        <v>316</v>
      </c>
      <c r="Z292" s="146" t="s">
        <v>170</v>
      </c>
      <c r="AA292" s="222">
        <v>42912</v>
      </c>
      <c r="AB292" s="117" t="s">
        <v>127</v>
      </c>
      <c r="AC292" s="63">
        <f t="shared" si="14"/>
        <v>1</v>
      </c>
      <c r="AD292" s="221" t="s">
        <v>217</v>
      </c>
      <c r="AE292" s="221" t="s">
        <v>218</v>
      </c>
      <c r="AF292" s="117"/>
      <c r="AG292" s="117"/>
      <c r="AH292" s="64" t="s">
        <v>878</v>
      </c>
      <c r="AI292" s="117" t="s">
        <v>184</v>
      </c>
      <c r="AJ292" s="117"/>
      <c r="AK292" s="145" t="s">
        <v>935</v>
      </c>
      <c r="AL292" s="117" t="s">
        <v>645</v>
      </c>
      <c r="AM292" s="117"/>
    </row>
    <row r="293" spans="1:39" ht="12.75" hidden="1" customHeight="1">
      <c r="A293" s="147">
        <v>292</v>
      </c>
      <c r="B293" s="170">
        <v>199514</v>
      </c>
      <c r="C293" s="117" t="s">
        <v>86</v>
      </c>
      <c r="D293" s="57">
        <v>42909</v>
      </c>
      <c r="E293" s="58" t="s">
        <v>718</v>
      </c>
      <c r="F293" s="118">
        <v>42924</v>
      </c>
      <c r="G293" s="117">
        <f t="shared" si="13"/>
        <v>15</v>
      </c>
      <c r="H293" s="146" t="s">
        <v>133</v>
      </c>
      <c r="I293" s="221"/>
      <c r="J293" s="60" t="s">
        <v>614</v>
      </c>
      <c r="K293" s="94">
        <v>2799</v>
      </c>
      <c r="L293" s="94">
        <v>2799</v>
      </c>
      <c r="M293" s="221">
        <v>360</v>
      </c>
      <c r="N293" s="221">
        <v>180</v>
      </c>
      <c r="O293" s="93">
        <f t="shared" si="15"/>
        <v>2271.06</v>
      </c>
      <c r="P293" s="119" t="s">
        <v>264</v>
      </c>
      <c r="Q293" s="119" t="s">
        <v>1342</v>
      </c>
      <c r="R293" s="224" t="s">
        <v>122</v>
      </c>
      <c r="S293" s="225" t="s">
        <v>469</v>
      </c>
      <c r="T293" s="224" t="s">
        <v>114</v>
      </c>
      <c r="U293" s="224" t="s">
        <v>820</v>
      </c>
      <c r="V293" s="222" t="s">
        <v>169</v>
      </c>
      <c r="W293" s="146"/>
      <c r="X293" s="117"/>
      <c r="Y293" s="221" t="s">
        <v>316</v>
      </c>
      <c r="Z293" s="146" t="s">
        <v>170</v>
      </c>
      <c r="AA293" s="222">
        <v>42912</v>
      </c>
      <c r="AB293" s="117" t="s">
        <v>127</v>
      </c>
      <c r="AC293" s="63">
        <f t="shared" si="14"/>
        <v>1</v>
      </c>
      <c r="AD293" s="221" t="s">
        <v>217</v>
      </c>
      <c r="AE293" s="221" t="s">
        <v>218</v>
      </c>
      <c r="AF293" s="117"/>
      <c r="AG293" s="117" t="s">
        <v>142</v>
      </c>
      <c r="AH293" s="64" t="s">
        <v>878</v>
      </c>
      <c r="AI293" s="117" t="s">
        <v>184</v>
      </c>
      <c r="AJ293" s="221"/>
      <c r="AK293" s="145" t="s">
        <v>937</v>
      </c>
      <c r="AL293" s="117" t="s">
        <v>645</v>
      </c>
      <c r="AM293" s="221"/>
    </row>
    <row r="294" spans="1:39" ht="12.75" hidden="1" customHeight="1">
      <c r="A294" s="147">
        <v>293</v>
      </c>
      <c r="B294" s="170">
        <v>198714</v>
      </c>
      <c r="C294" s="146" t="s">
        <v>121</v>
      </c>
      <c r="D294" s="57">
        <v>42912</v>
      </c>
      <c r="E294" s="58" t="s">
        <v>718</v>
      </c>
      <c r="F294" s="118">
        <v>42918</v>
      </c>
      <c r="G294" s="146">
        <f t="shared" si="13"/>
        <v>6</v>
      </c>
      <c r="H294" s="221" t="s">
        <v>363</v>
      </c>
      <c r="I294" s="221"/>
      <c r="J294" s="60" t="s">
        <v>614</v>
      </c>
      <c r="K294" s="94">
        <v>1499</v>
      </c>
      <c r="L294" s="94">
        <v>1499</v>
      </c>
      <c r="M294" s="96">
        <v>0</v>
      </c>
      <c r="N294" s="221"/>
      <c r="O294" s="93">
        <f t="shared" si="15"/>
        <v>1409.06</v>
      </c>
      <c r="P294" s="119" t="s">
        <v>262</v>
      </c>
      <c r="Q294" s="119" t="s">
        <v>1342</v>
      </c>
      <c r="R294" s="221" t="s">
        <v>210</v>
      </c>
      <c r="S294" s="225" t="s">
        <v>469</v>
      </c>
      <c r="T294" s="224" t="s">
        <v>164</v>
      </c>
      <c r="U294" s="224" t="s">
        <v>821</v>
      </c>
      <c r="V294" s="119" t="s">
        <v>831</v>
      </c>
      <c r="W294" s="146" t="s">
        <v>822</v>
      </c>
      <c r="X294" s="146"/>
      <c r="Y294" s="221"/>
      <c r="Z294" s="146" t="s">
        <v>202</v>
      </c>
      <c r="AA294" s="222"/>
      <c r="AB294" s="146"/>
      <c r="AC294" s="63">
        <f t="shared" si="14"/>
        <v>1</v>
      </c>
      <c r="AD294" s="221"/>
      <c r="AE294" s="221" t="s">
        <v>1553</v>
      </c>
      <c r="AF294" s="146"/>
      <c r="AG294" s="146"/>
      <c r="AH294" s="64" t="s">
        <v>843</v>
      </c>
      <c r="AI294" s="146"/>
      <c r="AJ294" s="221"/>
      <c r="AK294" s="145"/>
      <c r="AL294" s="146"/>
      <c r="AM294" s="221"/>
    </row>
    <row r="295" spans="1:39" ht="12.75" hidden="1" customHeight="1">
      <c r="A295" s="147">
        <v>294</v>
      </c>
      <c r="B295" s="170">
        <v>199464</v>
      </c>
      <c r="C295" s="117" t="s">
        <v>128</v>
      </c>
      <c r="D295" s="57">
        <v>42912</v>
      </c>
      <c r="E295" s="58" t="s">
        <v>718</v>
      </c>
      <c r="F295" s="118">
        <v>42922</v>
      </c>
      <c r="G295" s="117">
        <f t="shared" si="13"/>
        <v>10</v>
      </c>
      <c r="H295" s="221" t="s">
        <v>363</v>
      </c>
      <c r="I295" s="221"/>
      <c r="J295" s="60" t="s">
        <v>614</v>
      </c>
      <c r="K295" s="94">
        <v>2299</v>
      </c>
      <c r="L295" s="94">
        <v>2299</v>
      </c>
      <c r="M295" s="96">
        <v>0</v>
      </c>
      <c r="N295" s="221"/>
      <c r="O295" s="93">
        <f t="shared" si="15"/>
        <v>2161.06</v>
      </c>
      <c r="P295" s="119" t="s">
        <v>261</v>
      </c>
      <c r="Q295" s="119" t="s">
        <v>1341</v>
      </c>
      <c r="R295" s="117" t="s">
        <v>514</v>
      </c>
      <c r="S295" s="225" t="s">
        <v>469</v>
      </c>
      <c r="T295" s="224" t="s">
        <v>829</v>
      </c>
      <c r="U295" s="224" t="s">
        <v>833</v>
      </c>
      <c r="V295" s="224" t="s">
        <v>293</v>
      </c>
      <c r="W295" s="146"/>
      <c r="X295" s="117"/>
      <c r="Y295" s="221"/>
      <c r="Z295" s="117" t="s">
        <v>296</v>
      </c>
      <c r="AA295" s="221"/>
      <c r="AB295" s="117"/>
      <c r="AC295" s="63">
        <f t="shared" si="14"/>
        <v>1</v>
      </c>
      <c r="AD295" s="221"/>
      <c r="AE295" s="117"/>
      <c r="AF295" s="117"/>
      <c r="AG295" s="117"/>
      <c r="AH295" s="64" t="s">
        <v>864</v>
      </c>
      <c r="AI295" s="117"/>
      <c r="AJ295" s="221"/>
      <c r="AK295" s="145"/>
      <c r="AL295" s="117"/>
      <c r="AM295" s="221"/>
    </row>
    <row r="296" spans="1:39" ht="12.75" hidden="1" customHeight="1">
      <c r="A296" s="147">
        <v>295</v>
      </c>
      <c r="B296" s="170">
        <v>199577</v>
      </c>
      <c r="C296" s="117" t="s">
        <v>128</v>
      </c>
      <c r="D296" s="57">
        <v>42912</v>
      </c>
      <c r="E296" s="58" t="s">
        <v>718</v>
      </c>
      <c r="F296" s="118">
        <v>42926</v>
      </c>
      <c r="G296" s="117">
        <f t="shared" si="13"/>
        <v>14</v>
      </c>
      <c r="H296" s="221" t="s">
        <v>363</v>
      </c>
      <c r="I296" s="221"/>
      <c r="J296" s="60" t="s">
        <v>614</v>
      </c>
      <c r="K296" s="94">
        <v>1099</v>
      </c>
      <c r="L296" s="94">
        <v>1099</v>
      </c>
      <c r="M296" s="96">
        <v>0</v>
      </c>
      <c r="N296" s="221"/>
      <c r="O296" s="93">
        <f t="shared" si="15"/>
        <v>1033.06</v>
      </c>
      <c r="P296" s="119" t="s">
        <v>262</v>
      </c>
      <c r="Q296" s="119" t="s">
        <v>1342</v>
      </c>
      <c r="R296" s="221" t="s">
        <v>143</v>
      </c>
      <c r="S296" s="62" t="s">
        <v>465</v>
      </c>
      <c r="T296" s="224" t="s">
        <v>114</v>
      </c>
      <c r="U296" s="224" t="s">
        <v>832</v>
      </c>
      <c r="V296" s="224" t="s">
        <v>420</v>
      </c>
      <c r="W296" s="221"/>
      <c r="X296" s="117"/>
      <c r="Y296" s="221"/>
      <c r="Z296" s="146" t="s">
        <v>510</v>
      </c>
      <c r="AA296" s="221"/>
      <c r="AB296" s="117"/>
      <c r="AC296" s="63">
        <f t="shared" si="14"/>
        <v>1</v>
      </c>
      <c r="AD296" s="221"/>
      <c r="AE296" s="117"/>
      <c r="AF296" s="117"/>
      <c r="AG296" s="117"/>
      <c r="AH296" s="64" t="s">
        <v>945</v>
      </c>
      <c r="AI296" s="117"/>
      <c r="AJ296" s="221"/>
      <c r="AK296" s="145"/>
      <c r="AL296" s="117"/>
      <c r="AM296" s="221"/>
    </row>
    <row r="297" spans="1:39" ht="12.75" hidden="1" customHeight="1">
      <c r="A297" s="147">
        <v>296</v>
      </c>
      <c r="B297" s="170">
        <v>199578</v>
      </c>
      <c r="C297" s="117" t="s">
        <v>128</v>
      </c>
      <c r="D297" s="57">
        <v>42912</v>
      </c>
      <c r="E297" s="58" t="s">
        <v>718</v>
      </c>
      <c r="F297" s="118">
        <v>42926</v>
      </c>
      <c r="G297" s="117">
        <f t="shared" si="13"/>
        <v>14</v>
      </c>
      <c r="H297" s="221" t="s">
        <v>133</v>
      </c>
      <c r="I297" s="221"/>
      <c r="J297" s="60" t="s">
        <v>614</v>
      </c>
      <c r="K297" s="94">
        <v>1499</v>
      </c>
      <c r="L297" s="94">
        <v>1499</v>
      </c>
      <c r="M297" s="221"/>
      <c r="N297" s="221"/>
      <c r="O297" s="151">
        <f t="shared" si="15"/>
        <v>0</v>
      </c>
      <c r="P297" s="119" t="s">
        <v>262</v>
      </c>
      <c r="Q297" s="119" t="s">
        <v>1342</v>
      </c>
      <c r="R297" s="221" t="s">
        <v>134</v>
      </c>
      <c r="S297" s="62" t="s">
        <v>465</v>
      </c>
      <c r="T297" s="224" t="s">
        <v>114</v>
      </c>
      <c r="U297" s="224" t="s">
        <v>394</v>
      </c>
      <c r="V297" s="224" t="s">
        <v>830</v>
      </c>
      <c r="W297" s="146"/>
      <c r="X297" s="117"/>
      <c r="Y297" s="221"/>
      <c r="Z297" s="117" t="s">
        <v>510</v>
      </c>
      <c r="AA297" s="221"/>
      <c r="AB297" s="117"/>
      <c r="AC297" s="63">
        <f t="shared" si="14"/>
        <v>0</v>
      </c>
      <c r="AD297" s="221" t="s">
        <v>217</v>
      </c>
      <c r="AE297" s="221" t="s">
        <v>217</v>
      </c>
      <c r="AF297" s="117" t="s">
        <v>225</v>
      </c>
      <c r="AG297" s="117"/>
      <c r="AH297" s="64" t="s">
        <v>879</v>
      </c>
      <c r="AI297" s="117"/>
      <c r="AJ297" s="146"/>
      <c r="AK297" s="145"/>
      <c r="AL297" s="117"/>
      <c r="AM297" s="146"/>
    </row>
    <row r="298" spans="1:39" ht="12.75" hidden="1" customHeight="1">
      <c r="A298" s="147">
        <v>297</v>
      </c>
      <c r="B298" s="170">
        <v>199117</v>
      </c>
      <c r="C298" s="228" t="s">
        <v>128</v>
      </c>
      <c r="D298" s="57">
        <v>42913</v>
      </c>
      <c r="E298" s="58" t="s">
        <v>718</v>
      </c>
      <c r="F298" s="118">
        <v>42926</v>
      </c>
      <c r="G298" s="117">
        <f t="shared" si="13"/>
        <v>13</v>
      </c>
      <c r="H298" s="221" t="s">
        <v>133</v>
      </c>
      <c r="I298" s="221"/>
      <c r="J298" s="60" t="s">
        <v>614</v>
      </c>
      <c r="K298" s="94">
        <v>2699</v>
      </c>
      <c r="L298" s="94">
        <v>2699</v>
      </c>
      <c r="M298" s="221">
        <v>150</v>
      </c>
      <c r="N298" s="221">
        <v>231.6</v>
      </c>
      <c r="O298" s="93">
        <f t="shared" si="15"/>
        <v>2305.46</v>
      </c>
      <c r="P298" s="119" t="s">
        <v>264</v>
      </c>
      <c r="Q298" s="119" t="s">
        <v>1342</v>
      </c>
      <c r="R298" s="221" t="s">
        <v>787</v>
      </c>
      <c r="S298" s="225" t="s">
        <v>466</v>
      </c>
      <c r="T298" s="221" t="s">
        <v>313</v>
      </c>
      <c r="U298" s="221" t="s">
        <v>856</v>
      </c>
      <c r="V298" s="221" t="s">
        <v>839</v>
      </c>
      <c r="W298" s="146"/>
      <c r="X298" s="117"/>
      <c r="Y298" s="221" t="s">
        <v>316</v>
      </c>
      <c r="Z298" s="146" t="s">
        <v>259</v>
      </c>
      <c r="AA298" s="222">
        <v>42916</v>
      </c>
      <c r="AB298" s="117" t="s">
        <v>872</v>
      </c>
      <c r="AC298" s="63">
        <f t="shared" si="14"/>
        <v>1</v>
      </c>
      <c r="AD298" s="221"/>
      <c r="AE298" s="221" t="s">
        <v>218</v>
      </c>
      <c r="AF298" s="117"/>
      <c r="AG298" s="117"/>
      <c r="AH298" s="64"/>
      <c r="AI298" s="117" t="s">
        <v>184</v>
      </c>
      <c r="AJ298" s="117"/>
      <c r="AK298" s="145" t="s">
        <v>922</v>
      </c>
      <c r="AL298" s="117" t="s">
        <v>645</v>
      </c>
      <c r="AM298" s="117"/>
    </row>
    <row r="299" spans="1:39" ht="12.75" hidden="1" customHeight="1">
      <c r="A299" s="147">
        <v>298</v>
      </c>
      <c r="B299" s="170">
        <v>199334</v>
      </c>
      <c r="C299" s="228" t="s">
        <v>121</v>
      </c>
      <c r="D299" s="57">
        <v>42913</v>
      </c>
      <c r="E299" s="58" t="s">
        <v>718</v>
      </c>
      <c r="F299" s="118">
        <v>42916</v>
      </c>
      <c r="G299" s="117">
        <f t="shared" si="13"/>
        <v>3</v>
      </c>
      <c r="H299" s="221" t="s">
        <v>133</v>
      </c>
      <c r="I299" s="221"/>
      <c r="J299" s="60" t="s">
        <v>614</v>
      </c>
      <c r="K299" s="94">
        <v>2184.0500000000002</v>
      </c>
      <c r="L299" s="94">
        <v>2184.0500000000002</v>
      </c>
      <c r="M299" s="221"/>
      <c r="N299" s="221"/>
      <c r="O299" s="151">
        <f t="shared" si="15"/>
        <v>0</v>
      </c>
      <c r="P299" s="119" t="s">
        <v>264</v>
      </c>
      <c r="Q299" s="119" t="s">
        <v>1342</v>
      </c>
      <c r="R299" s="224" t="s">
        <v>210</v>
      </c>
      <c r="S299" s="225" t="s">
        <v>469</v>
      </c>
      <c r="T299" s="221" t="s">
        <v>380</v>
      </c>
      <c r="U299" s="221" t="s">
        <v>858</v>
      </c>
      <c r="V299" s="221" t="s">
        <v>859</v>
      </c>
      <c r="W299" s="146"/>
      <c r="X299" s="117"/>
      <c r="Y299" s="117"/>
      <c r="Z299" s="117" t="s">
        <v>860</v>
      </c>
      <c r="AA299" s="221"/>
      <c r="AB299" s="117"/>
      <c r="AC299" s="63">
        <f t="shared" si="14"/>
        <v>0</v>
      </c>
      <c r="AD299" s="221" t="s">
        <v>217</v>
      </c>
      <c r="AE299" s="221" t="s">
        <v>217</v>
      </c>
      <c r="AF299" s="117" t="s">
        <v>225</v>
      </c>
      <c r="AG299" s="117"/>
      <c r="AH299" s="64"/>
      <c r="AI299" s="117"/>
      <c r="AJ299" s="117"/>
      <c r="AK299" s="145"/>
      <c r="AL299" s="117"/>
      <c r="AM299" s="117"/>
    </row>
    <row r="300" spans="1:39" ht="12.75" hidden="1" customHeight="1">
      <c r="A300" s="147">
        <v>299</v>
      </c>
      <c r="B300" s="170">
        <v>199382</v>
      </c>
      <c r="C300" s="228" t="s">
        <v>128</v>
      </c>
      <c r="D300" s="57">
        <v>42913</v>
      </c>
      <c r="E300" s="58" t="s">
        <v>718</v>
      </c>
      <c r="F300" s="118">
        <v>42922</v>
      </c>
      <c r="G300" s="117">
        <f t="shared" si="13"/>
        <v>9</v>
      </c>
      <c r="H300" s="117" t="s">
        <v>133</v>
      </c>
      <c r="I300" s="221"/>
      <c r="J300" s="60" t="s">
        <v>614</v>
      </c>
      <c r="K300" s="94">
        <v>3299</v>
      </c>
      <c r="L300" s="94">
        <v>3299</v>
      </c>
      <c r="M300" s="221"/>
      <c r="N300" s="221"/>
      <c r="O300" s="151">
        <f t="shared" si="15"/>
        <v>0</v>
      </c>
      <c r="P300" s="119" t="s">
        <v>264</v>
      </c>
      <c r="Q300" s="119" t="s">
        <v>1342</v>
      </c>
      <c r="R300" s="221" t="s">
        <v>787</v>
      </c>
      <c r="S300" s="225" t="s">
        <v>466</v>
      </c>
      <c r="T300" s="221" t="s">
        <v>313</v>
      </c>
      <c r="U300" s="221" t="s">
        <v>855</v>
      </c>
      <c r="V300" s="221" t="s">
        <v>857</v>
      </c>
      <c r="W300" s="146"/>
      <c r="X300" s="117"/>
      <c r="Y300" s="117"/>
      <c r="Z300" s="146" t="s">
        <v>259</v>
      </c>
      <c r="AA300" s="221"/>
      <c r="AB300" s="117"/>
      <c r="AC300" s="63">
        <f t="shared" si="14"/>
        <v>0</v>
      </c>
      <c r="AD300" s="221" t="s">
        <v>217</v>
      </c>
      <c r="AE300" s="221" t="s">
        <v>217</v>
      </c>
      <c r="AF300" s="117" t="s">
        <v>225</v>
      </c>
      <c r="AG300" s="117"/>
      <c r="AH300" s="64"/>
      <c r="AI300" s="117"/>
      <c r="AJ300" s="221"/>
      <c r="AK300" s="145"/>
      <c r="AL300" s="117"/>
      <c r="AM300" s="221"/>
    </row>
    <row r="301" spans="1:39" s="134" customFormat="1" ht="12.75" hidden="1" customHeight="1">
      <c r="A301" s="147">
        <v>300</v>
      </c>
      <c r="B301" s="175">
        <v>199389</v>
      </c>
      <c r="C301" s="129" t="s">
        <v>86</v>
      </c>
      <c r="D301" s="130">
        <v>42913</v>
      </c>
      <c r="E301" s="131" t="s">
        <v>718</v>
      </c>
      <c r="F301" s="130">
        <v>42924</v>
      </c>
      <c r="G301" s="129">
        <f t="shared" si="13"/>
        <v>11</v>
      </c>
      <c r="H301" s="129" t="s">
        <v>133</v>
      </c>
      <c r="I301" s="129"/>
      <c r="J301" s="131" t="s">
        <v>614</v>
      </c>
      <c r="K301" s="94">
        <v>2850</v>
      </c>
      <c r="L301" s="94">
        <v>2850</v>
      </c>
      <c r="M301" s="129">
        <v>0</v>
      </c>
      <c r="N301" s="129"/>
      <c r="O301" s="153">
        <f t="shared" si="15"/>
        <v>2679</v>
      </c>
      <c r="P301" s="132" t="s">
        <v>264</v>
      </c>
      <c r="Q301" s="119" t="s">
        <v>1342</v>
      </c>
      <c r="R301" s="132" t="s">
        <v>134</v>
      </c>
      <c r="S301" s="129" t="s">
        <v>465</v>
      </c>
      <c r="T301" s="221" t="s">
        <v>88</v>
      </c>
      <c r="U301" s="132" t="s">
        <v>449</v>
      </c>
      <c r="V301" s="221" t="s">
        <v>429</v>
      </c>
      <c r="W301" s="129"/>
      <c r="X301" s="129"/>
      <c r="Y301" s="129" t="s">
        <v>316</v>
      </c>
      <c r="Z301" s="129" t="s">
        <v>189</v>
      </c>
      <c r="AA301" s="129"/>
      <c r="AB301" s="129"/>
      <c r="AC301" s="63">
        <f t="shared" si="14"/>
        <v>1</v>
      </c>
      <c r="AD301" s="129" t="s">
        <v>217</v>
      </c>
      <c r="AE301" s="221" t="s">
        <v>218</v>
      </c>
      <c r="AF301" s="129"/>
      <c r="AG301" s="129"/>
      <c r="AH301" s="133" t="s">
        <v>948</v>
      </c>
      <c r="AI301" s="129"/>
      <c r="AJ301" s="129"/>
      <c r="AK301" s="129"/>
      <c r="AL301" s="129"/>
      <c r="AM301" s="129"/>
    </row>
    <row r="302" spans="1:39" ht="12.75" hidden="1" customHeight="1">
      <c r="A302" s="147">
        <v>301</v>
      </c>
      <c r="B302" s="170">
        <v>199399</v>
      </c>
      <c r="C302" s="117" t="s">
        <v>121</v>
      </c>
      <c r="D302" s="57">
        <v>42913</v>
      </c>
      <c r="E302" s="58" t="s">
        <v>718</v>
      </c>
      <c r="F302" s="118">
        <v>42923</v>
      </c>
      <c r="G302" s="117">
        <f t="shared" si="13"/>
        <v>10</v>
      </c>
      <c r="H302" s="221" t="s">
        <v>133</v>
      </c>
      <c r="I302" s="221"/>
      <c r="J302" s="60" t="s">
        <v>614</v>
      </c>
      <c r="K302" s="94">
        <v>3699</v>
      </c>
      <c r="L302" s="94">
        <v>3699</v>
      </c>
      <c r="M302" s="221"/>
      <c r="N302" s="221"/>
      <c r="O302" s="151">
        <f t="shared" si="15"/>
        <v>0</v>
      </c>
      <c r="P302" s="119" t="s">
        <v>264</v>
      </c>
      <c r="Q302" s="119" t="s">
        <v>1342</v>
      </c>
      <c r="R302" s="146" t="s">
        <v>122</v>
      </c>
      <c r="S302" s="225" t="s">
        <v>469</v>
      </c>
      <c r="T302" s="224" t="s">
        <v>114</v>
      </c>
      <c r="U302" s="221" t="s">
        <v>854</v>
      </c>
      <c r="V302" s="221" t="s">
        <v>222</v>
      </c>
      <c r="W302" s="146"/>
      <c r="X302" s="117"/>
      <c r="Y302" s="117"/>
      <c r="Z302" s="146" t="s">
        <v>292</v>
      </c>
      <c r="AA302" s="221"/>
      <c r="AB302" s="117"/>
      <c r="AC302" s="63">
        <f t="shared" si="14"/>
        <v>0</v>
      </c>
      <c r="AD302" s="221" t="s">
        <v>217</v>
      </c>
      <c r="AE302" s="221" t="s">
        <v>217</v>
      </c>
      <c r="AF302" s="117" t="s">
        <v>225</v>
      </c>
      <c r="AG302" s="117" t="s">
        <v>142</v>
      </c>
      <c r="AH302" s="64"/>
      <c r="AI302" s="117"/>
      <c r="AJ302" s="146"/>
      <c r="AK302" s="145"/>
      <c r="AL302" s="117"/>
      <c r="AM302" s="146"/>
    </row>
    <row r="303" spans="1:39" ht="12.75" hidden="1" customHeight="1">
      <c r="A303" s="147">
        <v>302</v>
      </c>
      <c r="B303" s="170">
        <v>199572</v>
      </c>
      <c r="C303" s="228" t="s">
        <v>121</v>
      </c>
      <c r="D303" s="57">
        <v>42913</v>
      </c>
      <c r="E303" s="58" t="s">
        <v>718</v>
      </c>
      <c r="F303" s="222">
        <v>42924</v>
      </c>
      <c r="G303" s="221">
        <f t="shared" si="13"/>
        <v>11</v>
      </c>
      <c r="H303" s="221" t="s">
        <v>133</v>
      </c>
      <c r="I303" s="221"/>
      <c r="J303" s="223" t="s">
        <v>614</v>
      </c>
      <c r="K303" s="94">
        <v>1199</v>
      </c>
      <c r="L303" s="94">
        <v>1199</v>
      </c>
      <c r="M303" s="221">
        <v>95</v>
      </c>
      <c r="N303" s="221">
        <v>115</v>
      </c>
      <c r="O303" s="227">
        <f t="shared" si="15"/>
        <v>1012.06</v>
      </c>
      <c r="P303" s="224" t="s">
        <v>262</v>
      </c>
      <c r="Q303" s="119" t="s">
        <v>1342</v>
      </c>
      <c r="R303" s="221" t="s">
        <v>134</v>
      </c>
      <c r="S303" s="225" t="s">
        <v>465</v>
      </c>
      <c r="T303" s="221" t="s">
        <v>861</v>
      </c>
      <c r="U303" s="221" t="s">
        <v>863</v>
      </c>
      <c r="V303" s="221" t="s">
        <v>862</v>
      </c>
      <c r="W303" s="221"/>
      <c r="X303" s="221"/>
      <c r="Y303" s="221" t="s">
        <v>316</v>
      </c>
      <c r="Z303" s="221" t="s">
        <v>124</v>
      </c>
      <c r="AA303" s="222">
        <v>42916</v>
      </c>
      <c r="AB303" s="221"/>
      <c r="AC303" s="226">
        <f t="shared" si="14"/>
        <v>1</v>
      </c>
      <c r="AD303" s="221" t="s">
        <v>217</v>
      </c>
      <c r="AE303" s="221" t="s">
        <v>218</v>
      </c>
      <c r="AF303" s="221"/>
      <c r="AG303" s="221"/>
      <c r="AH303" s="64" t="s">
        <v>880</v>
      </c>
      <c r="AI303" s="221" t="s">
        <v>184</v>
      </c>
      <c r="AJ303" s="221"/>
      <c r="AK303" s="145" t="s">
        <v>921</v>
      </c>
      <c r="AL303" s="221" t="s">
        <v>645</v>
      </c>
      <c r="AM303" s="117"/>
    </row>
    <row r="304" spans="1:39" ht="12.75" hidden="1" customHeight="1">
      <c r="A304" s="147">
        <v>303</v>
      </c>
      <c r="B304" s="170">
        <v>199300</v>
      </c>
      <c r="C304" s="221" t="s">
        <v>86</v>
      </c>
      <c r="D304" s="57">
        <v>42914</v>
      </c>
      <c r="E304" s="58" t="s">
        <v>718</v>
      </c>
      <c r="F304" s="222">
        <v>42924</v>
      </c>
      <c r="G304" s="221">
        <f t="shared" si="13"/>
        <v>10</v>
      </c>
      <c r="H304" s="221" t="s">
        <v>363</v>
      </c>
      <c r="I304" s="125"/>
      <c r="J304" s="60" t="s">
        <v>614</v>
      </c>
      <c r="K304" s="94">
        <v>774</v>
      </c>
      <c r="L304" s="94">
        <v>774</v>
      </c>
      <c r="M304" s="96">
        <v>0</v>
      </c>
      <c r="N304" s="221"/>
      <c r="O304" s="93">
        <f t="shared" si="15"/>
        <v>727.56</v>
      </c>
      <c r="P304" s="224" t="s">
        <v>262</v>
      </c>
      <c r="Q304" s="119" t="s">
        <v>1342</v>
      </c>
      <c r="R304" s="221" t="s">
        <v>143</v>
      </c>
      <c r="S304" s="225" t="s">
        <v>465</v>
      </c>
      <c r="T304" s="221" t="s">
        <v>88</v>
      </c>
      <c r="U304" s="221" t="s">
        <v>867</v>
      </c>
      <c r="V304" s="221" t="s">
        <v>432</v>
      </c>
      <c r="W304" s="221"/>
      <c r="X304" s="221"/>
      <c r="Y304" s="221"/>
      <c r="Z304" s="221" t="s">
        <v>189</v>
      </c>
      <c r="AA304" s="221"/>
      <c r="AB304" s="221"/>
      <c r="AC304" s="63">
        <f t="shared" si="14"/>
        <v>1</v>
      </c>
      <c r="AD304" s="221"/>
      <c r="AE304" s="117"/>
      <c r="AF304" s="221"/>
      <c r="AG304" s="221"/>
      <c r="AH304" s="64" t="s">
        <v>868</v>
      </c>
      <c r="AI304" s="221"/>
      <c r="AJ304" s="221"/>
      <c r="AK304" s="221"/>
      <c r="AL304" s="221"/>
      <c r="AM304" s="117"/>
    </row>
    <row r="305" spans="1:39" ht="12.75" hidden="1" customHeight="1">
      <c r="A305" s="147">
        <v>304</v>
      </c>
      <c r="B305" s="170">
        <v>199466</v>
      </c>
      <c r="C305" s="228" t="s">
        <v>121</v>
      </c>
      <c r="D305" s="57">
        <v>42914</v>
      </c>
      <c r="E305" s="58" t="s">
        <v>718</v>
      </c>
      <c r="F305" s="118">
        <v>42923</v>
      </c>
      <c r="G305" s="117">
        <f t="shared" si="13"/>
        <v>9</v>
      </c>
      <c r="H305" s="117" t="s">
        <v>363</v>
      </c>
      <c r="I305" s="221"/>
      <c r="J305" s="60" t="s">
        <v>614</v>
      </c>
      <c r="K305" s="94">
        <v>5471.24</v>
      </c>
      <c r="L305" s="94">
        <v>5471.24</v>
      </c>
      <c r="M305" s="96">
        <v>0</v>
      </c>
      <c r="N305" s="221"/>
      <c r="O305" s="93">
        <f t="shared" si="15"/>
        <v>5142.9655999999995</v>
      </c>
      <c r="P305" s="119" t="s">
        <v>264</v>
      </c>
      <c r="Q305" s="119" t="s">
        <v>1342</v>
      </c>
      <c r="R305" s="146" t="s">
        <v>134</v>
      </c>
      <c r="S305" s="62" t="s">
        <v>465</v>
      </c>
      <c r="T305" s="146" t="s">
        <v>164</v>
      </c>
      <c r="U305" s="221" t="s">
        <v>865</v>
      </c>
      <c r="V305" s="221" t="s">
        <v>278</v>
      </c>
      <c r="W305" s="146" t="s">
        <v>866</v>
      </c>
      <c r="X305" s="117"/>
      <c r="Y305" s="117"/>
      <c r="Z305" s="117" t="s">
        <v>202</v>
      </c>
      <c r="AA305" s="221"/>
      <c r="AB305" s="117"/>
      <c r="AC305" s="63">
        <f t="shared" si="14"/>
        <v>1</v>
      </c>
      <c r="AD305" s="221"/>
      <c r="AE305" s="117"/>
      <c r="AF305" s="117"/>
      <c r="AG305" s="117"/>
      <c r="AH305" s="64" t="s">
        <v>871</v>
      </c>
      <c r="AI305" s="117"/>
      <c r="AJ305" s="117"/>
      <c r="AK305" s="221"/>
      <c r="AL305" s="117"/>
      <c r="AM305" s="117"/>
    </row>
    <row r="306" spans="1:39" ht="12.75" hidden="1" customHeight="1">
      <c r="A306" s="147">
        <v>305</v>
      </c>
      <c r="B306" s="170">
        <v>199703</v>
      </c>
      <c r="C306" s="221" t="s">
        <v>128</v>
      </c>
      <c r="D306" s="57">
        <v>42914</v>
      </c>
      <c r="E306" s="58" t="s">
        <v>718</v>
      </c>
      <c r="F306" s="118">
        <v>42931</v>
      </c>
      <c r="G306" s="117">
        <f t="shared" ref="G306:G369" si="16">F306-D306</f>
        <v>17</v>
      </c>
      <c r="H306" s="117" t="s">
        <v>133</v>
      </c>
      <c r="I306" s="221"/>
      <c r="J306" s="60" t="s">
        <v>614</v>
      </c>
      <c r="K306" s="94">
        <v>1999</v>
      </c>
      <c r="L306" s="94">
        <v>1999</v>
      </c>
      <c r="M306" s="221"/>
      <c r="N306" s="221"/>
      <c r="O306" s="151">
        <f t="shared" si="15"/>
        <v>0</v>
      </c>
      <c r="P306" s="119" t="s">
        <v>264</v>
      </c>
      <c r="Q306" s="119" t="s">
        <v>1342</v>
      </c>
      <c r="R306" s="221" t="s">
        <v>501</v>
      </c>
      <c r="S306" s="225" t="s">
        <v>466</v>
      </c>
      <c r="T306" s="221" t="s">
        <v>405</v>
      </c>
      <c r="U306" s="221" t="s">
        <v>869</v>
      </c>
      <c r="V306" s="221" t="s">
        <v>870</v>
      </c>
      <c r="W306" s="221"/>
      <c r="X306" s="117"/>
      <c r="Y306" s="221"/>
      <c r="Z306" s="117" t="s">
        <v>259</v>
      </c>
      <c r="AA306" s="221"/>
      <c r="AB306" s="117"/>
      <c r="AC306" s="63">
        <f t="shared" si="14"/>
        <v>0</v>
      </c>
      <c r="AD306" s="221" t="s">
        <v>217</v>
      </c>
      <c r="AE306" s="221" t="s">
        <v>217</v>
      </c>
      <c r="AF306" s="117" t="s">
        <v>225</v>
      </c>
      <c r="AG306" s="117"/>
      <c r="AH306" s="64"/>
      <c r="AI306" s="117"/>
      <c r="AJ306" s="221"/>
      <c r="AK306" s="221"/>
      <c r="AL306" s="117"/>
      <c r="AM306" s="221"/>
    </row>
    <row r="307" spans="1:39" s="134" customFormat="1" ht="12.75" hidden="1" customHeight="1">
      <c r="A307" s="147">
        <v>306</v>
      </c>
      <c r="B307" s="175">
        <v>199808</v>
      </c>
      <c r="C307" s="129" t="s">
        <v>86</v>
      </c>
      <c r="D307" s="130">
        <v>42914</v>
      </c>
      <c r="E307" s="131" t="s">
        <v>718</v>
      </c>
      <c r="F307" s="130">
        <v>42929</v>
      </c>
      <c r="G307" s="129">
        <f t="shared" si="16"/>
        <v>15</v>
      </c>
      <c r="H307" s="129" t="s">
        <v>133</v>
      </c>
      <c r="I307" s="135"/>
      <c r="J307" s="129" t="s">
        <v>614</v>
      </c>
      <c r="K307" s="94">
        <v>1690</v>
      </c>
      <c r="L307" s="94">
        <v>1690</v>
      </c>
      <c r="M307" s="129">
        <v>0</v>
      </c>
      <c r="N307" s="129"/>
      <c r="O307" s="151">
        <f t="shared" si="15"/>
        <v>0</v>
      </c>
      <c r="P307" s="132" t="s">
        <v>264</v>
      </c>
      <c r="Q307" s="119" t="s">
        <v>1342</v>
      </c>
      <c r="R307" s="132" t="s">
        <v>143</v>
      </c>
      <c r="S307" s="129" t="s">
        <v>465</v>
      </c>
      <c r="T307" s="221" t="s">
        <v>88</v>
      </c>
      <c r="U307" s="129" t="s">
        <v>89</v>
      </c>
      <c r="V307" s="224" t="s">
        <v>90</v>
      </c>
      <c r="W307" s="129"/>
      <c r="X307" s="129"/>
      <c r="Y307" s="129"/>
      <c r="Z307" s="129" t="s">
        <v>189</v>
      </c>
      <c r="AA307" s="130">
        <v>42916</v>
      </c>
      <c r="AB307" s="129"/>
      <c r="AC307" s="63">
        <f t="shared" si="14"/>
        <v>0</v>
      </c>
      <c r="AD307" s="129"/>
      <c r="AE307" s="221" t="s">
        <v>217</v>
      </c>
      <c r="AF307" s="129" t="s">
        <v>225</v>
      </c>
      <c r="AG307" s="129"/>
      <c r="AH307" s="133" t="s">
        <v>944</v>
      </c>
      <c r="AI307" s="129"/>
      <c r="AJ307" s="129"/>
      <c r="AK307" s="129"/>
      <c r="AL307" s="129"/>
      <c r="AM307" s="129"/>
    </row>
    <row r="308" spans="1:39" ht="12.75" hidden="1" customHeight="1">
      <c r="A308" s="147">
        <v>307</v>
      </c>
      <c r="B308" s="170">
        <v>199648</v>
      </c>
      <c r="C308" s="221" t="s">
        <v>86</v>
      </c>
      <c r="D308" s="57">
        <v>42916</v>
      </c>
      <c r="E308" s="58" t="s">
        <v>718</v>
      </c>
      <c r="F308" s="222">
        <v>42931</v>
      </c>
      <c r="G308" s="221">
        <f t="shared" si="16"/>
        <v>15</v>
      </c>
      <c r="H308" s="221" t="s">
        <v>133</v>
      </c>
      <c r="I308" s="221"/>
      <c r="J308" s="223" t="s">
        <v>614</v>
      </c>
      <c r="K308" s="94">
        <v>1619</v>
      </c>
      <c r="L308" s="94">
        <v>1619</v>
      </c>
      <c r="M308" s="221">
        <v>142.12</v>
      </c>
      <c r="N308" s="221">
        <v>17.5</v>
      </c>
      <c r="O308" s="227">
        <f t="shared" si="15"/>
        <v>1379.7399999999998</v>
      </c>
      <c r="P308" s="224" t="s">
        <v>264</v>
      </c>
      <c r="Q308" s="119" t="s">
        <v>1342</v>
      </c>
      <c r="R308" s="221" t="s">
        <v>293</v>
      </c>
      <c r="S308" s="225" t="s">
        <v>469</v>
      </c>
      <c r="T308" s="221" t="s">
        <v>114</v>
      </c>
      <c r="U308" s="221" t="s">
        <v>197</v>
      </c>
      <c r="V308" s="221" t="s">
        <v>293</v>
      </c>
      <c r="W308" s="221" t="s">
        <v>882</v>
      </c>
      <c r="X308" s="221"/>
      <c r="Y308" s="221" t="s">
        <v>91</v>
      </c>
      <c r="Z308" s="221" t="s">
        <v>170</v>
      </c>
      <c r="AA308" s="222">
        <v>42927</v>
      </c>
      <c r="AB308" s="221" t="s">
        <v>872</v>
      </c>
      <c r="AC308" s="63">
        <f t="shared" si="14"/>
        <v>1</v>
      </c>
      <c r="AD308" s="226" t="s">
        <v>32</v>
      </c>
      <c r="AE308" s="221" t="s">
        <v>218</v>
      </c>
      <c r="AF308" s="221"/>
      <c r="AG308" s="221"/>
      <c r="AH308" s="64" t="s">
        <v>977</v>
      </c>
      <c r="AI308" s="221"/>
      <c r="AJ308" s="221"/>
      <c r="AK308" s="221"/>
      <c r="AL308" s="221"/>
      <c r="AM308" s="221"/>
    </row>
    <row r="309" spans="1:39" ht="25.5" hidden="1" customHeight="1">
      <c r="A309" s="147">
        <v>308</v>
      </c>
      <c r="B309" s="170">
        <v>200537</v>
      </c>
      <c r="C309" s="117" t="s">
        <v>128</v>
      </c>
      <c r="D309" s="57">
        <v>42919</v>
      </c>
      <c r="E309" s="58" t="s">
        <v>890</v>
      </c>
      <c r="F309" s="118">
        <v>42950</v>
      </c>
      <c r="G309" s="117">
        <f t="shared" si="16"/>
        <v>31</v>
      </c>
      <c r="H309" s="117" t="s">
        <v>363</v>
      </c>
      <c r="I309" s="221"/>
      <c r="J309" s="60" t="s">
        <v>614</v>
      </c>
      <c r="K309" s="94">
        <v>2430.59</v>
      </c>
      <c r="L309" s="94">
        <v>2430.59</v>
      </c>
      <c r="M309" s="96">
        <v>0</v>
      </c>
      <c r="N309" s="221"/>
      <c r="O309" s="93">
        <f t="shared" si="15"/>
        <v>2284.7546000000002</v>
      </c>
      <c r="P309" s="119" t="s">
        <v>263</v>
      </c>
      <c r="Q309" s="119" t="s">
        <v>1341</v>
      </c>
      <c r="R309" s="146" t="s">
        <v>787</v>
      </c>
      <c r="S309" s="225" t="s">
        <v>466</v>
      </c>
      <c r="T309" s="148" t="s">
        <v>255</v>
      </c>
      <c r="U309" s="221" t="s">
        <v>884</v>
      </c>
      <c r="V309" s="221" t="s">
        <v>888</v>
      </c>
      <c r="W309" s="146"/>
      <c r="X309" s="117"/>
      <c r="Y309" s="221"/>
      <c r="Z309" s="117" t="s">
        <v>687</v>
      </c>
      <c r="AA309" s="221"/>
      <c r="AB309" s="117"/>
      <c r="AC309" s="63">
        <f t="shared" si="14"/>
        <v>1</v>
      </c>
      <c r="AD309" s="221"/>
      <c r="AE309" s="117"/>
      <c r="AF309" s="117"/>
      <c r="AG309" s="117"/>
      <c r="AH309" s="64" t="s">
        <v>968</v>
      </c>
      <c r="AI309" s="117"/>
      <c r="AJ309" s="146"/>
      <c r="AK309" s="221"/>
      <c r="AL309" s="117"/>
      <c r="AM309" s="146"/>
    </row>
    <row r="310" spans="1:39" ht="12.75" hidden="1" customHeight="1">
      <c r="A310" s="147">
        <v>309</v>
      </c>
      <c r="B310" s="170">
        <v>199975</v>
      </c>
      <c r="C310" s="221" t="s">
        <v>128</v>
      </c>
      <c r="D310" s="57">
        <v>42920</v>
      </c>
      <c r="E310" s="58" t="s">
        <v>890</v>
      </c>
      <c r="F310" s="118">
        <v>42926</v>
      </c>
      <c r="G310" s="117">
        <f t="shared" si="16"/>
        <v>6</v>
      </c>
      <c r="H310" s="221" t="s">
        <v>363</v>
      </c>
      <c r="I310" s="221"/>
      <c r="J310" s="60" t="s">
        <v>614</v>
      </c>
      <c r="K310" s="94">
        <v>2999</v>
      </c>
      <c r="L310" s="94">
        <v>2999</v>
      </c>
      <c r="M310" s="96">
        <v>0</v>
      </c>
      <c r="N310" s="221"/>
      <c r="O310" s="93">
        <f t="shared" si="15"/>
        <v>2819.06</v>
      </c>
      <c r="P310" s="119" t="s">
        <v>264</v>
      </c>
      <c r="Q310" s="119" t="s">
        <v>1342</v>
      </c>
      <c r="R310" s="224" t="s">
        <v>210</v>
      </c>
      <c r="S310" s="225" t="s">
        <v>469</v>
      </c>
      <c r="T310" s="224" t="s">
        <v>380</v>
      </c>
      <c r="U310" s="221" t="s">
        <v>858</v>
      </c>
      <c r="V310" s="221" t="s">
        <v>834</v>
      </c>
      <c r="W310" s="221"/>
      <c r="X310" s="221"/>
      <c r="Y310" s="221"/>
      <c r="Z310" s="117" t="s">
        <v>296</v>
      </c>
      <c r="AA310" s="221"/>
      <c r="AB310" s="117"/>
      <c r="AC310" s="63">
        <f t="shared" si="14"/>
        <v>1</v>
      </c>
      <c r="AD310" s="221"/>
      <c r="AE310" s="221" t="s">
        <v>1553</v>
      </c>
      <c r="AF310" s="117"/>
      <c r="AG310" s="117"/>
      <c r="AH310" s="64" t="s">
        <v>994</v>
      </c>
      <c r="AI310" s="117"/>
      <c r="AJ310" s="146"/>
      <c r="AK310" s="221"/>
      <c r="AL310" s="117"/>
      <c r="AM310" s="146"/>
    </row>
    <row r="311" spans="1:39" ht="12.75" hidden="1" customHeight="1">
      <c r="A311" s="147">
        <v>310</v>
      </c>
      <c r="B311" s="170">
        <v>200121</v>
      </c>
      <c r="C311" s="117" t="s">
        <v>128</v>
      </c>
      <c r="D311" s="57">
        <v>42920</v>
      </c>
      <c r="E311" s="58" t="s">
        <v>890</v>
      </c>
      <c r="F311" s="118">
        <v>42931</v>
      </c>
      <c r="G311" s="117">
        <f t="shared" si="16"/>
        <v>11</v>
      </c>
      <c r="H311" s="146" t="s">
        <v>363</v>
      </c>
      <c r="I311" s="221"/>
      <c r="J311" s="60" t="s">
        <v>614</v>
      </c>
      <c r="K311" s="94">
        <v>1599.2</v>
      </c>
      <c r="L311" s="94">
        <v>1599.2</v>
      </c>
      <c r="M311" s="96">
        <v>0</v>
      </c>
      <c r="N311" s="221"/>
      <c r="O311" s="93">
        <f t="shared" si="15"/>
        <v>1503.248</v>
      </c>
      <c r="P311" s="119" t="s">
        <v>264</v>
      </c>
      <c r="Q311" s="119" t="s">
        <v>1342</v>
      </c>
      <c r="R311" s="221" t="s">
        <v>787</v>
      </c>
      <c r="S311" s="225" t="s">
        <v>466</v>
      </c>
      <c r="T311" s="221" t="s">
        <v>405</v>
      </c>
      <c r="U311" s="221" t="s">
        <v>543</v>
      </c>
      <c r="V311" s="148" t="s">
        <v>257</v>
      </c>
      <c r="W311" s="221"/>
      <c r="X311" s="221"/>
      <c r="Y311" s="221"/>
      <c r="Z311" s="117" t="s">
        <v>565</v>
      </c>
      <c r="AA311" s="221"/>
      <c r="AB311" s="117"/>
      <c r="AC311" s="63">
        <f t="shared" si="14"/>
        <v>1</v>
      </c>
      <c r="AD311" s="221"/>
      <c r="AE311" s="221" t="s">
        <v>1553</v>
      </c>
      <c r="AF311" s="117"/>
      <c r="AG311" s="117"/>
      <c r="AH311" s="64" t="s">
        <v>1059</v>
      </c>
      <c r="AI311" s="117"/>
      <c r="AJ311" s="146"/>
      <c r="AK311" s="221"/>
      <c r="AL311" s="117"/>
      <c r="AM311" s="146"/>
    </row>
    <row r="312" spans="1:39" ht="12.75" hidden="1" customHeight="1">
      <c r="A312" s="147">
        <v>311</v>
      </c>
      <c r="B312" s="170">
        <v>200174</v>
      </c>
      <c r="C312" s="221" t="s">
        <v>86</v>
      </c>
      <c r="D312" s="57">
        <v>42920</v>
      </c>
      <c r="E312" s="58" t="s">
        <v>890</v>
      </c>
      <c r="F312" s="118">
        <v>42920</v>
      </c>
      <c r="G312" s="117">
        <f t="shared" si="16"/>
        <v>0</v>
      </c>
      <c r="H312" s="117" t="s">
        <v>363</v>
      </c>
      <c r="I312" s="221"/>
      <c r="J312" s="60" t="s">
        <v>614</v>
      </c>
      <c r="K312" s="94">
        <v>3719.07</v>
      </c>
      <c r="L312" s="94">
        <v>3719.07</v>
      </c>
      <c r="M312" s="96">
        <v>0</v>
      </c>
      <c r="N312" s="221"/>
      <c r="O312" s="93">
        <f t="shared" si="15"/>
        <v>3495.9258</v>
      </c>
      <c r="P312" s="119" t="s">
        <v>264</v>
      </c>
      <c r="Q312" s="119" t="s">
        <v>1342</v>
      </c>
      <c r="R312" s="221" t="s">
        <v>122</v>
      </c>
      <c r="S312" s="225" t="s">
        <v>469</v>
      </c>
      <c r="T312" s="221" t="s">
        <v>114</v>
      </c>
      <c r="U312" s="221" t="s">
        <v>885</v>
      </c>
      <c r="V312" s="224" t="s">
        <v>90</v>
      </c>
      <c r="W312" s="221"/>
      <c r="X312" s="221"/>
      <c r="Y312" s="117"/>
      <c r="Z312" s="117" t="s">
        <v>170</v>
      </c>
      <c r="AA312" s="221"/>
      <c r="AB312" s="117"/>
      <c r="AC312" s="63">
        <f t="shared" si="14"/>
        <v>1</v>
      </c>
      <c r="AD312" s="221"/>
      <c r="AE312" s="117"/>
      <c r="AF312" s="117"/>
      <c r="AG312" s="117"/>
      <c r="AH312" s="64" t="s">
        <v>893</v>
      </c>
      <c r="AI312" s="117"/>
      <c r="AJ312" s="221"/>
      <c r="AK312" s="221"/>
      <c r="AL312" s="117"/>
      <c r="AM312" s="221"/>
    </row>
    <row r="313" spans="1:39" ht="25.5" hidden="1" customHeight="1">
      <c r="A313" s="147">
        <v>312</v>
      </c>
      <c r="B313" s="170">
        <v>199912</v>
      </c>
      <c r="C313" s="117" t="s">
        <v>121</v>
      </c>
      <c r="D313" s="57">
        <v>42922</v>
      </c>
      <c r="E313" s="58" t="s">
        <v>890</v>
      </c>
      <c r="F313" s="118">
        <v>42932</v>
      </c>
      <c r="G313" s="117">
        <f t="shared" si="16"/>
        <v>10</v>
      </c>
      <c r="H313" s="117" t="s">
        <v>133</v>
      </c>
      <c r="I313" s="221" t="s">
        <v>965</v>
      </c>
      <c r="J313" s="60" t="s">
        <v>614</v>
      </c>
      <c r="K313" s="94">
        <v>1999</v>
      </c>
      <c r="L313" s="94">
        <v>1999</v>
      </c>
      <c r="M313" s="221">
        <v>320</v>
      </c>
      <c r="N313" s="221">
        <v>230</v>
      </c>
      <c r="O313" s="93">
        <f t="shared" si="15"/>
        <v>1559.06</v>
      </c>
      <c r="P313" s="119" t="s">
        <v>263</v>
      </c>
      <c r="Q313" s="119" t="s">
        <v>1341</v>
      </c>
      <c r="R313" s="221" t="s">
        <v>122</v>
      </c>
      <c r="S313" s="225" t="s">
        <v>469</v>
      </c>
      <c r="T313" s="221" t="s">
        <v>164</v>
      </c>
      <c r="U313" s="221" t="s">
        <v>886</v>
      </c>
      <c r="V313" s="222" t="s">
        <v>169</v>
      </c>
      <c r="W313" s="224" t="s">
        <v>889</v>
      </c>
      <c r="X313" s="146"/>
      <c r="Y313" s="221" t="s">
        <v>1942</v>
      </c>
      <c r="Z313" s="221" t="s">
        <v>253</v>
      </c>
      <c r="AA313" s="222">
        <v>42927</v>
      </c>
      <c r="AB313" s="117" t="s">
        <v>946</v>
      </c>
      <c r="AC313" s="63">
        <f t="shared" si="14"/>
        <v>1</v>
      </c>
      <c r="AD313" s="221" t="s">
        <v>217</v>
      </c>
      <c r="AE313" s="221" t="s">
        <v>218</v>
      </c>
      <c r="AF313" s="117"/>
      <c r="AG313" s="117"/>
      <c r="AH313" s="64" t="s">
        <v>947</v>
      </c>
      <c r="AI313" s="117" t="s">
        <v>184</v>
      </c>
      <c r="AJ313" s="222">
        <v>42933</v>
      </c>
      <c r="AK313" s="221" t="s">
        <v>2145</v>
      </c>
      <c r="AL313" s="117" t="s">
        <v>645</v>
      </c>
      <c r="AM313" s="222">
        <v>42933</v>
      </c>
    </row>
    <row r="314" spans="1:39" ht="12.75" hidden="1" customHeight="1">
      <c r="A314" s="147">
        <v>313</v>
      </c>
      <c r="B314" s="170">
        <v>200654</v>
      </c>
      <c r="C314" s="221" t="s">
        <v>128</v>
      </c>
      <c r="D314" s="57">
        <v>42926</v>
      </c>
      <c r="E314" s="58" t="s">
        <v>890</v>
      </c>
      <c r="F314" s="222">
        <v>42935</v>
      </c>
      <c r="G314" s="221">
        <f t="shared" si="16"/>
        <v>9</v>
      </c>
      <c r="H314" s="221" t="s">
        <v>133</v>
      </c>
      <c r="I314" s="221"/>
      <c r="J314" s="223" t="s">
        <v>614</v>
      </c>
      <c r="K314" s="94">
        <v>2849.05</v>
      </c>
      <c r="L314" s="94">
        <v>2849.05</v>
      </c>
      <c r="M314" s="221"/>
      <c r="N314" s="221"/>
      <c r="O314" s="151">
        <f t="shared" si="15"/>
        <v>0</v>
      </c>
      <c r="P314" s="224" t="s">
        <v>264</v>
      </c>
      <c r="Q314" s="119" t="s">
        <v>1342</v>
      </c>
      <c r="R314" s="221" t="s">
        <v>237</v>
      </c>
      <c r="S314" s="225" t="s">
        <v>465</v>
      </c>
      <c r="T314" s="221" t="s">
        <v>120</v>
      </c>
      <c r="U314" s="221" t="s">
        <v>895</v>
      </c>
      <c r="V314" s="221" t="s">
        <v>897</v>
      </c>
      <c r="W314" s="221" t="s">
        <v>898</v>
      </c>
      <c r="X314" s="221"/>
      <c r="Y314" s="221"/>
      <c r="Z314" s="221" t="s">
        <v>137</v>
      </c>
      <c r="AA314" s="221"/>
      <c r="AB314" s="221"/>
      <c r="AC314" s="63">
        <f t="shared" si="14"/>
        <v>0</v>
      </c>
      <c r="AD314" s="221"/>
      <c r="AE314" s="221" t="s">
        <v>217</v>
      </c>
      <c r="AF314" s="221" t="s">
        <v>225</v>
      </c>
      <c r="AG314" s="221"/>
      <c r="AH314" s="64"/>
      <c r="AI314" s="221"/>
      <c r="AJ314" s="221"/>
      <c r="AK314" s="221"/>
      <c r="AL314" s="221"/>
      <c r="AM314" s="221"/>
    </row>
    <row r="315" spans="1:39" ht="12.75" hidden="1" customHeight="1">
      <c r="A315" s="147">
        <v>314</v>
      </c>
      <c r="B315" s="170">
        <v>200712</v>
      </c>
      <c r="C315" s="117" t="s">
        <v>86</v>
      </c>
      <c r="D315" s="57">
        <v>42926</v>
      </c>
      <c r="E315" s="58" t="s">
        <v>890</v>
      </c>
      <c r="F315" s="118">
        <v>42926</v>
      </c>
      <c r="G315" s="117">
        <f t="shared" si="16"/>
        <v>0</v>
      </c>
      <c r="H315" s="117" t="s">
        <v>363</v>
      </c>
      <c r="I315" s="221"/>
      <c r="J315" s="60" t="s">
        <v>614</v>
      </c>
      <c r="K315" s="94">
        <v>2999</v>
      </c>
      <c r="L315" s="94">
        <v>2999</v>
      </c>
      <c r="M315" s="96">
        <v>0</v>
      </c>
      <c r="N315" s="221"/>
      <c r="O315" s="151">
        <f t="shared" si="15"/>
        <v>2819.06</v>
      </c>
      <c r="P315" s="119" t="s">
        <v>264</v>
      </c>
      <c r="Q315" s="119" t="s">
        <v>1342</v>
      </c>
      <c r="R315" s="224" t="s">
        <v>122</v>
      </c>
      <c r="S315" s="225" t="s">
        <v>469</v>
      </c>
      <c r="T315" s="221" t="s">
        <v>114</v>
      </c>
      <c r="U315" s="221" t="s">
        <v>887</v>
      </c>
      <c r="V315" s="221" t="s">
        <v>222</v>
      </c>
      <c r="W315" s="221"/>
      <c r="X315" s="146"/>
      <c r="Y315" s="221"/>
      <c r="Z315" s="146" t="s">
        <v>170</v>
      </c>
      <c r="AA315" s="221"/>
      <c r="AB315" s="117"/>
      <c r="AC315" s="63">
        <f t="shared" si="14"/>
        <v>1</v>
      </c>
      <c r="AD315" s="221"/>
      <c r="AE315" s="221" t="s">
        <v>218</v>
      </c>
      <c r="AF315" s="117"/>
      <c r="AG315" s="117"/>
      <c r="AH315" s="64" t="s">
        <v>949</v>
      </c>
      <c r="AI315" s="117"/>
      <c r="AJ315" s="146"/>
      <c r="AK315" s="221"/>
      <c r="AL315" s="117"/>
      <c r="AM315" s="146"/>
    </row>
    <row r="316" spans="1:39" ht="12.75" hidden="1" customHeight="1">
      <c r="A316" s="147">
        <v>315</v>
      </c>
      <c r="B316" s="170">
        <v>201026</v>
      </c>
      <c r="C316" s="117" t="s">
        <v>121</v>
      </c>
      <c r="D316" s="57">
        <v>42926</v>
      </c>
      <c r="E316" s="58" t="s">
        <v>890</v>
      </c>
      <c r="F316" s="118">
        <v>42940</v>
      </c>
      <c r="G316" s="117">
        <f t="shared" si="16"/>
        <v>14</v>
      </c>
      <c r="H316" s="117" t="s">
        <v>133</v>
      </c>
      <c r="I316" s="221"/>
      <c r="J316" s="60" t="s">
        <v>614</v>
      </c>
      <c r="K316" s="94">
        <v>1099</v>
      </c>
      <c r="L316" s="94">
        <v>1099</v>
      </c>
      <c r="M316" s="221"/>
      <c r="N316" s="221"/>
      <c r="O316" s="151">
        <f t="shared" si="15"/>
        <v>0</v>
      </c>
      <c r="P316" s="119" t="s">
        <v>264</v>
      </c>
      <c r="Q316" s="119" t="s">
        <v>1342</v>
      </c>
      <c r="R316" s="224" t="s">
        <v>122</v>
      </c>
      <c r="S316" s="225" t="s">
        <v>469</v>
      </c>
      <c r="T316" s="221" t="s">
        <v>294</v>
      </c>
      <c r="U316" s="221" t="s">
        <v>894</v>
      </c>
      <c r="V316" s="221" t="s">
        <v>896</v>
      </c>
      <c r="W316" s="221"/>
      <c r="X316" s="146"/>
      <c r="Y316" s="221" t="s">
        <v>296</v>
      </c>
      <c r="Z316" s="117" t="s">
        <v>379</v>
      </c>
      <c r="AA316" s="221"/>
      <c r="AB316" s="117"/>
      <c r="AC316" s="63">
        <f t="shared" si="14"/>
        <v>0</v>
      </c>
      <c r="AD316" s="221"/>
      <c r="AE316" s="221" t="s">
        <v>217</v>
      </c>
      <c r="AF316" s="146" t="s">
        <v>1021</v>
      </c>
      <c r="AG316" s="117"/>
      <c r="AH316" s="64" t="s">
        <v>950</v>
      </c>
      <c r="AI316" s="221"/>
      <c r="AJ316" s="221"/>
      <c r="AK316" s="221"/>
      <c r="AL316" s="221"/>
      <c r="AM316" s="146"/>
    </row>
    <row r="317" spans="1:39" ht="12.75" hidden="1" customHeight="1">
      <c r="A317" s="147">
        <v>316</v>
      </c>
      <c r="B317" s="170">
        <v>200669</v>
      </c>
      <c r="C317" s="117" t="s">
        <v>128</v>
      </c>
      <c r="D317" s="57">
        <v>42927</v>
      </c>
      <c r="E317" s="58" t="s">
        <v>890</v>
      </c>
      <c r="F317" s="118">
        <v>42955</v>
      </c>
      <c r="G317" s="117">
        <f t="shared" si="16"/>
        <v>28</v>
      </c>
      <c r="H317" s="117" t="s">
        <v>133</v>
      </c>
      <c r="I317" s="221"/>
      <c r="J317" s="60" t="s">
        <v>614</v>
      </c>
      <c r="K317" s="94">
        <v>2299</v>
      </c>
      <c r="L317" s="94">
        <v>2299</v>
      </c>
      <c r="M317" s="221"/>
      <c r="N317" s="221"/>
      <c r="O317" s="151">
        <f t="shared" si="15"/>
        <v>0</v>
      </c>
      <c r="P317" s="119" t="s">
        <v>261</v>
      </c>
      <c r="Q317" s="119" t="s">
        <v>1341</v>
      </c>
      <c r="R317" s="119" t="s">
        <v>122</v>
      </c>
      <c r="S317" s="225" t="s">
        <v>469</v>
      </c>
      <c r="T317" s="221" t="s">
        <v>829</v>
      </c>
      <c r="U317" s="221" t="s">
        <v>833</v>
      </c>
      <c r="V317" s="224" t="s">
        <v>90</v>
      </c>
      <c r="W317" s="146"/>
      <c r="X317" s="146"/>
      <c r="Y317" s="221" t="s">
        <v>565</v>
      </c>
      <c r="Z317" s="117" t="s">
        <v>296</v>
      </c>
      <c r="AA317" s="222">
        <v>42930</v>
      </c>
      <c r="AB317" s="117" t="s">
        <v>195</v>
      </c>
      <c r="AC317" s="63">
        <f t="shared" si="14"/>
        <v>0</v>
      </c>
      <c r="AD317" s="221"/>
      <c r="AE317" s="221" t="s">
        <v>217</v>
      </c>
      <c r="AF317" s="148" t="s">
        <v>1625</v>
      </c>
      <c r="AG317" s="117"/>
      <c r="AH317" s="64" t="s">
        <v>1112</v>
      </c>
      <c r="AI317" s="117"/>
      <c r="AJ317" s="221"/>
      <c r="AK317" s="221"/>
      <c r="AL317" s="117"/>
      <c r="AM317" s="221"/>
    </row>
    <row r="318" spans="1:39" hidden="1">
      <c r="A318" s="147">
        <v>317</v>
      </c>
      <c r="B318" s="170">
        <v>201015</v>
      </c>
      <c r="C318" s="146" t="s">
        <v>128</v>
      </c>
      <c r="D318" s="57">
        <v>42927</v>
      </c>
      <c r="E318" s="58" t="s">
        <v>890</v>
      </c>
      <c r="F318" s="118">
        <v>42942</v>
      </c>
      <c r="G318" s="117">
        <f t="shared" si="16"/>
        <v>15</v>
      </c>
      <c r="H318" s="150" t="s">
        <v>363</v>
      </c>
      <c r="I318" s="221"/>
      <c r="J318" s="60" t="s">
        <v>614</v>
      </c>
      <c r="K318" s="94">
        <v>1099</v>
      </c>
      <c r="L318" s="94">
        <v>1099</v>
      </c>
      <c r="M318" s="96">
        <v>0</v>
      </c>
      <c r="N318" s="221"/>
      <c r="O318" s="151">
        <f t="shared" si="15"/>
        <v>0</v>
      </c>
      <c r="P318" s="119" t="s">
        <v>262</v>
      </c>
      <c r="Q318" s="119" t="s">
        <v>1342</v>
      </c>
      <c r="R318" s="221" t="s">
        <v>143</v>
      </c>
      <c r="S318" s="62" t="s">
        <v>465</v>
      </c>
      <c r="T318" s="221" t="s">
        <v>88</v>
      </c>
      <c r="U318" s="221" t="s">
        <v>431</v>
      </c>
      <c r="V318" s="221" t="s">
        <v>432</v>
      </c>
      <c r="W318" s="221"/>
      <c r="X318" s="221"/>
      <c r="Y318" s="221"/>
      <c r="Z318" s="221" t="s">
        <v>510</v>
      </c>
      <c r="AA318" s="221"/>
      <c r="AB318" s="117"/>
      <c r="AC318" s="63">
        <f t="shared" si="14"/>
        <v>0</v>
      </c>
      <c r="AD318" s="221" t="s">
        <v>217</v>
      </c>
      <c r="AE318" s="221" t="s">
        <v>217</v>
      </c>
      <c r="AF318" s="117" t="s">
        <v>225</v>
      </c>
      <c r="AG318" s="117"/>
      <c r="AH318" s="64" t="s">
        <v>980</v>
      </c>
      <c r="AI318" s="221"/>
      <c r="AJ318" s="221"/>
      <c r="AK318" s="221"/>
      <c r="AL318" s="221"/>
      <c r="AM318" s="146"/>
    </row>
    <row r="319" spans="1:39" ht="12.75" hidden="1" customHeight="1">
      <c r="A319" s="147">
        <v>318</v>
      </c>
      <c r="B319" s="170">
        <v>200202</v>
      </c>
      <c r="C319" s="117" t="s">
        <v>121</v>
      </c>
      <c r="D319" s="57">
        <v>42927</v>
      </c>
      <c r="E319" s="58" t="s">
        <v>890</v>
      </c>
      <c r="F319" s="118">
        <v>42931</v>
      </c>
      <c r="G319" s="117">
        <f t="shared" si="16"/>
        <v>4</v>
      </c>
      <c r="H319" s="117" t="s">
        <v>133</v>
      </c>
      <c r="I319" s="221"/>
      <c r="J319" s="60" t="s">
        <v>614</v>
      </c>
      <c r="K319" s="94">
        <v>1999</v>
      </c>
      <c r="L319" s="94">
        <v>1999</v>
      </c>
      <c r="M319" s="221"/>
      <c r="N319" s="221"/>
      <c r="O319" s="151">
        <f t="shared" si="15"/>
        <v>0</v>
      </c>
      <c r="P319" s="119" t="s">
        <v>264</v>
      </c>
      <c r="Q319" s="119" t="s">
        <v>1342</v>
      </c>
      <c r="R319" s="224" t="s">
        <v>210</v>
      </c>
      <c r="S319" s="225" t="s">
        <v>469</v>
      </c>
      <c r="T319" s="221" t="s">
        <v>114</v>
      </c>
      <c r="U319" s="221" t="s">
        <v>942</v>
      </c>
      <c r="V319" s="221" t="s">
        <v>943</v>
      </c>
      <c r="W319" s="221"/>
      <c r="X319" s="221"/>
      <c r="Y319" s="221"/>
      <c r="Z319" s="221" t="s">
        <v>203</v>
      </c>
      <c r="AA319" s="221"/>
      <c r="AB319" s="117"/>
      <c r="AC319" s="63">
        <f t="shared" si="14"/>
        <v>0</v>
      </c>
      <c r="AD319" s="221"/>
      <c r="AE319" s="221" t="s">
        <v>217</v>
      </c>
      <c r="AF319" s="117" t="s">
        <v>225</v>
      </c>
      <c r="AG319" s="117"/>
      <c r="AH319" s="64"/>
      <c r="AI319" s="117"/>
      <c r="AJ319" s="221"/>
      <c r="AK319" s="221"/>
      <c r="AL319" s="117"/>
      <c r="AM319" s="221"/>
    </row>
    <row r="320" spans="1:39" ht="12.75" hidden="1" customHeight="1">
      <c r="A320" s="147">
        <v>319</v>
      </c>
      <c r="B320" s="170">
        <v>199974</v>
      </c>
      <c r="C320" s="117" t="s">
        <v>121</v>
      </c>
      <c r="D320" s="57">
        <v>42927</v>
      </c>
      <c r="E320" s="58" t="s">
        <v>890</v>
      </c>
      <c r="F320" s="118">
        <v>42930</v>
      </c>
      <c r="G320" s="117">
        <f t="shared" si="16"/>
        <v>3</v>
      </c>
      <c r="H320" s="117" t="s">
        <v>133</v>
      </c>
      <c r="I320" s="221"/>
      <c r="J320" s="60" t="s">
        <v>614</v>
      </c>
      <c r="K320" s="94">
        <v>3499</v>
      </c>
      <c r="L320" s="94">
        <v>3499</v>
      </c>
      <c r="M320" s="221"/>
      <c r="N320" s="221"/>
      <c r="O320" s="151">
        <f t="shared" si="15"/>
        <v>0</v>
      </c>
      <c r="P320" s="119" t="s">
        <v>264</v>
      </c>
      <c r="Q320" s="119" t="s">
        <v>1342</v>
      </c>
      <c r="R320" s="224" t="s">
        <v>122</v>
      </c>
      <c r="S320" s="225" t="s">
        <v>469</v>
      </c>
      <c r="T320" s="224" t="s">
        <v>164</v>
      </c>
      <c r="U320" s="221" t="s">
        <v>728</v>
      </c>
      <c r="V320" s="221" t="s">
        <v>222</v>
      </c>
      <c r="W320" s="221"/>
      <c r="X320" s="117"/>
      <c r="Y320" s="117"/>
      <c r="Z320" s="117" t="s">
        <v>253</v>
      </c>
      <c r="AA320" s="221"/>
      <c r="AB320" s="117"/>
      <c r="AC320" s="63">
        <f t="shared" si="14"/>
        <v>0</v>
      </c>
      <c r="AD320" s="221"/>
      <c r="AE320" s="221" t="s">
        <v>217</v>
      </c>
      <c r="AF320" s="117" t="s">
        <v>225</v>
      </c>
      <c r="AG320" s="117"/>
      <c r="AH320" s="64"/>
      <c r="AI320" s="221"/>
      <c r="AJ320" s="221"/>
      <c r="AK320" s="221"/>
      <c r="AL320" s="221"/>
      <c r="AM320" s="221"/>
    </row>
    <row r="321" spans="1:39" ht="12.75" hidden="1" customHeight="1">
      <c r="A321" s="147">
        <v>320</v>
      </c>
      <c r="B321" s="170">
        <v>200591</v>
      </c>
      <c r="C321" s="117" t="s">
        <v>540</v>
      </c>
      <c r="D321" s="57">
        <v>42929</v>
      </c>
      <c r="E321" s="58" t="s">
        <v>890</v>
      </c>
      <c r="F321" s="118">
        <v>42941</v>
      </c>
      <c r="G321" s="117">
        <f t="shared" si="16"/>
        <v>12</v>
      </c>
      <c r="H321" s="117" t="s">
        <v>133</v>
      </c>
      <c r="I321" s="221"/>
      <c r="J321" s="60" t="s">
        <v>614</v>
      </c>
      <c r="K321" s="94">
        <v>1799</v>
      </c>
      <c r="L321" s="94">
        <v>1799</v>
      </c>
      <c r="M321" s="221"/>
      <c r="N321" s="221"/>
      <c r="O321" s="151">
        <f t="shared" si="15"/>
        <v>0</v>
      </c>
      <c r="P321" s="119" t="s">
        <v>264</v>
      </c>
      <c r="Q321" s="119" t="s">
        <v>1342</v>
      </c>
      <c r="R321" s="146" t="s">
        <v>143</v>
      </c>
      <c r="S321" s="62" t="s">
        <v>465</v>
      </c>
      <c r="T321" s="221" t="s">
        <v>88</v>
      </c>
      <c r="U321" s="221" t="s">
        <v>951</v>
      </c>
      <c r="V321" s="221" t="s">
        <v>749</v>
      </c>
      <c r="W321" s="221"/>
      <c r="X321" s="117"/>
      <c r="Y321" s="117"/>
      <c r="Z321" s="117" t="s">
        <v>189</v>
      </c>
      <c r="AA321" s="221"/>
      <c r="AB321" s="117"/>
      <c r="AC321" s="63">
        <f t="shared" si="14"/>
        <v>0</v>
      </c>
      <c r="AD321" s="221"/>
      <c r="AE321" s="221" t="s">
        <v>217</v>
      </c>
      <c r="AF321" s="117" t="s">
        <v>225</v>
      </c>
      <c r="AG321" s="117"/>
      <c r="AH321" s="64"/>
      <c r="AI321" s="221"/>
      <c r="AJ321" s="221"/>
      <c r="AK321" s="221"/>
      <c r="AL321" s="221"/>
      <c r="AM321" s="146"/>
    </row>
    <row r="322" spans="1:39" ht="12.75" hidden="1" customHeight="1">
      <c r="A322" s="147">
        <v>321</v>
      </c>
      <c r="B322" s="170">
        <v>200721</v>
      </c>
      <c r="C322" s="117" t="s">
        <v>540</v>
      </c>
      <c r="D322" s="57">
        <v>42929</v>
      </c>
      <c r="E322" s="58" t="s">
        <v>890</v>
      </c>
      <c r="F322" s="118">
        <v>42938</v>
      </c>
      <c r="G322" s="117">
        <f t="shared" si="16"/>
        <v>9</v>
      </c>
      <c r="H322" s="117" t="s">
        <v>133</v>
      </c>
      <c r="I322" s="221"/>
      <c r="J322" s="60" t="s">
        <v>614</v>
      </c>
      <c r="K322" s="94">
        <v>899</v>
      </c>
      <c r="L322" s="94">
        <v>899</v>
      </c>
      <c r="M322" s="221">
        <v>140</v>
      </c>
      <c r="N322" s="221">
        <v>150</v>
      </c>
      <c r="O322" s="93">
        <f t="shared" si="15"/>
        <v>695.06</v>
      </c>
      <c r="P322" s="119" t="s">
        <v>264</v>
      </c>
      <c r="Q322" s="119" t="s">
        <v>1342</v>
      </c>
      <c r="R322" s="221" t="s">
        <v>143</v>
      </c>
      <c r="S322" s="62" t="s">
        <v>465</v>
      </c>
      <c r="T322" s="221" t="s">
        <v>88</v>
      </c>
      <c r="U322" s="221" t="s">
        <v>952</v>
      </c>
      <c r="V322" s="221" t="s">
        <v>432</v>
      </c>
      <c r="W322" s="221"/>
      <c r="X322" s="221"/>
      <c r="Y322" s="221" t="s">
        <v>316</v>
      </c>
      <c r="Z322" s="221" t="s">
        <v>189</v>
      </c>
      <c r="AA322" s="222">
        <v>42933</v>
      </c>
      <c r="AB322" s="117" t="s">
        <v>872</v>
      </c>
      <c r="AC322" s="63">
        <f t="shared" ref="AC322:AC385" si="17">+IF(O322&gt;0,1,0)</f>
        <v>1</v>
      </c>
      <c r="AD322" s="221" t="s">
        <v>217</v>
      </c>
      <c r="AE322" s="221" t="s">
        <v>218</v>
      </c>
      <c r="AF322" s="117"/>
      <c r="AG322" s="117"/>
      <c r="AH322" s="64" t="s">
        <v>1009</v>
      </c>
      <c r="AI322" s="221" t="s">
        <v>184</v>
      </c>
      <c r="AJ322" s="222">
        <v>42948</v>
      </c>
      <c r="AK322" s="221" t="s">
        <v>1053</v>
      </c>
      <c r="AL322" s="221" t="s">
        <v>645</v>
      </c>
      <c r="AM322" s="222">
        <v>42948</v>
      </c>
    </row>
    <row r="323" spans="1:39" ht="12.75" hidden="1" customHeight="1">
      <c r="A323" s="147">
        <v>322</v>
      </c>
      <c r="B323" s="170">
        <v>200728</v>
      </c>
      <c r="C323" s="146" t="s">
        <v>540</v>
      </c>
      <c r="D323" s="57">
        <v>42929</v>
      </c>
      <c r="E323" s="58" t="s">
        <v>890</v>
      </c>
      <c r="F323" s="118">
        <v>42938</v>
      </c>
      <c r="G323" s="117">
        <f t="shared" si="16"/>
        <v>9</v>
      </c>
      <c r="H323" s="221" t="s">
        <v>133</v>
      </c>
      <c r="I323" s="221"/>
      <c r="J323" s="60" t="s">
        <v>614</v>
      </c>
      <c r="K323" s="94">
        <v>2899</v>
      </c>
      <c r="L323" s="94">
        <v>2899</v>
      </c>
      <c r="M323" s="221">
        <v>290</v>
      </c>
      <c r="N323" s="221">
        <v>120</v>
      </c>
      <c r="O323" s="93">
        <f t="shared" si="15"/>
        <v>2435.06</v>
      </c>
      <c r="P323" s="119" t="s">
        <v>264</v>
      </c>
      <c r="Q323" s="119" t="s">
        <v>1342</v>
      </c>
      <c r="R323" s="221" t="s">
        <v>134</v>
      </c>
      <c r="S323" s="62" t="s">
        <v>465</v>
      </c>
      <c r="T323" s="221" t="s">
        <v>88</v>
      </c>
      <c r="U323" s="221" t="s">
        <v>1460</v>
      </c>
      <c r="V323" s="221" t="s">
        <v>429</v>
      </c>
      <c r="W323" s="221"/>
      <c r="X323" s="221"/>
      <c r="Y323" s="221" t="s">
        <v>316</v>
      </c>
      <c r="Z323" s="221" t="s">
        <v>189</v>
      </c>
      <c r="AA323" s="222">
        <v>42933</v>
      </c>
      <c r="AB323" s="117" t="s">
        <v>195</v>
      </c>
      <c r="AC323" s="63">
        <f t="shared" si="17"/>
        <v>1</v>
      </c>
      <c r="AD323" s="221" t="s">
        <v>217</v>
      </c>
      <c r="AE323" s="221" t="s">
        <v>218</v>
      </c>
      <c r="AF323" s="117"/>
      <c r="AG323" s="117"/>
      <c r="AH323" s="64"/>
      <c r="AI323" s="117" t="s">
        <v>184</v>
      </c>
      <c r="AJ323" s="222">
        <v>42948</v>
      </c>
      <c r="AK323" s="221" t="s">
        <v>1050</v>
      </c>
      <c r="AL323" s="117" t="s">
        <v>645</v>
      </c>
      <c r="AM323" s="222">
        <v>42948</v>
      </c>
    </row>
    <row r="324" spans="1:39" ht="12.75" hidden="1" customHeight="1">
      <c r="A324" s="147">
        <v>323</v>
      </c>
      <c r="B324" s="170">
        <v>200720</v>
      </c>
      <c r="C324" s="117" t="s">
        <v>121</v>
      </c>
      <c r="D324" s="57">
        <v>42929</v>
      </c>
      <c r="E324" s="58" t="s">
        <v>890</v>
      </c>
      <c r="F324" s="118">
        <v>42937</v>
      </c>
      <c r="G324" s="117">
        <f t="shared" si="16"/>
        <v>8</v>
      </c>
      <c r="H324" s="221" t="s">
        <v>363</v>
      </c>
      <c r="I324" s="221"/>
      <c r="J324" s="60" t="s">
        <v>614</v>
      </c>
      <c r="K324" s="94">
        <v>2909.03</v>
      </c>
      <c r="L324" s="94">
        <v>2909.03</v>
      </c>
      <c r="M324" s="96">
        <v>0</v>
      </c>
      <c r="N324" s="221"/>
      <c r="O324" s="93">
        <f t="shared" si="15"/>
        <v>2734.4882000000002</v>
      </c>
      <c r="P324" s="119" t="s">
        <v>264</v>
      </c>
      <c r="Q324" s="119" t="s">
        <v>1342</v>
      </c>
      <c r="R324" s="224" t="s">
        <v>514</v>
      </c>
      <c r="S324" s="225" t="s">
        <v>469</v>
      </c>
      <c r="T324" s="224" t="s">
        <v>164</v>
      </c>
      <c r="U324" s="221" t="s">
        <v>953</v>
      </c>
      <c r="V324" s="221" t="s">
        <v>249</v>
      </c>
      <c r="W324" s="221" t="s">
        <v>954</v>
      </c>
      <c r="X324" s="221"/>
      <c r="Y324" s="221"/>
      <c r="Z324" s="221" t="s">
        <v>202</v>
      </c>
      <c r="AA324" s="118">
        <v>42935</v>
      </c>
      <c r="AB324" s="117" t="s">
        <v>872</v>
      </c>
      <c r="AC324" s="63">
        <f t="shared" si="17"/>
        <v>1</v>
      </c>
      <c r="AD324" s="221"/>
      <c r="AE324" s="117"/>
      <c r="AF324" s="117"/>
      <c r="AG324" s="117"/>
      <c r="AH324" s="92" t="s">
        <v>1010</v>
      </c>
      <c r="AI324" s="117"/>
      <c r="AJ324" s="221"/>
      <c r="AK324" s="221"/>
      <c r="AL324" s="117"/>
      <c r="AM324" s="221"/>
    </row>
    <row r="325" spans="1:39" ht="12.75" hidden="1" customHeight="1">
      <c r="A325" s="147">
        <v>324</v>
      </c>
      <c r="B325" s="170">
        <v>200860</v>
      </c>
      <c r="C325" s="117" t="s">
        <v>540</v>
      </c>
      <c r="D325" s="57">
        <v>42930</v>
      </c>
      <c r="E325" s="58" t="s">
        <v>890</v>
      </c>
      <c r="F325" s="118">
        <v>42947</v>
      </c>
      <c r="G325" s="150">
        <f t="shared" si="16"/>
        <v>17</v>
      </c>
      <c r="H325" s="221" t="s">
        <v>133</v>
      </c>
      <c r="I325" s="221"/>
      <c r="J325" s="60" t="s">
        <v>614</v>
      </c>
      <c r="K325" s="94">
        <v>1599</v>
      </c>
      <c r="L325" s="94">
        <v>1599</v>
      </c>
      <c r="M325" s="221"/>
      <c r="N325" s="221"/>
      <c r="O325" s="151">
        <f t="shared" si="15"/>
        <v>0</v>
      </c>
      <c r="P325" s="119" t="s">
        <v>262</v>
      </c>
      <c r="Q325" s="119" t="s">
        <v>1342</v>
      </c>
      <c r="R325" s="224" t="s">
        <v>501</v>
      </c>
      <c r="S325" s="225" t="s">
        <v>466</v>
      </c>
      <c r="T325" s="224" t="s">
        <v>593</v>
      </c>
      <c r="U325" s="221" t="s">
        <v>955</v>
      </c>
      <c r="V325" s="221" t="s">
        <v>966</v>
      </c>
      <c r="W325" s="221" t="s">
        <v>956</v>
      </c>
      <c r="X325" s="221"/>
      <c r="Y325" s="221" t="s">
        <v>978</v>
      </c>
      <c r="Z325" s="221" t="s">
        <v>259</v>
      </c>
      <c r="AA325" s="222">
        <v>42935</v>
      </c>
      <c r="AB325" s="117" t="s">
        <v>591</v>
      </c>
      <c r="AC325" s="63">
        <f t="shared" si="17"/>
        <v>0</v>
      </c>
      <c r="AD325" s="221"/>
      <c r="AE325" s="221" t="s">
        <v>217</v>
      </c>
      <c r="AF325" s="148" t="s">
        <v>1625</v>
      </c>
      <c r="AG325" s="117"/>
      <c r="AH325" s="64" t="s">
        <v>1104</v>
      </c>
      <c r="AI325" s="117"/>
      <c r="AJ325" s="221"/>
      <c r="AK325" s="221"/>
      <c r="AL325" s="117"/>
      <c r="AM325" s="221"/>
    </row>
    <row r="326" spans="1:39" ht="12.75" hidden="1" customHeight="1">
      <c r="A326" s="147">
        <v>325</v>
      </c>
      <c r="B326" s="170">
        <v>200344</v>
      </c>
      <c r="C326" s="117" t="s">
        <v>128</v>
      </c>
      <c r="D326" s="57">
        <v>42930</v>
      </c>
      <c r="E326" s="58" t="s">
        <v>890</v>
      </c>
      <c r="F326" s="118">
        <v>42934</v>
      </c>
      <c r="G326" s="117">
        <f t="shared" si="16"/>
        <v>4</v>
      </c>
      <c r="H326" s="117" t="s">
        <v>363</v>
      </c>
      <c r="I326" s="221"/>
      <c r="J326" s="60" t="s">
        <v>614</v>
      </c>
      <c r="K326" s="94">
        <v>1399</v>
      </c>
      <c r="L326" s="94">
        <v>1399</v>
      </c>
      <c r="M326" s="96">
        <v>0</v>
      </c>
      <c r="N326" s="221"/>
      <c r="O326" s="151">
        <f t="shared" si="15"/>
        <v>0</v>
      </c>
      <c r="P326" s="119" t="s">
        <v>264</v>
      </c>
      <c r="Q326" s="119" t="s">
        <v>1342</v>
      </c>
      <c r="R326" s="221" t="s">
        <v>134</v>
      </c>
      <c r="S326" s="62" t="s">
        <v>465</v>
      </c>
      <c r="T326" s="221" t="s">
        <v>88</v>
      </c>
      <c r="U326" s="221" t="s">
        <v>957</v>
      </c>
      <c r="V326" s="221" t="s">
        <v>483</v>
      </c>
      <c r="W326" s="221" t="s">
        <v>958</v>
      </c>
      <c r="X326" s="117"/>
      <c r="Y326" s="117"/>
      <c r="Z326" s="221" t="s">
        <v>189</v>
      </c>
      <c r="AA326" s="221"/>
      <c r="AB326" s="117"/>
      <c r="AC326" s="63">
        <f t="shared" si="17"/>
        <v>0</v>
      </c>
      <c r="AD326" s="221"/>
      <c r="AE326" s="221" t="s">
        <v>217</v>
      </c>
      <c r="AF326" s="148" t="s">
        <v>1625</v>
      </c>
      <c r="AG326" s="117"/>
      <c r="AH326" s="64" t="s">
        <v>969</v>
      </c>
      <c r="AI326" s="117"/>
      <c r="AJ326" s="146"/>
      <c r="AK326" s="221"/>
      <c r="AL326" s="117"/>
      <c r="AM326" s="146"/>
    </row>
    <row r="327" spans="1:39" ht="25.5" hidden="1" customHeight="1">
      <c r="A327" s="147">
        <v>326</v>
      </c>
      <c r="B327" s="170">
        <v>200690</v>
      </c>
      <c r="C327" s="117" t="s">
        <v>121</v>
      </c>
      <c r="D327" s="57">
        <v>42930</v>
      </c>
      <c r="E327" s="58" t="s">
        <v>890</v>
      </c>
      <c r="F327" s="118">
        <v>42940</v>
      </c>
      <c r="G327" s="117">
        <f t="shared" si="16"/>
        <v>10</v>
      </c>
      <c r="H327" s="117" t="s">
        <v>133</v>
      </c>
      <c r="I327" s="221"/>
      <c r="J327" s="60" t="s">
        <v>614</v>
      </c>
      <c r="K327" s="94">
        <v>2499</v>
      </c>
      <c r="L327" s="94">
        <v>2499</v>
      </c>
      <c r="M327" s="221"/>
      <c r="N327" s="221"/>
      <c r="O327" s="151">
        <f t="shared" si="15"/>
        <v>0</v>
      </c>
      <c r="P327" s="119" t="s">
        <v>263</v>
      </c>
      <c r="Q327" s="119" t="s">
        <v>1341</v>
      </c>
      <c r="R327" s="224" t="s">
        <v>514</v>
      </c>
      <c r="S327" s="225" t="s">
        <v>469</v>
      </c>
      <c r="T327" s="119" t="s">
        <v>164</v>
      </c>
      <c r="U327" s="221" t="s">
        <v>959</v>
      </c>
      <c r="V327" s="221" t="s">
        <v>222</v>
      </c>
      <c r="W327" s="221" t="s">
        <v>960</v>
      </c>
      <c r="X327" s="221"/>
      <c r="Y327" s="221"/>
      <c r="Z327" s="221" t="s">
        <v>253</v>
      </c>
      <c r="AA327" s="221"/>
      <c r="AB327" s="117"/>
      <c r="AC327" s="63">
        <f t="shared" si="17"/>
        <v>0</v>
      </c>
      <c r="AD327" s="221"/>
      <c r="AE327" s="221" t="s">
        <v>217</v>
      </c>
      <c r="AF327" s="117" t="s">
        <v>225</v>
      </c>
      <c r="AG327" s="117"/>
      <c r="AH327" s="64"/>
      <c r="AI327" s="117"/>
      <c r="AJ327" s="117"/>
      <c r="AK327" s="221"/>
      <c r="AL327" s="117"/>
      <c r="AM327" s="117"/>
    </row>
    <row r="328" spans="1:39" ht="25.5" hidden="1" customHeight="1">
      <c r="A328" s="147">
        <v>327</v>
      </c>
      <c r="B328" s="170">
        <v>200405</v>
      </c>
      <c r="C328" s="117" t="s">
        <v>121</v>
      </c>
      <c r="D328" s="57">
        <v>42930</v>
      </c>
      <c r="E328" s="58" t="s">
        <v>890</v>
      </c>
      <c r="F328" s="118">
        <v>42934</v>
      </c>
      <c r="G328" s="117">
        <f t="shared" si="16"/>
        <v>4</v>
      </c>
      <c r="H328" s="146" t="s">
        <v>133</v>
      </c>
      <c r="I328" s="221"/>
      <c r="J328" s="60" t="s">
        <v>614</v>
      </c>
      <c r="K328" s="94">
        <v>2599</v>
      </c>
      <c r="L328" s="94">
        <v>2599</v>
      </c>
      <c r="M328" s="221">
        <v>165</v>
      </c>
      <c r="N328" s="221"/>
      <c r="O328" s="93">
        <f t="shared" si="15"/>
        <v>2278.06</v>
      </c>
      <c r="P328" s="119" t="s">
        <v>263</v>
      </c>
      <c r="Q328" s="119" t="s">
        <v>1341</v>
      </c>
      <c r="R328" s="221" t="s">
        <v>143</v>
      </c>
      <c r="S328" s="62" t="s">
        <v>465</v>
      </c>
      <c r="T328" s="224" t="s">
        <v>164</v>
      </c>
      <c r="U328" s="221" t="s">
        <v>961</v>
      </c>
      <c r="V328" s="224" t="s">
        <v>519</v>
      </c>
      <c r="W328" s="221" t="s">
        <v>962</v>
      </c>
      <c r="X328" s="146"/>
      <c r="Y328" s="221" t="s">
        <v>316</v>
      </c>
      <c r="Z328" s="221" t="s">
        <v>404</v>
      </c>
      <c r="AA328" s="222">
        <v>42936</v>
      </c>
      <c r="AB328" s="117" t="s">
        <v>140</v>
      </c>
      <c r="AC328" s="63">
        <f t="shared" si="17"/>
        <v>1</v>
      </c>
      <c r="AD328" s="221" t="s">
        <v>217</v>
      </c>
      <c r="AE328" s="221" t="s">
        <v>218</v>
      </c>
      <c r="AF328" s="117"/>
      <c r="AG328" s="117"/>
      <c r="AH328" s="64"/>
      <c r="AI328" s="117" t="s">
        <v>184</v>
      </c>
      <c r="AJ328" s="222">
        <v>42948</v>
      </c>
      <c r="AK328" s="221" t="s">
        <v>1045</v>
      </c>
      <c r="AL328" s="117" t="s">
        <v>645</v>
      </c>
      <c r="AM328" s="222">
        <v>42948</v>
      </c>
    </row>
    <row r="329" spans="1:39" ht="25.5" hidden="1" customHeight="1">
      <c r="A329" s="147">
        <v>328</v>
      </c>
      <c r="B329" s="170">
        <v>201130</v>
      </c>
      <c r="C329" s="150" t="s">
        <v>540</v>
      </c>
      <c r="D329" s="57">
        <v>42930</v>
      </c>
      <c r="E329" s="58" t="s">
        <v>890</v>
      </c>
      <c r="F329" s="118">
        <v>42942</v>
      </c>
      <c r="G329" s="117">
        <f t="shared" si="16"/>
        <v>12</v>
      </c>
      <c r="H329" s="221" t="s">
        <v>133</v>
      </c>
      <c r="I329" s="221"/>
      <c r="J329" s="60" t="s">
        <v>614</v>
      </c>
      <c r="K329" s="94">
        <v>1399</v>
      </c>
      <c r="L329" s="94">
        <v>1399.2</v>
      </c>
      <c r="M329" s="221">
        <v>140</v>
      </c>
      <c r="N329" s="221">
        <v>160</v>
      </c>
      <c r="O329" s="93">
        <f t="shared" si="15"/>
        <v>1155.06</v>
      </c>
      <c r="P329" s="119" t="s">
        <v>263</v>
      </c>
      <c r="Q329" s="119" t="s">
        <v>1341</v>
      </c>
      <c r="R329" s="221" t="s">
        <v>143</v>
      </c>
      <c r="S329" s="62" t="s">
        <v>465</v>
      </c>
      <c r="T329" s="221" t="s">
        <v>88</v>
      </c>
      <c r="U329" s="221" t="s">
        <v>963</v>
      </c>
      <c r="V329" s="221" t="s">
        <v>432</v>
      </c>
      <c r="W329" s="221"/>
      <c r="X329" s="117"/>
      <c r="Y329" s="117" t="s">
        <v>316</v>
      </c>
      <c r="Z329" s="221" t="s">
        <v>189</v>
      </c>
      <c r="AA329" s="222">
        <v>42933</v>
      </c>
      <c r="AB329" s="117" t="s">
        <v>872</v>
      </c>
      <c r="AC329" s="63">
        <f t="shared" si="17"/>
        <v>1</v>
      </c>
      <c r="AD329" s="221" t="s">
        <v>217</v>
      </c>
      <c r="AE329" s="221" t="s">
        <v>218</v>
      </c>
      <c r="AF329" s="117"/>
      <c r="AG329" s="117"/>
      <c r="AH329" s="64" t="s">
        <v>1008</v>
      </c>
      <c r="AI329" s="117" t="s">
        <v>184</v>
      </c>
      <c r="AJ329" s="222">
        <v>42948</v>
      </c>
      <c r="AK329" s="221" t="s">
        <v>1040</v>
      </c>
      <c r="AL329" s="117" t="s">
        <v>645</v>
      </c>
      <c r="AM329" s="222">
        <v>42948</v>
      </c>
    </row>
    <row r="330" spans="1:39" ht="12.75" hidden="1" customHeight="1">
      <c r="A330" s="147">
        <v>329</v>
      </c>
      <c r="B330" s="170">
        <v>199808</v>
      </c>
      <c r="C330" s="117" t="s">
        <v>540</v>
      </c>
      <c r="D330" s="57">
        <v>42930</v>
      </c>
      <c r="E330" s="58" t="s">
        <v>890</v>
      </c>
      <c r="F330" s="118">
        <v>42933</v>
      </c>
      <c r="G330" s="117">
        <f t="shared" si="16"/>
        <v>3</v>
      </c>
      <c r="H330" s="221" t="s">
        <v>363</v>
      </c>
      <c r="I330" s="221"/>
      <c r="J330" s="60" t="s">
        <v>614</v>
      </c>
      <c r="K330" s="94">
        <v>1690</v>
      </c>
      <c r="L330" s="94">
        <v>1690</v>
      </c>
      <c r="M330" s="96">
        <v>0</v>
      </c>
      <c r="N330" s="221"/>
      <c r="O330" s="93">
        <f t="shared" si="15"/>
        <v>1588.6</v>
      </c>
      <c r="P330" s="119" t="s">
        <v>264</v>
      </c>
      <c r="Q330" s="119" t="s">
        <v>1342</v>
      </c>
      <c r="R330" s="221" t="s">
        <v>143</v>
      </c>
      <c r="S330" s="62" t="s">
        <v>465</v>
      </c>
      <c r="T330" s="221" t="s">
        <v>88</v>
      </c>
      <c r="U330" s="221" t="s">
        <v>89</v>
      </c>
      <c r="V330" s="224" t="s">
        <v>90</v>
      </c>
      <c r="W330" s="221"/>
      <c r="X330" s="146"/>
      <c r="Y330" s="221"/>
      <c r="Z330" s="117" t="s">
        <v>189</v>
      </c>
      <c r="AA330" s="221"/>
      <c r="AB330" s="117"/>
      <c r="AC330" s="63">
        <f t="shared" si="17"/>
        <v>1</v>
      </c>
      <c r="AD330" s="221"/>
      <c r="AE330" s="117"/>
      <c r="AF330" s="117"/>
      <c r="AG330" s="117"/>
      <c r="AH330" s="64" t="s">
        <v>967</v>
      </c>
      <c r="AI330" s="117"/>
      <c r="AJ330" s="221"/>
      <c r="AK330" s="221"/>
      <c r="AL330" s="117"/>
      <c r="AM330" s="221"/>
    </row>
    <row r="331" spans="1:39" ht="12.75" hidden="1" customHeight="1">
      <c r="A331" s="147">
        <v>330</v>
      </c>
      <c r="B331" s="170">
        <v>200795</v>
      </c>
      <c r="C331" s="117" t="s">
        <v>540</v>
      </c>
      <c r="D331" s="57">
        <v>42930</v>
      </c>
      <c r="E331" s="58" t="s">
        <v>890</v>
      </c>
      <c r="F331" s="118">
        <v>42940</v>
      </c>
      <c r="G331" s="117">
        <f t="shared" si="16"/>
        <v>10</v>
      </c>
      <c r="H331" s="117" t="s">
        <v>133</v>
      </c>
      <c r="I331" s="221"/>
      <c r="J331" s="60" t="s">
        <v>614</v>
      </c>
      <c r="K331" s="94">
        <v>3999</v>
      </c>
      <c r="L331" s="94">
        <v>3999</v>
      </c>
      <c r="M331" s="221">
        <v>30</v>
      </c>
      <c r="N331" s="221">
        <v>220</v>
      </c>
      <c r="O331" s="93">
        <f t="shared" si="15"/>
        <v>3539.06</v>
      </c>
      <c r="P331" s="119" t="s">
        <v>264</v>
      </c>
      <c r="Q331" s="119" t="s">
        <v>1342</v>
      </c>
      <c r="R331" s="221" t="s">
        <v>134</v>
      </c>
      <c r="S331" s="62" t="s">
        <v>465</v>
      </c>
      <c r="T331" s="221" t="s">
        <v>88</v>
      </c>
      <c r="U331" s="221" t="s">
        <v>1460</v>
      </c>
      <c r="V331" s="221" t="s">
        <v>964</v>
      </c>
      <c r="W331" s="221"/>
      <c r="X331" s="146"/>
      <c r="Y331" s="117" t="s">
        <v>219</v>
      </c>
      <c r="Z331" s="221" t="s">
        <v>189</v>
      </c>
      <c r="AA331" s="222">
        <v>42940</v>
      </c>
      <c r="AB331" s="117" t="s">
        <v>140</v>
      </c>
      <c r="AC331" s="63">
        <f t="shared" si="17"/>
        <v>1</v>
      </c>
      <c r="AD331" s="221" t="s">
        <v>217</v>
      </c>
      <c r="AE331" s="221" t="s">
        <v>218</v>
      </c>
      <c r="AF331" s="117"/>
      <c r="AG331" s="117"/>
      <c r="AH331" s="64" t="s">
        <v>1029</v>
      </c>
      <c r="AI331" s="117"/>
      <c r="AJ331" s="117"/>
      <c r="AK331" s="221"/>
      <c r="AL331" s="117"/>
      <c r="AM331" s="146"/>
    </row>
    <row r="332" spans="1:39" ht="12.75" hidden="1" customHeight="1">
      <c r="A332" s="147">
        <v>331</v>
      </c>
      <c r="B332" s="170">
        <v>201175</v>
      </c>
      <c r="C332" s="117" t="s">
        <v>128</v>
      </c>
      <c r="D332" s="57">
        <v>42933</v>
      </c>
      <c r="E332" s="58" t="s">
        <v>890</v>
      </c>
      <c r="F332" s="118">
        <v>42942</v>
      </c>
      <c r="G332" s="150">
        <f t="shared" si="16"/>
        <v>9</v>
      </c>
      <c r="H332" s="221" t="s">
        <v>133</v>
      </c>
      <c r="I332" s="221"/>
      <c r="J332" s="60" t="s">
        <v>614</v>
      </c>
      <c r="K332" s="94">
        <v>859</v>
      </c>
      <c r="L332" s="94">
        <v>859</v>
      </c>
      <c r="M332" s="221">
        <v>370</v>
      </c>
      <c r="N332" s="221">
        <v>80</v>
      </c>
      <c r="O332" s="93">
        <f t="shared" si="15"/>
        <v>437.46000000000004</v>
      </c>
      <c r="P332" s="119" t="s">
        <v>264</v>
      </c>
      <c r="Q332" s="119" t="s">
        <v>1342</v>
      </c>
      <c r="R332" s="221" t="s">
        <v>143</v>
      </c>
      <c r="S332" s="62" t="s">
        <v>465</v>
      </c>
      <c r="T332" s="221" t="s">
        <v>120</v>
      </c>
      <c r="U332" s="221" t="s">
        <v>970</v>
      </c>
      <c r="V332" s="221" t="s">
        <v>973</v>
      </c>
      <c r="W332" s="221"/>
      <c r="X332" s="146"/>
      <c r="Y332" s="117" t="s">
        <v>316</v>
      </c>
      <c r="Z332" s="117" t="s">
        <v>137</v>
      </c>
      <c r="AA332" s="118">
        <v>42936</v>
      </c>
      <c r="AB332" s="117" t="s">
        <v>872</v>
      </c>
      <c r="AC332" s="63">
        <f t="shared" si="17"/>
        <v>1</v>
      </c>
      <c r="AD332" s="221" t="s">
        <v>217</v>
      </c>
      <c r="AE332" s="221" t="s">
        <v>218</v>
      </c>
      <c r="AF332" s="117"/>
      <c r="AG332" s="117"/>
      <c r="AH332" s="64" t="s">
        <v>979</v>
      </c>
      <c r="AI332" s="117" t="s">
        <v>184</v>
      </c>
      <c r="AJ332" s="222">
        <v>42948</v>
      </c>
      <c r="AK332" s="221" t="s">
        <v>1048</v>
      </c>
      <c r="AL332" s="117" t="s">
        <v>645</v>
      </c>
      <c r="AM332" s="222">
        <v>42948</v>
      </c>
    </row>
    <row r="333" spans="1:39" ht="12.75" hidden="1" customHeight="1">
      <c r="A333" s="147">
        <v>332</v>
      </c>
      <c r="B333" s="170">
        <v>201417</v>
      </c>
      <c r="C333" s="117" t="s">
        <v>128</v>
      </c>
      <c r="D333" s="57">
        <v>42933</v>
      </c>
      <c r="E333" s="58" t="s">
        <v>890</v>
      </c>
      <c r="F333" s="118">
        <v>42943</v>
      </c>
      <c r="G333" s="150">
        <f t="shared" si="16"/>
        <v>10</v>
      </c>
      <c r="H333" s="117" t="s">
        <v>363</v>
      </c>
      <c r="I333" s="221"/>
      <c r="J333" s="60" t="s">
        <v>614</v>
      </c>
      <c r="K333" s="94">
        <v>899</v>
      </c>
      <c r="L333" s="94">
        <v>899</v>
      </c>
      <c r="M333" s="96">
        <v>0</v>
      </c>
      <c r="N333" s="221"/>
      <c r="O333" s="93">
        <f t="shared" si="15"/>
        <v>845.06</v>
      </c>
      <c r="P333" s="119" t="s">
        <v>262</v>
      </c>
      <c r="Q333" s="119" t="s">
        <v>1342</v>
      </c>
      <c r="R333" s="146" t="s">
        <v>143</v>
      </c>
      <c r="S333" s="62" t="s">
        <v>465</v>
      </c>
      <c r="T333" s="221" t="s">
        <v>88</v>
      </c>
      <c r="U333" s="221" t="s">
        <v>431</v>
      </c>
      <c r="V333" s="221" t="s">
        <v>432</v>
      </c>
      <c r="W333" s="221"/>
      <c r="X333" s="146"/>
      <c r="Y333" s="117"/>
      <c r="Z333" s="221" t="s">
        <v>189</v>
      </c>
      <c r="AA333" s="146"/>
      <c r="AB333" s="117"/>
      <c r="AC333" s="63">
        <f t="shared" si="17"/>
        <v>1</v>
      </c>
      <c r="AD333" s="221"/>
      <c r="AE333" s="117"/>
      <c r="AF333" s="117"/>
      <c r="AG333" s="117"/>
      <c r="AH333" s="64" t="s">
        <v>975</v>
      </c>
      <c r="AI333" s="117"/>
      <c r="AJ333" s="117"/>
      <c r="AK333" s="221"/>
      <c r="AL333" s="117"/>
      <c r="AM333" s="117"/>
    </row>
    <row r="334" spans="1:39" ht="12.75" hidden="1" customHeight="1">
      <c r="A334" s="147">
        <v>333</v>
      </c>
      <c r="B334" s="170">
        <v>201433</v>
      </c>
      <c r="C334" s="117" t="s">
        <v>128</v>
      </c>
      <c r="D334" s="57">
        <v>42933</v>
      </c>
      <c r="E334" s="58" t="s">
        <v>890</v>
      </c>
      <c r="F334" s="118">
        <v>42949</v>
      </c>
      <c r="G334" s="150">
        <f t="shared" si="16"/>
        <v>16</v>
      </c>
      <c r="H334" s="117" t="s">
        <v>133</v>
      </c>
      <c r="I334" s="221"/>
      <c r="J334" s="60" t="s">
        <v>614</v>
      </c>
      <c r="K334" s="94">
        <v>1959</v>
      </c>
      <c r="L334" s="94">
        <v>1959</v>
      </c>
      <c r="M334" s="221">
        <v>320</v>
      </c>
      <c r="N334" s="221"/>
      <c r="O334" s="151">
        <f t="shared" si="15"/>
        <v>0</v>
      </c>
      <c r="P334" s="119" t="s">
        <v>264</v>
      </c>
      <c r="Q334" s="119" t="s">
        <v>1342</v>
      </c>
      <c r="R334" s="224" t="s">
        <v>501</v>
      </c>
      <c r="S334" s="225" t="s">
        <v>466</v>
      </c>
      <c r="T334" s="221" t="s">
        <v>405</v>
      </c>
      <c r="U334" s="221" t="s">
        <v>971</v>
      </c>
      <c r="V334" s="148" t="s">
        <v>257</v>
      </c>
      <c r="W334" s="221"/>
      <c r="X334" s="146"/>
      <c r="Y334" s="146" t="s">
        <v>978</v>
      </c>
      <c r="Z334" s="117" t="s">
        <v>1189</v>
      </c>
      <c r="AA334" s="222">
        <v>42940</v>
      </c>
      <c r="AB334" s="117" t="s">
        <v>591</v>
      </c>
      <c r="AC334" s="63">
        <f t="shared" si="17"/>
        <v>0</v>
      </c>
      <c r="AD334" s="221"/>
      <c r="AE334" s="221" t="s">
        <v>217</v>
      </c>
      <c r="AF334" s="148" t="s">
        <v>1625</v>
      </c>
      <c r="AG334" s="117"/>
      <c r="AH334" s="64" t="s">
        <v>1002</v>
      </c>
      <c r="AI334" s="117" t="s">
        <v>82</v>
      </c>
      <c r="AJ334" s="222">
        <v>42964</v>
      </c>
      <c r="AK334" s="221" t="s">
        <v>1141</v>
      </c>
      <c r="AL334" s="117" t="s">
        <v>645</v>
      </c>
      <c r="AM334" s="117"/>
    </row>
    <row r="335" spans="1:39" ht="12.75" hidden="1" customHeight="1">
      <c r="A335" s="147">
        <v>334</v>
      </c>
      <c r="B335" s="170">
        <v>201304</v>
      </c>
      <c r="C335" s="146" t="s">
        <v>128</v>
      </c>
      <c r="D335" s="57">
        <v>42934</v>
      </c>
      <c r="E335" s="58" t="s">
        <v>890</v>
      </c>
      <c r="F335" s="118">
        <v>42947</v>
      </c>
      <c r="G335" s="150">
        <f t="shared" si="16"/>
        <v>13</v>
      </c>
      <c r="H335" s="117" t="s">
        <v>133</v>
      </c>
      <c r="I335" s="221"/>
      <c r="J335" s="60" t="s">
        <v>614</v>
      </c>
      <c r="K335" s="94">
        <v>2698</v>
      </c>
      <c r="L335" s="94">
        <v>2698</v>
      </c>
      <c r="M335" s="221">
        <v>1131</v>
      </c>
      <c r="N335" s="221">
        <v>157.6</v>
      </c>
      <c r="O335" s="93">
        <f t="shared" ref="O335:O398" si="18">IF(AE335="Reemplazo",0,K335-(K335*0.12*0.5)-(MAX(M335,N335)))</f>
        <v>1405.12</v>
      </c>
      <c r="P335" s="119" t="s">
        <v>264</v>
      </c>
      <c r="Q335" s="119" t="s">
        <v>1342</v>
      </c>
      <c r="R335" s="224" t="s">
        <v>501</v>
      </c>
      <c r="S335" s="225" t="s">
        <v>466</v>
      </c>
      <c r="T335" s="221" t="s">
        <v>338</v>
      </c>
      <c r="U335" s="221" t="s">
        <v>972</v>
      </c>
      <c r="V335" s="221" t="s">
        <v>974</v>
      </c>
      <c r="W335" s="221"/>
      <c r="X335" s="117"/>
      <c r="Y335" s="117" t="s">
        <v>978</v>
      </c>
      <c r="Z335" s="221" t="s">
        <v>259</v>
      </c>
      <c r="AA335" s="222">
        <v>42937</v>
      </c>
      <c r="AB335" s="117" t="s">
        <v>591</v>
      </c>
      <c r="AC335" s="63">
        <f t="shared" si="17"/>
        <v>1</v>
      </c>
      <c r="AD335" s="221" t="s">
        <v>217</v>
      </c>
      <c r="AE335" s="221" t="s">
        <v>218</v>
      </c>
      <c r="AF335" s="117"/>
      <c r="AG335" s="117"/>
      <c r="AH335" s="64" t="s">
        <v>1120</v>
      </c>
      <c r="AI335" s="117" t="s">
        <v>82</v>
      </c>
      <c r="AJ335" s="222">
        <v>42964</v>
      </c>
      <c r="AK335" s="221" t="s">
        <v>1140</v>
      </c>
      <c r="AL335" s="117" t="s">
        <v>645</v>
      </c>
      <c r="AM335" s="221"/>
    </row>
    <row r="336" spans="1:39" ht="12.75" hidden="1" customHeight="1">
      <c r="A336" s="147">
        <v>335</v>
      </c>
      <c r="B336" s="170">
        <v>200972</v>
      </c>
      <c r="C336" s="221" t="s">
        <v>121</v>
      </c>
      <c r="D336" s="57">
        <v>42934</v>
      </c>
      <c r="E336" s="58" t="s">
        <v>890</v>
      </c>
      <c r="F336" s="118">
        <v>42947</v>
      </c>
      <c r="G336" s="146">
        <f t="shared" si="16"/>
        <v>13</v>
      </c>
      <c r="H336" s="117" t="s">
        <v>133</v>
      </c>
      <c r="I336" s="221"/>
      <c r="J336" s="60" t="s">
        <v>614</v>
      </c>
      <c r="K336" s="94">
        <v>3999</v>
      </c>
      <c r="L336" s="94">
        <v>3999</v>
      </c>
      <c r="M336" s="221">
        <v>170</v>
      </c>
      <c r="N336" s="221">
        <v>50</v>
      </c>
      <c r="O336" s="93">
        <f t="shared" si="18"/>
        <v>3589.06</v>
      </c>
      <c r="P336" s="119" t="s">
        <v>264</v>
      </c>
      <c r="Q336" s="119" t="s">
        <v>1342</v>
      </c>
      <c r="R336" s="224" t="s">
        <v>293</v>
      </c>
      <c r="S336" s="225" t="s">
        <v>469</v>
      </c>
      <c r="T336" s="146" t="s">
        <v>164</v>
      </c>
      <c r="U336" s="221"/>
      <c r="V336" s="146" t="s">
        <v>293</v>
      </c>
      <c r="W336" s="221" t="s">
        <v>958</v>
      </c>
      <c r="X336" s="117"/>
      <c r="Y336" s="117" t="s">
        <v>316</v>
      </c>
      <c r="Z336" s="221" t="s">
        <v>379</v>
      </c>
      <c r="AA336" s="222">
        <v>42935</v>
      </c>
      <c r="AB336" s="117" t="s">
        <v>140</v>
      </c>
      <c r="AC336" s="63">
        <f t="shared" si="17"/>
        <v>1</v>
      </c>
      <c r="AD336" s="221" t="s">
        <v>217</v>
      </c>
      <c r="AE336" s="221" t="s">
        <v>218</v>
      </c>
      <c r="AF336" s="117"/>
      <c r="AG336" s="117"/>
      <c r="AH336" s="64"/>
      <c r="AI336" s="117" t="s">
        <v>184</v>
      </c>
      <c r="AJ336" s="222">
        <v>42948</v>
      </c>
      <c r="AK336" s="221" t="s">
        <v>1047</v>
      </c>
      <c r="AL336" s="117" t="s">
        <v>645</v>
      </c>
      <c r="AM336" s="222">
        <v>42948</v>
      </c>
    </row>
    <row r="337" spans="1:39" ht="25.5" hidden="1" customHeight="1">
      <c r="A337" s="147">
        <v>336</v>
      </c>
      <c r="B337" s="170">
        <v>201130</v>
      </c>
      <c r="C337" s="221" t="s">
        <v>128</v>
      </c>
      <c r="D337" s="57">
        <v>42934</v>
      </c>
      <c r="E337" s="58" t="s">
        <v>890</v>
      </c>
      <c r="F337" s="118">
        <v>42942</v>
      </c>
      <c r="G337" s="146">
        <f t="shared" si="16"/>
        <v>8</v>
      </c>
      <c r="H337" s="117" t="s">
        <v>363</v>
      </c>
      <c r="I337" s="221"/>
      <c r="J337" s="60" t="s">
        <v>614</v>
      </c>
      <c r="K337" s="94">
        <v>1399.2</v>
      </c>
      <c r="L337" s="94">
        <v>1399.2</v>
      </c>
      <c r="M337" s="96">
        <v>0</v>
      </c>
      <c r="N337" s="221"/>
      <c r="O337" s="93">
        <f t="shared" si="18"/>
        <v>1315.248</v>
      </c>
      <c r="P337" s="119" t="s">
        <v>263</v>
      </c>
      <c r="Q337" s="119" t="s">
        <v>1341</v>
      </c>
      <c r="R337" s="221" t="s">
        <v>143</v>
      </c>
      <c r="S337" s="62" t="s">
        <v>465</v>
      </c>
      <c r="T337" s="221" t="s">
        <v>88</v>
      </c>
      <c r="U337" s="221" t="s">
        <v>963</v>
      </c>
      <c r="V337" s="221" t="s">
        <v>432</v>
      </c>
      <c r="W337" s="221"/>
      <c r="X337" s="146"/>
      <c r="Y337" s="146"/>
      <c r="Z337" s="221" t="s">
        <v>189</v>
      </c>
      <c r="AA337" s="146"/>
      <c r="AB337" s="146"/>
      <c r="AC337" s="63">
        <f t="shared" si="17"/>
        <v>1</v>
      </c>
      <c r="AD337" s="221"/>
      <c r="AE337" s="117"/>
      <c r="AF337" s="146"/>
      <c r="AG337" s="146"/>
      <c r="AH337" s="64" t="s">
        <v>981</v>
      </c>
      <c r="AI337" s="146"/>
      <c r="AJ337" s="146"/>
      <c r="AK337" s="221"/>
      <c r="AL337" s="146"/>
      <c r="AM337" s="117"/>
    </row>
    <row r="338" spans="1:39" ht="12.75" hidden="1" customHeight="1">
      <c r="A338" s="147">
        <v>337</v>
      </c>
      <c r="B338" s="170">
        <v>201417</v>
      </c>
      <c r="C338" s="221" t="s">
        <v>128</v>
      </c>
      <c r="D338" s="57">
        <v>42934</v>
      </c>
      <c r="E338" s="58" t="s">
        <v>890</v>
      </c>
      <c r="F338" s="118">
        <v>42946</v>
      </c>
      <c r="G338" s="146">
        <f t="shared" si="16"/>
        <v>12</v>
      </c>
      <c r="H338" s="221" t="s">
        <v>363</v>
      </c>
      <c r="I338" s="221"/>
      <c r="J338" s="60" t="s">
        <v>614</v>
      </c>
      <c r="K338" s="94">
        <v>899</v>
      </c>
      <c r="L338" s="94">
        <v>899</v>
      </c>
      <c r="M338" s="96">
        <v>0</v>
      </c>
      <c r="N338" s="221"/>
      <c r="O338" s="93">
        <f t="shared" si="18"/>
        <v>845.06</v>
      </c>
      <c r="P338" s="119" t="s">
        <v>262</v>
      </c>
      <c r="Q338" s="119" t="s">
        <v>1342</v>
      </c>
      <c r="R338" s="146" t="s">
        <v>143</v>
      </c>
      <c r="S338" s="62" t="s">
        <v>465</v>
      </c>
      <c r="T338" s="221" t="s">
        <v>88</v>
      </c>
      <c r="U338" s="221" t="s">
        <v>431</v>
      </c>
      <c r="V338" s="221" t="s">
        <v>432</v>
      </c>
      <c r="W338" s="221"/>
      <c r="X338" s="117"/>
      <c r="Y338" s="146"/>
      <c r="Z338" s="221" t="s">
        <v>189</v>
      </c>
      <c r="AA338" s="221"/>
      <c r="AB338" s="117"/>
      <c r="AC338" s="63">
        <f t="shared" si="17"/>
        <v>1</v>
      </c>
      <c r="AD338" s="221"/>
      <c r="AE338" s="117"/>
      <c r="AF338" s="117"/>
      <c r="AG338" s="117"/>
      <c r="AH338" s="64" t="s">
        <v>975</v>
      </c>
      <c r="AI338" s="117"/>
      <c r="AJ338" s="117"/>
      <c r="AK338" s="221"/>
      <c r="AL338" s="117"/>
      <c r="AM338" s="117"/>
    </row>
    <row r="339" spans="1:39" ht="12.75" hidden="1" customHeight="1">
      <c r="A339" s="147">
        <v>338</v>
      </c>
      <c r="B339" s="170">
        <v>201565</v>
      </c>
      <c r="C339" s="221" t="s">
        <v>128</v>
      </c>
      <c r="D339" s="57">
        <v>42934</v>
      </c>
      <c r="E339" s="58" t="s">
        <v>890</v>
      </c>
      <c r="F339" s="222">
        <v>42946</v>
      </c>
      <c r="G339" s="221">
        <f t="shared" si="16"/>
        <v>12</v>
      </c>
      <c r="H339" s="221" t="s">
        <v>133</v>
      </c>
      <c r="I339" s="221"/>
      <c r="J339" s="223" t="s">
        <v>614</v>
      </c>
      <c r="K339" s="94">
        <v>1114</v>
      </c>
      <c r="L339" s="94">
        <v>1114</v>
      </c>
      <c r="M339" s="221">
        <v>140</v>
      </c>
      <c r="N339" s="221">
        <v>80</v>
      </c>
      <c r="O339" s="227">
        <f t="shared" si="18"/>
        <v>907.16000000000008</v>
      </c>
      <c r="P339" s="224" t="s">
        <v>264</v>
      </c>
      <c r="Q339" s="119" t="s">
        <v>1342</v>
      </c>
      <c r="R339" s="221" t="s">
        <v>143</v>
      </c>
      <c r="S339" s="225" t="s">
        <v>465</v>
      </c>
      <c r="T339" s="221" t="s">
        <v>88</v>
      </c>
      <c r="U339" s="221" t="s">
        <v>976</v>
      </c>
      <c r="V339" s="221" t="s">
        <v>432</v>
      </c>
      <c r="W339" s="221"/>
      <c r="X339" s="221"/>
      <c r="Y339" s="221" t="s">
        <v>316</v>
      </c>
      <c r="Z339" s="221" t="s">
        <v>189</v>
      </c>
      <c r="AA339" s="222">
        <v>42935</v>
      </c>
      <c r="AB339" s="221" t="s">
        <v>872</v>
      </c>
      <c r="AC339" s="63">
        <f t="shared" si="17"/>
        <v>1</v>
      </c>
      <c r="AD339" s="221" t="s">
        <v>217</v>
      </c>
      <c r="AE339" s="221" t="s">
        <v>218</v>
      </c>
      <c r="AF339" s="221"/>
      <c r="AG339" s="221"/>
      <c r="AH339" s="64" t="s">
        <v>1006</v>
      </c>
      <c r="AI339" s="221" t="s">
        <v>184</v>
      </c>
      <c r="AJ339" s="222">
        <v>42948</v>
      </c>
      <c r="AK339" s="221" t="s">
        <v>1039</v>
      </c>
      <c r="AL339" s="221" t="s">
        <v>645</v>
      </c>
      <c r="AM339" s="222">
        <v>42948</v>
      </c>
    </row>
    <row r="340" spans="1:39" ht="12.75" hidden="1" customHeight="1">
      <c r="A340" s="147">
        <v>339</v>
      </c>
      <c r="B340" s="170">
        <v>201435</v>
      </c>
      <c r="C340" s="146" t="s">
        <v>128</v>
      </c>
      <c r="D340" s="57">
        <v>42934</v>
      </c>
      <c r="E340" s="58" t="s">
        <v>890</v>
      </c>
      <c r="F340" s="118">
        <v>42946</v>
      </c>
      <c r="G340" s="221">
        <f t="shared" si="16"/>
        <v>12</v>
      </c>
      <c r="H340" s="146" t="s">
        <v>133</v>
      </c>
      <c r="I340" s="221"/>
      <c r="J340" s="60" t="s">
        <v>614</v>
      </c>
      <c r="K340" s="94">
        <v>1099</v>
      </c>
      <c r="L340" s="94">
        <v>1099</v>
      </c>
      <c r="M340" s="221">
        <v>140</v>
      </c>
      <c r="N340" s="221">
        <v>80</v>
      </c>
      <c r="O340" s="93">
        <f t="shared" si="18"/>
        <v>893.06</v>
      </c>
      <c r="P340" s="119" t="s">
        <v>262</v>
      </c>
      <c r="Q340" s="119" t="s">
        <v>1342</v>
      </c>
      <c r="R340" s="221" t="s">
        <v>143</v>
      </c>
      <c r="S340" s="62" t="s">
        <v>465</v>
      </c>
      <c r="T340" s="221" t="s">
        <v>88</v>
      </c>
      <c r="U340" s="221" t="s">
        <v>431</v>
      </c>
      <c r="V340" s="221" t="s">
        <v>432</v>
      </c>
      <c r="W340" s="221"/>
      <c r="X340" s="146"/>
      <c r="Y340" s="146" t="s">
        <v>316</v>
      </c>
      <c r="Z340" s="146" t="s">
        <v>189</v>
      </c>
      <c r="AA340" s="222">
        <v>42935</v>
      </c>
      <c r="AB340" s="146" t="s">
        <v>872</v>
      </c>
      <c r="AC340" s="63">
        <f t="shared" si="17"/>
        <v>1</v>
      </c>
      <c r="AD340" s="221" t="s">
        <v>217</v>
      </c>
      <c r="AE340" s="221" t="s">
        <v>218</v>
      </c>
      <c r="AF340" s="146"/>
      <c r="AG340" s="146"/>
      <c r="AH340" s="64" t="s">
        <v>1007</v>
      </c>
      <c r="AI340" s="146" t="s">
        <v>184</v>
      </c>
      <c r="AJ340" s="222">
        <v>42948</v>
      </c>
      <c r="AK340" s="221" t="s">
        <v>1052</v>
      </c>
      <c r="AL340" s="146" t="s">
        <v>645</v>
      </c>
      <c r="AM340" s="222">
        <v>42948</v>
      </c>
    </row>
    <row r="341" spans="1:39" ht="25.5" hidden="1" customHeight="1">
      <c r="A341" s="147">
        <v>340</v>
      </c>
      <c r="B341" s="170">
        <v>201308</v>
      </c>
      <c r="C341" s="221" t="s">
        <v>128</v>
      </c>
      <c r="D341" s="57">
        <v>42935</v>
      </c>
      <c r="E341" s="58" t="s">
        <v>890</v>
      </c>
      <c r="F341" s="118">
        <v>42944</v>
      </c>
      <c r="G341" s="221">
        <f t="shared" si="16"/>
        <v>9</v>
      </c>
      <c r="H341" s="146" t="s">
        <v>133</v>
      </c>
      <c r="I341" s="221"/>
      <c r="J341" s="60" t="s">
        <v>614</v>
      </c>
      <c r="K341" s="94">
        <v>1599</v>
      </c>
      <c r="L341" s="94">
        <v>1599</v>
      </c>
      <c r="M341" s="221">
        <v>480</v>
      </c>
      <c r="N341" s="221">
        <v>80</v>
      </c>
      <c r="O341" s="93">
        <f t="shared" si="18"/>
        <v>1023.06</v>
      </c>
      <c r="P341" s="119" t="s">
        <v>263</v>
      </c>
      <c r="Q341" s="119" t="s">
        <v>1341</v>
      </c>
      <c r="R341" s="221" t="s">
        <v>210</v>
      </c>
      <c r="S341" s="225" t="s">
        <v>469</v>
      </c>
      <c r="T341" s="221" t="s">
        <v>380</v>
      </c>
      <c r="U341" s="221" t="s">
        <v>982</v>
      </c>
      <c r="V341" s="221" t="s">
        <v>987</v>
      </c>
      <c r="W341" s="221"/>
      <c r="X341" s="146"/>
      <c r="Y341" s="146" t="s">
        <v>316</v>
      </c>
      <c r="Z341" s="146" t="s">
        <v>296</v>
      </c>
      <c r="AA341" s="222">
        <v>42937</v>
      </c>
      <c r="AB341" s="146" t="s">
        <v>140</v>
      </c>
      <c r="AC341" s="63">
        <f t="shared" si="17"/>
        <v>1</v>
      </c>
      <c r="AD341" s="221" t="s">
        <v>217</v>
      </c>
      <c r="AE341" s="221" t="s">
        <v>218</v>
      </c>
      <c r="AF341" s="146"/>
      <c r="AG341" s="146"/>
      <c r="AH341" s="64"/>
      <c r="AI341" s="146" t="s">
        <v>184</v>
      </c>
      <c r="AJ341" s="222">
        <v>42948</v>
      </c>
      <c r="AK341" s="221" t="s">
        <v>1049</v>
      </c>
      <c r="AL341" s="146" t="s">
        <v>645</v>
      </c>
      <c r="AM341" s="222">
        <v>42948</v>
      </c>
    </row>
    <row r="342" spans="1:39" ht="12.75" hidden="1" customHeight="1">
      <c r="A342" s="147">
        <v>341</v>
      </c>
      <c r="B342" s="170">
        <v>200519</v>
      </c>
      <c r="C342" s="146" t="s">
        <v>128</v>
      </c>
      <c r="D342" s="57">
        <v>42935</v>
      </c>
      <c r="E342" s="58" t="s">
        <v>890</v>
      </c>
      <c r="F342" s="118">
        <v>42945</v>
      </c>
      <c r="G342" s="221">
        <f t="shared" si="16"/>
        <v>10</v>
      </c>
      <c r="H342" s="146" t="s">
        <v>133</v>
      </c>
      <c r="I342" s="221"/>
      <c r="J342" s="60" t="s">
        <v>614</v>
      </c>
      <c r="K342" s="94">
        <v>999</v>
      </c>
      <c r="L342" s="94">
        <v>999</v>
      </c>
      <c r="M342" s="221">
        <v>480</v>
      </c>
      <c r="N342" s="221">
        <v>185</v>
      </c>
      <c r="O342" s="151">
        <f t="shared" si="18"/>
        <v>0</v>
      </c>
      <c r="P342" s="119" t="s">
        <v>264</v>
      </c>
      <c r="Q342" s="119" t="s">
        <v>1342</v>
      </c>
      <c r="R342" s="221" t="s">
        <v>210</v>
      </c>
      <c r="S342" s="225" t="s">
        <v>469</v>
      </c>
      <c r="T342" s="221" t="s">
        <v>380</v>
      </c>
      <c r="U342" s="221" t="s">
        <v>983</v>
      </c>
      <c r="V342" s="221" t="s">
        <v>987</v>
      </c>
      <c r="W342" s="221"/>
      <c r="X342" s="146"/>
      <c r="Y342" s="146" t="s">
        <v>316</v>
      </c>
      <c r="Z342" s="146" t="s">
        <v>296</v>
      </c>
      <c r="AA342" s="222">
        <v>42937</v>
      </c>
      <c r="AB342" s="146" t="s">
        <v>140</v>
      </c>
      <c r="AC342" s="63">
        <f t="shared" si="17"/>
        <v>0</v>
      </c>
      <c r="AD342" s="221"/>
      <c r="AE342" s="221" t="s">
        <v>217</v>
      </c>
      <c r="AF342" s="148" t="s">
        <v>1625</v>
      </c>
      <c r="AG342" s="146"/>
      <c r="AH342" s="64" t="s">
        <v>1034</v>
      </c>
      <c r="AI342" s="146" t="s">
        <v>184</v>
      </c>
      <c r="AJ342" s="222">
        <v>42948</v>
      </c>
      <c r="AK342" s="146" t="s">
        <v>1065</v>
      </c>
      <c r="AL342" s="146" t="s">
        <v>645</v>
      </c>
      <c r="AM342" s="222">
        <v>42949</v>
      </c>
    </row>
    <row r="343" spans="1:39" ht="12.75" hidden="1" customHeight="1">
      <c r="A343" s="147">
        <v>342</v>
      </c>
      <c r="B343" s="170">
        <v>200879</v>
      </c>
      <c r="C343" s="221" t="s">
        <v>129</v>
      </c>
      <c r="D343" s="57">
        <v>42936</v>
      </c>
      <c r="E343" s="58" t="s">
        <v>890</v>
      </c>
      <c r="F343" s="118">
        <v>42943</v>
      </c>
      <c r="G343" s="146">
        <f t="shared" si="16"/>
        <v>7</v>
      </c>
      <c r="H343" s="146" t="s">
        <v>133</v>
      </c>
      <c r="I343" s="221"/>
      <c r="J343" s="60" t="s">
        <v>614</v>
      </c>
      <c r="K343" s="94">
        <v>1799</v>
      </c>
      <c r="L343" s="94">
        <v>1799</v>
      </c>
      <c r="M343" s="221">
        <v>570</v>
      </c>
      <c r="N343" s="221">
        <v>250</v>
      </c>
      <c r="O343" s="93">
        <f t="shared" si="18"/>
        <v>1121.06</v>
      </c>
      <c r="P343" s="119" t="s">
        <v>263</v>
      </c>
      <c r="Q343" s="119" t="s">
        <v>1341</v>
      </c>
      <c r="R343" s="221" t="s">
        <v>122</v>
      </c>
      <c r="S343" s="225" t="s">
        <v>469</v>
      </c>
      <c r="T343" s="221" t="s">
        <v>114</v>
      </c>
      <c r="U343" s="221" t="s">
        <v>985</v>
      </c>
      <c r="V343" s="221" t="s">
        <v>988</v>
      </c>
      <c r="W343" s="221"/>
      <c r="X343" s="146"/>
      <c r="Y343" s="221" t="s">
        <v>1942</v>
      </c>
      <c r="Z343" s="146" t="s">
        <v>170</v>
      </c>
      <c r="AA343" s="222">
        <v>42936</v>
      </c>
      <c r="AB343" s="146" t="s">
        <v>872</v>
      </c>
      <c r="AC343" s="63">
        <f t="shared" si="17"/>
        <v>1</v>
      </c>
      <c r="AD343" s="221" t="s">
        <v>217</v>
      </c>
      <c r="AE343" s="221" t="s">
        <v>218</v>
      </c>
      <c r="AF343" s="146"/>
      <c r="AG343" s="146"/>
      <c r="AH343" s="64"/>
      <c r="AI343" s="146" t="s">
        <v>184</v>
      </c>
      <c r="AJ343" s="222">
        <v>42940</v>
      </c>
      <c r="AK343" s="221" t="s">
        <v>1001</v>
      </c>
      <c r="AL343" s="146" t="s">
        <v>609</v>
      </c>
      <c r="AM343" s="222">
        <v>42940</v>
      </c>
    </row>
    <row r="344" spans="1:39" ht="25.5" hidden="1" customHeight="1">
      <c r="A344" s="147">
        <v>343</v>
      </c>
      <c r="B344" s="170">
        <v>201393</v>
      </c>
      <c r="C344" s="146" t="s">
        <v>129</v>
      </c>
      <c r="D344" s="57">
        <v>42936</v>
      </c>
      <c r="E344" s="58" t="s">
        <v>890</v>
      </c>
      <c r="F344" s="118">
        <v>42948</v>
      </c>
      <c r="G344" s="146">
        <f t="shared" si="16"/>
        <v>12</v>
      </c>
      <c r="H344" s="146" t="s">
        <v>363</v>
      </c>
      <c r="I344" s="221"/>
      <c r="J344" s="60" t="s">
        <v>614</v>
      </c>
      <c r="K344" s="94">
        <v>1899</v>
      </c>
      <c r="L344" s="94">
        <v>1899</v>
      </c>
      <c r="M344" s="96">
        <v>0</v>
      </c>
      <c r="N344" s="221"/>
      <c r="O344" s="151">
        <f t="shared" si="18"/>
        <v>0</v>
      </c>
      <c r="P344" s="119" t="s">
        <v>264</v>
      </c>
      <c r="Q344" s="119" t="s">
        <v>1342</v>
      </c>
      <c r="R344" s="221" t="s">
        <v>122</v>
      </c>
      <c r="S344" s="225" t="s">
        <v>469</v>
      </c>
      <c r="T344" s="221" t="s">
        <v>114</v>
      </c>
      <c r="U344" s="221" t="s">
        <v>986</v>
      </c>
      <c r="V344" s="222" t="s">
        <v>169</v>
      </c>
      <c r="W344" s="221"/>
      <c r="X344" s="146"/>
      <c r="Y344" s="221" t="s">
        <v>1942</v>
      </c>
      <c r="Z344" s="146" t="s">
        <v>170</v>
      </c>
      <c r="AA344" s="221"/>
      <c r="AB344" s="146"/>
      <c r="AC344" s="63">
        <f t="shared" si="17"/>
        <v>0</v>
      </c>
      <c r="AD344" s="221"/>
      <c r="AE344" s="221" t="s">
        <v>217</v>
      </c>
      <c r="AF344" s="148" t="s">
        <v>1625</v>
      </c>
      <c r="AG344" s="146"/>
      <c r="AH344" s="64" t="s">
        <v>990</v>
      </c>
      <c r="AI344" s="146"/>
      <c r="AJ344" s="146"/>
      <c r="AK344" s="221"/>
      <c r="AL344" s="146"/>
      <c r="AM344" s="146"/>
    </row>
    <row r="345" spans="1:39" ht="12.75" hidden="1" customHeight="1">
      <c r="A345" s="147">
        <v>344</v>
      </c>
      <c r="B345" s="170">
        <v>201777</v>
      </c>
      <c r="C345" s="221" t="s">
        <v>128</v>
      </c>
      <c r="D345" s="57">
        <v>42936</v>
      </c>
      <c r="E345" s="58" t="s">
        <v>890</v>
      </c>
      <c r="F345" s="222">
        <v>42957</v>
      </c>
      <c r="G345" s="221">
        <f t="shared" si="16"/>
        <v>21</v>
      </c>
      <c r="H345" s="221" t="s">
        <v>133</v>
      </c>
      <c r="I345" s="221"/>
      <c r="J345" s="223" t="s">
        <v>614</v>
      </c>
      <c r="K345" s="94">
        <v>4749.05</v>
      </c>
      <c r="L345" s="94">
        <v>4749.05</v>
      </c>
      <c r="M345" s="221"/>
      <c r="N345" s="221"/>
      <c r="O345" s="93">
        <f t="shared" si="18"/>
        <v>0</v>
      </c>
      <c r="P345" s="224" t="s">
        <v>264</v>
      </c>
      <c r="Q345" s="119" t="s">
        <v>1342</v>
      </c>
      <c r="R345" s="221" t="s">
        <v>691</v>
      </c>
      <c r="S345" s="225" t="s">
        <v>466</v>
      </c>
      <c r="T345" s="148" t="s">
        <v>255</v>
      </c>
      <c r="U345" s="221" t="s">
        <v>991</v>
      </c>
      <c r="V345" s="221" t="s">
        <v>222</v>
      </c>
      <c r="W345" s="221"/>
      <c r="X345" s="221"/>
      <c r="Y345" s="221"/>
      <c r="Z345" s="221"/>
      <c r="AA345" s="222">
        <v>42940</v>
      </c>
      <c r="AB345" s="221" t="s">
        <v>195</v>
      </c>
      <c r="AC345" s="63">
        <f t="shared" si="17"/>
        <v>0</v>
      </c>
      <c r="AD345" s="221"/>
      <c r="AE345" s="221" t="s">
        <v>217</v>
      </c>
      <c r="AF345" s="221" t="s">
        <v>225</v>
      </c>
      <c r="AG345" s="221"/>
      <c r="AH345" s="64" t="s">
        <v>1103</v>
      </c>
      <c r="AI345" s="221"/>
      <c r="AJ345" s="221"/>
      <c r="AK345" s="221"/>
      <c r="AL345" s="221"/>
      <c r="AM345" s="221"/>
    </row>
    <row r="346" spans="1:39" ht="12.75" hidden="1" customHeight="1">
      <c r="A346" s="147">
        <v>345</v>
      </c>
      <c r="B346" s="170">
        <v>201697</v>
      </c>
      <c r="C346" s="146" t="s">
        <v>128</v>
      </c>
      <c r="D346" s="57">
        <v>42936</v>
      </c>
      <c r="E346" s="58" t="s">
        <v>890</v>
      </c>
      <c r="F346" s="118">
        <v>42950</v>
      </c>
      <c r="G346" s="150">
        <f t="shared" si="16"/>
        <v>14</v>
      </c>
      <c r="H346" s="146" t="s">
        <v>133</v>
      </c>
      <c r="I346" s="221"/>
      <c r="J346" s="60" t="s">
        <v>614</v>
      </c>
      <c r="K346" s="94">
        <v>1999</v>
      </c>
      <c r="L346" s="94">
        <v>1999</v>
      </c>
      <c r="M346" s="221">
        <v>550</v>
      </c>
      <c r="N346" s="221">
        <v>71.400000000000006</v>
      </c>
      <c r="O346" s="93">
        <f t="shared" si="18"/>
        <v>1329.06</v>
      </c>
      <c r="P346" s="119" t="s">
        <v>264</v>
      </c>
      <c r="Q346" s="119" t="s">
        <v>1342</v>
      </c>
      <c r="R346" s="146" t="s">
        <v>501</v>
      </c>
      <c r="S346" s="225" t="s">
        <v>466</v>
      </c>
      <c r="T346" s="146" t="s">
        <v>338</v>
      </c>
      <c r="U346" s="221" t="s">
        <v>992</v>
      </c>
      <c r="V346" s="146" t="s">
        <v>222</v>
      </c>
      <c r="W346" s="221"/>
      <c r="X346" s="146"/>
      <c r="Y346" s="221" t="s">
        <v>978</v>
      </c>
      <c r="Z346" s="146" t="s">
        <v>1160</v>
      </c>
      <c r="AA346" s="118">
        <v>42940</v>
      </c>
      <c r="AB346" s="146" t="s">
        <v>195</v>
      </c>
      <c r="AC346" s="63">
        <f t="shared" si="17"/>
        <v>1</v>
      </c>
      <c r="AD346" s="221" t="s">
        <v>217</v>
      </c>
      <c r="AE346" s="221" t="s">
        <v>218</v>
      </c>
      <c r="AF346" s="146"/>
      <c r="AG346" s="146"/>
      <c r="AH346" s="64" t="s">
        <v>1121</v>
      </c>
      <c r="AI346" s="146" t="s">
        <v>184</v>
      </c>
      <c r="AJ346" s="222">
        <v>42964</v>
      </c>
      <c r="AK346" s="221" t="s">
        <v>1139</v>
      </c>
      <c r="AL346" s="146" t="s">
        <v>645</v>
      </c>
      <c r="AM346" s="222">
        <v>42972</v>
      </c>
    </row>
    <row r="347" spans="1:39" ht="12.75" hidden="1" customHeight="1">
      <c r="A347" s="147">
        <v>346</v>
      </c>
      <c r="B347" s="170">
        <v>201290</v>
      </c>
      <c r="C347" s="146" t="s">
        <v>128</v>
      </c>
      <c r="D347" s="57">
        <v>42936</v>
      </c>
      <c r="E347" s="58" t="s">
        <v>890</v>
      </c>
      <c r="F347" s="118">
        <v>42946</v>
      </c>
      <c r="G347" s="146">
        <f t="shared" si="16"/>
        <v>10</v>
      </c>
      <c r="H347" s="221" t="s">
        <v>133</v>
      </c>
      <c r="I347" s="221"/>
      <c r="J347" s="60" t="s">
        <v>614</v>
      </c>
      <c r="K347" s="94">
        <v>1999</v>
      </c>
      <c r="L347" s="94">
        <v>1999</v>
      </c>
      <c r="M347" s="221">
        <v>390</v>
      </c>
      <c r="N347" s="221">
        <v>230</v>
      </c>
      <c r="O347" s="93">
        <f t="shared" si="18"/>
        <v>1489.06</v>
      </c>
      <c r="P347" s="119" t="s">
        <v>264</v>
      </c>
      <c r="Q347" s="119" t="s">
        <v>1342</v>
      </c>
      <c r="R347" s="146" t="s">
        <v>143</v>
      </c>
      <c r="S347" s="62" t="s">
        <v>465</v>
      </c>
      <c r="T347" s="221" t="s">
        <v>114</v>
      </c>
      <c r="U347" s="221" t="s">
        <v>310</v>
      </c>
      <c r="V347" s="224" t="s">
        <v>90</v>
      </c>
      <c r="W347" s="221"/>
      <c r="X347" s="221"/>
      <c r="Y347" s="221" t="s">
        <v>1942</v>
      </c>
      <c r="Z347" s="221" t="s">
        <v>147</v>
      </c>
      <c r="AA347" s="222">
        <v>42940</v>
      </c>
      <c r="AB347" s="146" t="s">
        <v>140</v>
      </c>
      <c r="AC347" s="63">
        <f t="shared" si="17"/>
        <v>1</v>
      </c>
      <c r="AD347" s="221" t="s">
        <v>217</v>
      </c>
      <c r="AE347" s="221" t="s">
        <v>218</v>
      </c>
      <c r="AF347" s="146"/>
      <c r="AG347" s="146"/>
      <c r="AH347" s="64" t="s">
        <v>1020</v>
      </c>
      <c r="AI347" s="146" t="s">
        <v>184</v>
      </c>
      <c r="AJ347" s="222">
        <v>42947</v>
      </c>
      <c r="AK347" s="221" t="s">
        <v>1031</v>
      </c>
      <c r="AL347" s="146" t="s">
        <v>609</v>
      </c>
      <c r="AM347" s="222">
        <v>42948</v>
      </c>
    </row>
    <row r="348" spans="1:39" ht="12.75" hidden="1" customHeight="1">
      <c r="A348" s="147">
        <v>347</v>
      </c>
      <c r="B348" s="170">
        <v>201535</v>
      </c>
      <c r="C348" s="146" t="s">
        <v>128</v>
      </c>
      <c r="D348" s="57">
        <v>42936</v>
      </c>
      <c r="E348" s="58" t="s">
        <v>890</v>
      </c>
      <c r="F348" s="118">
        <v>42947</v>
      </c>
      <c r="G348" s="146">
        <f t="shared" si="16"/>
        <v>11</v>
      </c>
      <c r="H348" s="146" t="s">
        <v>133</v>
      </c>
      <c r="I348" s="221"/>
      <c r="J348" s="60" t="s">
        <v>614</v>
      </c>
      <c r="K348" s="94">
        <v>10499</v>
      </c>
      <c r="L348" s="94">
        <v>10499</v>
      </c>
      <c r="M348" s="221"/>
      <c r="N348" s="221"/>
      <c r="O348" s="151">
        <f t="shared" si="18"/>
        <v>0</v>
      </c>
      <c r="P348" s="119" t="s">
        <v>264</v>
      </c>
      <c r="Q348" s="119" t="s">
        <v>1342</v>
      </c>
      <c r="R348" s="221" t="s">
        <v>122</v>
      </c>
      <c r="S348" s="225" t="s">
        <v>469</v>
      </c>
      <c r="T348" s="221" t="s">
        <v>164</v>
      </c>
      <c r="U348" s="221" t="s">
        <v>993</v>
      </c>
      <c r="V348" s="222" t="s">
        <v>169</v>
      </c>
      <c r="W348" s="221"/>
      <c r="X348" s="221"/>
      <c r="Y348" s="221"/>
      <c r="Z348" s="221" t="s">
        <v>565</v>
      </c>
      <c r="AA348" s="221"/>
      <c r="AB348" s="146"/>
      <c r="AC348" s="63">
        <f t="shared" si="17"/>
        <v>0</v>
      </c>
      <c r="AD348" s="221"/>
      <c r="AE348" s="221" t="s">
        <v>217</v>
      </c>
      <c r="AF348" s="146" t="s">
        <v>225</v>
      </c>
      <c r="AG348" s="146"/>
      <c r="AH348" s="64"/>
      <c r="AI348" s="146"/>
      <c r="AJ348" s="221"/>
      <c r="AK348" s="146"/>
      <c r="AL348" s="146"/>
      <c r="AM348" s="221"/>
    </row>
    <row r="349" spans="1:39" ht="12.75" hidden="1" customHeight="1">
      <c r="A349" s="147">
        <v>348</v>
      </c>
      <c r="B349" s="170">
        <v>200667</v>
      </c>
      <c r="C349" s="146" t="s">
        <v>121</v>
      </c>
      <c r="D349" s="57">
        <v>42936</v>
      </c>
      <c r="E349" s="58" t="s">
        <v>890</v>
      </c>
      <c r="F349" s="118">
        <v>42940</v>
      </c>
      <c r="G349" s="146">
        <f t="shared" si="16"/>
        <v>4</v>
      </c>
      <c r="H349" s="146" t="s">
        <v>133</v>
      </c>
      <c r="I349" s="221"/>
      <c r="J349" s="60" t="s">
        <v>614</v>
      </c>
      <c r="K349" s="94">
        <v>4939.2</v>
      </c>
      <c r="L349" s="94">
        <v>4939.2</v>
      </c>
      <c r="M349" s="221"/>
      <c r="N349" s="221"/>
      <c r="O349" s="151">
        <f t="shared" si="18"/>
        <v>0</v>
      </c>
      <c r="P349" s="119" t="s">
        <v>263</v>
      </c>
      <c r="Q349" s="119" t="s">
        <v>1341</v>
      </c>
      <c r="R349" s="221" t="s">
        <v>143</v>
      </c>
      <c r="S349" s="62" t="s">
        <v>465</v>
      </c>
      <c r="T349" s="221" t="s">
        <v>164</v>
      </c>
      <c r="U349" s="221" t="s">
        <v>817</v>
      </c>
      <c r="V349" s="221" t="s">
        <v>999</v>
      </c>
      <c r="W349" s="221" t="s">
        <v>1000</v>
      </c>
      <c r="X349" s="146"/>
      <c r="Y349" s="221" t="s">
        <v>1942</v>
      </c>
      <c r="Z349" s="221" t="s">
        <v>202</v>
      </c>
      <c r="AA349" s="221"/>
      <c r="AB349" s="146"/>
      <c r="AC349" s="63">
        <f t="shared" si="17"/>
        <v>0</v>
      </c>
      <c r="AD349" s="221"/>
      <c r="AE349" s="221" t="s">
        <v>217</v>
      </c>
      <c r="AF349" s="148" t="s">
        <v>1625</v>
      </c>
      <c r="AG349" s="146"/>
      <c r="AH349" s="64"/>
      <c r="AI349" s="146"/>
      <c r="AJ349" s="221"/>
      <c r="AK349" s="146"/>
      <c r="AL349" s="146"/>
      <c r="AM349" s="221"/>
    </row>
    <row r="350" spans="1:39" ht="25.5" hidden="1" customHeight="1">
      <c r="A350" s="147">
        <v>349</v>
      </c>
      <c r="B350" s="170">
        <v>200909</v>
      </c>
      <c r="C350" s="146" t="s">
        <v>128</v>
      </c>
      <c r="D350" s="57">
        <v>42937</v>
      </c>
      <c r="E350" s="58" t="s">
        <v>890</v>
      </c>
      <c r="F350" s="118">
        <v>42952</v>
      </c>
      <c r="G350" s="146">
        <f t="shared" si="16"/>
        <v>15</v>
      </c>
      <c r="H350" s="146" t="s">
        <v>363</v>
      </c>
      <c r="I350" s="221"/>
      <c r="J350" s="60" t="s">
        <v>614</v>
      </c>
      <c r="K350" s="94">
        <v>2099</v>
      </c>
      <c r="L350" s="94">
        <v>2099</v>
      </c>
      <c r="M350" s="96">
        <v>0</v>
      </c>
      <c r="N350" s="221"/>
      <c r="O350" s="93">
        <f t="shared" si="18"/>
        <v>1973.06</v>
      </c>
      <c r="P350" s="119" t="s">
        <v>261</v>
      </c>
      <c r="Q350" s="119" t="s">
        <v>1341</v>
      </c>
      <c r="R350" s="221" t="s">
        <v>122</v>
      </c>
      <c r="S350" s="225" t="s">
        <v>469</v>
      </c>
      <c r="T350" s="221" t="s">
        <v>829</v>
      </c>
      <c r="U350" s="221" t="s">
        <v>984</v>
      </c>
      <c r="V350" s="224" t="s">
        <v>90</v>
      </c>
      <c r="W350" s="221"/>
      <c r="X350" s="221"/>
      <c r="Y350" s="221"/>
      <c r="Z350" s="221" t="s">
        <v>296</v>
      </c>
      <c r="AA350" s="221"/>
      <c r="AB350" s="146"/>
      <c r="AC350" s="63">
        <f t="shared" si="17"/>
        <v>1</v>
      </c>
      <c r="AD350" s="221"/>
      <c r="AE350" s="146"/>
      <c r="AF350" s="146"/>
      <c r="AG350" s="146"/>
      <c r="AH350" s="64" t="s">
        <v>989</v>
      </c>
      <c r="AI350" s="146"/>
      <c r="AJ350" s="221"/>
      <c r="AK350" s="221"/>
      <c r="AL350" s="146"/>
      <c r="AM350" s="221"/>
    </row>
    <row r="351" spans="1:39" ht="12.75" hidden="1" customHeight="1">
      <c r="A351" s="147">
        <v>350</v>
      </c>
      <c r="B351" s="170">
        <v>200964</v>
      </c>
      <c r="C351" s="117" t="s">
        <v>121</v>
      </c>
      <c r="D351" s="57">
        <v>42937</v>
      </c>
      <c r="E351" s="58" t="s">
        <v>890</v>
      </c>
      <c r="F351" s="118">
        <v>42948</v>
      </c>
      <c r="G351" s="146">
        <f t="shared" si="16"/>
        <v>11</v>
      </c>
      <c r="H351" s="117" t="s">
        <v>133</v>
      </c>
      <c r="I351" s="221"/>
      <c r="J351" s="60" t="s">
        <v>614</v>
      </c>
      <c r="K351" s="94">
        <v>1644</v>
      </c>
      <c r="L351" s="94">
        <v>1644.1</v>
      </c>
      <c r="M351" s="221">
        <v>278</v>
      </c>
      <c r="N351" s="221">
        <v>80</v>
      </c>
      <c r="O351" s="93">
        <f t="shared" si="18"/>
        <v>1267.3599999999999</v>
      </c>
      <c r="P351" s="119" t="s">
        <v>264</v>
      </c>
      <c r="Q351" s="119" t="s">
        <v>1342</v>
      </c>
      <c r="R351" s="146" t="s">
        <v>134</v>
      </c>
      <c r="S351" s="62" t="s">
        <v>465</v>
      </c>
      <c r="T351" s="221" t="s">
        <v>164</v>
      </c>
      <c r="U351" s="221" t="s">
        <v>995</v>
      </c>
      <c r="V351" s="221" t="s">
        <v>997</v>
      </c>
      <c r="W351" s="221" t="s">
        <v>402</v>
      </c>
      <c r="X351" s="117"/>
      <c r="Y351" s="221" t="s">
        <v>1942</v>
      </c>
      <c r="Z351" s="221" t="s">
        <v>202</v>
      </c>
      <c r="AA351" s="222">
        <v>42940</v>
      </c>
      <c r="AB351" s="117" t="s">
        <v>872</v>
      </c>
      <c r="AC351" s="63">
        <f t="shared" si="17"/>
        <v>1</v>
      </c>
      <c r="AD351" s="221" t="s">
        <v>217</v>
      </c>
      <c r="AE351" s="221" t="s">
        <v>218</v>
      </c>
      <c r="AF351" s="117"/>
      <c r="AG351" s="117"/>
      <c r="AH351" s="64"/>
      <c r="AI351" s="117" t="s">
        <v>184</v>
      </c>
      <c r="AJ351" s="222">
        <v>42947</v>
      </c>
      <c r="AK351" s="221" t="s">
        <v>1030</v>
      </c>
      <c r="AL351" s="117" t="s">
        <v>609</v>
      </c>
      <c r="AM351" s="222">
        <v>42948</v>
      </c>
    </row>
    <row r="352" spans="1:39" ht="12.75" hidden="1" customHeight="1">
      <c r="A352" s="147">
        <v>351</v>
      </c>
      <c r="B352" s="170">
        <v>201344</v>
      </c>
      <c r="C352" s="117" t="s">
        <v>121</v>
      </c>
      <c r="D352" s="57">
        <v>42937</v>
      </c>
      <c r="E352" s="58" t="s">
        <v>890</v>
      </c>
      <c r="F352" s="118">
        <v>42945</v>
      </c>
      <c r="G352" s="146">
        <f t="shared" si="16"/>
        <v>8</v>
      </c>
      <c r="H352" s="221" t="s">
        <v>133</v>
      </c>
      <c r="I352" s="221"/>
      <c r="J352" s="60" t="s">
        <v>614</v>
      </c>
      <c r="K352" s="94">
        <v>2401</v>
      </c>
      <c r="L352" s="94">
        <v>2401</v>
      </c>
      <c r="M352" s="221">
        <v>185</v>
      </c>
      <c r="N352" s="221">
        <v>135</v>
      </c>
      <c r="O352" s="93">
        <f t="shared" si="18"/>
        <v>2071.94</v>
      </c>
      <c r="P352" s="119" t="s">
        <v>264</v>
      </c>
      <c r="Q352" s="119" t="s">
        <v>1342</v>
      </c>
      <c r="R352" s="221" t="s">
        <v>134</v>
      </c>
      <c r="S352" s="62" t="s">
        <v>465</v>
      </c>
      <c r="T352" s="221" t="s">
        <v>164</v>
      </c>
      <c r="U352" s="221" t="s">
        <v>996</v>
      </c>
      <c r="V352" s="224" t="s">
        <v>90</v>
      </c>
      <c r="W352" s="221"/>
      <c r="X352" s="117"/>
      <c r="Y352" s="221" t="s">
        <v>1942</v>
      </c>
      <c r="Z352" s="221" t="s">
        <v>202</v>
      </c>
      <c r="AA352" s="222">
        <v>42940</v>
      </c>
      <c r="AB352" s="117" t="s">
        <v>140</v>
      </c>
      <c r="AC352" s="63">
        <f t="shared" si="17"/>
        <v>1</v>
      </c>
      <c r="AD352" s="221" t="s">
        <v>217</v>
      </c>
      <c r="AE352" s="221" t="s">
        <v>218</v>
      </c>
      <c r="AF352" s="117"/>
      <c r="AG352" s="117"/>
      <c r="AH352" s="64"/>
      <c r="AI352" s="117" t="s">
        <v>184</v>
      </c>
      <c r="AJ352" s="222">
        <v>42947</v>
      </c>
      <c r="AK352" s="146" t="s">
        <v>1032</v>
      </c>
      <c r="AL352" s="117" t="s">
        <v>609</v>
      </c>
      <c r="AM352" s="222">
        <v>42948</v>
      </c>
    </row>
    <row r="353" spans="1:39" ht="12.75" hidden="1" customHeight="1">
      <c r="A353" s="147">
        <v>352</v>
      </c>
      <c r="B353" s="170">
        <v>200814</v>
      </c>
      <c r="C353" s="117" t="s">
        <v>121</v>
      </c>
      <c r="D353" s="57">
        <v>42937</v>
      </c>
      <c r="E353" s="58" t="s">
        <v>890</v>
      </c>
      <c r="F353" s="118">
        <v>42941</v>
      </c>
      <c r="G353" s="221">
        <f t="shared" si="16"/>
        <v>4</v>
      </c>
      <c r="H353" s="221" t="s">
        <v>363</v>
      </c>
      <c r="I353" s="221"/>
      <c r="J353" s="60" t="s">
        <v>614</v>
      </c>
      <c r="K353" s="94">
        <v>4197.5</v>
      </c>
      <c r="L353" s="94">
        <v>4197.5</v>
      </c>
      <c r="M353" s="96">
        <v>0</v>
      </c>
      <c r="N353" s="221"/>
      <c r="O353" s="151">
        <f t="shared" si="18"/>
        <v>0</v>
      </c>
      <c r="P353" s="119" t="s">
        <v>264</v>
      </c>
      <c r="Q353" s="119" t="s">
        <v>1342</v>
      </c>
      <c r="R353" s="146" t="s">
        <v>122</v>
      </c>
      <c r="S353" s="225" t="s">
        <v>469</v>
      </c>
      <c r="T353" s="146" t="s">
        <v>164</v>
      </c>
      <c r="U353" s="221" t="s">
        <v>205</v>
      </c>
      <c r="V353" s="221" t="s">
        <v>998</v>
      </c>
      <c r="W353" s="221"/>
      <c r="X353" s="117"/>
      <c r="Y353" s="221"/>
      <c r="Z353" s="117" t="s">
        <v>202</v>
      </c>
      <c r="AA353" s="221"/>
      <c r="AB353" s="117"/>
      <c r="AC353" s="63">
        <f t="shared" si="17"/>
        <v>0</v>
      </c>
      <c r="AD353" s="221"/>
      <c r="AE353" s="221" t="s">
        <v>217</v>
      </c>
      <c r="AF353" s="148" t="s">
        <v>1625</v>
      </c>
      <c r="AG353" s="117"/>
      <c r="AH353" s="64" t="s">
        <v>1018</v>
      </c>
      <c r="AI353" s="117"/>
      <c r="AJ353" s="221"/>
      <c r="AK353" s="221"/>
      <c r="AL353" s="117"/>
      <c r="AM353" s="221"/>
    </row>
    <row r="354" spans="1:39" ht="12.75" hidden="1" customHeight="1">
      <c r="A354" s="147">
        <v>353</v>
      </c>
      <c r="B354" s="170">
        <v>201904</v>
      </c>
      <c r="C354" s="117" t="s">
        <v>129</v>
      </c>
      <c r="D354" s="57">
        <v>42940</v>
      </c>
      <c r="E354" s="58" t="s">
        <v>890</v>
      </c>
      <c r="F354" s="118">
        <v>42954</v>
      </c>
      <c r="G354" s="117">
        <f t="shared" si="16"/>
        <v>14</v>
      </c>
      <c r="H354" s="117" t="s">
        <v>133</v>
      </c>
      <c r="I354" s="221"/>
      <c r="J354" s="60" t="s">
        <v>614</v>
      </c>
      <c r="K354" s="94">
        <v>3599</v>
      </c>
      <c r="L354" s="94">
        <v>3599</v>
      </c>
      <c r="M354" s="221"/>
      <c r="N354" s="221"/>
      <c r="O354" s="151">
        <f t="shared" si="18"/>
        <v>0</v>
      </c>
      <c r="P354" s="119" t="s">
        <v>264</v>
      </c>
      <c r="Q354" s="119" t="s">
        <v>1342</v>
      </c>
      <c r="R354" s="221" t="s">
        <v>122</v>
      </c>
      <c r="S354" s="225" t="s">
        <v>469</v>
      </c>
      <c r="T354" s="221" t="s">
        <v>114</v>
      </c>
      <c r="U354" s="221" t="s">
        <v>604</v>
      </c>
      <c r="V354" s="221" t="s">
        <v>222</v>
      </c>
      <c r="W354" s="221"/>
      <c r="X354" s="146"/>
      <c r="Y354" s="146"/>
      <c r="Z354" s="221" t="s">
        <v>170</v>
      </c>
      <c r="AA354" s="221"/>
      <c r="AB354" s="146"/>
      <c r="AC354" s="63">
        <f t="shared" si="17"/>
        <v>0</v>
      </c>
      <c r="AD354" s="221"/>
      <c r="AE354" s="221" t="s">
        <v>217</v>
      </c>
      <c r="AF354" s="146" t="s">
        <v>225</v>
      </c>
      <c r="AG354" s="146"/>
      <c r="AH354" s="64"/>
      <c r="AI354" s="146"/>
      <c r="AJ354" s="221"/>
      <c r="AK354" s="146"/>
      <c r="AL354" s="146"/>
      <c r="AM354" s="221"/>
    </row>
    <row r="355" spans="1:39" ht="12.75" hidden="1" customHeight="1">
      <c r="A355" s="147">
        <v>354</v>
      </c>
      <c r="B355" s="170">
        <v>202213</v>
      </c>
      <c r="C355" s="117" t="s">
        <v>129</v>
      </c>
      <c r="D355" s="57">
        <v>42940</v>
      </c>
      <c r="E355" s="58" t="s">
        <v>890</v>
      </c>
      <c r="F355" s="118">
        <v>42954</v>
      </c>
      <c r="G355" s="146">
        <f t="shared" si="16"/>
        <v>14</v>
      </c>
      <c r="H355" s="221" t="s">
        <v>133</v>
      </c>
      <c r="I355" s="221"/>
      <c r="J355" s="60" t="s">
        <v>614</v>
      </c>
      <c r="K355" s="94">
        <v>3324.05</v>
      </c>
      <c r="L355" s="94">
        <v>3324.05</v>
      </c>
      <c r="M355" s="221"/>
      <c r="N355" s="221"/>
      <c r="O355" s="151">
        <f t="shared" si="18"/>
        <v>0</v>
      </c>
      <c r="P355" s="119" t="s">
        <v>262</v>
      </c>
      <c r="Q355" s="119" t="s">
        <v>1342</v>
      </c>
      <c r="R355" s="146" t="s">
        <v>122</v>
      </c>
      <c r="S355" s="225" t="s">
        <v>469</v>
      </c>
      <c r="T355" s="221" t="s">
        <v>164</v>
      </c>
      <c r="U355" s="221" t="s">
        <v>1003</v>
      </c>
      <c r="V355" s="221" t="s">
        <v>222</v>
      </c>
      <c r="W355" s="221" t="s">
        <v>1005</v>
      </c>
      <c r="X355" s="117"/>
      <c r="Y355" s="117"/>
      <c r="Z355" s="146" t="s">
        <v>202</v>
      </c>
      <c r="AA355" s="221"/>
      <c r="AB355" s="117"/>
      <c r="AC355" s="63">
        <f t="shared" si="17"/>
        <v>0</v>
      </c>
      <c r="AD355" s="221"/>
      <c r="AE355" s="221" t="s">
        <v>217</v>
      </c>
      <c r="AF355" s="117" t="s">
        <v>225</v>
      </c>
      <c r="AG355" s="117"/>
      <c r="AH355" s="64"/>
      <c r="AI355" s="117"/>
      <c r="AJ355" s="146"/>
      <c r="AK355" s="221"/>
      <c r="AL355" s="117"/>
      <c r="AM355" s="146"/>
    </row>
    <row r="356" spans="1:39" ht="12.75" hidden="1" customHeight="1">
      <c r="A356" s="147">
        <v>355</v>
      </c>
      <c r="B356" s="170">
        <v>200082</v>
      </c>
      <c r="C356" s="117" t="s">
        <v>129</v>
      </c>
      <c r="D356" s="57">
        <v>42940</v>
      </c>
      <c r="E356" s="58" t="s">
        <v>890</v>
      </c>
      <c r="F356" s="118">
        <v>42947</v>
      </c>
      <c r="G356" s="117">
        <f t="shared" si="16"/>
        <v>7</v>
      </c>
      <c r="H356" s="117" t="s">
        <v>133</v>
      </c>
      <c r="I356" s="221"/>
      <c r="J356" s="60" t="s">
        <v>614</v>
      </c>
      <c r="K356" s="94">
        <v>1599</v>
      </c>
      <c r="L356" s="94">
        <v>1599</v>
      </c>
      <c r="M356" s="221">
        <v>290</v>
      </c>
      <c r="N356" s="221">
        <v>80</v>
      </c>
      <c r="O356" s="93">
        <f t="shared" si="18"/>
        <v>1213.06</v>
      </c>
      <c r="P356" s="119" t="s">
        <v>261</v>
      </c>
      <c r="Q356" s="119" t="s">
        <v>1341</v>
      </c>
      <c r="R356" s="221" t="s">
        <v>134</v>
      </c>
      <c r="S356" s="62" t="s">
        <v>465</v>
      </c>
      <c r="T356" s="221" t="s">
        <v>164</v>
      </c>
      <c r="U356" s="221" t="s">
        <v>1004</v>
      </c>
      <c r="V356" s="224" t="s">
        <v>90</v>
      </c>
      <c r="W356" s="221" t="s">
        <v>620</v>
      </c>
      <c r="X356" s="117"/>
      <c r="Y356" s="146" t="s">
        <v>316</v>
      </c>
      <c r="Z356" s="221" t="s">
        <v>202</v>
      </c>
      <c r="AA356" s="222">
        <v>42942</v>
      </c>
      <c r="AB356" s="117" t="s">
        <v>872</v>
      </c>
      <c r="AC356" s="63">
        <f t="shared" si="17"/>
        <v>1</v>
      </c>
      <c r="AD356" s="221" t="s">
        <v>217</v>
      </c>
      <c r="AE356" s="221" t="s">
        <v>218</v>
      </c>
      <c r="AF356" s="117"/>
      <c r="AG356" s="117"/>
      <c r="AH356" s="64"/>
      <c r="AI356" s="117" t="s">
        <v>184</v>
      </c>
      <c r="AJ356" s="222">
        <v>42948</v>
      </c>
      <c r="AK356" s="146" t="s">
        <v>1064</v>
      </c>
      <c r="AL356" s="117" t="s">
        <v>645</v>
      </c>
      <c r="AM356" s="222">
        <v>42949</v>
      </c>
    </row>
    <row r="357" spans="1:39" ht="12.75" hidden="1" customHeight="1">
      <c r="A357" s="147">
        <v>356</v>
      </c>
      <c r="B357" s="170">
        <v>201525</v>
      </c>
      <c r="C357" s="117" t="s">
        <v>128</v>
      </c>
      <c r="D357" s="57">
        <v>42941</v>
      </c>
      <c r="E357" s="58" t="s">
        <v>890</v>
      </c>
      <c r="F357" s="118">
        <v>42952</v>
      </c>
      <c r="G357" s="117">
        <f t="shared" si="16"/>
        <v>11</v>
      </c>
      <c r="H357" s="117" t="s">
        <v>133</v>
      </c>
      <c r="I357" s="221"/>
      <c r="J357" s="60" t="s">
        <v>614</v>
      </c>
      <c r="K357" s="94">
        <v>1279</v>
      </c>
      <c r="L357" s="94">
        <v>1279.2</v>
      </c>
      <c r="M357" s="221">
        <v>100</v>
      </c>
      <c r="N357" s="221">
        <v>120</v>
      </c>
      <c r="O357" s="93">
        <f t="shared" si="18"/>
        <v>1082.26</v>
      </c>
      <c r="P357" s="119" t="s">
        <v>264</v>
      </c>
      <c r="Q357" s="119" t="s">
        <v>1342</v>
      </c>
      <c r="R357" s="221" t="s">
        <v>134</v>
      </c>
      <c r="S357" s="62" t="s">
        <v>465</v>
      </c>
      <c r="T357" s="146" t="s">
        <v>1011</v>
      </c>
      <c r="U357" s="221" t="s">
        <v>1012</v>
      </c>
      <c r="V357" s="221" t="s">
        <v>1013</v>
      </c>
      <c r="W357" s="221"/>
      <c r="X357" s="117"/>
      <c r="Y357" s="146" t="s">
        <v>203</v>
      </c>
      <c r="Z357" s="117" t="s">
        <v>510</v>
      </c>
      <c r="AA357" s="222">
        <v>42941</v>
      </c>
      <c r="AB357" s="117" t="s">
        <v>872</v>
      </c>
      <c r="AC357" s="63">
        <f t="shared" si="17"/>
        <v>1</v>
      </c>
      <c r="AD357" s="221" t="s">
        <v>217</v>
      </c>
      <c r="AE357" s="221" t="s">
        <v>218</v>
      </c>
      <c r="AF357" s="117"/>
      <c r="AG357" s="117"/>
      <c r="AH357" s="64" t="s">
        <v>1022</v>
      </c>
      <c r="AI357" s="117"/>
      <c r="AJ357" s="146"/>
      <c r="AK357" s="221"/>
      <c r="AL357" s="117"/>
      <c r="AM357" s="146"/>
    </row>
    <row r="358" spans="1:39" ht="12.75" hidden="1" customHeight="1">
      <c r="A358" s="147">
        <v>357</v>
      </c>
      <c r="B358" s="170">
        <v>201673</v>
      </c>
      <c r="C358" s="221" t="s">
        <v>128</v>
      </c>
      <c r="D358" s="57">
        <v>42941</v>
      </c>
      <c r="E358" s="58" t="s">
        <v>890</v>
      </c>
      <c r="F358" s="118">
        <v>42952</v>
      </c>
      <c r="G358" s="117">
        <f t="shared" si="16"/>
        <v>11</v>
      </c>
      <c r="H358" s="117" t="s">
        <v>133</v>
      </c>
      <c r="I358" s="221"/>
      <c r="J358" s="60" t="s">
        <v>614</v>
      </c>
      <c r="K358" s="94">
        <v>1821.2</v>
      </c>
      <c r="L358" s="94">
        <v>1821.2</v>
      </c>
      <c r="M358" s="221"/>
      <c r="N358" s="221"/>
      <c r="O358" s="151">
        <f t="shared" si="18"/>
        <v>0</v>
      </c>
      <c r="P358" s="119" t="s">
        <v>264</v>
      </c>
      <c r="Q358" s="119" t="s">
        <v>1342</v>
      </c>
      <c r="R358" s="221" t="s">
        <v>143</v>
      </c>
      <c r="S358" s="62" t="s">
        <v>465</v>
      </c>
      <c r="T358" s="221" t="s">
        <v>88</v>
      </c>
      <c r="U358" s="221" t="s">
        <v>297</v>
      </c>
      <c r="V358" s="224" t="s">
        <v>90</v>
      </c>
      <c r="W358" s="221"/>
      <c r="X358" s="117"/>
      <c r="Y358" s="146"/>
      <c r="Z358" s="221" t="s">
        <v>189</v>
      </c>
      <c r="AA358" s="221"/>
      <c r="AB358" s="117"/>
      <c r="AC358" s="63">
        <f t="shared" si="17"/>
        <v>0</v>
      </c>
      <c r="AD358" s="221"/>
      <c r="AE358" s="221" t="s">
        <v>217</v>
      </c>
      <c r="AF358" s="117" t="s">
        <v>225</v>
      </c>
      <c r="AG358" s="117"/>
      <c r="AH358" s="64"/>
      <c r="AI358" s="117"/>
      <c r="AJ358" s="221"/>
      <c r="AK358" s="221"/>
      <c r="AL358" s="117"/>
      <c r="AM358" s="221"/>
    </row>
    <row r="359" spans="1:39" ht="12.75" hidden="1" customHeight="1">
      <c r="A359" s="147">
        <v>358</v>
      </c>
      <c r="B359" s="170">
        <v>202121</v>
      </c>
      <c r="C359" s="117" t="s">
        <v>128</v>
      </c>
      <c r="D359" s="57">
        <v>42941</v>
      </c>
      <c r="E359" s="58" t="s">
        <v>890</v>
      </c>
      <c r="F359" s="118">
        <v>42955</v>
      </c>
      <c r="G359" s="117">
        <f t="shared" si="16"/>
        <v>14</v>
      </c>
      <c r="H359" s="117" t="s">
        <v>133</v>
      </c>
      <c r="I359" s="221"/>
      <c r="J359" s="60" t="s">
        <v>614</v>
      </c>
      <c r="K359" s="94">
        <v>2899</v>
      </c>
      <c r="L359" s="94">
        <v>2899</v>
      </c>
      <c r="M359" s="221">
        <v>290</v>
      </c>
      <c r="N359" s="221">
        <v>220</v>
      </c>
      <c r="O359" s="93">
        <f t="shared" si="18"/>
        <v>2435.06</v>
      </c>
      <c r="P359" s="119" t="s">
        <v>264</v>
      </c>
      <c r="Q359" s="119" t="s">
        <v>1342</v>
      </c>
      <c r="R359" s="117" t="s">
        <v>134</v>
      </c>
      <c r="S359" s="62" t="s">
        <v>465</v>
      </c>
      <c r="T359" s="221" t="s">
        <v>88</v>
      </c>
      <c r="U359" s="224" t="s">
        <v>1461</v>
      </c>
      <c r="V359" s="221" t="s">
        <v>429</v>
      </c>
      <c r="W359" s="221"/>
      <c r="X359" s="117"/>
      <c r="Y359" s="146" t="s">
        <v>316</v>
      </c>
      <c r="Z359" s="221" t="s">
        <v>189</v>
      </c>
      <c r="AA359" s="222">
        <v>42942</v>
      </c>
      <c r="AB359" s="117" t="s">
        <v>872</v>
      </c>
      <c r="AC359" s="63">
        <f t="shared" si="17"/>
        <v>1</v>
      </c>
      <c r="AD359" s="221" t="s">
        <v>217</v>
      </c>
      <c r="AE359" s="221" t="s">
        <v>218</v>
      </c>
      <c r="AF359" s="117"/>
      <c r="AG359" s="117"/>
      <c r="AH359" s="64"/>
      <c r="AI359" s="117" t="s">
        <v>184</v>
      </c>
      <c r="AJ359" s="222">
        <v>42948</v>
      </c>
      <c r="AK359" s="146" t="s">
        <v>1051</v>
      </c>
      <c r="AL359" s="117" t="s">
        <v>645</v>
      </c>
      <c r="AM359" s="222">
        <v>42948</v>
      </c>
    </row>
    <row r="360" spans="1:39" ht="12.75" hidden="1" customHeight="1">
      <c r="A360" s="147">
        <v>359</v>
      </c>
      <c r="B360" s="170">
        <v>201790</v>
      </c>
      <c r="C360" s="117" t="s">
        <v>128</v>
      </c>
      <c r="D360" s="57">
        <v>42941</v>
      </c>
      <c r="E360" s="58" t="s">
        <v>890</v>
      </c>
      <c r="F360" s="118">
        <v>42952</v>
      </c>
      <c r="G360" s="117">
        <f t="shared" si="16"/>
        <v>11</v>
      </c>
      <c r="H360" s="117" t="s">
        <v>133</v>
      </c>
      <c r="I360" s="221"/>
      <c r="J360" s="60" t="s">
        <v>614</v>
      </c>
      <c r="K360" s="94">
        <v>1860</v>
      </c>
      <c r="L360" s="94">
        <v>1860</v>
      </c>
      <c r="M360" s="221">
        <v>300</v>
      </c>
      <c r="N360" s="221">
        <v>235</v>
      </c>
      <c r="O360" s="93">
        <f t="shared" si="18"/>
        <v>1448.4</v>
      </c>
      <c r="P360" s="119" t="s">
        <v>264</v>
      </c>
      <c r="Q360" s="119" t="s">
        <v>1342</v>
      </c>
      <c r="R360" s="221" t="s">
        <v>143</v>
      </c>
      <c r="S360" s="62" t="s">
        <v>465</v>
      </c>
      <c r="T360" s="221" t="s">
        <v>88</v>
      </c>
      <c r="U360" s="221" t="s">
        <v>408</v>
      </c>
      <c r="V360" s="221" t="s">
        <v>1014</v>
      </c>
      <c r="W360" s="221"/>
      <c r="X360" s="117"/>
      <c r="Y360" s="146" t="s">
        <v>316</v>
      </c>
      <c r="Z360" s="221" t="s">
        <v>189</v>
      </c>
      <c r="AA360" s="78">
        <v>42943</v>
      </c>
      <c r="AB360" s="117" t="s">
        <v>782</v>
      </c>
      <c r="AC360" s="63">
        <f t="shared" si="17"/>
        <v>1</v>
      </c>
      <c r="AD360" s="221" t="s">
        <v>217</v>
      </c>
      <c r="AE360" s="221" t="s">
        <v>218</v>
      </c>
      <c r="AF360" s="117"/>
      <c r="AG360" s="117"/>
      <c r="AH360" s="64" t="s">
        <v>1033</v>
      </c>
      <c r="AI360" s="117" t="s">
        <v>184</v>
      </c>
      <c r="AJ360" s="222">
        <v>42948</v>
      </c>
      <c r="AK360" s="146" t="s">
        <v>1046</v>
      </c>
      <c r="AL360" s="117" t="s">
        <v>645</v>
      </c>
      <c r="AM360" s="222">
        <v>42948</v>
      </c>
    </row>
    <row r="361" spans="1:39" ht="25.5" hidden="1" customHeight="1">
      <c r="A361" s="147">
        <v>360</v>
      </c>
      <c r="B361" s="170">
        <v>202225</v>
      </c>
      <c r="C361" s="117" t="s">
        <v>128</v>
      </c>
      <c r="D361" s="57">
        <v>42941</v>
      </c>
      <c r="E361" s="58" t="s">
        <v>890</v>
      </c>
      <c r="F361" s="118">
        <v>42950</v>
      </c>
      <c r="G361" s="117">
        <f t="shared" si="16"/>
        <v>9</v>
      </c>
      <c r="H361" s="221" t="s">
        <v>363</v>
      </c>
      <c r="I361" s="221"/>
      <c r="J361" s="60" t="s">
        <v>614</v>
      </c>
      <c r="K361" s="94">
        <v>5199</v>
      </c>
      <c r="L361" s="94">
        <v>5199</v>
      </c>
      <c r="M361" s="96">
        <v>0</v>
      </c>
      <c r="N361" s="221"/>
      <c r="O361" s="93">
        <f t="shared" si="18"/>
        <v>4887.0600000000004</v>
      </c>
      <c r="P361" s="119" t="s">
        <v>263</v>
      </c>
      <c r="Q361" s="119" t="s">
        <v>1341</v>
      </c>
      <c r="R361" s="221" t="s">
        <v>787</v>
      </c>
      <c r="S361" s="225" t="s">
        <v>466</v>
      </c>
      <c r="T361" s="148" t="s">
        <v>255</v>
      </c>
      <c r="U361" s="221" t="s">
        <v>991</v>
      </c>
      <c r="V361" s="221" t="s">
        <v>1015</v>
      </c>
      <c r="W361" s="221"/>
      <c r="X361" s="117"/>
      <c r="Y361" s="146"/>
      <c r="Z361" s="221" t="s">
        <v>780</v>
      </c>
      <c r="AA361" s="222"/>
      <c r="AB361" s="117"/>
      <c r="AC361" s="63">
        <f t="shared" si="17"/>
        <v>1</v>
      </c>
      <c r="AD361" s="221"/>
      <c r="AE361" s="117"/>
      <c r="AF361" s="117"/>
      <c r="AG361" s="117"/>
      <c r="AH361" s="64" t="s">
        <v>1075</v>
      </c>
      <c r="AI361" s="117"/>
      <c r="AJ361" s="117"/>
      <c r="AK361" s="221"/>
      <c r="AL361" s="117"/>
      <c r="AM361" s="146"/>
    </row>
    <row r="362" spans="1:39" ht="12.75" hidden="1" customHeight="1">
      <c r="A362" s="147">
        <v>361</v>
      </c>
      <c r="B362" s="170">
        <v>201963</v>
      </c>
      <c r="C362" s="117" t="s">
        <v>128</v>
      </c>
      <c r="D362" s="57">
        <v>42941</v>
      </c>
      <c r="E362" s="58" t="s">
        <v>890</v>
      </c>
      <c r="F362" s="118">
        <v>42954</v>
      </c>
      <c r="G362" s="117">
        <f t="shared" si="16"/>
        <v>13</v>
      </c>
      <c r="H362" s="117" t="s">
        <v>133</v>
      </c>
      <c r="I362" s="221"/>
      <c r="J362" s="60" t="s">
        <v>614</v>
      </c>
      <c r="K362" s="94">
        <v>1699</v>
      </c>
      <c r="L362" s="94">
        <v>1699</v>
      </c>
      <c r="M362" s="221">
        <v>420</v>
      </c>
      <c r="N362" s="221">
        <v>175</v>
      </c>
      <c r="O362" s="93">
        <f t="shared" si="18"/>
        <v>1177.06</v>
      </c>
      <c r="P362" s="119" t="s">
        <v>264</v>
      </c>
      <c r="Q362" s="119" t="s">
        <v>1342</v>
      </c>
      <c r="R362" s="221" t="s">
        <v>143</v>
      </c>
      <c r="S362" s="62" t="s">
        <v>465</v>
      </c>
      <c r="T362" s="221" t="s">
        <v>88</v>
      </c>
      <c r="U362" s="221" t="s">
        <v>352</v>
      </c>
      <c r="V362" s="224" t="s">
        <v>90</v>
      </c>
      <c r="W362" s="221"/>
      <c r="X362" s="117"/>
      <c r="Y362" s="117" t="s">
        <v>316</v>
      </c>
      <c r="Z362" s="117" t="s">
        <v>189</v>
      </c>
      <c r="AA362" s="78">
        <v>42948</v>
      </c>
      <c r="AB362" s="117" t="s">
        <v>782</v>
      </c>
      <c r="AC362" s="63">
        <f t="shared" si="17"/>
        <v>1</v>
      </c>
      <c r="AD362" s="221" t="s">
        <v>217</v>
      </c>
      <c r="AE362" s="221" t="s">
        <v>218</v>
      </c>
      <c r="AF362" s="117"/>
      <c r="AG362" s="117"/>
      <c r="AH362" s="64"/>
      <c r="AI362" s="117" t="s">
        <v>184</v>
      </c>
      <c r="AJ362" s="222">
        <v>42954</v>
      </c>
      <c r="AK362" s="146" t="s">
        <v>1086</v>
      </c>
      <c r="AL362" s="117" t="s">
        <v>645</v>
      </c>
      <c r="AM362" s="222">
        <v>42954</v>
      </c>
    </row>
    <row r="363" spans="1:39" ht="12.75" hidden="1" customHeight="1">
      <c r="A363" s="147">
        <v>362</v>
      </c>
      <c r="B363" s="170">
        <v>202169</v>
      </c>
      <c r="C363" s="146" t="s">
        <v>121</v>
      </c>
      <c r="D363" s="57">
        <v>42941</v>
      </c>
      <c r="E363" s="58" t="s">
        <v>890</v>
      </c>
      <c r="F363" s="118">
        <v>42960</v>
      </c>
      <c r="G363" s="146">
        <f t="shared" si="16"/>
        <v>19</v>
      </c>
      <c r="H363" s="221" t="s">
        <v>363</v>
      </c>
      <c r="I363" s="221"/>
      <c r="J363" s="60" t="s">
        <v>614</v>
      </c>
      <c r="K363" s="94">
        <v>7839.02</v>
      </c>
      <c r="L363" s="94">
        <v>7839.02</v>
      </c>
      <c r="M363" s="96">
        <v>0</v>
      </c>
      <c r="N363" s="221"/>
      <c r="O363" s="151">
        <f t="shared" si="18"/>
        <v>7368.6788000000006</v>
      </c>
      <c r="P363" s="119" t="s">
        <v>264</v>
      </c>
      <c r="Q363" s="119" t="s">
        <v>1342</v>
      </c>
      <c r="R363" s="221" t="s">
        <v>122</v>
      </c>
      <c r="S363" s="225" t="s">
        <v>469</v>
      </c>
      <c r="T363" s="221" t="s">
        <v>114</v>
      </c>
      <c r="U363" s="221" t="s">
        <v>428</v>
      </c>
      <c r="V363" s="221" t="s">
        <v>1017</v>
      </c>
      <c r="W363" s="221"/>
      <c r="X363" s="146"/>
      <c r="Y363" s="146"/>
      <c r="Z363" s="146" t="s">
        <v>170</v>
      </c>
      <c r="AA363" s="221"/>
      <c r="AB363" s="146"/>
      <c r="AC363" s="63">
        <f t="shared" si="17"/>
        <v>1</v>
      </c>
      <c r="AD363" s="221"/>
      <c r="AE363" s="146"/>
      <c r="AF363" s="146"/>
      <c r="AG363" s="146"/>
      <c r="AH363" s="64" t="s">
        <v>1035</v>
      </c>
      <c r="AI363" s="146"/>
      <c r="AJ363" s="221"/>
      <c r="AK363" s="221"/>
      <c r="AL363" s="146"/>
      <c r="AM363" s="221"/>
    </row>
    <row r="364" spans="1:39" ht="12.75" hidden="1" customHeight="1">
      <c r="A364" s="147">
        <v>363</v>
      </c>
      <c r="B364" s="170">
        <v>202135</v>
      </c>
      <c r="C364" s="117" t="s">
        <v>128</v>
      </c>
      <c r="D364" s="57">
        <v>42941</v>
      </c>
      <c r="E364" s="58" t="s">
        <v>890</v>
      </c>
      <c r="F364" s="118">
        <v>42955</v>
      </c>
      <c r="G364" s="117">
        <f t="shared" si="16"/>
        <v>14</v>
      </c>
      <c r="H364" s="117" t="s">
        <v>133</v>
      </c>
      <c r="I364" s="221"/>
      <c r="J364" s="60" t="s">
        <v>614</v>
      </c>
      <c r="K364" s="94">
        <v>854.05</v>
      </c>
      <c r="L364" s="94">
        <v>854.05</v>
      </c>
      <c r="M364" s="221"/>
      <c r="N364" s="221"/>
      <c r="O364" s="151">
        <f t="shared" si="18"/>
        <v>0</v>
      </c>
      <c r="P364" s="119" t="s">
        <v>262</v>
      </c>
      <c r="Q364" s="119" t="s">
        <v>1342</v>
      </c>
      <c r="R364" s="221" t="s">
        <v>143</v>
      </c>
      <c r="S364" s="62" t="s">
        <v>465</v>
      </c>
      <c r="T364" s="221" t="s">
        <v>88</v>
      </c>
      <c r="U364" s="221" t="s">
        <v>1016</v>
      </c>
      <c r="V364" s="224" t="s">
        <v>90</v>
      </c>
      <c r="W364" s="221"/>
      <c r="X364" s="117"/>
      <c r="Y364" s="117"/>
      <c r="Z364" s="146" t="s">
        <v>189</v>
      </c>
      <c r="AA364" s="221"/>
      <c r="AB364" s="117"/>
      <c r="AC364" s="63">
        <f t="shared" si="17"/>
        <v>0</v>
      </c>
      <c r="AD364" s="221"/>
      <c r="AE364" s="221" t="s">
        <v>217</v>
      </c>
      <c r="AF364" s="117" t="s">
        <v>1021</v>
      </c>
      <c r="AG364" s="117"/>
      <c r="AH364" s="64"/>
      <c r="AI364" s="117"/>
      <c r="AJ364" s="117"/>
      <c r="AK364" s="146"/>
      <c r="AL364" s="117"/>
      <c r="AM364" s="146"/>
    </row>
    <row r="365" spans="1:39" ht="12.75" hidden="1" customHeight="1">
      <c r="A365" s="147">
        <v>364</v>
      </c>
      <c r="B365" s="170">
        <v>201981</v>
      </c>
      <c r="C365" s="117" t="s">
        <v>128</v>
      </c>
      <c r="D365" s="57">
        <v>42941</v>
      </c>
      <c r="E365" s="58" t="s">
        <v>890</v>
      </c>
      <c r="F365" s="118">
        <v>42954</v>
      </c>
      <c r="G365" s="117">
        <f t="shared" si="16"/>
        <v>13</v>
      </c>
      <c r="H365" s="117" t="s">
        <v>133</v>
      </c>
      <c r="I365" s="221"/>
      <c r="J365" s="60" t="s">
        <v>614</v>
      </c>
      <c r="K365" s="94">
        <v>951</v>
      </c>
      <c r="L365" s="94">
        <v>951.2</v>
      </c>
      <c r="M365" s="221">
        <v>140</v>
      </c>
      <c r="N365" s="221">
        <v>80</v>
      </c>
      <c r="O365" s="93">
        <f t="shared" si="18"/>
        <v>753.94</v>
      </c>
      <c r="P365" s="119" t="s">
        <v>264</v>
      </c>
      <c r="Q365" s="119" t="s">
        <v>1342</v>
      </c>
      <c r="R365" s="117" t="s">
        <v>143</v>
      </c>
      <c r="S365" s="62" t="s">
        <v>465</v>
      </c>
      <c r="T365" s="221" t="s">
        <v>88</v>
      </c>
      <c r="U365" s="221" t="s">
        <v>952</v>
      </c>
      <c r="V365" s="221" t="s">
        <v>432</v>
      </c>
      <c r="W365" s="221"/>
      <c r="X365" s="221"/>
      <c r="Y365" s="117" t="s">
        <v>316</v>
      </c>
      <c r="Z365" s="146" t="s">
        <v>189</v>
      </c>
      <c r="AA365" s="78">
        <v>42942</v>
      </c>
      <c r="AB365" s="117" t="s">
        <v>872</v>
      </c>
      <c r="AC365" s="63">
        <f t="shared" si="17"/>
        <v>1</v>
      </c>
      <c r="AD365" s="221" t="s">
        <v>217</v>
      </c>
      <c r="AE365" s="221" t="s">
        <v>218</v>
      </c>
      <c r="AF365" s="117"/>
      <c r="AG365" s="117"/>
      <c r="AH365" s="64" t="s">
        <v>1023</v>
      </c>
      <c r="AI365" s="117" t="s">
        <v>184</v>
      </c>
      <c r="AJ365" s="222">
        <v>42948</v>
      </c>
      <c r="AK365" s="117" t="s">
        <v>1043</v>
      </c>
      <c r="AL365" s="117" t="s">
        <v>645</v>
      </c>
      <c r="AM365" s="222">
        <v>42948</v>
      </c>
    </row>
    <row r="366" spans="1:39" ht="12.75" hidden="1" customHeight="1">
      <c r="A366" s="147">
        <v>365</v>
      </c>
      <c r="B366" s="170">
        <v>202034</v>
      </c>
      <c r="C366" s="117" t="s">
        <v>128</v>
      </c>
      <c r="D366" s="57">
        <v>42941</v>
      </c>
      <c r="E366" s="58" t="s">
        <v>890</v>
      </c>
      <c r="F366" s="118">
        <v>42954</v>
      </c>
      <c r="G366" s="117">
        <f t="shared" si="16"/>
        <v>13</v>
      </c>
      <c r="H366" s="117" t="s">
        <v>133</v>
      </c>
      <c r="I366" s="221"/>
      <c r="J366" s="60" t="s">
        <v>614</v>
      </c>
      <c r="K366" s="94">
        <v>951</v>
      </c>
      <c r="L366" s="94">
        <v>951.2</v>
      </c>
      <c r="M366" s="221">
        <v>140</v>
      </c>
      <c r="N366" s="221">
        <v>80</v>
      </c>
      <c r="O366" s="93">
        <f t="shared" si="18"/>
        <v>753.94</v>
      </c>
      <c r="P366" s="119" t="s">
        <v>264</v>
      </c>
      <c r="Q366" s="119" t="s">
        <v>1342</v>
      </c>
      <c r="R366" s="221" t="s">
        <v>143</v>
      </c>
      <c r="S366" s="62" t="s">
        <v>465</v>
      </c>
      <c r="T366" s="221" t="s">
        <v>88</v>
      </c>
      <c r="U366" s="221" t="s">
        <v>952</v>
      </c>
      <c r="V366" s="221" t="s">
        <v>432</v>
      </c>
      <c r="W366" s="221"/>
      <c r="X366" s="221"/>
      <c r="Y366" s="117" t="s">
        <v>316</v>
      </c>
      <c r="Z366" s="117" t="s">
        <v>189</v>
      </c>
      <c r="AA366" s="118">
        <v>42942</v>
      </c>
      <c r="AB366" s="117" t="s">
        <v>872</v>
      </c>
      <c r="AC366" s="63">
        <f t="shared" si="17"/>
        <v>1</v>
      </c>
      <c r="AD366" s="221" t="s">
        <v>217</v>
      </c>
      <c r="AE366" s="221" t="s">
        <v>218</v>
      </c>
      <c r="AF366" s="117"/>
      <c r="AG366" s="117"/>
      <c r="AH366" s="64" t="s">
        <v>1023</v>
      </c>
      <c r="AI366" s="117" t="s">
        <v>184</v>
      </c>
      <c r="AJ366" s="222">
        <v>42948</v>
      </c>
      <c r="AK366" s="221" t="s">
        <v>1041</v>
      </c>
      <c r="AL366" s="117" t="s">
        <v>645</v>
      </c>
      <c r="AM366" s="222">
        <v>42948</v>
      </c>
    </row>
    <row r="367" spans="1:39" ht="12.75" hidden="1" customHeight="1">
      <c r="A367" s="147">
        <v>366</v>
      </c>
      <c r="B367" s="170">
        <v>202230</v>
      </c>
      <c r="C367" s="117" t="s">
        <v>128</v>
      </c>
      <c r="D367" s="57">
        <v>42942</v>
      </c>
      <c r="E367" s="58" t="s">
        <v>890</v>
      </c>
      <c r="F367" s="118">
        <v>42958</v>
      </c>
      <c r="G367" s="117">
        <f t="shared" si="16"/>
        <v>16</v>
      </c>
      <c r="H367" s="117" t="s">
        <v>133</v>
      </c>
      <c r="I367" s="221"/>
      <c r="J367" s="60" t="s">
        <v>614</v>
      </c>
      <c r="K367" s="94">
        <v>1949</v>
      </c>
      <c r="L367" s="94">
        <v>1949</v>
      </c>
      <c r="M367" s="221">
        <v>145</v>
      </c>
      <c r="N367" s="221">
        <v>145</v>
      </c>
      <c r="O367" s="93">
        <f t="shared" si="18"/>
        <v>1687.06</v>
      </c>
      <c r="P367" s="119" t="s">
        <v>264</v>
      </c>
      <c r="Q367" s="119" t="s">
        <v>1342</v>
      </c>
      <c r="R367" s="221" t="s">
        <v>143</v>
      </c>
      <c r="S367" s="62" t="s">
        <v>465</v>
      </c>
      <c r="T367" s="221" t="s">
        <v>88</v>
      </c>
      <c r="U367" s="221" t="s">
        <v>297</v>
      </c>
      <c r="V367" s="224" t="s">
        <v>90</v>
      </c>
      <c r="W367" s="221"/>
      <c r="X367" s="221"/>
      <c r="Y367" s="117" t="s">
        <v>219</v>
      </c>
      <c r="Z367" s="117" t="s">
        <v>189</v>
      </c>
      <c r="AA367" s="78">
        <v>42949</v>
      </c>
      <c r="AB367" s="117" t="s">
        <v>872</v>
      </c>
      <c r="AC367" s="63">
        <f t="shared" si="17"/>
        <v>1</v>
      </c>
      <c r="AD367" s="221" t="s">
        <v>217</v>
      </c>
      <c r="AE367" s="221" t="s">
        <v>218</v>
      </c>
      <c r="AF367" s="117"/>
      <c r="AG367" s="117"/>
      <c r="AH367" s="64" t="s">
        <v>1061</v>
      </c>
      <c r="AI367" s="117"/>
      <c r="AJ367" s="221"/>
      <c r="AK367" s="221"/>
      <c r="AL367" s="117"/>
      <c r="AM367" s="221"/>
    </row>
    <row r="368" spans="1:39" ht="12.75" hidden="1" customHeight="1">
      <c r="A368" s="147">
        <v>367</v>
      </c>
      <c r="B368" s="170">
        <v>202128</v>
      </c>
      <c r="C368" s="117" t="s">
        <v>128</v>
      </c>
      <c r="D368" s="57">
        <v>42942</v>
      </c>
      <c r="E368" s="58" t="s">
        <v>890</v>
      </c>
      <c r="F368" s="118">
        <v>42955</v>
      </c>
      <c r="G368" s="117">
        <f t="shared" si="16"/>
        <v>13</v>
      </c>
      <c r="H368" s="221" t="s">
        <v>133</v>
      </c>
      <c r="I368" s="221"/>
      <c r="J368" s="60" t="s">
        <v>614</v>
      </c>
      <c r="K368" s="94">
        <v>2879</v>
      </c>
      <c r="L368" s="94">
        <v>2879.2</v>
      </c>
      <c r="M368" s="221">
        <v>120</v>
      </c>
      <c r="N368" s="221">
        <v>120</v>
      </c>
      <c r="O368" s="93">
        <f t="shared" si="18"/>
        <v>2586.2600000000002</v>
      </c>
      <c r="P368" s="119" t="s">
        <v>264</v>
      </c>
      <c r="Q368" s="119" t="s">
        <v>1342</v>
      </c>
      <c r="R368" s="221" t="s">
        <v>134</v>
      </c>
      <c r="S368" s="62" t="s">
        <v>465</v>
      </c>
      <c r="T368" s="221" t="s">
        <v>88</v>
      </c>
      <c r="U368" s="224" t="s">
        <v>1461</v>
      </c>
      <c r="V368" s="221" t="s">
        <v>1019</v>
      </c>
      <c r="W368" s="221"/>
      <c r="X368" s="221"/>
      <c r="Y368" s="117" t="s">
        <v>219</v>
      </c>
      <c r="Z368" s="117" t="s">
        <v>189</v>
      </c>
      <c r="AA368" s="222">
        <v>42949</v>
      </c>
      <c r="AB368" s="117" t="s">
        <v>591</v>
      </c>
      <c r="AC368" s="63">
        <f t="shared" si="17"/>
        <v>1</v>
      </c>
      <c r="AD368" s="221" t="s">
        <v>217</v>
      </c>
      <c r="AE368" s="221" t="s">
        <v>218</v>
      </c>
      <c r="AF368" s="117"/>
      <c r="AG368" s="117"/>
      <c r="AH368" s="64" t="s">
        <v>1062</v>
      </c>
      <c r="AI368" s="117"/>
      <c r="AJ368" s="117"/>
      <c r="AK368" s="117"/>
      <c r="AL368" s="117"/>
      <c r="AM368" s="117"/>
    </row>
    <row r="369" spans="1:39" ht="12.75" hidden="1" customHeight="1">
      <c r="A369" s="147">
        <v>368</v>
      </c>
      <c r="B369" s="170">
        <v>202152</v>
      </c>
      <c r="C369" s="117" t="s">
        <v>128</v>
      </c>
      <c r="D369" s="57">
        <v>42942</v>
      </c>
      <c r="E369" s="58" t="s">
        <v>890</v>
      </c>
      <c r="F369" s="118">
        <v>42955</v>
      </c>
      <c r="G369" s="117">
        <f t="shared" si="16"/>
        <v>13</v>
      </c>
      <c r="H369" s="146" t="s">
        <v>133</v>
      </c>
      <c r="I369" s="221"/>
      <c r="J369" s="60" t="s">
        <v>614</v>
      </c>
      <c r="K369" s="94">
        <v>2999</v>
      </c>
      <c r="L369" s="94">
        <v>2999</v>
      </c>
      <c r="M369" s="221">
        <v>290</v>
      </c>
      <c r="N369" s="221">
        <v>120</v>
      </c>
      <c r="O369" s="93">
        <f t="shared" si="18"/>
        <v>2529.06</v>
      </c>
      <c r="P369" s="119" t="s">
        <v>264</v>
      </c>
      <c r="Q369" s="119" t="s">
        <v>1342</v>
      </c>
      <c r="R369" s="221" t="s">
        <v>134</v>
      </c>
      <c r="S369" s="62" t="s">
        <v>465</v>
      </c>
      <c r="T369" s="221" t="s">
        <v>88</v>
      </c>
      <c r="U369" s="221" t="s">
        <v>1460</v>
      </c>
      <c r="V369" s="221" t="s">
        <v>429</v>
      </c>
      <c r="W369" s="221"/>
      <c r="X369" s="221"/>
      <c r="Y369" s="221" t="s">
        <v>316</v>
      </c>
      <c r="Z369" s="117" t="s">
        <v>189</v>
      </c>
      <c r="AA369" s="78">
        <v>42943</v>
      </c>
      <c r="AB369" s="117" t="s">
        <v>195</v>
      </c>
      <c r="AC369" s="63">
        <f t="shared" si="17"/>
        <v>1</v>
      </c>
      <c r="AD369" s="221" t="s">
        <v>217</v>
      </c>
      <c r="AE369" s="221" t="s">
        <v>218</v>
      </c>
      <c r="AF369" s="117"/>
      <c r="AG369" s="117"/>
      <c r="AH369" s="64"/>
      <c r="AI369" s="117" t="s">
        <v>184</v>
      </c>
      <c r="AJ369" s="222">
        <v>42954</v>
      </c>
      <c r="AK369" s="221" t="s">
        <v>1085</v>
      </c>
      <c r="AL369" s="117" t="s">
        <v>645</v>
      </c>
      <c r="AM369" s="222">
        <v>42954</v>
      </c>
    </row>
    <row r="370" spans="1:39" ht="12.75" hidden="1" customHeight="1">
      <c r="A370" s="147">
        <v>369</v>
      </c>
      <c r="B370" s="170">
        <v>202073</v>
      </c>
      <c r="C370" s="221" t="s">
        <v>128</v>
      </c>
      <c r="D370" s="57">
        <v>42942</v>
      </c>
      <c r="E370" s="58" t="s">
        <v>890</v>
      </c>
      <c r="F370" s="118">
        <v>42956</v>
      </c>
      <c r="G370" s="117">
        <f t="shared" ref="G370:G433" si="19">F370-D370</f>
        <v>14</v>
      </c>
      <c r="H370" s="146" t="s">
        <v>363</v>
      </c>
      <c r="I370" s="221"/>
      <c r="J370" s="60" t="s">
        <v>614</v>
      </c>
      <c r="K370" s="94">
        <v>1499</v>
      </c>
      <c r="L370" s="94">
        <v>1499</v>
      </c>
      <c r="M370" s="96">
        <v>0</v>
      </c>
      <c r="N370" s="221"/>
      <c r="O370" s="93">
        <f t="shared" si="18"/>
        <v>1409.06</v>
      </c>
      <c r="P370" s="119" t="s">
        <v>262</v>
      </c>
      <c r="Q370" s="119" t="s">
        <v>1342</v>
      </c>
      <c r="R370" s="117" t="s">
        <v>501</v>
      </c>
      <c r="S370" s="225" t="s">
        <v>466</v>
      </c>
      <c r="T370" s="221" t="s">
        <v>405</v>
      </c>
      <c r="U370" s="221" t="s">
        <v>693</v>
      </c>
      <c r="V370" s="148" t="s">
        <v>257</v>
      </c>
      <c r="W370" s="221"/>
      <c r="X370" s="117"/>
      <c r="Y370" s="146"/>
      <c r="Z370" s="117" t="s">
        <v>259</v>
      </c>
      <c r="AA370" s="221"/>
      <c r="AB370" s="117"/>
      <c r="AC370" s="63">
        <f t="shared" si="17"/>
        <v>1</v>
      </c>
      <c r="AD370" s="221"/>
      <c r="AE370" s="117"/>
      <c r="AF370" s="117"/>
      <c r="AG370" s="117"/>
      <c r="AH370" s="64" t="s">
        <v>1038</v>
      </c>
      <c r="AI370" s="117"/>
      <c r="AJ370" s="117"/>
      <c r="AK370" s="221"/>
      <c r="AL370" s="117"/>
      <c r="AM370" s="117"/>
    </row>
    <row r="371" spans="1:39" ht="12.75" hidden="1" customHeight="1">
      <c r="A371" s="147">
        <v>370</v>
      </c>
      <c r="B371" s="170">
        <v>201784</v>
      </c>
      <c r="C371" s="117" t="s">
        <v>121</v>
      </c>
      <c r="D371" s="57">
        <v>42943</v>
      </c>
      <c r="E371" s="58" t="s">
        <v>890</v>
      </c>
      <c r="F371" s="118">
        <v>42951</v>
      </c>
      <c r="G371" s="117">
        <f t="shared" si="19"/>
        <v>8</v>
      </c>
      <c r="H371" s="146" t="s">
        <v>133</v>
      </c>
      <c r="I371" s="221"/>
      <c r="J371" s="60" t="s">
        <v>614</v>
      </c>
      <c r="K371" s="94">
        <v>1899</v>
      </c>
      <c r="L371" s="94">
        <v>1899</v>
      </c>
      <c r="M371" s="221">
        <v>30</v>
      </c>
      <c r="N371" s="221">
        <v>403</v>
      </c>
      <c r="O371" s="93">
        <f t="shared" si="18"/>
        <v>1382.06</v>
      </c>
      <c r="P371" s="119" t="s">
        <v>264</v>
      </c>
      <c r="Q371" s="119" t="s">
        <v>1342</v>
      </c>
      <c r="R371" s="221" t="s">
        <v>143</v>
      </c>
      <c r="S371" s="62" t="s">
        <v>465</v>
      </c>
      <c r="T371" s="221" t="s">
        <v>164</v>
      </c>
      <c r="U371" s="221" t="s">
        <v>1024</v>
      </c>
      <c r="V371" s="221" t="s">
        <v>1025</v>
      </c>
      <c r="W371" s="146" t="s">
        <v>1026</v>
      </c>
      <c r="X371" s="117"/>
      <c r="Y371" s="146" t="s">
        <v>316</v>
      </c>
      <c r="Z371" s="117" t="s">
        <v>202</v>
      </c>
      <c r="AA371" s="222">
        <v>42949</v>
      </c>
      <c r="AB371" s="117" t="s">
        <v>872</v>
      </c>
      <c r="AC371" s="63">
        <f t="shared" si="17"/>
        <v>1</v>
      </c>
      <c r="AD371" s="221" t="s">
        <v>217</v>
      </c>
      <c r="AE371" s="221" t="s">
        <v>218</v>
      </c>
      <c r="AF371" s="117"/>
      <c r="AG371" s="117"/>
      <c r="AH371" s="64"/>
      <c r="AI371" s="117" t="s">
        <v>184</v>
      </c>
      <c r="AJ371" s="222">
        <v>42954</v>
      </c>
      <c r="AK371" s="146" t="s">
        <v>1081</v>
      </c>
      <c r="AL371" s="117" t="s">
        <v>645</v>
      </c>
      <c r="AM371" s="222">
        <v>42954</v>
      </c>
    </row>
    <row r="372" spans="1:39" ht="12.75" hidden="1" customHeight="1">
      <c r="A372" s="147">
        <v>371</v>
      </c>
      <c r="B372" s="170">
        <v>201787</v>
      </c>
      <c r="C372" s="117" t="s">
        <v>121</v>
      </c>
      <c r="D372" s="57">
        <v>42943</v>
      </c>
      <c r="E372" s="58" t="s">
        <v>890</v>
      </c>
      <c r="F372" s="118">
        <v>42951</v>
      </c>
      <c r="G372" s="117">
        <f t="shared" si="19"/>
        <v>8</v>
      </c>
      <c r="H372" s="146" t="s">
        <v>363</v>
      </c>
      <c r="I372" s="221"/>
      <c r="J372" s="60" t="s">
        <v>614</v>
      </c>
      <c r="K372" s="94">
        <v>1099</v>
      </c>
      <c r="L372" s="94">
        <v>1099</v>
      </c>
      <c r="M372" s="96">
        <v>0</v>
      </c>
      <c r="N372" s="221"/>
      <c r="O372" s="93">
        <f t="shared" si="18"/>
        <v>1033.06</v>
      </c>
      <c r="P372" s="119" t="s">
        <v>262</v>
      </c>
      <c r="Q372" s="119" t="s">
        <v>1342</v>
      </c>
      <c r="R372" s="221" t="s">
        <v>143</v>
      </c>
      <c r="S372" s="62" t="s">
        <v>465</v>
      </c>
      <c r="T372" s="221" t="s">
        <v>88</v>
      </c>
      <c r="U372" s="221" t="s">
        <v>1027</v>
      </c>
      <c r="V372" s="221" t="s">
        <v>432</v>
      </c>
      <c r="W372" s="221"/>
      <c r="X372" s="117"/>
      <c r="Y372" s="146"/>
      <c r="Z372" s="117" t="s">
        <v>124</v>
      </c>
      <c r="AA372" s="221"/>
      <c r="AB372" s="117"/>
      <c r="AC372" s="63">
        <f t="shared" si="17"/>
        <v>1</v>
      </c>
      <c r="AD372" s="221"/>
      <c r="AE372" s="117"/>
      <c r="AF372" s="117"/>
      <c r="AG372" s="117"/>
      <c r="AH372" s="64" t="s">
        <v>1028</v>
      </c>
      <c r="AI372" s="117"/>
      <c r="AJ372" s="221"/>
      <c r="AK372" s="221"/>
      <c r="AL372" s="117"/>
      <c r="AM372" s="221"/>
    </row>
    <row r="373" spans="1:39" ht="12.75" hidden="1" customHeight="1">
      <c r="A373" s="147">
        <v>372</v>
      </c>
      <c r="B373" s="170">
        <v>202245</v>
      </c>
      <c r="C373" s="117" t="s">
        <v>128</v>
      </c>
      <c r="D373" s="57">
        <v>42943</v>
      </c>
      <c r="E373" s="58" t="s">
        <v>890</v>
      </c>
      <c r="F373" s="118">
        <v>42959</v>
      </c>
      <c r="G373" s="117">
        <f t="shared" si="19"/>
        <v>16</v>
      </c>
      <c r="H373" s="117" t="s">
        <v>133</v>
      </c>
      <c r="I373" s="221"/>
      <c r="J373" s="60" t="s">
        <v>614</v>
      </c>
      <c r="K373" s="94">
        <v>1949</v>
      </c>
      <c r="L373" s="94">
        <v>1949</v>
      </c>
      <c r="M373" s="221">
        <v>300</v>
      </c>
      <c r="N373" s="221">
        <v>225</v>
      </c>
      <c r="O373" s="93">
        <f t="shared" si="18"/>
        <v>1532.06</v>
      </c>
      <c r="P373" s="119" t="s">
        <v>264</v>
      </c>
      <c r="Q373" s="119" t="s">
        <v>1342</v>
      </c>
      <c r="R373" s="221" t="s">
        <v>143</v>
      </c>
      <c r="S373" s="62" t="s">
        <v>465</v>
      </c>
      <c r="T373" s="221" t="s">
        <v>88</v>
      </c>
      <c r="U373" s="221" t="s">
        <v>297</v>
      </c>
      <c r="V373" s="221" t="s">
        <v>1014</v>
      </c>
      <c r="W373" s="146"/>
      <c r="X373" s="117"/>
      <c r="Y373" s="221" t="s">
        <v>316</v>
      </c>
      <c r="Z373" s="117" t="s">
        <v>189</v>
      </c>
      <c r="AA373" s="78">
        <v>42943</v>
      </c>
      <c r="AB373" s="117" t="s">
        <v>571</v>
      </c>
      <c r="AC373" s="63">
        <f t="shared" si="17"/>
        <v>1</v>
      </c>
      <c r="AD373" s="221" t="s">
        <v>217</v>
      </c>
      <c r="AE373" s="221" t="s">
        <v>218</v>
      </c>
      <c r="AF373" s="117"/>
      <c r="AG373" s="117"/>
      <c r="AH373" s="64" t="s">
        <v>1033</v>
      </c>
      <c r="AI373" s="117" t="s">
        <v>184</v>
      </c>
      <c r="AJ373" s="222">
        <v>42948</v>
      </c>
      <c r="AK373" s="221" t="s">
        <v>1044</v>
      </c>
      <c r="AL373" s="117" t="s">
        <v>645</v>
      </c>
      <c r="AM373" s="222">
        <v>42948</v>
      </c>
    </row>
    <row r="374" spans="1:39" ht="12.75" hidden="1" customHeight="1">
      <c r="A374" s="147">
        <v>373</v>
      </c>
      <c r="B374" s="170">
        <v>202300</v>
      </c>
      <c r="C374" s="117" t="s">
        <v>128</v>
      </c>
      <c r="D374" s="57">
        <v>42947</v>
      </c>
      <c r="E374" s="58" t="s">
        <v>890</v>
      </c>
      <c r="F374" s="118">
        <v>42953</v>
      </c>
      <c r="G374" s="117">
        <f t="shared" si="19"/>
        <v>6</v>
      </c>
      <c r="H374" s="146" t="s">
        <v>363</v>
      </c>
      <c r="I374" s="221"/>
      <c r="J374" s="60" t="s">
        <v>614</v>
      </c>
      <c r="K374" s="94">
        <v>1540</v>
      </c>
      <c r="L374" s="94">
        <v>1540</v>
      </c>
      <c r="M374" s="96">
        <v>0</v>
      </c>
      <c r="N374" s="221"/>
      <c r="O374" s="93">
        <f t="shared" si="18"/>
        <v>1447.6</v>
      </c>
      <c r="P374" s="119" t="s">
        <v>264</v>
      </c>
      <c r="Q374" s="119" t="s">
        <v>1342</v>
      </c>
      <c r="R374" s="117" t="s">
        <v>210</v>
      </c>
      <c r="S374" s="225" t="s">
        <v>469</v>
      </c>
      <c r="T374" s="146" t="s">
        <v>376</v>
      </c>
      <c r="U374" s="221" t="s">
        <v>1036</v>
      </c>
      <c r="V374" s="224" t="s">
        <v>90</v>
      </c>
      <c r="W374" s="146"/>
      <c r="X374" s="117"/>
      <c r="Y374" s="117"/>
      <c r="Z374" s="146" t="s">
        <v>510</v>
      </c>
      <c r="AA374" s="221"/>
      <c r="AB374" s="117"/>
      <c r="AC374" s="63">
        <f t="shared" si="17"/>
        <v>1</v>
      </c>
      <c r="AD374" s="221"/>
      <c r="AE374" s="117"/>
      <c r="AF374" s="117"/>
      <c r="AG374" s="117"/>
      <c r="AH374" s="64" t="s">
        <v>1060</v>
      </c>
      <c r="AI374" s="117"/>
      <c r="AJ374" s="117"/>
      <c r="AK374" s="221"/>
      <c r="AL374" s="117"/>
      <c r="AM374" s="117"/>
    </row>
    <row r="375" spans="1:39" ht="12.75" hidden="1" customHeight="1">
      <c r="A375" s="147">
        <v>374</v>
      </c>
      <c r="B375" s="170">
        <v>202504</v>
      </c>
      <c r="C375" s="117" t="s">
        <v>128</v>
      </c>
      <c r="D375" s="57">
        <v>42947</v>
      </c>
      <c r="E375" s="58" t="s">
        <v>890</v>
      </c>
      <c r="F375" s="118">
        <v>42960</v>
      </c>
      <c r="G375" s="117">
        <f t="shared" si="19"/>
        <v>13</v>
      </c>
      <c r="H375" s="117" t="s">
        <v>133</v>
      </c>
      <c r="I375" s="221"/>
      <c r="J375" s="60" t="s">
        <v>614</v>
      </c>
      <c r="K375" s="94">
        <v>2999</v>
      </c>
      <c r="L375" s="94">
        <v>2999</v>
      </c>
      <c r="M375" s="221">
        <v>310</v>
      </c>
      <c r="N375" s="221">
        <v>130</v>
      </c>
      <c r="O375" s="93">
        <f t="shared" si="18"/>
        <v>2509.06</v>
      </c>
      <c r="P375" s="119" t="s">
        <v>262</v>
      </c>
      <c r="Q375" s="119" t="s">
        <v>1342</v>
      </c>
      <c r="R375" s="221" t="s">
        <v>134</v>
      </c>
      <c r="S375" s="62" t="s">
        <v>465</v>
      </c>
      <c r="T375" s="221" t="s">
        <v>88</v>
      </c>
      <c r="U375" s="119" t="s">
        <v>1461</v>
      </c>
      <c r="V375" s="221" t="s">
        <v>429</v>
      </c>
      <c r="W375" s="146"/>
      <c r="X375" s="117"/>
      <c r="Y375" s="146" t="s">
        <v>316</v>
      </c>
      <c r="Z375" s="117" t="s">
        <v>510</v>
      </c>
      <c r="AA375" s="222">
        <v>42948</v>
      </c>
      <c r="AB375" s="117" t="s">
        <v>236</v>
      </c>
      <c r="AC375" s="63">
        <f t="shared" si="17"/>
        <v>1</v>
      </c>
      <c r="AD375" s="221" t="s">
        <v>217</v>
      </c>
      <c r="AE375" s="221" t="s">
        <v>218</v>
      </c>
      <c r="AF375" s="117"/>
      <c r="AG375" s="117"/>
      <c r="AH375" s="64"/>
      <c r="AI375" s="117" t="s">
        <v>184</v>
      </c>
      <c r="AJ375" s="222">
        <v>42954</v>
      </c>
      <c r="AK375" s="146" t="s">
        <v>1084</v>
      </c>
      <c r="AL375" s="117" t="s">
        <v>645</v>
      </c>
      <c r="AM375" s="222">
        <v>42954</v>
      </c>
    </row>
    <row r="376" spans="1:39" ht="12.75" hidden="1" customHeight="1">
      <c r="A376" s="147">
        <v>375</v>
      </c>
      <c r="B376" s="170">
        <v>202361</v>
      </c>
      <c r="C376" s="117" t="s">
        <v>121</v>
      </c>
      <c r="D376" s="57">
        <v>42947</v>
      </c>
      <c r="E376" s="58" t="s">
        <v>890</v>
      </c>
      <c r="F376" s="118">
        <v>42957</v>
      </c>
      <c r="G376" s="117">
        <f t="shared" si="19"/>
        <v>10</v>
      </c>
      <c r="H376" s="117" t="s">
        <v>133</v>
      </c>
      <c r="I376" s="221"/>
      <c r="J376" s="60" t="s">
        <v>614</v>
      </c>
      <c r="K376" s="94">
        <v>2799</v>
      </c>
      <c r="L376" s="94">
        <v>2799</v>
      </c>
      <c r="M376" s="221"/>
      <c r="N376" s="221"/>
      <c r="O376" s="151">
        <f t="shared" si="18"/>
        <v>0</v>
      </c>
      <c r="P376" s="119" t="s">
        <v>262</v>
      </c>
      <c r="Q376" s="119" t="s">
        <v>1342</v>
      </c>
      <c r="R376" s="117" t="s">
        <v>122</v>
      </c>
      <c r="S376" s="225" t="s">
        <v>469</v>
      </c>
      <c r="T376" s="146" t="s">
        <v>114</v>
      </c>
      <c r="U376" s="221" t="s">
        <v>525</v>
      </c>
      <c r="V376" s="221" t="s">
        <v>222</v>
      </c>
      <c r="W376" s="221"/>
      <c r="X376" s="117"/>
      <c r="Y376" s="146"/>
      <c r="Z376" s="117" t="s">
        <v>203</v>
      </c>
      <c r="AA376" s="221"/>
      <c r="AB376" s="117"/>
      <c r="AC376" s="63">
        <f t="shared" si="17"/>
        <v>0</v>
      </c>
      <c r="AD376" s="221"/>
      <c r="AE376" s="221" t="s">
        <v>217</v>
      </c>
      <c r="AF376" s="146" t="s">
        <v>1021</v>
      </c>
      <c r="AG376" s="117"/>
      <c r="AH376" s="64"/>
      <c r="AI376" s="117"/>
      <c r="AJ376" s="221"/>
      <c r="AK376" s="221"/>
      <c r="AL376" s="117"/>
      <c r="AM376" s="221"/>
    </row>
    <row r="377" spans="1:39" ht="12.75" hidden="1" customHeight="1">
      <c r="A377" s="147">
        <v>376</v>
      </c>
      <c r="B377" s="170">
        <v>201745</v>
      </c>
      <c r="C377" s="117" t="s">
        <v>128</v>
      </c>
      <c r="D377" s="57">
        <v>42948</v>
      </c>
      <c r="E377" s="58" t="s">
        <v>890</v>
      </c>
      <c r="F377" s="118">
        <v>42951</v>
      </c>
      <c r="G377" s="117">
        <f t="shared" si="19"/>
        <v>3</v>
      </c>
      <c r="H377" s="117" t="s">
        <v>133</v>
      </c>
      <c r="I377" s="221"/>
      <c r="J377" s="60" t="s">
        <v>614</v>
      </c>
      <c r="K377" s="94">
        <v>1234</v>
      </c>
      <c r="L377" s="94">
        <v>1234</v>
      </c>
      <c r="M377" s="221">
        <v>140</v>
      </c>
      <c r="N377" s="221">
        <v>80</v>
      </c>
      <c r="O377" s="93">
        <f t="shared" si="18"/>
        <v>1019.96</v>
      </c>
      <c r="P377" s="119" t="s">
        <v>264</v>
      </c>
      <c r="Q377" s="119" t="s">
        <v>1342</v>
      </c>
      <c r="R377" s="221" t="s">
        <v>143</v>
      </c>
      <c r="S377" s="62" t="s">
        <v>465</v>
      </c>
      <c r="T377" s="221" t="s">
        <v>88</v>
      </c>
      <c r="U377" s="221" t="s">
        <v>1037</v>
      </c>
      <c r="V377" s="221" t="s">
        <v>432</v>
      </c>
      <c r="W377" s="117"/>
      <c r="X377" s="117"/>
      <c r="Y377" s="146" t="s">
        <v>316</v>
      </c>
      <c r="Z377" s="117" t="s">
        <v>189</v>
      </c>
      <c r="AA377" s="222">
        <v>42948</v>
      </c>
      <c r="AB377" s="117" t="s">
        <v>571</v>
      </c>
      <c r="AC377" s="63">
        <f t="shared" si="17"/>
        <v>1</v>
      </c>
      <c r="AD377" s="221" t="s">
        <v>217</v>
      </c>
      <c r="AE377" s="221" t="s">
        <v>218</v>
      </c>
      <c r="AF377" s="117"/>
      <c r="AG377" s="117"/>
      <c r="AH377" s="64"/>
      <c r="AI377" s="117" t="s">
        <v>184</v>
      </c>
      <c r="AJ377" s="222">
        <v>42948</v>
      </c>
      <c r="AK377" s="221" t="s">
        <v>1042</v>
      </c>
      <c r="AL377" s="117" t="s">
        <v>645</v>
      </c>
      <c r="AM377" s="222">
        <v>42948</v>
      </c>
    </row>
    <row r="378" spans="1:39" ht="25.5" hidden="1" customHeight="1">
      <c r="A378" s="147">
        <v>377</v>
      </c>
      <c r="B378" s="170">
        <v>202880</v>
      </c>
      <c r="C378" s="117" t="s">
        <v>128</v>
      </c>
      <c r="D378" s="57">
        <v>42948</v>
      </c>
      <c r="E378" s="58" t="s">
        <v>1500</v>
      </c>
      <c r="F378" s="118">
        <v>42967</v>
      </c>
      <c r="G378" s="117">
        <f t="shared" si="19"/>
        <v>19</v>
      </c>
      <c r="H378" s="117" t="s">
        <v>363</v>
      </c>
      <c r="I378" s="221"/>
      <c r="J378" s="60" t="s">
        <v>614</v>
      </c>
      <c r="K378" s="94">
        <v>2699</v>
      </c>
      <c r="L378" s="94">
        <v>2699</v>
      </c>
      <c r="M378" s="96">
        <v>0</v>
      </c>
      <c r="N378" s="221"/>
      <c r="O378" s="93">
        <f t="shared" si="18"/>
        <v>2537.06</v>
      </c>
      <c r="P378" s="119" t="s">
        <v>263</v>
      </c>
      <c r="Q378" s="119" t="s">
        <v>1341</v>
      </c>
      <c r="R378" s="117" t="s">
        <v>143</v>
      </c>
      <c r="S378" s="62" t="s">
        <v>465</v>
      </c>
      <c r="T378" s="221" t="s">
        <v>114</v>
      </c>
      <c r="U378" s="221" t="s">
        <v>1054</v>
      </c>
      <c r="V378" s="224" t="s">
        <v>519</v>
      </c>
      <c r="W378" s="221"/>
      <c r="X378" s="117"/>
      <c r="Y378" s="146"/>
      <c r="Z378" s="117" t="s">
        <v>1057</v>
      </c>
      <c r="AA378" s="221"/>
      <c r="AB378" s="117"/>
      <c r="AC378" s="63">
        <f t="shared" si="17"/>
        <v>1</v>
      </c>
      <c r="AD378" s="221"/>
      <c r="AE378" s="117"/>
      <c r="AF378" s="117"/>
      <c r="AG378" s="117"/>
      <c r="AH378" s="64" t="s">
        <v>1058</v>
      </c>
      <c r="AI378" s="117"/>
      <c r="AJ378" s="221"/>
      <c r="AK378" s="221"/>
      <c r="AL378" s="117"/>
      <c r="AM378" s="221"/>
    </row>
    <row r="379" spans="1:39" ht="25.5" hidden="1" customHeight="1">
      <c r="A379" s="147">
        <v>378</v>
      </c>
      <c r="B379" s="170">
        <v>202751</v>
      </c>
      <c r="C379" s="117" t="s">
        <v>128</v>
      </c>
      <c r="D379" s="57">
        <v>42948</v>
      </c>
      <c r="E379" s="58" t="s">
        <v>1500</v>
      </c>
      <c r="F379" s="118">
        <v>42988</v>
      </c>
      <c r="G379" s="117">
        <f t="shared" si="19"/>
        <v>40</v>
      </c>
      <c r="H379" s="117" t="s">
        <v>363</v>
      </c>
      <c r="I379" s="221"/>
      <c r="J379" s="60" t="s">
        <v>614</v>
      </c>
      <c r="K379" s="94">
        <v>1599</v>
      </c>
      <c r="L379" s="94">
        <v>1599</v>
      </c>
      <c r="M379" s="96">
        <v>0</v>
      </c>
      <c r="N379" s="221"/>
      <c r="O379" s="93">
        <f t="shared" si="18"/>
        <v>1503.06</v>
      </c>
      <c r="P379" s="119" t="s">
        <v>263</v>
      </c>
      <c r="Q379" s="119" t="s">
        <v>1341</v>
      </c>
      <c r="R379" s="221" t="s">
        <v>752</v>
      </c>
      <c r="S379" s="225" t="s">
        <v>466</v>
      </c>
      <c r="T379" s="221" t="s">
        <v>164</v>
      </c>
      <c r="U379" s="221" t="s">
        <v>1055</v>
      </c>
      <c r="V379" s="224" t="s">
        <v>90</v>
      </c>
      <c r="W379" s="221"/>
      <c r="X379" s="117"/>
      <c r="Y379" s="221" t="s">
        <v>1942</v>
      </c>
      <c r="Z379" s="117" t="s">
        <v>259</v>
      </c>
      <c r="AA379" s="146"/>
      <c r="AB379" s="117" t="s">
        <v>140</v>
      </c>
      <c r="AC379" s="63">
        <f t="shared" si="17"/>
        <v>1</v>
      </c>
      <c r="AD379" s="221"/>
      <c r="AE379" s="221" t="s">
        <v>1553</v>
      </c>
      <c r="AF379" s="117"/>
      <c r="AG379" s="117"/>
      <c r="AH379" s="64" t="s">
        <v>1076</v>
      </c>
      <c r="AI379" s="117"/>
      <c r="AJ379" s="117"/>
      <c r="AK379" s="146"/>
      <c r="AL379" s="117"/>
      <c r="AM379" s="117"/>
    </row>
    <row r="380" spans="1:39" ht="12.75" hidden="1" customHeight="1">
      <c r="A380" s="147">
        <v>379</v>
      </c>
      <c r="B380" s="170">
        <v>202516</v>
      </c>
      <c r="C380" s="117" t="s">
        <v>128</v>
      </c>
      <c r="D380" s="57">
        <v>42948</v>
      </c>
      <c r="E380" s="58" t="s">
        <v>1500</v>
      </c>
      <c r="F380" s="118">
        <v>42964</v>
      </c>
      <c r="G380" s="117">
        <f t="shared" si="19"/>
        <v>16</v>
      </c>
      <c r="H380" s="117" t="s">
        <v>363</v>
      </c>
      <c r="I380" s="221"/>
      <c r="J380" s="60" t="s">
        <v>614</v>
      </c>
      <c r="K380" s="94">
        <v>5649</v>
      </c>
      <c r="L380" s="94">
        <v>5649</v>
      </c>
      <c r="M380" s="96">
        <v>0</v>
      </c>
      <c r="N380" s="221"/>
      <c r="O380" s="93">
        <f t="shared" si="18"/>
        <v>5310.06</v>
      </c>
      <c r="P380" s="119" t="s">
        <v>264</v>
      </c>
      <c r="Q380" s="119" t="s">
        <v>1342</v>
      </c>
      <c r="R380" s="117" t="s">
        <v>254</v>
      </c>
      <c r="S380" s="225" t="s">
        <v>466</v>
      </c>
      <c r="T380" s="221" t="s">
        <v>405</v>
      </c>
      <c r="U380" s="221" t="s">
        <v>1056</v>
      </c>
      <c r="V380" s="221" t="s">
        <v>222</v>
      </c>
      <c r="W380" s="221"/>
      <c r="X380" s="221"/>
      <c r="Y380" s="146"/>
      <c r="Z380" s="117" t="s">
        <v>259</v>
      </c>
      <c r="AA380" s="221"/>
      <c r="AB380" s="117"/>
      <c r="AC380" s="63">
        <f t="shared" si="17"/>
        <v>1</v>
      </c>
      <c r="AD380" s="221"/>
      <c r="AE380" s="117"/>
      <c r="AF380" s="117"/>
      <c r="AG380" s="117"/>
      <c r="AH380" s="64" t="s">
        <v>1077</v>
      </c>
      <c r="AI380" s="117"/>
      <c r="AJ380" s="221"/>
      <c r="AK380" s="221"/>
      <c r="AL380" s="117"/>
      <c r="AM380" s="221"/>
    </row>
    <row r="381" spans="1:39" ht="12.75" hidden="1" customHeight="1">
      <c r="A381" s="147">
        <v>380</v>
      </c>
      <c r="B381" s="170">
        <v>202610</v>
      </c>
      <c r="C381" s="221" t="s">
        <v>128</v>
      </c>
      <c r="D381" s="57">
        <v>42949</v>
      </c>
      <c r="E381" s="58" t="s">
        <v>1500</v>
      </c>
      <c r="F381" s="118">
        <v>42966</v>
      </c>
      <c r="G381" s="117">
        <f t="shared" si="19"/>
        <v>17</v>
      </c>
      <c r="H381" s="117" t="s">
        <v>133</v>
      </c>
      <c r="I381" s="221"/>
      <c r="J381" s="60" t="s">
        <v>614</v>
      </c>
      <c r="K381" s="94">
        <v>2999</v>
      </c>
      <c r="L381" s="94">
        <v>2999</v>
      </c>
      <c r="M381" s="221"/>
      <c r="N381" s="221">
        <v>140</v>
      </c>
      <c r="O381" s="93">
        <f t="shared" si="18"/>
        <v>2679.06</v>
      </c>
      <c r="P381" s="119" t="s">
        <v>261</v>
      </c>
      <c r="Q381" s="119" t="s">
        <v>1341</v>
      </c>
      <c r="R381" s="117" t="s">
        <v>134</v>
      </c>
      <c r="S381" s="62" t="s">
        <v>465</v>
      </c>
      <c r="T381" s="221" t="s">
        <v>88</v>
      </c>
      <c r="U381" s="67" t="s">
        <v>741</v>
      </c>
      <c r="V381" s="221" t="s">
        <v>1019</v>
      </c>
      <c r="W381" s="146"/>
      <c r="X381" s="117"/>
      <c r="Y381" s="117" t="s">
        <v>219</v>
      </c>
      <c r="Z381" s="117" t="s">
        <v>189</v>
      </c>
      <c r="AA381" s="78">
        <v>42949</v>
      </c>
      <c r="AB381" s="117" t="s">
        <v>872</v>
      </c>
      <c r="AC381" s="63">
        <f t="shared" si="17"/>
        <v>1</v>
      </c>
      <c r="AD381" s="221" t="s">
        <v>217</v>
      </c>
      <c r="AE381" s="221" t="s">
        <v>218</v>
      </c>
      <c r="AF381" s="117"/>
      <c r="AG381" s="117"/>
      <c r="AH381" s="64" t="s">
        <v>1063</v>
      </c>
      <c r="AI381" s="117"/>
      <c r="AJ381" s="117"/>
      <c r="AK381" s="221"/>
      <c r="AL381" s="117"/>
      <c r="AM381" s="117"/>
    </row>
    <row r="382" spans="1:39" ht="25.5" hidden="1" customHeight="1">
      <c r="A382" s="147">
        <v>381</v>
      </c>
      <c r="B382" s="170">
        <v>199295</v>
      </c>
      <c r="C382" s="117" t="s">
        <v>129</v>
      </c>
      <c r="D382" s="57">
        <v>42950</v>
      </c>
      <c r="E382" s="58" t="s">
        <v>1500</v>
      </c>
      <c r="F382" s="118">
        <v>42967</v>
      </c>
      <c r="G382" s="117">
        <f t="shared" si="19"/>
        <v>17</v>
      </c>
      <c r="H382" s="146" t="s">
        <v>133</v>
      </c>
      <c r="I382" s="221"/>
      <c r="J382" s="60" t="s">
        <v>614</v>
      </c>
      <c r="K382" s="94">
        <v>2000</v>
      </c>
      <c r="L382" s="94">
        <v>2000</v>
      </c>
      <c r="M382" s="221"/>
      <c r="N382" s="221"/>
      <c r="O382" s="151">
        <f t="shared" si="18"/>
        <v>0</v>
      </c>
      <c r="P382" s="119" t="s">
        <v>263</v>
      </c>
      <c r="Q382" s="119" t="s">
        <v>1341</v>
      </c>
      <c r="R382" s="221" t="s">
        <v>210</v>
      </c>
      <c r="S382" s="225" t="s">
        <v>469</v>
      </c>
      <c r="T382" s="221" t="s">
        <v>164</v>
      </c>
      <c r="U382" s="221" t="s">
        <v>1066</v>
      </c>
      <c r="V382" s="221" t="s">
        <v>831</v>
      </c>
      <c r="W382" s="221"/>
      <c r="X382" s="146"/>
      <c r="Y382" s="146"/>
      <c r="Z382" s="117" t="s">
        <v>202</v>
      </c>
      <c r="AA382" s="221"/>
      <c r="AB382" s="117"/>
      <c r="AC382" s="63">
        <f t="shared" si="17"/>
        <v>0</v>
      </c>
      <c r="AD382" s="221"/>
      <c r="AE382" s="221" t="s">
        <v>217</v>
      </c>
      <c r="AF382" s="117" t="s">
        <v>225</v>
      </c>
      <c r="AG382" s="117"/>
      <c r="AH382" s="64"/>
      <c r="AI382" s="117"/>
      <c r="AJ382" s="221"/>
      <c r="AK382" s="146"/>
      <c r="AL382" s="117"/>
      <c r="AM382" s="221"/>
    </row>
    <row r="383" spans="1:39" ht="12.75" hidden="1" customHeight="1">
      <c r="A383" s="147">
        <v>382</v>
      </c>
      <c r="B383" s="170">
        <v>202804</v>
      </c>
      <c r="C383" s="117" t="s">
        <v>129</v>
      </c>
      <c r="D383" s="57">
        <v>42950</v>
      </c>
      <c r="E383" s="58" t="s">
        <v>1500</v>
      </c>
      <c r="F383" s="118">
        <v>42965</v>
      </c>
      <c r="G383" s="117">
        <f t="shared" si="19"/>
        <v>15</v>
      </c>
      <c r="H383" s="117" t="s">
        <v>363</v>
      </c>
      <c r="I383" s="221"/>
      <c r="J383" s="60" t="s">
        <v>614</v>
      </c>
      <c r="K383" s="94">
        <v>2249</v>
      </c>
      <c r="L383" s="94">
        <v>2249</v>
      </c>
      <c r="M383" s="96">
        <v>0</v>
      </c>
      <c r="N383" s="221"/>
      <c r="O383" s="93">
        <f t="shared" si="18"/>
        <v>2114.06</v>
      </c>
      <c r="P383" s="119" t="s">
        <v>264</v>
      </c>
      <c r="Q383" s="119" t="s">
        <v>1342</v>
      </c>
      <c r="R383" s="221" t="s">
        <v>134</v>
      </c>
      <c r="S383" s="62" t="s">
        <v>465</v>
      </c>
      <c r="T383" s="221" t="s">
        <v>164</v>
      </c>
      <c r="U383" s="221" t="s">
        <v>799</v>
      </c>
      <c r="V383" s="224" t="s">
        <v>90</v>
      </c>
      <c r="W383" s="221"/>
      <c r="X383" s="117"/>
      <c r="Y383" s="146"/>
      <c r="Z383" s="117" t="s">
        <v>202</v>
      </c>
      <c r="AA383" s="221"/>
      <c r="AB383" s="117"/>
      <c r="AC383" s="63">
        <f t="shared" si="17"/>
        <v>1</v>
      </c>
      <c r="AD383" s="221"/>
      <c r="AE383" s="117"/>
      <c r="AF383" s="117"/>
      <c r="AG383" s="117"/>
      <c r="AH383" s="64" t="s">
        <v>1080</v>
      </c>
      <c r="AI383" s="117"/>
      <c r="AJ383" s="117"/>
      <c r="AK383" s="221"/>
      <c r="AL383" s="117"/>
      <c r="AM383" s="146"/>
    </row>
    <row r="384" spans="1:39" ht="12.75" hidden="1" customHeight="1">
      <c r="A384" s="147">
        <v>383</v>
      </c>
      <c r="B384" s="170">
        <v>202873</v>
      </c>
      <c r="C384" s="117" t="s">
        <v>129</v>
      </c>
      <c r="D384" s="57">
        <v>42950</v>
      </c>
      <c r="E384" s="58" t="s">
        <v>1500</v>
      </c>
      <c r="F384" s="118">
        <v>42965</v>
      </c>
      <c r="G384" s="117">
        <f t="shared" si="19"/>
        <v>15</v>
      </c>
      <c r="H384" s="146" t="s">
        <v>133</v>
      </c>
      <c r="I384" s="221"/>
      <c r="J384" s="60" t="s">
        <v>614</v>
      </c>
      <c r="K384" s="94">
        <v>1519</v>
      </c>
      <c r="L384" s="94">
        <v>1519.05</v>
      </c>
      <c r="M384" s="221">
        <v>225</v>
      </c>
      <c r="N384" s="221">
        <v>405</v>
      </c>
      <c r="O384" s="93">
        <f t="shared" si="18"/>
        <v>1022.8599999999999</v>
      </c>
      <c r="P384" s="119" t="s">
        <v>264</v>
      </c>
      <c r="Q384" s="119" t="s">
        <v>1342</v>
      </c>
      <c r="R384" s="221" t="s">
        <v>143</v>
      </c>
      <c r="S384" s="62" t="s">
        <v>465</v>
      </c>
      <c r="T384" s="221" t="s">
        <v>164</v>
      </c>
      <c r="U384" s="221" t="s">
        <v>1067</v>
      </c>
      <c r="V384" s="221" t="s">
        <v>432</v>
      </c>
      <c r="W384" s="221"/>
      <c r="X384" s="146"/>
      <c r="Y384" s="221" t="s">
        <v>1942</v>
      </c>
      <c r="Z384" s="117" t="s">
        <v>202</v>
      </c>
      <c r="AA384" s="222">
        <v>42954</v>
      </c>
      <c r="AB384" s="146" t="s">
        <v>140</v>
      </c>
      <c r="AC384" s="63">
        <f t="shared" si="17"/>
        <v>1</v>
      </c>
      <c r="AD384" s="221" t="s">
        <v>217</v>
      </c>
      <c r="AE384" s="221" t="s">
        <v>218</v>
      </c>
      <c r="AF384" s="146"/>
      <c r="AG384" s="146"/>
      <c r="AH384" s="64"/>
      <c r="AI384" s="146" t="s">
        <v>184</v>
      </c>
      <c r="AJ384" s="222">
        <v>42961</v>
      </c>
      <c r="AK384" s="146" t="s">
        <v>1119</v>
      </c>
      <c r="AL384" s="146" t="s">
        <v>609</v>
      </c>
      <c r="AM384" s="222">
        <v>42961</v>
      </c>
    </row>
    <row r="385" spans="1:39" ht="12.75" hidden="1" customHeight="1">
      <c r="A385" s="147">
        <v>384</v>
      </c>
      <c r="B385" s="170">
        <v>202694</v>
      </c>
      <c r="C385" s="117" t="s">
        <v>129</v>
      </c>
      <c r="D385" s="57">
        <v>42950</v>
      </c>
      <c r="E385" s="58" t="s">
        <v>1500</v>
      </c>
      <c r="F385" s="118">
        <v>42964</v>
      </c>
      <c r="G385" s="117">
        <f t="shared" si="19"/>
        <v>14</v>
      </c>
      <c r="H385" s="117" t="s">
        <v>363</v>
      </c>
      <c r="I385" s="221"/>
      <c r="J385" s="60" t="s">
        <v>614</v>
      </c>
      <c r="K385" s="94">
        <v>1999</v>
      </c>
      <c r="L385" s="94">
        <v>1999</v>
      </c>
      <c r="M385" s="96">
        <v>0</v>
      </c>
      <c r="N385" s="221"/>
      <c r="O385" s="93">
        <f t="shared" si="18"/>
        <v>1879.06</v>
      </c>
      <c r="P385" s="119" t="s">
        <v>264</v>
      </c>
      <c r="Q385" s="119" t="s">
        <v>1342</v>
      </c>
      <c r="R385" s="221" t="s">
        <v>210</v>
      </c>
      <c r="S385" s="225" t="s">
        <v>469</v>
      </c>
      <c r="T385" s="221" t="s">
        <v>376</v>
      </c>
      <c r="U385" s="221" t="s">
        <v>1068</v>
      </c>
      <c r="V385" s="221" t="s">
        <v>1070</v>
      </c>
      <c r="W385" s="221"/>
      <c r="X385" s="117"/>
      <c r="Y385" s="146"/>
      <c r="Z385" s="117" t="s">
        <v>379</v>
      </c>
      <c r="AA385" s="117"/>
      <c r="AB385" s="117"/>
      <c r="AC385" s="63">
        <f t="shared" si="17"/>
        <v>1</v>
      </c>
      <c r="AD385" s="146"/>
      <c r="AE385" s="117"/>
      <c r="AF385" s="117"/>
      <c r="AG385" s="117"/>
      <c r="AH385" s="64" t="s">
        <v>1079</v>
      </c>
      <c r="AI385" s="117"/>
      <c r="AJ385" s="117"/>
      <c r="AK385" s="117"/>
      <c r="AL385" s="117"/>
      <c r="AM385" s="146"/>
    </row>
    <row r="386" spans="1:39" ht="12.75" hidden="1" customHeight="1">
      <c r="A386" s="147">
        <v>385</v>
      </c>
      <c r="B386" s="170">
        <v>202558</v>
      </c>
      <c r="C386" s="117" t="s">
        <v>129</v>
      </c>
      <c r="D386" s="57">
        <v>42950</v>
      </c>
      <c r="E386" s="58" t="s">
        <v>1500</v>
      </c>
      <c r="F386" s="118">
        <v>42958</v>
      </c>
      <c r="G386" s="117">
        <f t="shared" si="19"/>
        <v>8</v>
      </c>
      <c r="H386" s="221" t="s">
        <v>133</v>
      </c>
      <c r="I386" s="221"/>
      <c r="J386" s="60" t="s">
        <v>614</v>
      </c>
      <c r="K386" s="94">
        <v>1499</v>
      </c>
      <c r="L386" s="94">
        <v>1499</v>
      </c>
      <c r="M386" s="221">
        <v>345</v>
      </c>
      <c r="N386" s="221">
        <v>210</v>
      </c>
      <c r="O386" s="93">
        <f t="shared" si="18"/>
        <v>1064.06</v>
      </c>
      <c r="P386" s="119" t="s">
        <v>264</v>
      </c>
      <c r="Q386" s="119" t="s">
        <v>1342</v>
      </c>
      <c r="R386" s="221" t="s">
        <v>122</v>
      </c>
      <c r="S386" s="225" t="s">
        <v>469</v>
      </c>
      <c r="T386" s="221" t="s">
        <v>164</v>
      </c>
      <c r="U386" s="221" t="s">
        <v>1069</v>
      </c>
      <c r="V386" s="222" t="s">
        <v>169</v>
      </c>
      <c r="W386" s="221"/>
      <c r="X386" s="117"/>
      <c r="Y386" s="117" t="s">
        <v>316</v>
      </c>
      <c r="Z386" s="117" t="s">
        <v>404</v>
      </c>
      <c r="AA386" s="222">
        <v>42950</v>
      </c>
      <c r="AB386" s="117" t="s">
        <v>195</v>
      </c>
      <c r="AC386" s="63">
        <f t="shared" ref="AC386:AC449" si="20">+IF(O386&gt;0,1,0)</f>
        <v>1</v>
      </c>
      <c r="AD386" s="221" t="s">
        <v>217</v>
      </c>
      <c r="AE386" s="221" t="s">
        <v>218</v>
      </c>
      <c r="AF386" s="117"/>
      <c r="AG386" s="117"/>
      <c r="AH386" s="64"/>
      <c r="AI386" s="117" t="s">
        <v>184</v>
      </c>
      <c r="AJ386" s="222">
        <v>42954</v>
      </c>
      <c r="AK386" s="221" t="s">
        <v>1083</v>
      </c>
      <c r="AL386" s="117" t="s">
        <v>645</v>
      </c>
      <c r="AM386" s="222">
        <v>42954</v>
      </c>
    </row>
    <row r="387" spans="1:39" ht="12.75" hidden="1" customHeight="1">
      <c r="A387" s="147">
        <v>386</v>
      </c>
      <c r="B387" s="170">
        <v>202334</v>
      </c>
      <c r="C387" s="117" t="s">
        <v>129</v>
      </c>
      <c r="D387" s="57">
        <v>42950</v>
      </c>
      <c r="E387" s="58" t="s">
        <v>1500</v>
      </c>
      <c r="F387" s="118">
        <v>42961</v>
      </c>
      <c r="G387" s="117">
        <f t="shared" si="19"/>
        <v>11</v>
      </c>
      <c r="H387" s="146" t="s">
        <v>133</v>
      </c>
      <c r="I387" s="221"/>
      <c r="J387" s="60" t="s">
        <v>614</v>
      </c>
      <c r="K387" s="94">
        <v>1299</v>
      </c>
      <c r="L387" s="94">
        <v>1299</v>
      </c>
      <c r="M387" s="221">
        <v>430</v>
      </c>
      <c r="N387" s="221">
        <v>115</v>
      </c>
      <c r="O387" s="93">
        <f t="shared" si="18"/>
        <v>791.06</v>
      </c>
      <c r="P387" s="119" t="s">
        <v>262</v>
      </c>
      <c r="Q387" s="119" t="s">
        <v>1342</v>
      </c>
      <c r="R387" s="221" t="s">
        <v>143</v>
      </c>
      <c r="S387" s="62" t="s">
        <v>465</v>
      </c>
      <c r="T387" s="221" t="s">
        <v>88</v>
      </c>
      <c r="U387" s="221" t="s">
        <v>488</v>
      </c>
      <c r="V387" s="224" t="s">
        <v>90</v>
      </c>
      <c r="W387" s="221"/>
      <c r="X387" s="117"/>
      <c r="Y387" s="221" t="s">
        <v>316</v>
      </c>
      <c r="Z387" s="117" t="s">
        <v>124</v>
      </c>
      <c r="AA387" s="222">
        <v>42950</v>
      </c>
      <c r="AB387" s="117" t="s">
        <v>195</v>
      </c>
      <c r="AC387" s="63">
        <f t="shared" si="20"/>
        <v>1</v>
      </c>
      <c r="AD387" s="221" t="s">
        <v>217</v>
      </c>
      <c r="AE387" s="221" t="s">
        <v>218</v>
      </c>
      <c r="AF387" s="117"/>
      <c r="AG387" s="117"/>
      <c r="AH387" s="64"/>
      <c r="AI387" s="117" t="s">
        <v>184</v>
      </c>
      <c r="AJ387" s="222">
        <v>42954</v>
      </c>
      <c r="AK387" s="146" t="s">
        <v>1082</v>
      </c>
      <c r="AL387" s="117" t="s">
        <v>645</v>
      </c>
      <c r="AM387" s="222">
        <v>42954</v>
      </c>
    </row>
    <row r="388" spans="1:39" ht="12.75" hidden="1" customHeight="1">
      <c r="A388" s="147">
        <v>387</v>
      </c>
      <c r="B388" s="170">
        <v>202686</v>
      </c>
      <c r="C388" s="117" t="s">
        <v>129</v>
      </c>
      <c r="D388" s="57">
        <v>42950</v>
      </c>
      <c r="E388" s="58" t="s">
        <v>1500</v>
      </c>
      <c r="F388" s="118">
        <v>42960</v>
      </c>
      <c r="G388" s="117">
        <f t="shared" si="19"/>
        <v>10</v>
      </c>
      <c r="H388" s="117" t="s">
        <v>133</v>
      </c>
      <c r="I388" s="221"/>
      <c r="J388" s="60" t="s">
        <v>614</v>
      </c>
      <c r="K388" s="94">
        <v>3839.04</v>
      </c>
      <c r="L388" s="94">
        <v>3839.04</v>
      </c>
      <c r="M388" s="221"/>
      <c r="N388" s="221"/>
      <c r="O388" s="151">
        <f t="shared" si="18"/>
        <v>0</v>
      </c>
      <c r="P388" s="119" t="s">
        <v>264</v>
      </c>
      <c r="Q388" s="119" t="s">
        <v>1342</v>
      </c>
      <c r="R388" s="221" t="s">
        <v>122</v>
      </c>
      <c r="S388" s="225" t="s">
        <v>469</v>
      </c>
      <c r="T388" s="221" t="s">
        <v>114</v>
      </c>
      <c r="U388" s="221" t="s">
        <v>604</v>
      </c>
      <c r="V388" s="221" t="s">
        <v>222</v>
      </c>
      <c r="W388" s="221"/>
      <c r="X388" s="221"/>
      <c r="Y388" s="117"/>
      <c r="Z388" s="117" t="s">
        <v>170</v>
      </c>
      <c r="AA388" s="221"/>
      <c r="AB388" s="117"/>
      <c r="AC388" s="63">
        <f t="shared" si="20"/>
        <v>0</v>
      </c>
      <c r="AD388" s="146" t="s">
        <v>217</v>
      </c>
      <c r="AE388" s="221" t="s">
        <v>217</v>
      </c>
      <c r="AF388" s="117" t="s">
        <v>225</v>
      </c>
      <c r="AG388" s="117"/>
      <c r="AH388" s="64"/>
      <c r="AI388" s="117"/>
      <c r="AJ388" s="117"/>
      <c r="AK388" s="146"/>
      <c r="AL388" s="117"/>
      <c r="AM388" s="117"/>
    </row>
    <row r="389" spans="1:39" ht="12.75" hidden="1" customHeight="1">
      <c r="A389" s="147">
        <v>388</v>
      </c>
      <c r="B389" s="170">
        <v>202638</v>
      </c>
      <c r="C389" s="117" t="s">
        <v>128</v>
      </c>
      <c r="D389" s="57">
        <v>42950</v>
      </c>
      <c r="E389" s="58" t="s">
        <v>1500</v>
      </c>
      <c r="F389" s="118">
        <v>42968</v>
      </c>
      <c r="G389" s="117">
        <f t="shared" si="19"/>
        <v>18</v>
      </c>
      <c r="H389" s="117" t="s">
        <v>133</v>
      </c>
      <c r="I389" s="221"/>
      <c r="J389" s="60" t="s">
        <v>614</v>
      </c>
      <c r="K389" s="94">
        <v>1299</v>
      </c>
      <c r="L389" s="94">
        <v>1299</v>
      </c>
      <c r="M389" s="221"/>
      <c r="N389" s="221"/>
      <c r="O389" s="151">
        <f t="shared" si="18"/>
        <v>0</v>
      </c>
      <c r="P389" s="119" t="s">
        <v>264</v>
      </c>
      <c r="Q389" s="119" t="s">
        <v>1342</v>
      </c>
      <c r="R389" s="221" t="s">
        <v>501</v>
      </c>
      <c r="S389" s="225" t="s">
        <v>466</v>
      </c>
      <c r="T389" s="221" t="s">
        <v>405</v>
      </c>
      <c r="U389" s="221" t="s">
        <v>1071</v>
      </c>
      <c r="V389" s="221" t="s">
        <v>222</v>
      </c>
      <c r="W389" s="221"/>
      <c r="X389" s="221"/>
      <c r="Y389" s="221"/>
      <c r="Z389" s="117" t="s">
        <v>315</v>
      </c>
      <c r="AA389" s="221"/>
      <c r="AB389" s="221"/>
      <c r="AC389" s="63">
        <f t="shared" si="20"/>
        <v>0</v>
      </c>
      <c r="AD389" s="146"/>
      <c r="AE389" s="221" t="s">
        <v>217</v>
      </c>
      <c r="AF389" s="117" t="s">
        <v>225</v>
      </c>
      <c r="AG389" s="221"/>
      <c r="AH389" s="64" t="s">
        <v>1078</v>
      </c>
      <c r="AI389" s="221"/>
      <c r="AJ389" s="221"/>
      <c r="AK389" s="221"/>
      <c r="AL389" s="221"/>
      <c r="AM389" s="117"/>
    </row>
    <row r="390" spans="1:39" s="86" customFormat="1" ht="25.5" hidden="1" customHeight="1">
      <c r="A390" s="147">
        <v>389</v>
      </c>
      <c r="B390" s="176">
        <v>202387</v>
      </c>
      <c r="C390" s="147" t="s">
        <v>128</v>
      </c>
      <c r="D390" s="79">
        <v>42950</v>
      </c>
      <c r="E390" s="58" t="s">
        <v>1500</v>
      </c>
      <c r="F390" s="81">
        <v>42968</v>
      </c>
      <c r="G390" s="147">
        <f t="shared" si="19"/>
        <v>18</v>
      </c>
      <c r="H390" s="147" t="s">
        <v>363</v>
      </c>
      <c r="I390" s="147"/>
      <c r="J390" s="112" t="s">
        <v>614</v>
      </c>
      <c r="K390" s="94">
        <v>2099</v>
      </c>
      <c r="L390" s="94">
        <v>2099</v>
      </c>
      <c r="M390" s="96">
        <v>0</v>
      </c>
      <c r="N390" s="147"/>
      <c r="O390" s="152">
        <f t="shared" si="18"/>
        <v>1973.06</v>
      </c>
      <c r="P390" s="82" t="s">
        <v>263</v>
      </c>
      <c r="Q390" s="119" t="s">
        <v>1341</v>
      </c>
      <c r="R390" s="147" t="s">
        <v>143</v>
      </c>
      <c r="S390" s="83" t="s">
        <v>465</v>
      </c>
      <c r="T390" s="147" t="s">
        <v>164</v>
      </c>
      <c r="U390" s="147" t="s">
        <v>1072</v>
      </c>
      <c r="V390" s="119" t="s">
        <v>90</v>
      </c>
      <c r="W390" s="147"/>
      <c r="X390" s="147"/>
      <c r="Y390" s="147"/>
      <c r="Z390" s="147" t="s">
        <v>780</v>
      </c>
      <c r="AA390" s="147"/>
      <c r="AB390" s="147"/>
      <c r="AC390" s="63">
        <f t="shared" si="20"/>
        <v>1</v>
      </c>
      <c r="AD390" s="147"/>
      <c r="AE390" s="147"/>
      <c r="AF390" s="147"/>
      <c r="AG390" s="147"/>
      <c r="AH390" s="147" t="s">
        <v>1100</v>
      </c>
      <c r="AI390" s="147"/>
      <c r="AJ390" s="147"/>
      <c r="AK390" s="147"/>
      <c r="AL390" s="147"/>
      <c r="AM390" s="147"/>
    </row>
    <row r="391" spans="1:39" ht="12.75" hidden="1" customHeight="1">
      <c r="A391" s="147">
        <v>390</v>
      </c>
      <c r="B391" s="170">
        <v>202726</v>
      </c>
      <c r="C391" s="117" t="s">
        <v>128</v>
      </c>
      <c r="D391" s="57">
        <v>42950</v>
      </c>
      <c r="E391" s="58" t="s">
        <v>1500</v>
      </c>
      <c r="F391" s="118">
        <v>42965</v>
      </c>
      <c r="G391" s="117">
        <f t="shared" si="19"/>
        <v>15</v>
      </c>
      <c r="H391" s="146" t="s">
        <v>133</v>
      </c>
      <c r="I391" s="221"/>
      <c r="J391" s="60" t="s">
        <v>614</v>
      </c>
      <c r="K391" s="94">
        <v>1899</v>
      </c>
      <c r="L391" s="94">
        <v>1899</v>
      </c>
      <c r="M391" s="221">
        <v>420</v>
      </c>
      <c r="N391" s="221">
        <v>185</v>
      </c>
      <c r="O391" s="93">
        <f t="shared" si="18"/>
        <v>1365.06</v>
      </c>
      <c r="P391" s="119" t="s">
        <v>264</v>
      </c>
      <c r="Q391" s="119" t="s">
        <v>1342</v>
      </c>
      <c r="R391" s="146" t="s">
        <v>544</v>
      </c>
      <c r="S391" s="225" t="s">
        <v>465</v>
      </c>
      <c r="T391" s="221" t="s">
        <v>88</v>
      </c>
      <c r="U391" s="221" t="s">
        <v>1073</v>
      </c>
      <c r="V391" s="221" t="s">
        <v>1074</v>
      </c>
      <c r="W391" s="221"/>
      <c r="X391" s="221"/>
      <c r="Y391" s="146" t="s">
        <v>316</v>
      </c>
      <c r="Z391" s="117" t="s">
        <v>189</v>
      </c>
      <c r="AA391" s="222">
        <v>42950</v>
      </c>
      <c r="AB391" s="146" t="s">
        <v>140</v>
      </c>
      <c r="AC391" s="63">
        <f t="shared" si="20"/>
        <v>1</v>
      </c>
      <c r="AD391" s="221" t="s">
        <v>217</v>
      </c>
      <c r="AE391" s="221" t="s">
        <v>218</v>
      </c>
      <c r="AF391" s="146"/>
      <c r="AG391" s="146"/>
      <c r="AH391" s="64"/>
      <c r="AI391" s="146" t="s">
        <v>184</v>
      </c>
      <c r="AJ391" s="222">
        <v>42954</v>
      </c>
      <c r="AK391" s="146" t="s">
        <v>1087</v>
      </c>
      <c r="AL391" s="146" t="s">
        <v>645</v>
      </c>
      <c r="AM391" s="222">
        <v>42954</v>
      </c>
    </row>
    <row r="392" spans="1:39" ht="12.75" hidden="1" customHeight="1">
      <c r="A392" s="147">
        <v>391</v>
      </c>
      <c r="B392" s="170">
        <v>202564</v>
      </c>
      <c r="C392" s="117" t="s">
        <v>128</v>
      </c>
      <c r="D392" s="57">
        <v>42951</v>
      </c>
      <c r="E392" s="58" t="s">
        <v>1500</v>
      </c>
      <c r="F392" s="118">
        <v>42961</v>
      </c>
      <c r="G392" s="117">
        <f t="shared" si="19"/>
        <v>10</v>
      </c>
      <c r="H392" s="117" t="s">
        <v>133</v>
      </c>
      <c r="I392" s="221"/>
      <c r="J392" s="60" t="s">
        <v>614</v>
      </c>
      <c r="K392" s="94">
        <v>1799</v>
      </c>
      <c r="L392" s="94">
        <v>1799</v>
      </c>
      <c r="M392" s="221">
        <v>50</v>
      </c>
      <c r="N392" s="221"/>
      <c r="O392" s="151">
        <f t="shared" si="18"/>
        <v>0</v>
      </c>
      <c r="P392" s="119" t="s">
        <v>262</v>
      </c>
      <c r="Q392" s="119" t="s">
        <v>1342</v>
      </c>
      <c r="R392" s="221" t="s">
        <v>787</v>
      </c>
      <c r="S392" s="225" t="s">
        <v>466</v>
      </c>
      <c r="T392" s="148" t="s">
        <v>255</v>
      </c>
      <c r="U392" s="221" t="s">
        <v>623</v>
      </c>
      <c r="V392" s="221" t="s">
        <v>1093</v>
      </c>
      <c r="W392" s="221"/>
      <c r="X392" s="221"/>
      <c r="Y392" s="146" t="s">
        <v>978</v>
      </c>
      <c r="Z392" s="117" t="s">
        <v>259</v>
      </c>
      <c r="AA392" s="222"/>
      <c r="AB392" s="117"/>
      <c r="AC392" s="63">
        <f t="shared" si="20"/>
        <v>0</v>
      </c>
      <c r="AD392" s="146"/>
      <c r="AE392" s="221" t="s">
        <v>217</v>
      </c>
      <c r="AF392" s="117" t="s">
        <v>737</v>
      </c>
      <c r="AG392" s="117"/>
      <c r="AH392" s="64" t="s">
        <v>1124</v>
      </c>
      <c r="AI392" s="117" t="s">
        <v>184</v>
      </c>
      <c r="AJ392" s="222">
        <v>42964</v>
      </c>
      <c r="AK392" s="221" t="s">
        <v>1138</v>
      </c>
      <c r="AL392" s="117" t="s">
        <v>645</v>
      </c>
      <c r="AM392" s="146"/>
    </row>
    <row r="393" spans="1:39" ht="19.5" hidden="1" customHeight="1">
      <c r="A393" s="147">
        <v>392</v>
      </c>
      <c r="B393" s="170">
        <v>202595</v>
      </c>
      <c r="C393" s="221" t="s">
        <v>128</v>
      </c>
      <c r="D393" s="57">
        <v>42951</v>
      </c>
      <c r="E393" s="58" t="s">
        <v>1500</v>
      </c>
      <c r="F393" s="118">
        <v>42961</v>
      </c>
      <c r="G393" s="117">
        <f t="shared" si="19"/>
        <v>10</v>
      </c>
      <c r="H393" s="146" t="s">
        <v>133</v>
      </c>
      <c r="I393" s="221"/>
      <c r="J393" s="60" t="s">
        <v>614</v>
      </c>
      <c r="K393" s="94">
        <v>2699</v>
      </c>
      <c r="L393" s="94">
        <v>2699</v>
      </c>
      <c r="M393" s="221">
        <v>50</v>
      </c>
      <c r="N393" s="221"/>
      <c r="O393" s="151">
        <f t="shared" si="18"/>
        <v>0</v>
      </c>
      <c r="P393" s="119" t="s">
        <v>263</v>
      </c>
      <c r="Q393" s="119" t="s">
        <v>1341</v>
      </c>
      <c r="R393" s="117" t="s">
        <v>787</v>
      </c>
      <c r="S393" s="225" t="s">
        <v>466</v>
      </c>
      <c r="T393" s="221" t="s">
        <v>405</v>
      </c>
      <c r="U393" s="221" t="s">
        <v>1088</v>
      </c>
      <c r="V393" s="221" t="s">
        <v>1094</v>
      </c>
      <c r="W393" s="221"/>
      <c r="X393" s="117"/>
      <c r="Y393" s="146" t="s">
        <v>978</v>
      </c>
      <c r="Z393" s="117" t="s">
        <v>259</v>
      </c>
      <c r="AA393" s="118"/>
      <c r="AB393" s="117"/>
      <c r="AC393" s="63">
        <f t="shared" si="20"/>
        <v>0</v>
      </c>
      <c r="AD393" s="146"/>
      <c r="AE393" s="221" t="s">
        <v>217</v>
      </c>
      <c r="AF393" s="117" t="s">
        <v>737</v>
      </c>
      <c r="AG393" s="117"/>
      <c r="AH393" s="64" t="s">
        <v>1124</v>
      </c>
      <c r="AI393" s="117" t="s">
        <v>184</v>
      </c>
      <c r="AJ393" s="222">
        <v>42964</v>
      </c>
      <c r="AK393" s="221" t="s">
        <v>1137</v>
      </c>
      <c r="AL393" s="117" t="s">
        <v>645</v>
      </c>
      <c r="AM393" s="221"/>
    </row>
    <row r="394" spans="1:39" ht="12.75" hidden="1" customHeight="1">
      <c r="A394" s="147">
        <v>393</v>
      </c>
      <c r="B394" s="170">
        <v>203064</v>
      </c>
      <c r="C394" s="117" t="s">
        <v>129</v>
      </c>
      <c r="D394" s="57">
        <v>42951</v>
      </c>
      <c r="E394" s="58" t="s">
        <v>1500</v>
      </c>
      <c r="F394" s="118">
        <v>42965</v>
      </c>
      <c r="G394" s="117">
        <f t="shared" si="19"/>
        <v>14</v>
      </c>
      <c r="H394" s="146" t="s">
        <v>133</v>
      </c>
      <c r="I394" s="221"/>
      <c r="J394" s="60" t="s">
        <v>614</v>
      </c>
      <c r="K394" s="94">
        <v>1999</v>
      </c>
      <c r="L394" s="94">
        <v>1999</v>
      </c>
      <c r="M394" s="221"/>
      <c r="N394" s="221"/>
      <c r="O394" s="151">
        <f t="shared" si="18"/>
        <v>0</v>
      </c>
      <c r="P394" s="119" t="s">
        <v>264</v>
      </c>
      <c r="Q394" s="119" t="s">
        <v>1342</v>
      </c>
      <c r="R394" s="146" t="s">
        <v>210</v>
      </c>
      <c r="S394" s="225" t="s">
        <v>469</v>
      </c>
      <c r="T394" s="146" t="s">
        <v>376</v>
      </c>
      <c r="U394" s="221" t="s">
        <v>1089</v>
      </c>
      <c r="V394" s="221" t="s">
        <v>1096</v>
      </c>
      <c r="W394" s="146"/>
      <c r="X394" s="117"/>
      <c r="Y394" s="146"/>
      <c r="Z394" s="117" t="s">
        <v>170</v>
      </c>
      <c r="AA394" s="221"/>
      <c r="AB394" s="117"/>
      <c r="AC394" s="63">
        <f t="shared" si="20"/>
        <v>0</v>
      </c>
      <c r="AD394" s="146"/>
      <c r="AE394" s="221" t="s">
        <v>217</v>
      </c>
      <c r="AF394" s="117" t="s">
        <v>225</v>
      </c>
      <c r="AG394" s="117"/>
      <c r="AH394" s="64"/>
      <c r="AI394" s="117"/>
      <c r="AJ394" s="221"/>
      <c r="AK394" s="221"/>
      <c r="AL394" s="117"/>
      <c r="AM394" s="221"/>
    </row>
    <row r="395" spans="1:39" ht="12.75" hidden="1" customHeight="1">
      <c r="A395" s="147">
        <v>394</v>
      </c>
      <c r="B395" s="170">
        <v>202707</v>
      </c>
      <c r="C395" s="117" t="s">
        <v>128</v>
      </c>
      <c r="D395" s="57">
        <v>42954</v>
      </c>
      <c r="E395" s="58" t="s">
        <v>1500</v>
      </c>
      <c r="F395" s="118">
        <v>42970</v>
      </c>
      <c r="G395" s="117">
        <f t="shared" si="19"/>
        <v>16</v>
      </c>
      <c r="H395" s="146" t="s">
        <v>363</v>
      </c>
      <c r="I395" s="221"/>
      <c r="J395" s="60" t="s">
        <v>614</v>
      </c>
      <c r="K395" s="94">
        <v>2399</v>
      </c>
      <c r="L395" s="94">
        <v>2399</v>
      </c>
      <c r="M395" s="96">
        <v>0</v>
      </c>
      <c r="N395" s="221"/>
      <c r="O395" s="93">
        <f t="shared" si="18"/>
        <v>2255.06</v>
      </c>
      <c r="P395" s="119" t="s">
        <v>264</v>
      </c>
      <c r="Q395" s="119" t="s">
        <v>1342</v>
      </c>
      <c r="R395" s="117" t="s">
        <v>544</v>
      </c>
      <c r="S395" s="62" t="s">
        <v>465</v>
      </c>
      <c r="T395" s="146" t="s">
        <v>144</v>
      </c>
      <c r="U395" s="221" t="s">
        <v>1090</v>
      </c>
      <c r="V395" s="224" t="s">
        <v>90</v>
      </c>
      <c r="W395" s="221"/>
      <c r="X395" s="146"/>
      <c r="Y395" s="146"/>
      <c r="Z395" s="117" t="s">
        <v>1097</v>
      </c>
      <c r="AA395" s="221"/>
      <c r="AB395" s="117"/>
      <c r="AC395" s="63">
        <f t="shared" si="20"/>
        <v>1</v>
      </c>
      <c r="AD395" s="221"/>
      <c r="AE395" s="117"/>
      <c r="AF395" s="117"/>
      <c r="AG395" s="117"/>
      <c r="AH395" s="64"/>
      <c r="AI395" s="117"/>
      <c r="AJ395" s="146"/>
      <c r="AK395" s="221"/>
      <c r="AL395" s="117"/>
      <c r="AM395" s="146"/>
    </row>
    <row r="396" spans="1:39" s="144" customFormat="1" ht="12.75" hidden="1" customHeight="1">
      <c r="A396" s="147">
        <v>395</v>
      </c>
      <c r="B396" s="177">
        <v>202709</v>
      </c>
      <c r="C396" s="225" t="s">
        <v>128</v>
      </c>
      <c r="D396" s="77">
        <v>42954</v>
      </c>
      <c r="E396" s="58" t="s">
        <v>1500</v>
      </c>
      <c r="F396" s="77">
        <v>42970</v>
      </c>
      <c r="G396" s="225">
        <f t="shared" si="19"/>
        <v>16</v>
      </c>
      <c r="H396" s="225" t="s">
        <v>133</v>
      </c>
      <c r="I396" s="225"/>
      <c r="J396" s="138" t="s">
        <v>614</v>
      </c>
      <c r="K396" s="94">
        <v>4530</v>
      </c>
      <c r="L396" s="94">
        <v>4530</v>
      </c>
      <c r="M396" s="145">
        <v>70</v>
      </c>
      <c r="N396" s="145"/>
      <c r="O396" s="151">
        <f t="shared" si="18"/>
        <v>0</v>
      </c>
      <c r="P396" s="139" t="s">
        <v>264</v>
      </c>
      <c r="Q396" s="119" t="s">
        <v>1342</v>
      </c>
      <c r="R396" s="145" t="s">
        <v>501</v>
      </c>
      <c r="S396" s="225" t="s">
        <v>466</v>
      </c>
      <c r="T396" s="145" t="s">
        <v>338</v>
      </c>
      <c r="U396" s="145" t="s">
        <v>811</v>
      </c>
      <c r="V396" s="145" t="s">
        <v>1092</v>
      </c>
      <c r="W396" s="225"/>
      <c r="X396" s="225"/>
      <c r="Y396" s="145" t="s">
        <v>978</v>
      </c>
      <c r="Z396" s="145" t="s">
        <v>259</v>
      </c>
      <c r="AA396" s="77">
        <v>42956</v>
      </c>
      <c r="AB396" s="225" t="s">
        <v>1101</v>
      </c>
      <c r="AC396" s="63">
        <f t="shared" si="20"/>
        <v>0</v>
      </c>
      <c r="AD396" s="225"/>
      <c r="AE396" s="221" t="s">
        <v>217</v>
      </c>
      <c r="AF396" s="148" t="s">
        <v>1625</v>
      </c>
      <c r="AG396" s="225"/>
      <c r="AH396" s="140" t="s">
        <v>1549</v>
      </c>
      <c r="AI396" s="145" t="s">
        <v>184</v>
      </c>
      <c r="AJ396" s="143">
        <v>42996</v>
      </c>
      <c r="AK396" s="145" t="s">
        <v>1240</v>
      </c>
      <c r="AL396" s="145" t="s">
        <v>609</v>
      </c>
      <c r="AM396" s="143">
        <v>42997</v>
      </c>
    </row>
    <row r="397" spans="1:39" ht="12.75" hidden="1" customHeight="1">
      <c r="A397" s="147">
        <v>396</v>
      </c>
      <c r="B397" s="170">
        <v>203183</v>
      </c>
      <c r="C397" s="221" t="s">
        <v>128</v>
      </c>
      <c r="D397" s="57">
        <v>42954</v>
      </c>
      <c r="E397" s="58" t="s">
        <v>1500</v>
      </c>
      <c r="F397" s="222">
        <v>42970</v>
      </c>
      <c r="G397" s="221">
        <f t="shared" si="19"/>
        <v>16</v>
      </c>
      <c r="H397" s="221" t="s">
        <v>133</v>
      </c>
      <c r="I397" s="221"/>
      <c r="J397" s="223" t="s">
        <v>614</v>
      </c>
      <c r="K397" s="94">
        <v>1172</v>
      </c>
      <c r="L397" s="94">
        <v>1172.2</v>
      </c>
      <c r="M397" s="221">
        <v>465</v>
      </c>
      <c r="N397" s="221">
        <v>107.1</v>
      </c>
      <c r="O397" s="227">
        <f t="shared" si="18"/>
        <v>636.68000000000006</v>
      </c>
      <c r="P397" s="224" t="s">
        <v>264</v>
      </c>
      <c r="Q397" s="119" t="s">
        <v>1342</v>
      </c>
      <c r="R397" s="221" t="s">
        <v>787</v>
      </c>
      <c r="S397" s="225" t="s">
        <v>466</v>
      </c>
      <c r="T397" s="221" t="s">
        <v>405</v>
      </c>
      <c r="U397" s="221" t="s">
        <v>1091</v>
      </c>
      <c r="V397" s="221" t="s">
        <v>1095</v>
      </c>
      <c r="W397" s="221"/>
      <c r="X397" s="221"/>
      <c r="Y397" s="221" t="s">
        <v>978</v>
      </c>
      <c r="Z397" s="221" t="s">
        <v>259</v>
      </c>
      <c r="AA397" s="222">
        <v>42956</v>
      </c>
      <c r="AB397" s="221" t="s">
        <v>1102</v>
      </c>
      <c r="AC397" s="63">
        <f t="shared" si="20"/>
        <v>1</v>
      </c>
      <c r="AD397" s="221" t="s">
        <v>217</v>
      </c>
      <c r="AE397" s="221" t="s">
        <v>218</v>
      </c>
      <c r="AF397" s="221"/>
      <c r="AG397" s="221"/>
      <c r="AH397" s="64"/>
      <c r="AI397" s="221" t="s">
        <v>184</v>
      </c>
      <c r="AJ397" s="222">
        <v>42910</v>
      </c>
      <c r="AK397" s="221" t="s">
        <v>1209</v>
      </c>
      <c r="AL397" s="221" t="s">
        <v>645</v>
      </c>
      <c r="AM397" s="222">
        <v>42972</v>
      </c>
    </row>
    <row r="398" spans="1:39" ht="12.75" hidden="1" customHeight="1">
      <c r="A398" s="147">
        <v>397</v>
      </c>
      <c r="B398" s="170">
        <v>202913</v>
      </c>
      <c r="C398" s="117" t="s">
        <v>128</v>
      </c>
      <c r="D398" s="57">
        <v>42954</v>
      </c>
      <c r="E398" s="58" t="s">
        <v>1500</v>
      </c>
      <c r="F398" s="118">
        <v>42967</v>
      </c>
      <c r="G398" s="117">
        <f t="shared" si="19"/>
        <v>13</v>
      </c>
      <c r="H398" s="146" t="s">
        <v>133</v>
      </c>
      <c r="I398" s="221"/>
      <c r="J398" s="60" t="s">
        <v>614</v>
      </c>
      <c r="K398" s="94">
        <v>860</v>
      </c>
      <c r="L398" s="94">
        <v>860</v>
      </c>
      <c r="M398" s="221">
        <v>360</v>
      </c>
      <c r="N398" s="221">
        <v>80</v>
      </c>
      <c r="O398" s="93">
        <f t="shared" si="18"/>
        <v>448.4</v>
      </c>
      <c r="P398" s="119" t="s">
        <v>264</v>
      </c>
      <c r="Q398" s="119" t="s">
        <v>1342</v>
      </c>
      <c r="R398" s="146" t="s">
        <v>143</v>
      </c>
      <c r="S398" s="62" t="s">
        <v>465</v>
      </c>
      <c r="T398" s="221" t="s">
        <v>88</v>
      </c>
      <c r="U398" s="221" t="s">
        <v>1466</v>
      </c>
      <c r="V398" s="224" t="s">
        <v>90</v>
      </c>
      <c r="W398" s="146"/>
      <c r="X398" s="117"/>
      <c r="Y398" s="146" t="s">
        <v>316</v>
      </c>
      <c r="Z398" s="117" t="s">
        <v>189</v>
      </c>
      <c r="AA398" s="118">
        <v>42955</v>
      </c>
      <c r="AB398" s="117" t="s">
        <v>140</v>
      </c>
      <c r="AC398" s="63">
        <f t="shared" si="20"/>
        <v>1</v>
      </c>
      <c r="AD398" s="146" t="s">
        <v>217</v>
      </c>
      <c r="AE398" s="221" t="s">
        <v>218</v>
      </c>
      <c r="AF398" s="117"/>
      <c r="AG398" s="117"/>
      <c r="AH398" s="64"/>
      <c r="AI398" s="117" t="s">
        <v>184</v>
      </c>
      <c r="AJ398" s="222">
        <v>42961</v>
      </c>
      <c r="AK398" s="221" t="s">
        <v>1123</v>
      </c>
      <c r="AL398" s="117" t="s">
        <v>645</v>
      </c>
      <c r="AM398" s="222">
        <v>42961</v>
      </c>
    </row>
    <row r="399" spans="1:39" ht="12.75" hidden="1" customHeight="1">
      <c r="A399" s="147">
        <v>398</v>
      </c>
      <c r="B399" s="170">
        <v>202905</v>
      </c>
      <c r="C399" s="117" t="s">
        <v>128</v>
      </c>
      <c r="D399" s="57">
        <v>42954</v>
      </c>
      <c r="E399" s="58" t="s">
        <v>1500</v>
      </c>
      <c r="F399" s="118">
        <v>42967</v>
      </c>
      <c r="G399" s="117">
        <f t="shared" si="19"/>
        <v>13</v>
      </c>
      <c r="H399" s="146" t="s">
        <v>133</v>
      </c>
      <c r="I399" s="221"/>
      <c r="J399" s="60" t="s">
        <v>614</v>
      </c>
      <c r="K399" s="94">
        <v>2950</v>
      </c>
      <c r="L399" s="94">
        <v>2950</v>
      </c>
      <c r="M399" s="221">
        <v>290</v>
      </c>
      <c r="N399" s="221">
        <v>220</v>
      </c>
      <c r="O399" s="93">
        <f t="shared" ref="O399:O462" si="21">IF(AE399="Reemplazo",0,K399-(K399*0.12*0.5)-(MAX(M399,N399)))</f>
        <v>2483</v>
      </c>
      <c r="P399" s="119" t="s">
        <v>264</v>
      </c>
      <c r="Q399" s="119" t="s">
        <v>1342</v>
      </c>
      <c r="R399" s="146" t="s">
        <v>1098</v>
      </c>
      <c r="S399" s="62" t="s">
        <v>465</v>
      </c>
      <c r="T399" s="221" t="s">
        <v>88</v>
      </c>
      <c r="U399" s="221" t="s">
        <v>1460</v>
      </c>
      <c r="V399" s="221" t="s">
        <v>429</v>
      </c>
      <c r="W399" s="221"/>
      <c r="X399" s="117"/>
      <c r="Y399" s="146" t="s">
        <v>316</v>
      </c>
      <c r="Z399" s="117" t="s">
        <v>189</v>
      </c>
      <c r="AA399" s="222">
        <v>42955</v>
      </c>
      <c r="AB399" s="117" t="s">
        <v>195</v>
      </c>
      <c r="AC399" s="63">
        <f t="shared" si="20"/>
        <v>1</v>
      </c>
      <c r="AD399" s="146" t="s">
        <v>217</v>
      </c>
      <c r="AE399" s="221" t="s">
        <v>218</v>
      </c>
      <c r="AF399" s="117"/>
      <c r="AG399" s="117"/>
      <c r="AH399" s="64"/>
      <c r="AI399" s="117" t="s">
        <v>184</v>
      </c>
      <c r="AJ399" s="222">
        <v>42961</v>
      </c>
      <c r="AK399" s="221" t="s">
        <v>1122</v>
      </c>
      <c r="AL399" s="117" t="s">
        <v>645</v>
      </c>
      <c r="AM399" s="222">
        <v>42961</v>
      </c>
    </row>
    <row r="400" spans="1:39" ht="12.75" hidden="1" customHeight="1">
      <c r="A400" s="147">
        <v>399</v>
      </c>
      <c r="B400" s="170">
        <v>202979</v>
      </c>
      <c r="C400" s="117" t="s">
        <v>128</v>
      </c>
      <c r="D400" s="57">
        <v>42954</v>
      </c>
      <c r="E400" s="58" t="s">
        <v>1500</v>
      </c>
      <c r="F400" s="118">
        <v>42967</v>
      </c>
      <c r="G400" s="117">
        <f t="shared" si="19"/>
        <v>13</v>
      </c>
      <c r="H400" s="146" t="s">
        <v>133</v>
      </c>
      <c r="I400" s="221"/>
      <c r="J400" s="60" t="s">
        <v>614</v>
      </c>
      <c r="K400" s="94">
        <v>2730</v>
      </c>
      <c r="L400" s="94">
        <v>2730</v>
      </c>
      <c r="M400" s="221"/>
      <c r="N400" s="221"/>
      <c r="O400" s="151">
        <f t="shared" si="21"/>
        <v>0</v>
      </c>
      <c r="P400" s="119" t="s">
        <v>264</v>
      </c>
      <c r="Q400" s="119" t="s">
        <v>1342</v>
      </c>
      <c r="R400" s="221" t="s">
        <v>143</v>
      </c>
      <c r="S400" s="62" t="s">
        <v>465</v>
      </c>
      <c r="T400" s="221" t="s">
        <v>88</v>
      </c>
      <c r="U400" s="221" t="s">
        <v>747</v>
      </c>
      <c r="V400" s="221" t="s">
        <v>1099</v>
      </c>
      <c r="W400" s="146"/>
      <c r="X400" s="117"/>
      <c r="Y400" s="146"/>
      <c r="Z400" s="117" t="s">
        <v>189</v>
      </c>
      <c r="AA400" s="221"/>
      <c r="AB400" s="117"/>
      <c r="AC400" s="63">
        <f t="shared" si="20"/>
        <v>0</v>
      </c>
      <c r="AD400" s="221"/>
      <c r="AE400" s="221" t="s">
        <v>217</v>
      </c>
      <c r="AF400" s="117" t="s">
        <v>225</v>
      </c>
      <c r="AG400" s="117"/>
      <c r="AH400" s="64" t="s">
        <v>1105</v>
      </c>
      <c r="AI400" s="117"/>
      <c r="AJ400" s="221"/>
      <c r="AK400" s="221"/>
      <c r="AL400" s="117"/>
      <c r="AM400" s="146"/>
    </row>
    <row r="401" spans="1:39" ht="12.75" hidden="1" customHeight="1">
      <c r="A401" s="147">
        <v>400</v>
      </c>
      <c r="B401" s="170">
        <v>203200</v>
      </c>
      <c r="C401" s="117" t="s">
        <v>121</v>
      </c>
      <c r="D401" s="57">
        <v>42955</v>
      </c>
      <c r="E401" s="58" t="s">
        <v>1500</v>
      </c>
      <c r="F401" s="118">
        <v>42966</v>
      </c>
      <c r="G401" s="117">
        <f t="shared" si="19"/>
        <v>11</v>
      </c>
      <c r="H401" s="146" t="s">
        <v>133</v>
      </c>
      <c r="I401" s="221"/>
      <c r="J401" s="60" t="s">
        <v>614</v>
      </c>
      <c r="K401" s="94">
        <v>999</v>
      </c>
      <c r="L401" s="94">
        <v>999</v>
      </c>
      <c r="M401" s="221"/>
      <c r="N401" s="221"/>
      <c r="O401" s="151">
        <f t="shared" si="21"/>
        <v>0</v>
      </c>
      <c r="P401" s="119" t="s">
        <v>264</v>
      </c>
      <c r="Q401" s="119" t="s">
        <v>1342</v>
      </c>
      <c r="R401" s="117" t="s">
        <v>220</v>
      </c>
      <c r="S401" s="225" t="s">
        <v>469</v>
      </c>
      <c r="T401" s="146" t="s">
        <v>1106</v>
      </c>
      <c r="U401" s="221" t="s">
        <v>1107</v>
      </c>
      <c r="V401" s="221" t="s">
        <v>1108</v>
      </c>
      <c r="W401" s="221"/>
      <c r="X401" s="117"/>
      <c r="Y401" s="146"/>
      <c r="Z401" s="117" t="s">
        <v>253</v>
      </c>
      <c r="AA401" s="221"/>
      <c r="AB401" s="117"/>
      <c r="AC401" s="63">
        <f t="shared" si="20"/>
        <v>0</v>
      </c>
      <c r="AD401" s="221"/>
      <c r="AE401" s="221" t="s">
        <v>217</v>
      </c>
      <c r="AF401" s="117" t="s">
        <v>225</v>
      </c>
      <c r="AG401" s="117"/>
      <c r="AH401" s="64"/>
      <c r="AI401" s="117"/>
      <c r="AJ401" s="221"/>
      <c r="AK401" s="221"/>
      <c r="AL401" s="117"/>
      <c r="AM401" s="221"/>
    </row>
    <row r="402" spans="1:39" ht="12.75" hidden="1" customHeight="1">
      <c r="A402" s="147">
        <v>401</v>
      </c>
      <c r="B402" s="170">
        <v>202882</v>
      </c>
      <c r="C402" s="117" t="s">
        <v>128</v>
      </c>
      <c r="D402" s="57">
        <v>42955</v>
      </c>
      <c r="E402" s="58" t="s">
        <v>1500</v>
      </c>
      <c r="F402" s="118">
        <v>42965</v>
      </c>
      <c r="G402" s="117">
        <f t="shared" si="19"/>
        <v>10</v>
      </c>
      <c r="H402" s="146" t="s">
        <v>133</v>
      </c>
      <c r="I402" s="221"/>
      <c r="J402" s="60" t="s">
        <v>614</v>
      </c>
      <c r="K402" s="94">
        <v>1699</v>
      </c>
      <c r="L402" s="94">
        <v>1699</v>
      </c>
      <c r="M402" s="221"/>
      <c r="N402" s="221"/>
      <c r="O402" s="151">
        <f t="shared" si="21"/>
        <v>0</v>
      </c>
      <c r="P402" s="119" t="s">
        <v>264</v>
      </c>
      <c r="Q402" s="119" t="s">
        <v>1342</v>
      </c>
      <c r="R402" s="221" t="s">
        <v>143</v>
      </c>
      <c r="S402" s="62" t="s">
        <v>465</v>
      </c>
      <c r="T402" s="221" t="s">
        <v>88</v>
      </c>
      <c r="U402" s="221" t="s">
        <v>89</v>
      </c>
      <c r="V402" s="119" t="s">
        <v>90</v>
      </c>
      <c r="W402" s="221"/>
      <c r="X402" s="146"/>
      <c r="Y402" s="146"/>
      <c r="Z402" s="117" t="s">
        <v>189</v>
      </c>
      <c r="AA402" s="221"/>
      <c r="AB402" s="117"/>
      <c r="AC402" s="63">
        <f t="shared" si="20"/>
        <v>0</v>
      </c>
      <c r="AD402" s="146"/>
      <c r="AE402" s="221" t="s">
        <v>217</v>
      </c>
      <c r="AF402" s="117" t="s">
        <v>225</v>
      </c>
      <c r="AG402" s="117"/>
      <c r="AH402" s="64"/>
      <c r="AI402" s="117"/>
      <c r="AJ402" s="146"/>
      <c r="AK402" s="221"/>
      <c r="AL402" s="117"/>
      <c r="AM402" s="146"/>
    </row>
    <row r="403" spans="1:39" ht="12.75" hidden="1" customHeight="1">
      <c r="A403" s="147">
        <v>402</v>
      </c>
      <c r="B403" s="170">
        <v>202938</v>
      </c>
      <c r="C403" s="221" t="s">
        <v>128</v>
      </c>
      <c r="D403" s="57">
        <v>42957</v>
      </c>
      <c r="E403" s="58" t="s">
        <v>1500</v>
      </c>
      <c r="F403" s="222">
        <v>42964</v>
      </c>
      <c r="G403" s="221">
        <f t="shared" si="19"/>
        <v>7</v>
      </c>
      <c r="H403" s="221" t="s">
        <v>363</v>
      </c>
      <c r="I403" s="221"/>
      <c r="J403" s="223" t="s">
        <v>614</v>
      </c>
      <c r="K403" s="94">
        <v>3051</v>
      </c>
      <c r="L403" s="94">
        <v>3051</v>
      </c>
      <c r="M403" s="96">
        <v>0</v>
      </c>
      <c r="N403" s="221"/>
      <c r="O403" s="151">
        <f t="shared" si="21"/>
        <v>0</v>
      </c>
      <c r="P403" s="224" t="s">
        <v>264</v>
      </c>
      <c r="Q403" s="119" t="s">
        <v>1342</v>
      </c>
      <c r="R403" s="221" t="s">
        <v>254</v>
      </c>
      <c r="S403" s="225" t="s">
        <v>466</v>
      </c>
      <c r="T403" s="148" t="s">
        <v>255</v>
      </c>
      <c r="U403" s="221" t="s">
        <v>1109</v>
      </c>
      <c r="V403" s="221" t="s">
        <v>1110</v>
      </c>
      <c r="W403" s="221"/>
      <c r="X403" s="221"/>
      <c r="Y403" s="221"/>
      <c r="Z403" s="221" t="s">
        <v>1160</v>
      </c>
      <c r="AA403" s="221"/>
      <c r="AB403" s="221"/>
      <c r="AC403" s="63">
        <f t="shared" si="20"/>
        <v>0</v>
      </c>
      <c r="AD403" s="221"/>
      <c r="AE403" s="221" t="s">
        <v>217</v>
      </c>
      <c r="AF403" s="148" t="s">
        <v>1625</v>
      </c>
      <c r="AG403" s="221"/>
      <c r="AH403" s="64"/>
      <c r="AI403" s="221"/>
      <c r="AJ403" s="221"/>
      <c r="AK403" s="221"/>
      <c r="AL403" s="221"/>
      <c r="AM403" s="221"/>
    </row>
    <row r="404" spans="1:39" ht="12.75" hidden="1" customHeight="1">
      <c r="A404" s="147">
        <v>403</v>
      </c>
      <c r="B404" s="170">
        <v>203016</v>
      </c>
      <c r="C404" s="117" t="s">
        <v>128</v>
      </c>
      <c r="D404" s="57">
        <v>42957</v>
      </c>
      <c r="E404" s="58" t="s">
        <v>1500</v>
      </c>
      <c r="F404" s="118">
        <v>42964</v>
      </c>
      <c r="G404" s="117">
        <f t="shared" si="19"/>
        <v>7</v>
      </c>
      <c r="H404" s="146" t="s">
        <v>363</v>
      </c>
      <c r="I404" s="221"/>
      <c r="J404" s="60" t="s">
        <v>614</v>
      </c>
      <c r="K404" s="94">
        <v>1699</v>
      </c>
      <c r="L404" s="94">
        <v>1699</v>
      </c>
      <c r="M404" s="96">
        <v>0</v>
      </c>
      <c r="N404" s="221"/>
      <c r="O404" s="93">
        <f t="shared" si="21"/>
        <v>1597.06</v>
      </c>
      <c r="P404" s="119" t="s">
        <v>264</v>
      </c>
      <c r="Q404" s="119" t="s">
        <v>1342</v>
      </c>
      <c r="R404" s="221" t="s">
        <v>143</v>
      </c>
      <c r="S404" s="62" t="s">
        <v>465</v>
      </c>
      <c r="T404" s="221" t="s">
        <v>88</v>
      </c>
      <c r="U404" s="221" t="s">
        <v>352</v>
      </c>
      <c r="V404" s="224" t="s">
        <v>90</v>
      </c>
      <c r="W404" s="146"/>
      <c r="X404" s="117"/>
      <c r="Y404" s="146"/>
      <c r="Z404" s="117" t="s">
        <v>189</v>
      </c>
      <c r="AA404" s="221"/>
      <c r="AB404" s="117"/>
      <c r="AC404" s="63">
        <f t="shared" si="20"/>
        <v>1</v>
      </c>
      <c r="AD404" s="146"/>
      <c r="AE404" s="117"/>
      <c r="AF404" s="117"/>
      <c r="AG404" s="117"/>
      <c r="AH404" s="64" t="s">
        <v>1111</v>
      </c>
      <c r="AI404" s="117"/>
      <c r="AJ404" s="221"/>
      <c r="AK404" s="221"/>
      <c r="AL404" s="117"/>
      <c r="AM404" s="221"/>
    </row>
    <row r="405" spans="1:39" ht="12.75" hidden="1" customHeight="1">
      <c r="A405" s="147">
        <v>404</v>
      </c>
      <c r="B405" s="170">
        <v>202959</v>
      </c>
      <c r="C405" s="117" t="s">
        <v>128</v>
      </c>
      <c r="D405" s="57">
        <v>42958</v>
      </c>
      <c r="E405" s="58" t="s">
        <v>1500</v>
      </c>
      <c r="F405" s="118">
        <v>42968</v>
      </c>
      <c r="G405" s="117">
        <f t="shared" si="19"/>
        <v>10</v>
      </c>
      <c r="H405" s="221" t="s">
        <v>133</v>
      </c>
      <c r="I405" s="221"/>
      <c r="J405" s="60" t="s">
        <v>614</v>
      </c>
      <c r="K405" s="94">
        <v>1956.2</v>
      </c>
      <c r="L405" s="94">
        <v>1956.2</v>
      </c>
      <c r="M405" s="221"/>
      <c r="N405" s="221"/>
      <c r="O405" s="151">
        <f t="shared" si="21"/>
        <v>0</v>
      </c>
      <c r="P405" s="119" t="s">
        <v>264</v>
      </c>
      <c r="Q405" s="119" t="s">
        <v>1342</v>
      </c>
      <c r="R405" s="221" t="s">
        <v>254</v>
      </c>
      <c r="S405" s="225" t="s">
        <v>466</v>
      </c>
      <c r="T405" s="221" t="s">
        <v>338</v>
      </c>
      <c r="U405" s="221" t="s">
        <v>1115</v>
      </c>
      <c r="V405" s="148" t="s">
        <v>257</v>
      </c>
      <c r="W405" s="221"/>
      <c r="X405" s="117"/>
      <c r="Y405" s="146"/>
      <c r="Z405" s="117" t="s">
        <v>1160</v>
      </c>
      <c r="AA405" s="221"/>
      <c r="AB405" s="117"/>
      <c r="AC405" s="63">
        <f t="shared" si="20"/>
        <v>0</v>
      </c>
      <c r="AD405" s="146"/>
      <c r="AE405" s="221" t="s">
        <v>217</v>
      </c>
      <c r="AF405" s="117" t="s">
        <v>225</v>
      </c>
      <c r="AG405" s="117"/>
      <c r="AH405" s="64"/>
      <c r="AI405" s="117"/>
      <c r="AJ405" s="221"/>
      <c r="AK405" s="221"/>
      <c r="AL405" s="117"/>
      <c r="AM405" s="221"/>
    </row>
    <row r="406" spans="1:39" ht="25.5" hidden="1" customHeight="1">
      <c r="A406" s="147">
        <v>405</v>
      </c>
      <c r="B406" s="170">
        <v>203363</v>
      </c>
      <c r="C406" s="117" t="s">
        <v>121</v>
      </c>
      <c r="D406" s="57">
        <v>42958</v>
      </c>
      <c r="E406" s="58" t="s">
        <v>1500</v>
      </c>
      <c r="F406" s="118">
        <v>42973</v>
      </c>
      <c r="G406" s="117">
        <f t="shared" si="19"/>
        <v>15</v>
      </c>
      <c r="H406" s="146" t="s">
        <v>133</v>
      </c>
      <c r="I406" s="221"/>
      <c r="J406" s="60" t="s">
        <v>614</v>
      </c>
      <c r="K406" s="94">
        <v>1349</v>
      </c>
      <c r="L406" s="94">
        <v>1349</v>
      </c>
      <c r="M406" s="221"/>
      <c r="N406" s="221"/>
      <c r="O406" s="151">
        <f t="shared" si="21"/>
        <v>0</v>
      </c>
      <c r="P406" s="119" t="s">
        <v>263</v>
      </c>
      <c r="Q406" s="119" t="s">
        <v>1341</v>
      </c>
      <c r="R406" s="117" t="s">
        <v>134</v>
      </c>
      <c r="S406" s="62" t="s">
        <v>465</v>
      </c>
      <c r="T406" s="221" t="s">
        <v>114</v>
      </c>
      <c r="U406" s="221" t="s">
        <v>1113</v>
      </c>
      <c r="V406" s="221" t="s">
        <v>1116</v>
      </c>
      <c r="W406" s="221"/>
      <c r="X406" s="117"/>
      <c r="Y406" s="146"/>
      <c r="Z406" s="117" t="s">
        <v>1118</v>
      </c>
      <c r="AA406" s="221"/>
      <c r="AB406" s="117"/>
      <c r="AC406" s="63">
        <f t="shared" si="20"/>
        <v>0</v>
      </c>
      <c r="AD406" s="221"/>
      <c r="AE406" s="221" t="s">
        <v>217</v>
      </c>
      <c r="AF406" s="117" t="s">
        <v>225</v>
      </c>
      <c r="AG406" s="117"/>
      <c r="AH406" s="64"/>
      <c r="AI406" s="117"/>
      <c r="AJ406" s="221"/>
      <c r="AK406" s="221"/>
      <c r="AL406" s="117"/>
      <c r="AM406" s="221"/>
    </row>
    <row r="407" spans="1:39" ht="12.75" hidden="1" customHeight="1">
      <c r="A407" s="147">
        <v>406</v>
      </c>
      <c r="B407" s="170">
        <v>202548</v>
      </c>
      <c r="C407" s="146" t="s">
        <v>121</v>
      </c>
      <c r="D407" s="57">
        <v>42958</v>
      </c>
      <c r="E407" s="58" t="s">
        <v>1500</v>
      </c>
      <c r="F407" s="118">
        <v>42961</v>
      </c>
      <c r="G407" s="146">
        <f t="shared" si="19"/>
        <v>3</v>
      </c>
      <c r="H407" s="146" t="s">
        <v>363</v>
      </c>
      <c r="I407" s="221"/>
      <c r="J407" s="60" t="s">
        <v>614</v>
      </c>
      <c r="K407" s="94">
        <v>4774.1499999999996</v>
      </c>
      <c r="L407" s="94">
        <v>4774.1499999999996</v>
      </c>
      <c r="M407" s="96">
        <v>0</v>
      </c>
      <c r="N407" s="221"/>
      <c r="O407" s="151">
        <f t="shared" si="21"/>
        <v>4487.701</v>
      </c>
      <c r="P407" s="119" t="s">
        <v>264</v>
      </c>
      <c r="Q407" s="119" t="s">
        <v>1342</v>
      </c>
      <c r="R407" s="221" t="s">
        <v>134</v>
      </c>
      <c r="S407" s="62" t="s">
        <v>465</v>
      </c>
      <c r="T407" s="221" t="s">
        <v>164</v>
      </c>
      <c r="U407" s="221" t="s">
        <v>1114</v>
      </c>
      <c r="V407" s="221" t="s">
        <v>1117</v>
      </c>
      <c r="W407" s="221"/>
      <c r="X407" s="146"/>
      <c r="Y407" s="146"/>
      <c r="Z407" s="146" t="s">
        <v>202</v>
      </c>
      <c r="AA407" s="146"/>
      <c r="AB407" s="146"/>
      <c r="AC407" s="63">
        <f t="shared" si="20"/>
        <v>1</v>
      </c>
      <c r="AD407" s="146"/>
      <c r="AE407" s="146"/>
      <c r="AF407" s="146"/>
      <c r="AG407" s="146"/>
      <c r="AH407" s="64" t="s">
        <v>1142</v>
      </c>
      <c r="AI407" s="146"/>
      <c r="AJ407" s="146"/>
      <c r="AK407" s="146"/>
      <c r="AL407" s="146"/>
      <c r="AM407" s="117"/>
    </row>
    <row r="408" spans="1:39" ht="12.75" hidden="1" customHeight="1">
      <c r="A408" s="147">
        <v>407</v>
      </c>
      <c r="B408" s="170">
        <v>203547</v>
      </c>
      <c r="C408" s="146" t="s">
        <v>121</v>
      </c>
      <c r="D408" s="57">
        <v>42961</v>
      </c>
      <c r="E408" s="58" t="s">
        <v>1500</v>
      </c>
      <c r="F408" s="118">
        <v>42972</v>
      </c>
      <c r="G408" s="146">
        <f t="shared" si="19"/>
        <v>11</v>
      </c>
      <c r="H408" s="146" t="s">
        <v>133</v>
      </c>
      <c r="I408" s="221"/>
      <c r="J408" s="60" t="s">
        <v>614</v>
      </c>
      <c r="K408" s="94">
        <v>5999</v>
      </c>
      <c r="L408" s="94">
        <v>5999</v>
      </c>
      <c r="M408" s="221"/>
      <c r="N408" s="221"/>
      <c r="O408" s="151">
        <f t="shared" si="21"/>
        <v>0</v>
      </c>
      <c r="P408" s="119" t="s">
        <v>264</v>
      </c>
      <c r="Q408" s="119" t="s">
        <v>1342</v>
      </c>
      <c r="R408" s="221" t="s">
        <v>122</v>
      </c>
      <c r="S408" s="225" t="s">
        <v>469</v>
      </c>
      <c r="T408" s="221" t="s">
        <v>114</v>
      </c>
      <c r="U408" s="221" t="s">
        <v>1125</v>
      </c>
      <c r="V408" s="221" t="s">
        <v>222</v>
      </c>
      <c r="W408" s="146"/>
      <c r="X408" s="146"/>
      <c r="Y408" s="146"/>
      <c r="Z408" s="146" t="s">
        <v>170</v>
      </c>
      <c r="AA408" s="146"/>
      <c r="AB408" s="146"/>
      <c r="AC408" s="63">
        <f t="shared" si="20"/>
        <v>0</v>
      </c>
      <c r="AD408" s="146"/>
      <c r="AE408" s="221" t="s">
        <v>217</v>
      </c>
      <c r="AF408" s="146" t="s">
        <v>225</v>
      </c>
      <c r="AG408" s="146"/>
      <c r="AH408" s="64"/>
      <c r="AI408" s="146"/>
      <c r="AJ408" s="146"/>
      <c r="AK408" s="146"/>
      <c r="AL408" s="146"/>
      <c r="AM408" s="117"/>
    </row>
    <row r="409" spans="1:39" ht="12.75" hidden="1" customHeight="1">
      <c r="A409" s="147">
        <v>408</v>
      </c>
      <c r="B409" s="170">
        <v>203470</v>
      </c>
      <c r="C409" s="117" t="s">
        <v>128</v>
      </c>
      <c r="D409" s="57">
        <v>42961</v>
      </c>
      <c r="E409" s="58" t="s">
        <v>1500</v>
      </c>
      <c r="F409" s="118">
        <v>42979</v>
      </c>
      <c r="G409" s="117">
        <f t="shared" si="19"/>
        <v>18</v>
      </c>
      <c r="H409" s="117" t="s">
        <v>133</v>
      </c>
      <c r="I409" s="221"/>
      <c r="J409" s="60" t="s">
        <v>614</v>
      </c>
      <c r="K409" s="94">
        <v>2499</v>
      </c>
      <c r="L409" s="94">
        <v>2499</v>
      </c>
      <c r="M409" s="221"/>
      <c r="N409" s="221"/>
      <c r="O409" s="151">
        <f t="shared" si="21"/>
        <v>0</v>
      </c>
      <c r="P409" s="119" t="s">
        <v>264</v>
      </c>
      <c r="Q409" s="119" t="s">
        <v>1342</v>
      </c>
      <c r="R409" s="146" t="s">
        <v>254</v>
      </c>
      <c r="S409" s="225" t="s">
        <v>466</v>
      </c>
      <c r="T409" s="221" t="s">
        <v>302</v>
      </c>
      <c r="U409" s="221" t="s">
        <v>696</v>
      </c>
      <c r="V409" s="148" t="s">
        <v>257</v>
      </c>
      <c r="W409" s="221"/>
      <c r="X409" s="117"/>
      <c r="Y409" s="146"/>
      <c r="Z409" s="117" t="s">
        <v>1189</v>
      </c>
      <c r="AA409" s="221"/>
      <c r="AB409" s="117"/>
      <c r="AC409" s="63">
        <f t="shared" si="20"/>
        <v>0</v>
      </c>
      <c r="AD409" s="221"/>
      <c r="AE409" s="221" t="s">
        <v>217</v>
      </c>
      <c r="AF409" s="117" t="s">
        <v>225</v>
      </c>
      <c r="AG409" s="117"/>
      <c r="AH409" s="64"/>
      <c r="AI409" s="117"/>
      <c r="AJ409" s="146"/>
      <c r="AK409" s="221"/>
      <c r="AL409" s="117"/>
      <c r="AM409" s="146"/>
    </row>
    <row r="410" spans="1:39" ht="12.75" hidden="1" customHeight="1">
      <c r="A410" s="147">
        <v>409</v>
      </c>
      <c r="B410" s="170">
        <v>203300</v>
      </c>
      <c r="C410" s="117" t="s">
        <v>128</v>
      </c>
      <c r="D410" s="57">
        <v>42961</v>
      </c>
      <c r="E410" s="58" t="s">
        <v>1500</v>
      </c>
      <c r="F410" s="118">
        <v>42971</v>
      </c>
      <c r="G410" s="117">
        <f t="shared" si="19"/>
        <v>10</v>
      </c>
      <c r="H410" s="146" t="s">
        <v>133</v>
      </c>
      <c r="I410" s="221"/>
      <c r="J410" s="60" t="s">
        <v>614</v>
      </c>
      <c r="K410" s="94">
        <v>1899.05</v>
      </c>
      <c r="L410" s="94">
        <v>1899.05</v>
      </c>
      <c r="M410" s="221">
        <v>70</v>
      </c>
      <c r="N410" s="221"/>
      <c r="O410" s="93">
        <f t="shared" si="21"/>
        <v>1715.107</v>
      </c>
      <c r="P410" s="119" t="s">
        <v>264</v>
      </c>
      <c r="Q410" s="119" t="s">
        <v>1342</v>
      </c>
      <c r="R410" s="117" t="s">
        <v>254</v>
      </c>
      <c r="S410" s="225" t="s">
        <v>466</v>
      </c>
      <c r="T410" s="221" t="s">
        <v>405</v>
      </c>
      <c r="U410" s="221" t="s">
        <v>1129</v>
      </c>
      <c r="V410" s="221" t="s">
        <v>1127</v>
      </c>
      <c r="W410" s="221"/>
      <c r="X410" s="146"/>
      <c r="Y410" s="221" t="s">
        <v>978</v>
      </c>
      <c r="Z410" s="117" t="s">
        <v>565</v>
      </c>
      <c r="AA410" s="222">
        <v>42969</v>
      </c>
      <c r="AB410" s="117" t="s">
        <v>872</v>
      </c>
      <c r="AC410" s="63">
        <f t="shared" si="20"/>
        <v>1</v>
      </c>
      <c r="AD410" s="146" t="s">
        <v>217</v>
      </c>
      <c r="AE410" s="221" t="s">
        <v>218</v>
      </c>
      <c r="AF410" s="117"/>
      <c r="AG410" s="117"/>
      <c r="AH410" s="64" t="s">
        <v>1165</v>
      </c>
      <c r="AI410" s="117" t="s">
        <v>184</v>
      </c>
      <c r="AJ410" s="222">
        <v>42992</v>
      </c>
      <c r="AK410" s="221" t="s">
        <v>1241</v>
      </c>
      <c r="AL410" s="117" t="s">
        <v>609</v>
      </c>
      <c r="AM410" s="222">
        <v>42997</v>
      </c>
    </row>
    <row r="411" spans="1:39" ht="12.75" hidden="1" customHeight="1">
      <c r="A411" s="147">
        <v>410</v>
      </c>
      <c r="B411" s="170">
        <v>203030</v>
      </c>
      <c r="C411" s="117" t="s">
        <v>121</v>
      </c>
      <c r="D411" s="57">
        <v>42961</v>
      </c>
      <c r="E411" s="58" t="s">
        <v>1500</v>
      </c>
      <c r="F411" s="118">
        <v>42973</v>
      </c>
      <c r="G411" s="117">
        <f t="shared" si="19"/>
        <v>12</v>
      </c>
      <c r="H411" s="146" t="s">
        <v>133</v>
      </c>
      <c r="I411" s="146"/>
      <c r="J411" s="60" t="s">
        <v>614</v>
      </c>
      <c r="K411" s="94">
        <v>1709.05</v>
      </c>
      <c r="L411" s="94">
        <v>1709.05</v>
      </c>
      <c r="M411" s="221"/>
      <c r="N411" s="221"/>
      <c r="O411" s="151">
        <f t="shared" si="21"/>
        <v>0</v>
      </c>
      <c r="P411" s="119" t="s">
        <v>264</v>
      </c>
      <c r="Q411" s="119" t="s">
        <v>1342</v>
      </c>
      <c r="R411" s="221" t="s">
        <v>460</v>
      </c>
      <c r="S411" s="225" t="s">
        <v>469</v>
      </c>
      <c r="T411" s="221" t="s">
        <v>376</v>
      </c>
      <c r="U411" s="221" t="s">
        <v>1126</v>
      </c>
      <c r="V411" s="119" t="s">
        <v>90</v>
      </c>
      <c r="W411" s="221"/>
      <c r="X411" s="146"/>
      <c r="Y411" s="146"/>
      <c r="Z411" s="117" t="s">
        <v>253</v>
      </c>
      <c r="AA411" s="146"/>
      <c r="AB411" s="117"/>
      <c r="AC411" s="63">
        <f t="shared" si="20"/>
        <v>0</v>
      </c>
      <c r="AD411" s="146" t="s">
        <v>217</v>
      </c>
      <c r="AE411" s="221" t="s">
        <v>217</v>
      </c>
      <c r="AF411" s="117" t="s">
        <v>225</v>
      </c>
      <c r="AG411" s="117"/>
      <c r="AH411" s="64"/>
      <c r="AI411" s="117"/>
      <c r="AJ411" s="117"/>
      <c r="AK411" s="146"/>
      <c r="AL411" s="117"/>
      <c r="AM411" s="117"/>
    </row>
    <row r="412" spans="1:39" ht="12.75" hidden="1" customHeight="1">
      <c r="A412" s="147">
        <v>411</v>
      </c>
      <c r="B412" s="170">
        <v>203600</v>
      </c>
      <c r="C412" s="146" t="s">
        <v>121</v>
      </c>
      <c r="D412" s="57">
        <v>42961</v>
      </c>
      <c r="E412" s="58" t="s">
        <v>1500</v>
      </c>
      <c r="F412" s="118">
        <v>42973</v>
      </c>
      <c r="G412" s="146">
        <f t="shared" si="19"/>
        <v>12</v>
      </c>
      <c r="H412" s="146" t="s">
        <v>133</v>
      </c>
      <c r="I412" s="221"/>
      <c r="J412" s="60" t="s">
        <v>614</v>
      </c>
      <c r="K412" s="94">
        <v>1899</v>
      </c>
      <c r="L412" s="94">
        <v>1899</v>
      </c>
      <c r="M412" s="221">
        <v>260</v>
      </c>
      <c r="N412" s="221">
        <v>333</v>
      </c>
      <c r="O412" s="151">
        <f t="shared" si="21"/>
        <v>1452.06</v>
      </c>
      <c r="P412" s="119" t="s">
        <v>264</v>
      </c>
      <c r="Q412" s="119" t="s">
        <v>1342</v>
      </c>
      <c r="R412" s="221" t="s">
        <v>122</v>
      </c>
      <c r="S412" s="225" t="s">
        <v>469</v>
      </c>
      <c r="T412" s="221" t="s">
        <v>114</v>
      </c>
      <c r="U412" s="221" t="s">
        <v>810</v>
      </c>
      <c r="V412" s="222" t="s">
        <v>169</v>
      </c>
      <c r="W412" s="221"/>
      <c r="X412" s="221"/>
      <c r="Y412" s="221" t="s">
        <v>316</v>
      </c>
      <c r="Z412" s="146" t="s">
        <v>170</v>
      </c>
      <c r="AA412" s="222">
        <v>42962</v>
      </c>
      <c r="AB412" s="221" t="s">
        <v>872</v>
      </c>
      <c r="AC412" s="63">
        <f t="shared" si="20"/>
        <v>1</v>
      </c>
      <c r="AD412" s="146" t="s">
        <v>217</v>
      </c>
      <c r="AE412" s="221" t="s">
        <v>218</v>
      </c>
      <c r="AF412" s="146"/>
      <c r="AG412" s="221"/>
      <c r="AH412" s="64" t="s">
        <v>1157</v>
      </c>
      <c r="AI412" s="221" t="s">
        <v>184</v>
      </c>
      <c r="AJ412" s="222">
        <v>42968</v>
      </c>
      <c r="AK412" s="221" t="s">
        <v>1164</v>
      </c>
      <c r="AL412" s="221" t="s">
        <v>645</v>
      </c>
      <c r="AM412" s="222">
        <v>42970</v>
      </c>
    </row>
    <row r="413" spans="1:39" ht="12.75" hidden="1" customHeight="1">
      <c r="A413" s="147">
        <v>412</v>
      </c>
      <c r="B413" s="170">
        <v>204222</v>
      </c>
      <c r="C413" s="146" t="s">
        <v>128</v>
      </c>
      <c r="D413" s="57">
        <v>42962</v>
      </c>
      <c r="E413" s="58" t="s">
        <v>1500</v>
      </c>
      <c r="F413" s="118">
        <v>42986</v>
      </c>
      <c r="G413" s="146">
        <f t="shared" si="19"/>
        <v>24</v>
      </c>
      <c r="H413" s="146" t="s">
        <v>133</v>
      </c>
      <c r="I413" s="146"/>
      <c r="J413" s="60" t="s">
        <v>614</v>
      </c>
      <c r="K413" s="94">
        <v>2999</v>
      </c>
      <c r="L413" s="94">
        <v>2999</v>
      </c>
      <c r="M413" s="221">
        <v>550</v>
      </c>
      <c r="N413" s="221">
        <v>107.1</v>
      </c>
      <c r="O413" s="93">
        <f t="shared" si="21"/>
        <v>2269.06</v>
      </c>
      <c r="P413" s="119" t="s">
        <v>261</v>
      </c>
      <c r="Q413" s="119" t="s">
        <v>1341</v>
      </c>
      <c r="R413" s="146" t="s">
        <v>254</v>
      </c>
      <c r="S413" s="225" t="s">
        <v>466</v>
      </c>
      <c r="T413" s="221" t="s">
        <v>405</v>
      </c>
      <c r="U413" s="221" t="s">
        <v>1128</v>
      </c>
      <c r="V413" s="148" t="s">
        <v>257</v>
      </c>
      <c r="W413" s="221"/>
      <c r="X413" s="146"/>
      <c r="Y413" s="221" t="s">
        <v>316</v>
      </c>
      <c r="Z413" s="146" t="s">
        <v>1160</v>
      </c>
      <c r="AA413" s="222">
        <v>42965</v>
      </c>
      <c r="AB413" s="146" t="s">
        <v>140</v>
      </c>
      <c r="AC413" s="63">
        <f t="shared" si="20"/>
        <v>1</v>
      </c>
      <c r="AD413" s="146" t="s">
        <v>217</v>
      </c>
      <c r="AE413" s="221" t="s">
        <v>218</v>
      </c>
      <c r="AF413" s="146"/>
      <c r="AG413" s="146"/>
      <c r="AH413" s="64" t="s">
        <v>1155</v>
      </c>
      <c r="AI413" s="146" t="s">
        <v>184</v>
      </c>
      <c r="AJ413" s="222">
        <v>42968</v>
      </c>
      <c r="AK413" s="146" t="s">
        <v>1162</v>
      </c>
      <c r="AL413" s="146" t="s">
        <v>645</v>
      </c>
      <c r="AM413" s="222">
        <v>42970</v>
      </c>
    </row>
    <row r="414" spans="1:39" ht="12.75" hidden="1" customHeight="1">
      <c r="A414" s="147">
        <v>413</v>
      </c>
      <c r="B414" s="170">
        <v>203595</v>
      </c>
      <c r="C414" s="117" t="s">
        <v>129</v>
      </c>
      <c r="D414" s="57">
        <v>42962</v>
      </c>
      <c r="E414" s="58" t="s">
        <v>1500</v>
      </c>
      <c r="F414" s="118">
        <v>42985</v>
      </c>
      <c r="G414" s="117">
        <f t="shared" si="19"/>
        <v>23</v>
      </c>
      <c r="H414" s="117" t="s">
        <v>133</v>
      </c>
      <c r="I414" s="146"/>
      <c r="J414" s="60" t="s">
        <v>614</v>
      </c>
      <c r="K414" s="94">
        <v>4599</v>
      </c>
      <c r="L414" s="94">
        <v>4599</v>
      </c>
      <c r="M414" s="221">
        <v>290</v>
      </c>
      <c r="N414" s="221">
        <v>220</v>
      </c>
      <c r="O414" s="93">
        <f t="shared" si="21"/>
        <v>4033.0600000000004</v>
      </c>
      <c r="P414" s="119" t="s">
        <v>261</v>
      </c>
      <c r="Q414" s="119" t="s">
        <v>1341</v>
      </c>
      <c r="R414" s="146" t="s">
        <v>134</v>
      </c>
      <c r="S414" s="62" t="s">
        <v>465</v>
      </c>
      <c r="T414" s="221" t="s">
        <v>88</v>
      </c>
      <c r="U414" s="221" t="s">
        <v>1460</v>
      </c>
      <c r="V414" s="221" t="s">
        <v>429</v>
      </c>
      <c r="W414" s="221"/>
      <c r="X414" s="146"/>
      <c r="Y414" s="146" t="s">
        <v>316</v>
      </c>
      <c r="Z414" s="146" t="s">
        <v>189</v>
      </c>
      <c r="AA414" s="222">
        <v>42963</v>
      </c>
      <c r="AB414" s="117" t="s">
        <v>872</v>
      </c>
      <c r="AC414" s="63">
        <f t="shared" si="20"/>
        <v>1</v>
      </c>
      <c r="AD414" s="146" t="s">
        <v>217</v>
      </c>
      <c r="AE414" s="221" t="s">
        <v>218</v>
      </c>
      <c r="AF414" s="117"/>
      <c r="AG414" s="117"/>
      <c r="AH414" s="64"/>
      <c r="AI414" s="117" t="s">
        <v>184</v>
      </c>
      <c r="AJ414" s="222">
        <v>42968</v>
      </c>
      <c r="AK414" s="146" t="s">
        <v>1163</v>
      </c>
      <c r="AL414" s="117" t="s">
        <v>645</v>
      </c>
      <c r="AM414" s="222">
        <v>42970</v>
      </c>
    </row>
    <row r="415" spans="1:39" ht="12.75" hidden="1" customHeight="1">
      <c r="A415" s="147">
        <v>414</v>
      </c>
      <c r="B415" s="170">
        <v>203410</v>
      </c>
      <c r="C415" s="146" t="s">
        <v>121</v>
      </c>
      <c r="D415" s="57">
        <v>42963</v>
      </c>
      <c r="E415" s="58" t="s">
        <v>1500</v>
      </c>
      <c r="F415" s="118">
        <v>42972</v>
      </c>
      <c r="G415" s="117">
        <f t="shared" si="19"/>
        <v>9</v>
      </c>
      <c r="H415" s="117" t="s">
        <v>133</v>
      </c>
      <c r="I415" s="146"/>
      <c r="J415" s="221"/>
      <c r="K415" s="94">
        <v>3374.05</v>
      </c>
      <c r="L415" s="94">
        <v>3374.05</v>
      </c>
      <c r="M415" s="221"/>
      <c r="N415" s="221"/>
      <c r="O415" s="93">
        <f t="shared" si="21"/>
        <v>0</v>
      </c>
      <c r="P415" s="119" t="s">
        <v>264</v>
      </c>
      <c r="Q415" s="119" t="s">
        <v>1342</v>
      </c>
      <c r="R415" s="117" t="s">
        <v>122</v>
      </c>
      <c r="S415" s="225" t="s">
        <v>469</v>
      </c>
      <c r="T415" s="221" t="s">
        <v>114</v>
      </c>
      <c r="U415" s="221" t="s">
        <v>604</v>
      </c>
      <c r="V415" s="221" t="s">
        <v>222</v>
      </c>
      <c r="W415" s="221"/>
      <c r="X415" s="117"/>
      <c r="Y415" s="146"/>
      <c r="Z415" s="117" t="s">
        <v>170</v>
      </c>
      <c r="AA415" s="221"/>
      <c r="AB415" s="117"/>
      <c r="AC415" s="63">
        <f t="shared" si="20"/>
        <v>0</v>
      </c>
      <c r="AD415" s="146"/>
      <c r="AE415" s="221" t="s">
        <v>217</v>
      </c>
      <c r="AF415" s="117" t="s">
        <v>225</v>
      </c>
      <c r="AG415" s="117"/>
      <c r="AH415" s="64"/>
      <c r="AI415" s="146"/>
      <c r="AJ415" s="146"/>
      <c r="AK415" s="221"/>
      <c r="AL415" s="146"/>
      <c r="AM415" s="146"/>
    </row>
    <row r="416" spans="1:39" ht="12.75" hidden="1" customHeight="1">
      <c r="A416" s="147">
        <v>415</v>
      </c>
      <c r="B416" s="170">
        <v>203114</v>
      </c>
      <c r="C416" s="117" t="s">
        <v>1130</v>
      </c>
      <c r="D416" s="57">
        <v>42963</v>
      </c>
      <c r="E416" s="58" t="s">
        <v>1500</v>
      </c>
      <c r="F416" s="118">
        <v>42969</v>
      </c>
      <c r="G416" s="117">
        <f t="shared" si="19"/>
        <v>6</v>
      </c>
      <c r="H416" s="117" t="s">
        <v>133</v>
      </c>
      <c r="I416" s="221"/>
      <c r="J416" s="221"/>
      <c r="K416" s="94">
        <v>2089.0500000000002</v>
      </c>
      <c r="L416" s="94">
        <v>2089.0500000000002</v>
      </c>
      <c r="M416" s="221"/>
      <c r="N416" s="221"/>
      <c r="O416" s="151">
        <f t="shared" si="21"/>
        <v>0</v>
      </c>
      <c r="P416" s="119" t="s">
        <v>264</v>
      </c>
      <c r="Q416" s="119" t="s">
        <v>1342</v>
      </c>
      <c r="R416" s="146" t="s">
        <v>210</v>
      </c>
      <c r="S416" s="225" t="s">
        <v>469</v>
      </c>
      <c r="T416" s="221" t="s">
        <v>376</v>
      </c>
      <c r="U416" s="221" t="s">
        <v>1131</v>
      </c>
      <c r="V416" s="221" t="s">
        <v>382</v>
      </c>
      <c r="W416" s="221"/>
      <c r="X416" s="117"/>
      <c r="Y416" s="117"/>
      <c r="Z416" s="117" t="s">
        <v>170</v>
      </c>
      <c r="AA416" s="221"/>
      <c r="AB416" s="117"/>
      <c r="AC416" s="63">
        <f t="shared" si="20"/>
        <v>0</v>
      </c>
      <c r="AD416" s="146"/>
      <c r="AE416" s="221" t="s">
        <v>217</v>
      </c>
      <c r="AF416" s="117" t="s">
        <v>225</v>
      </c>
      <c r="AG416" s="117"/>
      <c r="AH416" s="64"/>
      <c r="AI416" s="146"/>
      <c r="AJ416" s="146"/>
      <c r="AK416" s="221"/>
      <c r="AL416" s="146"/>
      <c r="AM416" s="117"/>
    </row>
    <row r="417" spans="1:39" ht="12.75" hidden="1" customHeight="1">
      <c r="A417" s="147">
        <v>416</v>
      </c>
      <c r="B417" s="170">
        <v>203726</v>
      </c>
      <c r="C417" s="117" t="s">
        <v>1130</v>
      </c>
      <c r="D417" s="57">
        <v>42963</v>
      </c>
      <c r="E417" s="58" t="s">
        <v>1500</v>
      </c>
      <c r="F417" s="118">
        <v>42971</v>
      </c>
      <c r="G417" s="117">
        <f t="shared" si="19"/>
        <v>8</v>
      </c>
      <c r="H417" s="117" t="s">
        <v>133</v>
      </c>
      <c r="I417" s="146"/>
      <c r="J417" s="221"/>
      <c r="K417" s="94">
        <v>1519.2</v>
      </c>
      <c r="L417" s="94">
        <v>1519.2</v>
      </c>
      <c r="M417" s="221"/>
      <c r="N417" s="146"/>
      <c r="O417" s="151">
        <f t="shared" si="21"/>
        <v>0</v>
      </c>
      <c r="P417" s="119" t="s">
        <v>264</v>
      </c>
      <c r="Q417" s="119" t="s">
        <v>1342</v>
      </c>
      <c r="R417" s="146" t="s">
        <v>143</v>
      </c>
      <c r="S417" s="62" t="s">
        <v>465</v>
      </c>
      <c r="T417" s="221" t="s">
        <v>88</v>
      </c>
      <c r="U417" s="221" t="s">
        <v>1132</v>
      </c>
      <c r="V417" s="224" t="s">
        <v>90</v>
      </c>
      <c r="W417" s="221"/>
      <c r="X417" s="146"/>
      <c r="Y417" s="146"/>
      <c r="Z417" s="146" t="s">
        <v>189</v>
      </c>
      <c r="AA417" s="221"/>
      <c r="AB417" s="117"/>
      <c r="AC417" s="63">
        <f t="shared" si="20"/>
        <v>0</v>
      </c>
      <c r="AD417" s="146"/>
      <c r="AE417" s="221" t="s">
        <v>217</v>
      </c>
      <c r="AF417" s="117" t="s">
        <v>225</v>
      </c>
      <c r="AG417" s="117"/>
      <c r="AH417" s="64"/>
      <c r="AI417" s="146"/>
      <c r="AJ417" s="221"/>
      <c r="AK417" s="221"/>
      <c r="AL417" s="146"/>
      <c r="AM417" s="221"/>
    </row>
    <row r="418" spans="1:39" ht="12.75" hidden="1" customHeight="1">
      <c r="A418" s="147">
        <v>417</v>
      </c>
      <c r="B418" s="170">
        <v>204027</v>
      </c>
      <c r="C418" s="117" t="s">
        <v>128</v>
      </c>
      <c r="D418" s="57">
        <v>42964</v>
      </c>
      <c r="E418" s="58" t="s">
        <v>1500</v>
      </c>
      <c r="F418" s="118">
        <v>42979</v>
      </c>
      <c r="G418" s="117">
        <f t="shared" si="19"/>
        <v>15</v>
      </c>
      <c r="H418" s="146" t="s">
        <v>133</v>
      </c>
      <c r="I418" s="221"/>
      <c r="J418" s="221"/>
      <c r="K418" s="94">
        <v>2036.03</v>
      </c>
      <c r="L418" s="94">
        <v>2036.03</v>
      </c>
      <c r="M418" s="221"/>
      <c r="N418" s="221"/>
      <c r="O418" s="151">
        <f t="shared" si="21"/>
        <v>0</v>
      </c>
      <c r="P418" s="119" t="s">
        <v>264</v>
      </c>
      <c r="Q418" s="119" t="s">
        <v>1342</v>
      </c>
      <c r="R418" s="146" t="s">
        <v>254</v>
      </c>
      <c r="S418" s="225" t="s">
        <v>466</v>
      </c>
      <c r="T418" s="221" t="s">
        <v>405</v>
      </c>
      <c r="U418" s="221" t="s">
        <v>1144</v>
      </c>
      <c r="V418" s="148" t="s">
        <v>257</v>
      </c>
      <c r="W418" s="221"/>
      <c r="X418" s="146"/>
      <c r="Y418" s="146"/>
      <c r="Z418" s="146" t="s">
        <v>1146</v>
      </c>
      <c r="AA418" s="221"/>
      <c r="AB418" s="117"/>
      <c r="AC418" s="63">
        <f t="shared" si="20"/>
        <v>0</v>
      </c>
      <c r="AD418" s="146" t="s">
        <v>217</v>
      </c>
      <c r="AE418" s="221" t="s">
        <v>217</v>
      </c>
      <c r="AF418" s="117" t="s">
        <v>225</v>
      </c>
      <c r="AG418" s="117"/>
      <c r="AH418" s="64" t="s">
        <v>1156</v>
      </c>
      <c r="AI418" s="117"/>
      <c r="AJ418" s="146"/>
      <c r="AK418" s="221"/>
      <c r="AL418" s="117"/>
      <c r="AM418" s="221"/>
    </row>
    <row r="419" spans="1:39" ht="12.75" hidden="1" customHeight="1">
      <c r="A419" s="147">
        <v>418</v>
      </c>
      <c r="B419" s="170">
        <v>202936</v>
      </c>
      <c r="C419" s="117" t="s">
        <v>121</v>
      </c>
      <c r="D419" s="57">
        <v>42964</v>
      </c>
      <c r="E419" s="58" t="s">
        <v>1500</v>
      </c>
      <c r="F419" s="118">
        <v>42972</v>
      </c>
      <c r="G419" s="117">
        <f t="shared" si="19"/>
        <v>8</v>
      </c>
      <c r="H419" s="146" t="s">
        <v>133</v>
      </c>
      <c r="I419" s="221"/>
      <c r="J419" s="221"/>
      <c r="K419" s="94">
        <v>1549</v>
      </c>
      <c r="L419" s="94">
        <v>1549.1</v>
      </c>
      <c r="M419" s="221">
        <v>240</v>
      </c>
      <c r="N419" s="221">
        <v>210</v>
      </c>
      <c r="O419" s="93">
        <f t="shared" si="21"/>
        <v>1216.06</v>
      </c>
      <c r="P419" s="119" t="s">
        <v>264</v>
      </c>
      <c r="Q419" s="119" t="s">
        <v>1342</v>
      </c>
      <c r="R419" s="221" t="s">
        <v>122</v>
      </c>
      <c r="S419" s="225" t="s">
        <v>469</v>
      </c>
      <c r="T419" s="221" t="s">
        <v>294</v>
      </c>
      <c r="U419" s="221" t="s">
        <v>1143</v>
      </c>
      <c r="V419" s="221" t="s">
        <v>1145</v>
      </c>
      <c r="W419" s="221"/>
      <c r="X419" s="221"/>
      <c r="Y419" s="221" t="s">
        <v>316</v>
      </c>
      <c r="Z419" s="146" t="s">
        <v>203</v>
      </c>
      <c r="AA419" s="221"/>
      <c r="AB419" s="221"/>
      <c r="AC419" s="63">
        <f t="shared" si="20"/>
        <v>1</v>
      </c>
      <c r="AD419" s="221" t="s">
        <v>217</v>
      </c>
      <c r="AE419" s="221" t="s">
        <v>218</v>
      </c>
      <c r="AF419" s="221"/>
      <c r="AG419" s="221"/>
      <c r="AH419" s="64" t="s">
        <v>1178</v>
      </c>
      <c r="AI419" s="221" t="s">
        <v>184</v>
      </c>
      <c r="AJ419" s="222">
        <v>42982</v>
      </c>
      <c r="AK419" s="221" t="s">
        <v>1201</v>
      </c>
      <c r="AL419" s="221" t="s">
        <v>645</v>
      </c>
      <c r="AM419" s="222">
        <v>42984</v>
      </c>
    </row>
    <row r="420" spans="1:39" ht="25.5" hidden="1" customHeight="1">
      <c r="A420" s="147">
        <v>419</v>
      </c>
      <c r="B420" s="170">
        <v>203908</v>
      </c>
      <c r="C420" s="117" t="s">
        <v>1130</v>
      </c>
      <c r="D420" s="57">
        <v>42964</v>
      </c>
      <c r="E420" s="58" t="s">
        <v>1500</v>
      </c>
      <c r="F420" s="118">
        <v>42976</v>
      </c>
      <c r="G420" s="117">
        <f t="shared" si="19"/>
        <v>12</v>
      </c>
      <c r="H420" s="117" t="s">
        <v>133</v>
      </c>
      <c r="I420" s="146"/>
      <c r="J420" s="221"/>
      <c r="K420" s="94">
        <v>1999</v>
      </c>
      <c r="L420" s="94">
        <v>1999</v>
      </c>
      <c r="M420" s="221"/>
      <c r="N420" s="146"/>
      <c r="O420" s="151">
        <f t="shared" si="21"/>
        <v>0</v>
      </c>
      <c r="P420" s="119" t="s">
        <v>263</v>
      </c>
      <c r="Q420" s="119" t="s">
        <v>1341</v>
      </c>
      <c r="R420" s="221" t="s">
        <v>300</v>
      </c>
      <c r="S420" s="225" t="s">
        <v>469</v>
      </c>
      <c r="T420" s="221" t="s">
        <v>114</v>
      </c>
      <c r="U420" s="221" t="s">
        <v>1149</v>
      </c>
      <c r="V420" s="221" t="s">
        <v>249</v>
      </c>
      <c r="W420" s="221"/>
      <c r="X420" s="146"/>
      <c r="Y420" s="146"/>
      <c r="Z420" s="146" t="s">
        <v>170</v>
      </c>
      <c r="AA420" s="221"/>
      <c r="AB420" s="117"/>
      <c r="AC420" s="63">
        <f t="shared" si="20"/>
        <v>0</v>
      </c>
      <c r="AD420" s="146"/>
      <c r="AE420" s="221" t="s">
        <v>217</v>
      </c>
      <c r="AF420" s="117" t="s">
        <v>225</v>
      </c>
      <c r="AG420" s="117"/>
      <c r="AH420" s="64" t="s">
        <v>1158</v>
      </c>
      <c r="AI420" s="117"/>
      <c r="AJ420" s="221"/>
      <c r="AK420" s="146"/>
      <c r="AL420" s="117"/>
      <c r="AM420" s="221"/>
    </row>
    <row r="421" spans="1:39" ht="12.75" hidden="1" customHeight="1">
      <c r="A421" s="147">
        <v>420</v>
      </c>
      <c r="B421" s="170">
        <v>203680</v>
      </c>
      <c r="C421" s="117" t="s">
        <v>128</v>
      </c>
      <c r="D421" s="57">
        <v>42964</v>
      </c>
      <c r="E421" s="58" t="s">
        <v>1500</v>
      </c>
      <c r="F421" s="118">
        <v>42982</v>
      </c>
      <c r="G421" s="117">
        <f t="shared" si="19"/>
        <v>18</v>
      </c>
      <c r="H421" s="221" t="s">
        <v>133</v>
      </c>
      <c r="I421" s="146"/>
      <c r="J421" s="221"/>
      <c r="K421" s="94">
        <v>1999</v>
      </c>
      <c r="L421" s="94">
        <v>1999</v>
      </c>
      <c r="M421" s="221">
        <v>227</v>
      </c>
      <c r="N421" s="221"/>
      <c r="O421" s="93">
        <f t="shared" si="21"/>
        <v>0</v>
      </c>
      <c r="P421" s="119" t="s">
        <v>264</v>
      </c>
      <c r="Q421" s="119" t="s">
        <v>1342</v>
      </c>
      <c r="R421" s="146" t="s">
        <v>501</v>
      </c>
      <c r="S421" s="225" t="s">
        <v>466</v>
      </c>
      <c r="T421" s="221" t="s">
        <v>405</v>
      </c>
      <c r="U421" s="221" t="s">
        <v>1147</v>
      </c>
      <c r="V421" s="146" t="s">
        <v>1148</v>
      </c>
      <c r="W421" s="146"/>
      <c r="X421" s="146"/>
      <c r="Y421" s="146" t="s">
        <v>219</v>
      </c>
      <c r="Z421" s="146" t="s">
        <v>259</v>
      </c>
      <c r="AA421" s="221"/>
      <c r="AB421" s="117"/>
      <c r="AC421" s="63">
        <f t="shared" si="20"/>
        <v>0</v>
      </c>
      <c r="AD421" s="146"/>
      <c r="AE421" s="221" t="s">
        <v>217</v>
      </c>
      <c r="AF421" s="148" t="s">
        <v>1625</v>
      </c>
      <c r="AG421" s="117"/>
      <c r="AH421" s="64" t="s">
        <v>1161</v>
      </c>
      <c r="AI421" s="117"/>
      <c r="AJ421" s="221"/>
      <c r="AK421" s="221"/>
      <c r="AL421" s="117"/>
      <c r="AM421" s="221"/>
    </row>
    <row r="422" spans="1:39" ht="12.75" hidden="1" customHeight="1">
      <c r="A422" s="147">
        <v>421</v>
      </c>
      <c r="B422" s="170">
        <v>203962</v>
      </c>
      <c r="C422" s="146" t="s">
        <v>128</v>
      </c>
      <c r="D422" s="57">
        <v>42965</v>
      </c>
      <c r="E422" s="58" t="s">
        <v>1500</v>
      </c>
      <c r="F422" s="118">
        <v>42968</v>
      </c>
      <c r="G422" s="117">
        <f t="shared" si="19"/>
        <v>3</v>
      </c>
      <c r="H422" s="146" t="s">
        <v>363</v>
      </c>
      <c r="I422" s="221"/>
      <c r="J422" s="221"/>
      <c r="K422" s="94">
        <v>6599</v>
      </c>
      <c r="L422" s="94">
        <v>6599</v>
      </c>
      <c r="M422" s="96">
        <v>0</v>
      </c>
      <c r="N422" s="221"/>
      <c r="O422" s="93">
        <f t="shared" si="21"/>
        <v>6203.06</v>
      </c>
      <c r="P422" s="119" t="s">
        <v>264</v>
      </c>
      <c r="Q422" s="119" t="s">
        <v>1342</v>
      </c>
      <c r="R422" s="146" t="s">
        <v>254</v>
      </c>
      <c r="S422" s="225" t="s">
        <v>466</v>
      </c>
      <c r="T422" s="148" t="s">
        <v>255</v>
      </c>
      <c r="U422" s="221" t="s">
        <v>1150</v>
      </c>
      <c r="V422" s="224" t="s">
        <v>559</v>
      </c>
      <c r="W422" s="146"/>
      <c r="X422" s="117"/>
      <c r="Y422" s="146"/>
      <c r="Z422" s="117" t="s">
        <v>304</v>
      </c>
      <c r="AA422" s="221"/>
      <c r="AB422" s="117"/>
      <c r="AC422" s="63">
        <f t="shared" si="20"/>
        <v>1</v>
      </c>
      <c r="AD422" s="146"/>
      <c r="AE422" s="117"/>
      <c r="AF422" s="117"/>
      <c r="AG422" s="117"/>
      <c r="AH422" s="64" t="s">
        <v>1151</v>
      </c>
      <c r="AI422" s="117"/>
      <c r="AJ422" s="117"/>
      <c r="AK422" s="221"/>
      <c r="AL422" s="117"/>
      <c r="AM422" s="146"/>
    </row>
    <row r="423" spans="1:39" ht="25.5" hidden="1" customHeight="1">
      <c r="A423" s="147">
        <v>422</v>
      </c>
      <c r="B423" s="170">
        <v>203885</v>
      </c>
      <c r="C423" s="117" t="s">
        <v>540</v>
      </c>
      <c r="D423" s="57">
        <v>42965</v>
      </c>
      <c r="E423" s="58" t="s">
        <v>1500</v>
      </c>
      <c r="F423" s="118">
        <v>42981</v>
      </c>
      <c r="G423" s="117">
        <f t="shared" si="19"/>
        <v>16</v>
      </c>
      <c r="H423" s="146" t="s">
        <v>133</v>
      </c>
      <c r="I423" s="146"/>
      <c r="J423" s="223" t="s">
        <v>614</v>
      </c>
      <c r="K423" s="94">
        <v>2870</v>
      </c>
      <c r="L423" s="94">
        <v>2870</v>
      </c>
      <c r="M423" s="221">
        <v>500</v>
      </c>
      <c r="N423" s="146">
        <v>71.400000000000006</v>
      </c>
      <c r="O423" s="93">
        <f t="shared" si="21"/>
        <v>2197.8000000000002</v>
      </c>
      <c r="P423" s="119" t="s">
        <v>264</v>
      </c>
      <c r="Q423" s="119" t="s">
        <v>1342</v>
      </c>
      <c r="R423" s="146" t="s">
        <v>787</v>
      </c>
      <c r="S423" s="225" t="s">
        <v>466</v>
      </c>
      <c r="T423" s="148" t="s">
        <v>255</v>
      </c>
      <c r="U423" s="221" t="s">
        <v>1152</v>
      </c>
      <c r="V423" s="221" t="s">
        <v>1177</v>
      </c>
      <c r="W423" s="224" t="s">
        <v>1176</v>
      </c>
      <c r="X423" s="117"/>
      <c r="Y423" s="117" t="s">
        <v>978</v>
      </c>
      <c r="Z423" s="117" t="s">
        <v>259</v>
      </c>
      <c r="AA423" s="222">
        <v>42970</v>
      </c>
      <c r="AB423" s="117"/>
      <c r="AC423" s="63">
        <f t="shared" si="20"/>
        <v>1</v>
      </c>
      <c r="AD423" s="146" t="s">
        <v>217</v>
      </c>
      <c r="AE423" s="221" t="s">
        <v>218</v>
      </c>
      <c r="AF423" s="117"/>
      <c r="AG423" s="117"/>
      <c r="AH423" s="64" t="s">
        <v>1191</v>
      </c>
      <c r="AI423" s="117" t="s">
        <v>184</v>
      </c>
      <c r="AJ423" s="222">
        <v>42982</v>
      </c>
      <c r="AK423" s="221" t="s">
        <v>1210</v>
      </c>
      <c r="AL423" s="117" t="s">
        <v>645</v>
      </c>
      <c r="AM423" s="222">
        <v>42985</v>
      </c>
    </row>
    <row r="424" spans="1:39" ht="12.75" hidden="1" customHeight="1">
      <c r="A424" s="147">
        <v>423</v>
      </c>
      <c r="B424" s="170">
        <v>204146</v>
      </c>
      <c r="C424" s="117" t="s">
        <v>540</v>
      </c>
      <c r="D424" s="57">
        <v>42965</v>
      </c>
      <c r="E424" s="58" t="s">
        <v>1500</v>
      </c>
      <c r="F424" s="118">
        <v>42982</v>
      </c>
      <c r="G424" s="117">
        <f t="shared" si="19"/>
        <v>17</v>
      </c>
      <c r="H424" s="117" t="s">
        <v>133</v>
      </c>
      <c r="I424" s="146"/>
      <c r="J424" s="223" t="s">
        <v>614</v>
      </c>
      <c r="K424" s="94">
        <v>1949</v>
      </c>
      <c r="L424" s="94">
        <v>1949.1</v>
      </c>
      <c r="M424" s="221">
        <v>491</v>
      </c>
      <c r="N424" s="146">
        <v>218.6</v>
      </c>
      <c r="O424" s="93">
        <f t="shared" si="21"/>
        <v>1341.06</v>
      </c>
      <c r="P424" s="119" t="s">
        <v>264</v>
      </c>
      <c r="Q424" s="119" t="s">
        <v>1342</v>
      </c>
      <c r="R424" s="146" t="s">
        <v>501</v>
      </c>
      <c r="S424" s="225" t="s">
        <v>466</v>
      </c>
      <c r="T424" s="221" t="s">
        <v>405</v>
      </c>
      <c r="U424" s="221" t="s">
        <v>1147</v>
      </c>
      <c r="V424" s="221" t="s">
        <v>1173</v>
      </c>
      <c r="W424" s="146">
        <v>25209154</v>
      </c>
      <c r="X424" s="117"/>
      <c r="Y424" s="146" t="s">
        <v>978</v>
      </c>
      <c r="Z424" s="146" t="s">
        <v>259</v>
      </c>
      <c r="AA424" s="222">
        <v>42970</v>
      </c>
      <c r="AB424" s="117"/>
      <c r="AC424" s="63">
        <f t="shared" si="20"/>
        <v>1</v>
      </c>
      <c r="AD424" s="146"/>
      <c r="AE424" s="221" t="s">
        <v>218</v>
      </c>
      <c r="AF424" s="117"/>
      <c r="AG424" s="117"/>
      <c r="AH424" s="64" t="s">
        <v>1191</v>
      </c>
      <c r="AI424" s="117" t="s">
        <v>184</v>
      </c>
      <c r="AJ424" s="222">
        <v>42991</v>
      </c>
      <c r="AK424" s="146" t="s">
        <v>1242</v>
      </c>
      <c r="AL424" s="117" t="s">
        <v>609</v>
      </c>
      <c r="AM424" s="222">
        <v>42997</v>
      </c>
    </row>
    <row r="425" spans="1:39" ht="25.5" hidden="1" customHeight="1">
      <c r="A425" s="147">
        <v>424</v>
      </c>
      <c r="B425" s="170">
        <v>204293</v>
      </c>
      <c r="C425" s="117" t="s">
        <v>129</v>
      </c>
      <c r="D425" s="57">
        <v>42965</v>
      </c>
      <c r="E425" s="58" t="s">
        <v>1500</v>
      </c>
      <c r="F425" s="118">
        <v>42980</v>
      </c>
      <c r="G425" s="117">
        <f t="shared" si="19"/>
        <v>15</v>
      </c>
      <c r="H425" s="117" t="s">
        <v>133</v>
      </c>
      <c r="I425" s="146"/>
      <c r="J425" s="221"/>
      <c r="K425" s="94">
        <v>2399</v>
      </c>
      <c r="L425" s="94">
        <v>2399</v>
      </c>
      <c r="M425" s="146">
        <v>290</v>
      </c>
      <c r="N425" s="146">
        <v>220</v>
      </c>
      <c r="O425" s="93">
        <f t="shared" si="21"/>
        <v>1965.06</v>
      </c>
      <c r="P425" s="119" t="s">
        <v>263</v>
      </c>
      <c r="Q425" s="119" t="s">
        <v>1341</v>
      </c>
      <c r="R425" s="221" t="s">
        <v>134</v>
      </c>
      <c r="S425" s="62" t="s">
        <v>465</v>
      </c>
      <c r="T425" s="221" t="s">
        <v>88</v>
      </c>
      <c r="U425" s="221" t="s">
        <v>1460</v>
      </c>
      <c r="V425" s="221" t="s">
        <v>429</v>
      </c>
      <c r="W425" s="221"/>
      <c r="X425" s="117"/>
      <c r="Y425" s="146" t="s">
        <v>1172</v>
      </c>
      <c r="Z425" s="146" t="s">
        <v>189</v>
      </c>
      <c r="AA425" s="222">
        <v>42907</v>
      </c>
      <c r="AB425" s="146" t="s">
        <v>782</v>
      </c>
      <c r="AC425" s="63">
        <f t="shared" si="20"/>
        <v>1</v>
      </c>
      <c r="AD425" s="146" t="s">
        <v>217</v>
      </c>
      <c r="AE425" s="221" t="s">
        <v>218</v>
      </c>
      <c r="AF425" s="117"/>
      <c r="AG425" s="117"/>
      <c r="AH425" s="64" t="s">
        <v>1154</v>
      </c>
      <c r="AI425" s="146"/>
      <c r="AJ425" s="221"/>
      <c r="AK425" s="221"/>
      <c r="AL425" s="146"/>
      <c r="AM425" s="221"/>
    </row>
    <row r="426" spans="1:39" ht="12.75" hidden="1" customHeight="1">
      <c r="A426" s="147">
        <v>425</v>
      </c>
      <c r="B426" s="170">
        <v>203554</v>
      </c>
      <c r="C426" s="117" t="s">
        <v>121</v>
      </c>
      <c r="D426" s="57">
        <v>42968</v>
      </c>
      <c r="E426" s="58" t="s">
        <v>1500</v>
      </c>
      <c r="F426" s="118">
        <v>42975</v>
      </c>
      <c r="G426" s="117">
        <f t="shared" si="19"/>
        <v>7</v>
      </c>
      <c r="H426" s="146" t="s">
        <v>133</v>
      </c>
      <c r="I426" s="146"/>
      <c r="J426" s="221"/>
      <c r="K426" s="94">
        <v>1099</v>
      </c>
      <c r="L426" s="94">
        <v>1099</v>
      </c>
      <c r="M426" s="221">
        <v>120</v>
      </c>
      <c r="N426" s="221">
        <v>80</v>
      </c>
      <c r="O426" s="93">
        <f t="shared" si="21"/>
        <v>913.06</v>
      </c>
      <c r="P426" s="119" t="s">
        <v>264</v>
      </c>
      <c r="Q426" s="119" t="s">
        <v>1342</v>
      </c>
      <c r="R426" s="221" t="s">
        <v>134</v>
      </c>
      <c r="S426" s="62" t="s">
        <v>465</v>
      </c>
      <c r="T426" s="221" t="s">
        <v>88</v>
      </c>
      <c r="U426" s="221" t="s">
        <v>1153</v>
      </c>
      <c r="V426" s="221" t="s">
        <v>1116</v>
      </c>
      <c r="W426" s="146"/>
      <c r="X426" s="117"/>
      <c r="Y426" s="146" t="s">
        <v>316</v>
      </c>
      <c r="Z426" s="146" t="s">
        <v>124</v>
      </c>
      <c r="AA426" s="222">
        <v>42968</v>
      </c>
      <c r="AB426" s="117" t="s">
        <v>195</v>
      </c>
      <c r="AC426" s="63">
        <f t="shared" si="20"/>
        <v>1</v>
      </c>
      <c r="AD426" s="146" t="s">
        <v>217</v>
      </c>
      <c r="AE426" s="221" t="s">
        <v>218</v>
      </c>
      <c r="AF426" s="117"/>
      <c r="AG426" s="117"/>
      <c r="AH426" s="64" t="s">
        <v>1186</v>
      </c>
      <c r="AI426" s="117" t="s">
        <v>184</v>
      </c>
      <c r="AJ426" s="222">
        <v>42982</v>
      </c>
      <c r="AK426" s="221" t="s">
        <v>1202</v>
      </c>
      <c r="AL426" s="117" t="s">
        <v>645</v>
      </c>
      <c r="AM426" s="222">
        <v>42984</v>
      </c>
    </row>
    <row r="427" spans="1:39" ht="12.75" hidden="1" customHeight="1">
      <c r="A427" s="147">
        <v>426</v>
      </c>
      <c r="B427" s="170">
        <v>204001</v>
      </c>
      <c r="C427" s="117" t="s">
        <v>540</v>
      </c>
      <c r="D427" s="57">
        <v>42968</v>
      </c>
      <c r="E427" s="58" t="s">
        <v>1500</v>
      </c>
      <c r="F427" s="118">
        <v>42983</v>
      </c>
      <c r="G427" s="117">
        <f t="shared" si="19"/>
        <v>15</v>
      </c>
      <c r="H427" s="225" t="s">
        <v>363</v>
      </c>
      <c r="I427" s="146"/>
      <c r="J427" s="221"/>
      <c r="K427" s="94">
        <v>1599</v>
      </c>
      <c r="L427" s="94">
        <v>1599</v>
      </c>
      <c r="M427" s="96">
        <v>0</v>
      </c>
      <c r="N427" s="146"/>
      <c r="O427" s="93">
        <f t="shared" si="21"/>
        <v>1503.06</v>
      </c>
      <c r="P427" s="119" t="s">
        <v>261</v>
      </c>
      <c r="Q427" s="119" t="s">
        <v>1341</v>
      </c>
      <c r="R427" s="221" t="s">
        <v>501</v>
      </c>
      <c r="S427" s="225" t="s">
        <v>466</v>
      </c>
      <c r="T427" s="221" t="s">
        <v>114</v>
      </c>
      <c r="U427" s="221" t="s">
        <v>643</v>
      </c>
      <c r="V427" s="148" t="s">
        <v>257</v>
      </c>
      <c r="W427" s="221"/>
      <c r="X427" s="146"/>
      <c r="Y427" s="146"/>
      <c r="Z427" s="146" t="s">
        <v>1160</v>
      </c>
      <c r="AA427" s="222"/>
      <c r="AB427" s="117"/>
      <c r="AC427" s="63">
        <f t="shared" si="20"/>
        <v>1</v>
      </c>
      <c r="AD427" s="146"/>
      <c r="AE427" s="117"/>
      <c r="AF427" s="117"/>
      <c r="AG427" s="117"/>
      <c r="AH427" s="64" t="s">
        <v>1171</v>
      </c>
      <c r="AI427" s="146"/>
      <c r="AJ427" s="221"/>
      <c r="AK427" s="221"/>
      <c r="AL427" s="146"/>
      <c r="AM427" s="221"/>
    </row>
    <row r="428" spans="1:39" ht="12.75" hidden="1" customHeight="1">
      <c r="A428" s="147">
        <v>427</v>
      </c>
      <c r="B428" s="170">
        <v>204117</v>
      </c>
      <c r="C428" s="117" t="s">
        <v>1130</v>
      </c>
      <c r="D428" s="57">
        <v>42969</v>
      </c>
      <c r="E428" s="58" t="s">
        <v>1500</v>
      </c>
      <c r="F428" s="118">
        <v>42978</v>
      </c>
      <c r="G428" s="117">
        <f t="shared" si="19"/>
        <v>9</v>
      </c>
      <c r="H428" s="225" t="s">
        <v>133</v>
      </c>
      <c r="I428" s="221"/>
      <c r="J428" s="221"/>
      <c r="K428" s="94">
        <v>4999</v>
      </c>
      <c r="L428" s="94">
        <v>4999</v>
      </c>
      <c r="M428" s="221"/>
      <c r="N428" s="146"/>
      <c r="O428" s="151">
        <f t="shared" si="21"/>
        <v>0</v>
      </c>
      <c r="P428" s="119" t="s">
        <v>264</v>
      </c>
      <c r="Q428" s="119" t="s">
        <v>1342</v>
      </c>
      <c r="R428" s="146" t="s">
        <v>122</v>
      </c>
      <c r="S428" s="225" t="s">
        <v>469</v>
      </c>
      <c r="T428" s="221" t="s">
        <v>114</v>
      </c>
      <c r="U428" s="221" t="s">
        <v>1159</v>
      </c>
      <c r="V428" s="221" t="s">
        <v>222</v>
      </c>
      <c r="W428" s="221"/>
      <c r="X428" s="146"/>
      <c r="Y428" s="146"/>
      <c r="Z428" s="146" t="s">
        <v>170</v>
      </c>
      <c r="AA428" s="222"/>
      <c r="AB428" s="117"/>
      <c r="AC428" s="63">
        <f t="shared" si="20"/>
        <v>0</v>
      </c>
      <c r="AD428" s="146"/>
      <c r="AE428" s="221" t="s">
        <v>217</v>
      </c>
      <c r="AF428" s="117" t="s">
        <v>225</v>
      </c>
      <c r="AG428" s="117"/>
      <c r="AH428" s="64"/>
      <c r="AI428" s="117"/>
      <c r="AJ428" s="221"/>
      <c r="AK428" s="221"/>
      <c r="AL428" s="117"/>
      <c r="AM428" s="221"/>
    </row>
    <row r="429" spans="1:39" ht="12.75" hidden="1" customHeight="1">
      <c r="A429" s="147">
        <v>428</v>
      </c>
      <c r="B429" s="170">
        <v>203724</v>
      </c>
      <c r="C429" s="117" t="s">
        <v>1130</v>
      </c>
      <c r="D429" s="57">
        <v>42969</v>
      </c>
      <c r="E429" s="58" t="s">
        <v>1500</v>
      </c>
      <c r="F429" s="118">
        <v>42973</v>
      </c>
      <c r="G429" s="117">
        <f t="shared" si="19"/>
        <v>4</v>
      </c>
      <c r="H429" s="146" t="s">
        <v>133</v>
      </c>
      <c r="I429" s="146"/>
      <c r="J429" s="221"/>
      <c r="K429" s="94">
        <v>911.28</v>
      </c>
      <c r="L429" s="94">
        <v>911.28</v>
      </c>
      <c r="M429" s="221">
        <v>190</v>
      </c>
      <c r="N429" s="146">
        <v>80</v>
      </c>
      <c r="O429" s="151">
        <f t="shared" si="21"/>
        <v>666.60320000000002</v>
      </c>
      <c r="P429" s="119" t="s">
        <v>264</v>
      </c>
      <c r="Q429" s="119" t="s">
        <v>1342</v>
      </c>
      <c r="R429" s="221" t="s">
        <v>143</v>
      </c>
      <c r="S429" s="62" t="s">
        <v>465</v>
      </c>
      <c r="T429" s="221" t="s">
        <v>88</v>
      </c>
      <c r="U429" s="221" t="s">
        <v>952</v>
      </c>
      <c r="V429" s="221" t="s">
        <v>432</v>
      </c>
      <c r="W429" s="221"/>
      <c r="X429" s="117"/>
      <c r="Y429" s="146"/>
      <c r="Z429" s="117" t="s">
        <v>189</v>
      </c>
      <c r="AA429" s="222">
        <v>42973</v>
      </c>
      <c r="AB429" s="117" t="s">
        <v>140</v>
      </c>
      <c r="AC429" s="63">
        <f t="shared" si="20"/>
        <v>1</v>
      </c>
      <c r="AD429" s="146" t="s">
        <v>217</v>
      </c>
      <c r="AE429" s="221" t="s">
        <v>218</v>
      </c>
      <c r="AF429" s="117"/>
      <c r="AG429" s="117"/>
      <c r="AH429" s="64" t="s">
        <v>1179</v>
      </c>
      <c r="AI429" s="146"/>
      <c r="AJ429" s="146"/>
      <c r="AK429" s="221"/>
      <c r="AL429" s="146"/>
      <c r="AM429" s="117"/>
    </row>
    <row r="430" spans="1:39" ht="12.75" hidden="1" customHeight="1">
      <c r="A430" s="147">
        <v>429</v>
      </c>
      <c r="B430" s="170">
        <v>204139</v>
      </c>
      <c r="C430" s="117" t="s">
        <v>1130</v>
      </c>
      <c r="D430" s="57">
        <v>42969</v>
      </c>
      <c r="E430" s="58" t="s">
        <v>1500</v>
      </c>
      <c r="F430" s="118">
        <v>42979</v>
      </c>
      <c r="G430" s="117">
        <f t="shared" si="19"/>
        <v>10</v>
      </c>
      <c r="H430" s="117" t="s">
        <v>133</v>
      </c>
      <c r="I430" s="146"/>
      <c r="J430" s="221"/>
      <c r="K430" s="94">
        <v>1399</v>
      </c>
      <c r="L430" s="94">
        <v>1399</v>
      </c>
      <c r="M430" s="146"/>
      <c r="N430" s="146"/>
      <c r="O430" s="151">
        <f t="shared" si="21"/>
        <v>0</v>
      </c>
      <c r="P430" s="119" t="s">
        <v>264</v>
      </c>
      <c r="Q430" s="119" t="s">
        <v>1342</v>
      </c>
      <c r="R430" s="117" t="s">
        <v>134</v>
      </c>
      <c r="S430" s="62" t="s">
        <v>465</v>
      </c>
      <c r="T430" s="221" t="s">
        <v>88</v>
      </c>
      <c r="U430" s="221" t="s">
        <v>1166</v>
      </c>
      <c r="V430" s="224" t="s">
        <v>90</v>
      </c>
      <c r="W430" s="221"/>
      <c r="X430" s="117"/>
      <c r="Y430" s="117"/>
      <c r="Z430" s="117" t="s">
        <v>189</v>
      </c>
      <c r="AA430" s="221"/>
      <c r="AB430" s="117"/>
      <c r="AC430" s="63">
        <f t="shared" si="20"/>
        <v>0</v>
      </c>
      <c r="AD430" s="146"/>
      <c r="AE430" s="221" t="s">
        <v>217</v>
      </c>
      <c r="AF430" s="117" t="s">
        <v>225</v>
      </c>
      <c r="AG430" s="117"/>
      <c r="AH430" s="64"/>
      <c r="AI430" s="146"/>
      <c r="AJ430" s="221"/>
      <c r="AK430" s="221"/>
      <c r="AL430" s="146"/>
      <c r="AM430" s="221"/>
    </row>
    <row r="431" spans="1:39" ht="12.75" hidden="1" customHeight="1">
      <c r="A431" s="147">
        <v>430</v>
      </c>
      <c r="B431" s="170">
        <v>204488</v>
      </c>
      <c r="C431" s="146" t="s">
        <v>1130</v>
      </c>
      <c r="D431" s="57">
        <v>42969</v>
      </c>
      <c r="E431" s="58" t="s">
        <v>1500</v>
      </c>
      <c r="F431" s="118">
        <v>42981</v>
      </c>
      <c r="G431" s="117">
        <f t="shared" si="19"/>
        <v>12</v>
      </c>
      <c r="H431" s="117" t="s">
        <v>133</v>
      </c>
      <c r="I431" s="221"/>
      <c r="J431" s="221"/>
      <c r="K431" s="94">
        <v>2850</v>
      </c>
      <c r="L431" s="94">
        <v>2850</v>
      </c>
      <c r="M431" s="146">
        <v>290</v>
      </c>
      <c r="N431" s="146">
        <v>220</v>
      </c>
      <c r="O431" s="93">
        <f t="shared" si="21"/>
        <v>2389</v>
      </c>
      <c r="P431" s="119" t="s">
        <v>264</v>
      </c>
      <c r="Q431" s="119" t="s">
        <v>1342</v>
      </c>
      <c r="R431" s="146" t="s">
        <v>134</v>
      </c>
      <c r="S431" s="62" t="s">
        <v>465</v>
      </c>
      <c r="T431" s="221" t="s">
        <v>88</v>
      </c>
      <c r="U431" s="224" t="s">
        <v>1461</v>
      </c>
      <c r="V431" s="221" t="s">
        <v>429</v>
      </c>
      <c r="W431" s="146"/>
      <c r="X431" s="146"/>
      <c r="Y431" s="146" t="s">
        <v>1172</v>
      </c>
      <c r="Z431" s="146" t="s">
        <v>189</v>
      </c>
      <c r="AA431" s="222">
        <v>42981</v>
      </c>
      <c r="AB431" s="146" t="s">
        <v>782</v>
      </c>
      <c r="AC431" s="63">
        <f t="shared" si="20"/>
        <v>1</v>
      </c>
      <c r="AD431" s="146" t="s">
        <v>217</v>
      </c>
      <c r="AE431" s="221" t="s">
        <v>218</v>
      </c>
      <c r="AF431" s="117"/>
      <c r="AG431" s="117"/>
      <c r="AH431" s="64" t="s">
        <v>1168</v>
      </c>
      <c r="AI431" s="146"/>
      <c r="AJ431" s="221"/>
      <c r="AK431" s="221"/>
      <c r="AL431" s="146"/>
      <c r="AM431" s="221"/>
    </row>
    <row r="432" spans="1:39" ht="12.75" hidden="1" customHeight="1">
      <c r="A432" s="147">
        <v>431</v>
      </c>
      <c r="B432" s="170">
        <v>204359</v>
      </c>
      <c r="C432" s="117" t="s">
        <v>1130</v>
      </c>
      <c r="D432" s="57">
        <v>42970</v>
      </c>
      <c r="E432" s="58" t="s">
        <v>1500</v>
      </c>
      <c r="F432" s="118">
        <v>42981</v>
      </c>
      <c r="G432" s="117">
        <f t="shared" si="19"/>
        <v>11</v>
      </c>
      <c r="H432" s="146" t="s">
        <v>133</v>
      </c>
      <c r="I432" s="221"/>
      <c r="J432" s="221"/>
      <c r="K432" s="94">
        <v>2799</v>
      </c>
      <c r="L432" s="94">
        <v>2799</v>
      </c>
      <c r="M432" s="146">
        <v>290</v>
      </c>
      <c r="N432" s="146">
        <v>220</v>
      </c>
      <c r="O432" s="93">
        <f t="shared" si="21"/>
        <v>2341.06</v>
      </c>
      <c r="P432" s="119" t="s">
        <v>264</v>
      </c>
      <c r="Q432" s="119" t="s">
        <v>1342</v>
      </c>
      <c r="R432" s="146" t="s">
        <v>134</v>
      </c>
      <c r="S432" s="62" t="s">
        <v>465</v>
      </c>
      <c r="T432" s="221" t="s">
        <v>88</v>
      </c>
      <c r="U432" s="67" t="s">
        <v>741</v>
      </c>
      <c r="V432" s="221" t="s">
        <v>429</v>
      </c>
      <c r="W432" s="221"/>
      <c r="X432" s="146"/>
      <c r="Y432" s="146" t="s">
        <v>1172</v>
      </c>
      <c r="Z432" s="146" t="s">
        <v>189</v>
      </c>
      <c r="AA432" s="118">
        <v>42981</v>
      </c>
      <c r="AB432" s="146" t="s">
        <v>782</v>
      </c>
      <c r="AC432" s="63">
        <f t="shared" si="20"/>
        <v>1</v>
      </c>
      <c r="AD432" s="146" t="s">
        <v>217</v>
      </c>
      <c r="AE432" s="221" t="s">
        <v>218</v>
      </c>
      <c r="AF432" s="146"/>
      <c r="AG432" s="117"/>
      <c r="AH432" s="64" t="s">
        <v>1168</v>
      </c>
      <c r="AI432" s="117"/>
      <c r="AJ432" s="146"/>
      <c r="AK432" s="221"/>
      <c r="AL432" s="117"/>
      <c r="AM432" s="146"/>
    </row>
    <row r="433" spans="1:39" ht="12.75" hidden="1" customHeight="1">
      <c r="A433" s="147">
        <v>432</v>
      </c>
      <c r="B433" s="170">
        <v>204104</v>
      </c>
      <c r="C433" s="146" t="s">
        <v>1130</v>
      </c>
      <c r="D433" s="57">
        <v>42970</v>
      </c>
      <c r="E433" s="58" t="s">
        <v>1500</v>
      </c>
      <c r="F433" s="118">
        <v>42981</v>
      </c>
      <c r="G433" s="146">
        <f t="shared" si="19"/>
        <v>11</v>
      </c>
      <c r="H433" s="146" t="s">
        <v>133</v>
      </c>
      <c r="I433" s="221"/>
      <c r="J433" s="221"/>
      <c r="K433" s="94">
        <v>4170.03</v>
      </c>
      <c r="L433" s="94">
        <v>4170.03</v>
      </c>
      <c r="M433" s="221"/>
      <c r="N433" s="146"/>
      <c r="O433" s="151">
        <f t="shared" si="21"/>
        <v>0</v>
      </c>
      <c r="P433" s="119" t="s">
        <v>264</v>
      </c>
      <c r="Q433" s="119" t="s">
        <v>1342</v>
      </c>
      <c r="R433" s="221" t="s">
        <v>122</v>
      </c>
      <c r="S433" s="225" t="s">
        <v>469</v>
      </c>
      <c r="T433" s="221" t="s">
        <v>114</v>
      </c>
      <c r="U433" s="221" t="s">
        <v>885</v>
      </c>
      <c r="V433" s="146" t="s">
        <v>222</v>
      </c>
      <c r="W433" s="146"/>
      <c r="X433" s="146"/>
      <c r="Y433" s="146"/>
      <c r="Z433" s="146" t="s">
        <v>170</v>
      </c>
      <c r="AA433" s="221"/>
      <c r="AB433" s="146"/>
      <c r="AC433" s="63">
        <f t="shared" si="20"/>
        <v>0</v>
      </c>
      <c r="AD433" s="146"/>
      <c r="AE433" s="221" t="s">
        <v>217</v>
      </c>
      <c r="AF433" s="146" t="s">
        <v>1021</v>
      </c>
      <c r="AG433" s="146"/>
      <c r="AH433" s="64" t="s">
        <v>1170</v>
      </c>
      <c r="AI433" s="146"/>
      <c r="AJ433" s="221"/>
      <c r="AK433" s="221"/>
      <c r="AL433" s="146"/>
      <c r="AM433" s="221"/>
    </row>
    <row r="434" spans="1:39" ht="12.75" hidden="1" customHeight="1">
      <c r="A434" s="147">
        <v>433</v>
      </c>
      <c r="B434" s="170">
        <v>204176</v>
      </c>
      <c r="C434" s="146" t="s">
        <v>540</v>
      </c>
      <c r="D434" s="57">
        <v>42971</v>
      </c>
      <c r="E434" s="58" t="s">
        <v>1500</v>
      </c>
      <c r="F434" s="118">
        <v>42981</v>
      </c>
      <c r="G434" s="146">
        <f t="shared" ref="G434:G497" si="22">F434-D434</f>
        <v>10</v>
      </c>
      <c r="H434" s="221" t="s">
        <v>133</v>
      </c>
      <c r="I434" s="146"/>
      <c r="J434" s="223" t="s">
        <v>614</v>
      </c>
      <c r="K434" s="94">
        <v>949</v>
      </c>
      <c r="L434" s="94">
        <v>949.1</v>
      </c>
      <c r="M434" s="221">
        <v>500</v>
      </c>
      <c r="N434" s="146">
        <v>71.400000000000006</v>
      </c>
      <c r="O434" s="93">
        <f t="shared" si="21"/>
        <v>392.05999999999995</v>
      </c>
      <c r="P434" s="119" t="s">
        <v>264</v>
      </c>
      <c r="Q434" s="119" t="s">
        <v>1342</v>
      </c>
      <c r="R434" s="146" t="s">
        <v>787</v>
      </c>
      <c r="S434" s="225" t="s">
        <v>466</v>
      </c>
      <c r="T434" s="148" t="s">
        <v>255</v>
      </c>
      <c r="U434" s="221" t="s">
        <v>1167</v>
      </c>
      <c r="V434" s="221" t="s">
        <v>1174</v>
      </c>
      <c r="W434" s="221" t="s">
        <v>1175</v>
      </c>
      <c r="X434" s="146"/>
      <c r="Y434" s="146" t="s">
        <v>978</v>
      </c>
      <c r="Z434" s="146" t="s">
        <v>259</v>
      </c>
      <c r="AA434" s="222">
        <v>42979</v>
      </c>
      <c r="AB434" s="146" t="s">
        <v>140</v>
      </c>
      <c r="AC434" s="63">
        <f t="shared" si="20"/>
        <v>1</v>
      </c>
      <c r="AD434" s="146" t="s">
        <v>217</v>
      </c>
      <c r="AE434" s="221" t="s">
        <v>218</v>
      </c>
      <c r="AF434" s="146"/>
      <c r="AG434" s="146"/>
      <c r="AH434" s="64" t="s">
        <v>1199</v>
      </c>
      <c r="AI434" s="146" t="s">
        <v>184</v>
      </c>
      <c r="AJ434" s="222">
        <v>42991</v>
      </c>
      <c r="AK434" s="221" t="s">
        <v>1243</v>
      </c>
      <c r="AL434" s="146" t="s">
        <v>609</v>
      </c>
      <c r="AM434" s="222">
        <v>42997</v>
      </c>
    </row>
    <row r="435" spans="1:39" ht="12.75" hidden="1" customHeight="1">
      <c r="A435" s="147">
        <v>434</v>
      </c>
      <c r="B435" s="170">
        <v>204842</v>
      </c>
      <c r="C435" s="146" t="s">
        <v>540</v>
      </c>
      <c r="D435" s="57">
        <v>42971</v>
      </c>
      <c r="E435" s="58" t="s">
        <v>1500</v>
      </c>
      <c r="F435" s="118">
        <v>42988</v>
      </c>
      <c r="G435" s="146">
        <f t="shared" si="22"/>
        <v>17</v>
      </c>
      <c r="H435" s="221" t="s">
        <v>133</v>
      </c>
      <c r="I435" s="146"/>
      <c r="J435" s="221"/>
      <c r="K435" s="94">
        <v>6649.05</v>
      </c>
      <c r="L435" s="94">
        <v>6649.05</v>
      </c>
      <c r="M435" s="146"/>
      <c r="N435" s="146"/>
      <c r="O435" s="151">
        <f t="shared" si="21"/>
        <v>0</v>
      </c>
      <c r="P435" s="119" t="s">
        <v>264</v>
      </c>
      <c r="Q435" s="119" t="s">
        <v>1342</v>
      </c>
      <c r="R435" s="221" t="s">
        <v>122</v>
      </c>
      <c r="S435" s="225" t="s">
        <v>469</v>
      </c>
      <c r="T435" s="221" t="s">
        <v>114</v>
      </c>
      <c r="U435" s="221" t="s">
        <v>1169</v>
      </c>
      <c r="V435" s="221" t="s">
        <v>222</v>
      </c>
      <c r="W435" s="146"/>
      <c r="X435" s="146"/>
      <c r="Y435" s="146"/>
      <c r="Z435" s="146" t="s">
        <v>235</v>
      </c>
      <c r="AA435" s="221"/>
      <c r="AB435" s="146"/>
      <c r="AC435" s="63">
        <f t="shared" si="20"/>
        <v>0</v>
      </c>
      <c r="AD435" s="146"/>
      <c r="AE435" s="221" t="s">
        <v>217</v>
      </c>
      <c r="AF435" s="146" t="s">
        <v>1021</v>
      </c>
      <c r="AG435" s="146"/>
      <c r="AH435" s="64" t="s">
        <v>1170</v>
      </c>
      <c r="AI435" s="146"/>
      <c r="AJ435" s="146"/>
      <c r="AK435" s="221"/>
      <c r="AL435" s="146"/>
      <c r="AM435" s="146"/>
    </row>
    <row r="436" spans="1:39" ht="12.75" hidden="1" customHeight="1">
      <c r="A436" s="147">
        <v>435</v>
      </c>
      <c r="B436" s="170">
        <v>204374</v>
      </c>
      <c r="C436" s="146" t="s">
        <v>121</v>
      </c>
      <c r="D436" s="57">
        <v>42971</v>
      </c>
      <c r="E436" s="58" t="s">
        <v>1500</v>
      </c>
      <c r="F436" s="118">
        <v>42981</v>
      </c>
      <c r="G436" s="146">
        <f t="shared" si="22"/>
        <v>10</v>
      </c>
      <c r="H436" s="146" t="s">
        <v>133</v>
      </c>
      <c r="I436" s="146"/>
      <c r="J436" s="221"/>
      <c r="K436" s="94">
        <v>1099</v>
      </c>
      <c r="L436" s="94">
        <v>1099</v>
      </c>
      <c r="M436" s="146">
        <v>255</v>
      </c>
      <c r="N436" s="146">
        <v>88</v>
      </c>
      <c r="O436" s="93">
        <f t="shared" si="21"/>
        <v>778.06</v>
      </c>
      <c r="P436" s="119" t="s">
        <v>262</v>
      </c>
      <c r="Q436" s="119" t="s">
        <v>1342</v>
      </c>
      <c r="R436" s="146" t="s">
        <v>143</v>
      </c>
      <c r="S436" s="62" t="s">
        <v>465</v>
      </c>
      <c r="T436" s="221" t="s">
        <v>88</v>
      </c>
      <c r="U436" s="221" t="s">
        <v>431</v>
      </c>
      <c r="V436" s="224" t="s">
        <v>519</v>
      </c>
      <c r="W436" s="221"/>
      <c r="X436" s="146"/>
      <c r="Y436" s="146" t="s">
        <v>316</v>
      </c>
      <c r="Z436" s="146" t="s">
        <v>124</v>
      </c>
      <c r="AA436" s="222">
        <v>42975</v>
      </c>
      <c r="AB436" s="146" t="s">
        <v>1102</v>
      </c>
      <c r="AC436" s="63">
        <f t="shared" si="20"/>
        <v>1</v>
      </c>
      <c r="AD436" s="146" t="s">
        <v>217</v>
      </c>
      <c r="AE436" s="221" t="s">
        <v>218</v>
      </c>
      <c r="AF436" s="146"/>
      <c r="AG436" s="146"/>
      <c r="AH436" s="64"/>
      <c r="AI436" s="146" t="s">
        <v>184</v>
      </c>
      <c r="AJ436" s="222">
        <v>42982</v>
      </c>
      <c r="AK436" s="221" t="s">
        <v>1203</v>
      </c>
      <c r="AL436" s="146" t="s">
        <v>645</v>
      </c>
      <c r="AM436" s="222">
        <v>42984</v>
      </c>
    </row>
    <row r="437" spans="1:39" ht="12.75" hidden="1" customHeight="1">
      <c r="A437" s="147">
        <v>436</v>
      </c>
      <c r="B437" s="170">
        <v>204591</v>
      </c>
      <c r="C437" s="146" t="s">
        <v>1130</v>
      </c>
      <c r="D437" s="57">
        <v>42972</v>
      </c>
      <c r="E437" s="58" t="s">
        <v>1500</v>
      </c>
      <c r="F437" s="118">
        <v>42982</v>
      </c>
      <c r="G437" s="146">
        <f t="shared" si="22"/>
        <v>10</v>
      </c>
      <c r="H437" s="146" t="s">
        <v>133</v>
      </c>
      <c r="I437" s="146"/>
      <c r="J437" s="221"/>
      <c r="K437" s="94">
        <v>1899</v>
      </c>
      <c r="L437" s="94">
        <v>1899</v>
      </c>
      <c r="M437" s="221"/>
      <c r="N437" s="146"/>
      <c r="O437" s="151">
        <f t="shared" si="21"/>
        <v>0</v>
      </c>
      <c r="P437" s="119" t="s">
        <v>264</v>
      </c>
      <c r="Q437" s="119" t="s">
        <v>1342</v>
      </c>
      <c r="R437" s="146" t="s">
        <v>143</v>
      </c>
      <c r="S437" s="62" t="s">
        <v>465</v>
      </c>
      <c r="T437" s="221" t="s">
        <v>88</v>
      </c>
      <c r="U437" s="221" t="s">
        <v>297</v>
      </c>
      <c r="V437" s="224" t="s">
        <v>90</v>
      </c>
      <c r="W437" s="221"/>
      <c r="X437" s="146"/>
      <c r="Y437" s="146"/>
      <c r="Z437" s="146" t="s">
        <v>189</v>
      </c>
      <c r="AA437" s="221"/>
      <c r="AB437" s="146"/>
      <c r="AC437" s="63">
        <f t="shared" si="20"/>
        <v>0</v>
      </c>
      <c r="AD437" s="146"/>
      <c r="AE437" s="221" t="s">
        <v>217</v>
      </c>
      <c r="AF437" s="146" t="s">
        <v>225</v>
      </c>
      <c r="AG437" s="146"/>
      <c r="AH437" s="64"/>
      <c r="AI437" s="146"/>
      <c r="AJ437" s="146"/>
      <c r="AK437" s="145"/>
      <c r="AL437" s="146"/>
      <c r="AM437" s="146"/>
    </row>
    <row r="438" spans="1:39" ht="12.75" hidden="1" customHeight="1">
      <c r="A438" s="147">
        <v>437</v>
      </c>
      <c r="B438" s="170">
        <v>204002</v>
      </c>
      <c r="C438" s="146" t="s">
        <v>129</v>
      </c>
      <c r="D438" s="57">
        <v>42972</v>
      </c>
      <c r="E438" s="58" t="s">
        <v>1500</v>
      </c>
      <c r="F438" s="118">
        <v>42979</v>
      </c>
      <c r="G438" s="146">
        <f t="shared" si="22"/>
        <v>7</v>
      </c>
      <c r="H438" s="146" t="s">
        <v>133</v>
      </c>
      <c r="I438" s="146"/>
      <c r="J438" s="221"/>
      <c r="K438" s="94">
        <v>2545.0500000000002</v>
      </c>
      <c r="L438" s="94">
        <v>2545.0500000000002</v>
      </c>
      <c r="M438" s="146"/>
      <c r="N438" s="146"/>
      <c r="O438" s="151">
        <f t="shared" si="21"/>
        <v>0</v>
      </c>
      <c r="P438" s="119" t="s">
        <v>264</v>
      </c>
      <c r="Q438" s="119" t="s">
        <v>1342</v>
      </c>
      <c r="R438" s="146" t="s">
        <v>134</v>
      </c>
      <c r="S438" s="62" t="s">
        <v>465</v>
      </c>
      <c r="T438" s="221" t="s">
        <v>120</v>
      </c>
      <c r="U438" s="221" t="s">
        <v>1181</v>
      </c>
      <c r="V438" s="221" t="s">
        <v>429</v>
      </c>
      <c r="W438" s="221"/>
      <c r="X438" s="146"/>
      <c r="Y438" s="146"/>
      <c r="Z438" s="146" t="s">
        <v>137</v>
      </c>
      <c r="AA438" s="221"/>
      <c r="AB438" s="146"/>
      <c r="AC438" s="63">
        <f t="shared" si="20"/>
        <v>0</v>
      </c>
      <c r="AD438" s="146"/>
      <c r="AE438" s="221" t="s">
        <v>217</v>
      </c>
      <c r="AF438" s="117" t="s">
        <v>225</v>
      </c>
      <c r="AG438" s="146"/>
      <c r="AH438" s="64"/>
      <c r="AI438" s="146"/>
      <c r="AJ438" s="221"/>
      <c r="AK438" s="145"/>
      <c r="AL438" s="146"/>
      <c r="AM438" s="221"/>
    </row>
    <row r="439" spans="1:39" ht="12.75" hidden="1" customHeight="1">
      <c r="A439" s="147">
        <v>438</v>
      </c>
      <c r="B439" s="170">
        <v>204386</v>
      </c>
      <c r="C439" s="146" t="s">
        <v>121</v>
      </c>
      <c r="D439" s="57">
        <v>42975</v>
      </c>
      <c r="E439" s="58" t="s">
        <v>1500</v>
      </c>
      <c r="F439" s="118">
        <v>42982</v>
      </c>
      <c r="G439" s="146">
        <f t="shared" si="22"/>
        <v>7</v>
      </c>
      <c r="H439" s="146" t="s">
        <v>133</v>
      </c>
      <c r="I439" s="221"/>
      <c r="J439" s="221"/>
      <c r="K439" s="94">
        <v>6999</v>
      </c>
      <c r="L439" s="94">
        <v>6999</v>
      </c>
      <c r="M439" s="221"/>
      <c r="N439" s="221"/>
      <c r="O439" s="151">
        <f t="shared" si="21"/>
        <v>0</v>
      </c>
      <c r="P439" s="119" t="s">
        <v>264</v>
      </c>
      <c r="Q439" s="119" t="s">
        <v>1342</v>
      </c>
      <c r="R439" s="117" t="s">
        <v>134</v>
      </c>
      <c r="S439" s="62" t="s">
        <v>465</v>
      </c>
      <c r="T439" s="146" t="s">
        <v>164</v>
      </c>
      <c r="U439" s="221" t="s">
        <v>865</v>
      </c>
      <c r="V439" s="146" t="s">
        <v>494</v>
      </c>
      <c r="W439" s="146"/>
      <c r="X439" s="146"/>
      <c r="Y439" s="146"/>
      <c r="Z439" s="146" t="s">
        <v>202</v>
      </c>
      <c r="AA439" s="221"/>
      <c r="AB439" s="146"/>
      <c r="AC439" s="63">
        <f t="shared" si="20"/>
        <v>0</v>
      </c>
      <c r="AD439" s="221"/>
      <c r="AE439" s="221" t="s">
        <v>217</v>
      </c>
      <c r="AF439" s="146" t="s">
        <v>225</v>
      </c>
      <c r="AG439" s="146"/>
      <c r="AH439" s="64"/>
      <c r="AI439" s="146"/>
      <c r="AJ439" s="146"/>
      <c r="AK439" s="145"/>
      <c r="AL439" s="146"/>
      <c r="AM439" s="146"/>
    </row>
    <row r="440" spans="1:39" ht="12.75" hidden="1" customHeight="1">
      <c r="A440" s="147">
        <v>439</v>
      </c>
      <c r="B440" s="170">
        <v>203774</v>
      </c>
      <c r="C440" s="146" t="s">
        <v>121</v>
      </c>
      <c r="D440" s="57">
        <v>42975</v>
      </c>
      <c r="E440" s="58" t="s">
        <v>1500</v>
      </c>
      <c r="F440" s="118">
        <v>42974</v>
      </c>
      <c r="G440" s="146">
        <f t="shared" si="22"/>
        <v>-1</v>
      </c>
      <c r="H440" s="146" t="s">
        <v>133</v>
      </c>
      <c r="I440" s="221"/>
      <c r="J440" s="221"/>
      <c r="K440" s="94">
        <v>1410</v>
      </c>
      <c r="L440" s="94">
        <v>1410</v>
      </c>
      <c r="M440" s="221"/>
      <c r="N440" s="221"/>
      <c r="O440" s="151">
        <f t="shared" si="21"/>
        <v>0</v>
      </c>
      <c r="P440" s="119" t="s">
        <v>264</v>
      </c>
      <c r="Q440" s="119" t="s">
        <v>1342</v>
      </c>
      <c r="R440" s="146" t="s">
        <v>134</v>
      </c>
      <c r="S440" s="62" t="s">
        <v>465</v>
      </c>
      <c r="T440" s="146" t="s">
        <v>164</v>
      </c>
      <c r="U440" s="221" t="s">
        <v>1182</v>
      </c>
      <c r="V440" s="224" t="s">
        <v>90</v>
      </c>
      <c r="W440" s="146"/>
      <c r="X440" s="146"/>
      <c r="Y440" s="146"/>
      <c r="Z440" s="146" t="s">
        <v>202</v>
      </c>
      <c r="AA440" s="146"/>
      <c r="AB440" s="146"/>
      <c r="AC440" s="63">
        <f t="shared" si="20"/>
        <v>0</v>
      </c>
      <c r="AD440" s="221"/>
      <c r="AE440" s="221" t="s">
        <v>217</v>
      </c>
      <c r="AF440" s="146" t="s">
        <v>225</v>
      </c>
      <c r="AG440" s="146"/>
      <c r="AH440" s="64"/>
      <c r="AI440" s="146"/>
      <c r="AJ440" s="146"/>
      <c r="AK440" s="145"/>
      <c r="AL440" s="146"/>
      <c r="AM440" s="117"/>
    </row>
    <row r="441" spans="1:39" s="183" customFormat="1" ht="12.75" hidden="1" customHeight="1">
      <c r="A441" s="147">
        <v>440</v>
      </c>
      <c r="B441" s="170">
        <v>203986</v>
      </c>
      <c r="C441" s="146" t="s">
        <v>121</v>
      </c>
      <c r="D441" s="57">
        <v>42975</v>
      </c>
      <c r="E441" s="58" t="s">
        <v>1500</v>
      </c>
      <c r="F441" s="118">
        <v>42976</v>
      </c>
      <c r="G441" s="146">
        <f t="shared" si="22"/>
        <v>1</v>
      </c>
      <c r="H441" s="146" t="s">
        <v>363</v>
      </c>
      <c r="I441" s="221"/>
      <c r="J441" s="221"/>
      <c r="K441" s="94">
        <v>1911.65</v>
      </c>
      <c r="L441" s="94">
        <v>1911.65</v>
      </c>
      <c r="M441" s="96">
        <v>0</v>
      </c>
      <c r="N441" s="221"/>
      <c r="O441" s="151">
        <f t="shared" si="21"/>
        <v>0</v>
      </c>
      <c r="P441" s="119" t="s">
        <v>264</v>
      </c>
      <c r="Q441" s="119" t="s">
        <v>1342</v>
      </c>
      <c r="R441" s="146" t="s">
        <v>134</v>
      </c>
      <c r="S441" s="62" t="s">
        <v>465</v>
      </c>
      <c r="T441" s="221" t="s">
        <v>164</v>
      </c>
      <c r="U441" s="221" t="s">
        <v>226</v>
      </c>
      <c r="V441" s="221" t="s">
        <v>136</v>
      </c>
      <c r="W441" s="221"/>
      <c r="X441" s="146"/>
      <c r="Y441" s="146"/>
      <c r="Z441" s="146" t="s">
        <v>202</v>
      </c>
      <c r="AA441" s="221"/>
      <c r="AB441" s="146"/>
      <c r="AC441" s="63">
        <f t="shared" si="20"/>
        <v>0</v>
      </c>
      <c r="AD441" s="221"/>
      <c r="AE441" s="221" t="s">
        <v>217</v>
      </c>
      <c r="AF441" s="146" t="s">
        <v>225</v>
      </c>
      <c r="AG441" s="146"/>
      <c r="AH441" s="64"/>
      <c r="AI441" s="146"/>
      <c r="AJ441" s="221"/>
      <c r="AK441" s="145"/>
      <c r="AL441" s="146"/>
      <c r="AM441" s="221"/>
    </row>
    <row r="442" spans="1:39" ht="12.75" hidden="1" customHeight="1">
      <c r="A442" s="147">
        <v>441</v>
      </c>
      <c r="B442" s="182">
        <v>204473</v>
      </c>
      <c r="C442" s="146" t="s">
        <v>128</v>
      </c>
      <c r="D442" s="57">
        <v>42975</v>
      </c>
      <c r="E442" s="58" t="s">
        <v>1500</v>
      </c>
      <c r="F442" s="118">
        <v>42987</v>
      </c>
      <c r="G442" s="146">
        <f t="shared" si="22"/>
        <v>12</v>
      </c>
      <c r="H442" s="146" t="s">
        <v>133</v>
      </c>
      <c r="I442" s="221"/>
      <c r="J442" s="221"/>
      <c r="K442" s="94">
        <v>2564</v>
      </c>
      <c r="L442" s="94">
        <v>2564.0500000000002</v>
      </c>
      <c r="M442" s="225">
        <v>190</v>
      </c>
      <c r="N442" s="221">
        <v>71.400000000000006</v>
      </c>
      <c r="O442" s="93">
        <f t="shared" si="21"/>
        <v>2220.16</v>
      </c>
      <c r="P442" s="119" t="s">
        <v>264</v>
      </c>
      <c r="Q442" s="119" t="s">
        <v>1342</v>
      </c>
      <c r="R442" s="146" t="s">
        <v>787</v>
      </c>
      <c r="S442" s="225" t="s">
        <v>466</v>
      </c>
      <c r="T442" s="146" t="s">
        <v>1180</v>
      </c>
      <c r="U442" s="221" t="s">
        <v>1183</v>
      </c>
      <c r="V442" s="221" t="s">
        <v>831</v>
      </c>
      <c r="W442" s="146"/>
      <c r="X442" s="146"/>
      <c r="Y442" s="225" t="s">
        <v>316</v>
      </c>
      <c r="Z442" s="225" t="s">
        <v>259</v>
      </c>
      <c r="AA442" s="222">
        <v>42979</v>
      </c>
      <c r="AB442" s="146" t="s">
        <v>872</v>
      </c>
      <c r="AC442" s="63">
        <f t="shared" si="20"/>
        <v>1</v>
      </c>
      <c r="AD442" s="221" t="s">
        <v>217</v>
      </c>
      <c r="AE442" s="221" t="s">
        <v>218</v>
      </c>
      <c r="AF442" s="117"/>
      <c r="AG442" s="146"/>
      <c r="AH442" s="64" t="s">
        <v>1200</v>
      </c>
      <c r="AI442" s="225" t="s">
        <v>184</v>
      </c>
      <c r="AJ442" s="77">
        <v>42982</v>
      </c>
      <c r="AK442" s="225" t="s">
        <v>1204</v>
      </c>
      <c r="AL442" s="225" t="s">
        <v>609</v>
      </c>
      <c r="AM442" s="77">
        <v>42984</v>
      </c>
    </row>
    <row r="443" spans="1:39" ht="12.75" hidden="1" customHeight="1">
      <c r="A443" s="147">
        <v>442</v>
      </c>
      <c r="B443" s="170">
        <v>204409</v>
      </c>
      <c r="C443" s="146" t="s">
        <v>128</v>
      </c>
      <c r="D443" s="57">
        <v>42975</v>
      </c>
      <c r="E443" s="58" t="s">
        <v>1500</v>
      </c>
      <c r="F443" s="118">
        <v>42992</v>
      </c>
      <c r="G443" s="146">
        <f t="shared" si="22"/>
        <v>17</v>
      </c>
      <c r="H443" s="146" t="s">
        <v>133</v>
      </c>
      <c r="I443" s="221"/>
      <c r="J443" s="223" t="s">
        <v>614</v>
      </c>
      <c r="K443" s="94">
        <v>2199</v>
      </c>
      <c r="L443" s="94">
        <v>2199</v>
      </c>
      <c r="M443" s="221">
        <v>305</v>
      </c>
      <c r="N443" s="221">
        <v>71.400000000000006</v>
      </c>
      <c r="O443" s="93">
        <f t="shared" si="21"/>
        <v>1762.06</v>
      </c>
      <c r="P443" s="119" t="s">
        <v>261</v>
      </c>
      <c r="Q443" s="119" t="s">
        <v>1341</v>
      </c>
      <c r="R443" s="146" t="s">
        <v>787</v>
      </c>
      <c r="S443" s="225" t="s">
        <v>466</v>
      </c>
      <c r="T443" s="221" t="s">
        <v>302</v>
      </c>
      <c r="U443" s="221" t="s">
        <v>1184</v>
      </c>
      <c r="V443" s="221" t="s">
        <v>1185</v>
      </c>
      <c r="W443" s="146"/>
      <c r="X443" s="146"/>
      <c r="Y443" s="146" t="s">
        <v>978</v>
      </c>
      <c r="Z443" s="146" t="s">
        <v>259</v>
      </c>
      <c r="AA443" s="222">
        <v>42984</v>
      </c>
      <c r="AB443" s="146" t="s">
        <v>591</v>
      </c>
      <c r="AC443" s="63">
        <f t="shared" si="20"/>
        <v>1</v>
      </c>
      <c r="AD443" s="221" t="s">
        <v>217</v>
      </c>
      <c r="AE443" s="221" t="s">
        <v>218</v>
      </c>
      <c r="AF443" s="146"/>
      <c r="AG443" s="146"/>
      <c r="AH443" s="64" t="s">
        <v>1211</v>
      </c>
      <c r="AI443" s="146" t="s">
        <v>184</v>
      </c>
      <c r="AJ443" s="222">
        <v>42996</v>
      </c>
      <c r="AK443" s="145" t="s">
        <v>1244</v>
      </c>
      <c r="AL443" s="146" t="s">
        <v>609</v>
      </c>
      <c r="AM443" s="222">
        <v>42997</v>
      </c>
    </row>
    <row r="444" spans="1:39" ht="12.75" hidden="1" customHeight="1">
      <c r="A444" s="147">
        <v>443</v>
      </c>
      <c r="B444" s="170">
        <v>204684</v>
      </c>
      <c r="C444" s="146" t="s">
        <v>128</v>
      </c>
      <c r="D444" s="57">
        <v>42976</v>
      </c>
      <c r="E444" s="58" t="s">
        <v>1500</v>
      </c>
      <c r="F444" s="118">
        <v>42991</v>
      </c>
      <c r="G444" s="146">
        <f t="shared" si="22"/>
        <v>15</v>
      </c>
      <c r="H444" s="146" t="s">
        <v>363</v>
      </c>
      <c r="I444" s="221"/>
      <c r="J444" s="221"/>
      <c r="K444" s="94">
        <v>2184.0500000000002</v>
      </c>
      <c r="L444" s="94">
        <v>2184.0500000000002</v>
      </c>
      <c r="M444" s="96">
        <v>0</v>
      </c>
      <c r="N444" s="221"/>
      <c r="O444" s="93">
        <f t="shared" si="21"/>
        <v>2053.0070000000001</v>
      </c>
      <c r="P444" s="119" t="s">
        <v>264</v>
      </c>
      <c r="Q444" s="119" t="s">
        <v>1342</v>
      </c>
      <c r="R444" s="221" t="s">
        <v>501</v>
      </c>
      <c r="S444" s="225" t="s">
        <v>466</v>
      </c>
      <c r="T444" s="221" t="s">
        <v>405</v>
      </c>
      <c r="U444" s="221" t="s">
        <v>502</v>
      </c>
      <c r="V444" s="221" t="s">
        <v>222</v>
      </c>
      <c r="W444" s="146"/>
      <c r="X444" s="146"/>
      <c r="Y444" s="146"/>
      <c r="Z444" s="146" t="s">
        <v>1189</v>
      </c>
      <c r="AA444" s="146"/>
      <c r="AB444" s="146"/>
      <c r="AC444" s="63">
        <f t="shared" si="20"/>
        <v>1</v>
      </c>
      <c r="AD444" s="221"/>
      <c r="AE444" s="146"/>
      <c r="AF444" s="146"/>
      <c r="AG444" s="146"/>
      <c r="AH444" s="64" t="s">
        <v>1190</v>
      </c>
      <c r="AI444" s="146"/>
      <c r="AJ444" s="146"/>
      <c r="AK444" s="145"/>
      <c r="AL444" s="146"/>
      <c r="AM444" s="146"/>
    </row>
    <row r="445" spans="1:39" ht="12.75" hidden="1" customHeight="1">
      <c r="A445" s="147">
        <v>444</v>
      </c>
      <c r="B445" s="178">
        <v>204477</v>
      </c>
      <c r="C445" s="117" t="s">
        <v>121</v>
      </c>
      <c r="D445" s="57">
        <v>42976</v>
      </c>
      <c r="E445" s="58" t="s">
        <v>1500</v>
      </c>
      <c r="F445" s="118">
        <v>42983</v>
      </c>
      <c r="G445" s="146">
        <f t="shared" si="22"/>
        <v>7</v>
      </c>
      <c r="H445" s="146" t="s">
        <v>133</v>
      </c>
      <c r="I445" s="221"/>
      <c r="J445" s="221"/>
      <c r="K445" s="94">
        <v>1999</v>
      </c>
      <c r="L445" s="94">
        <v>1999</v>
      </c>
      <c r="M445" s="221"/>
      <c r="N445" s="221"/>
      <c r="O445" s="151">
        <f t="shared" si="21"/>
        <v>0</v>
      </c>
      <c r="P445" s="119" t="s">
        <v>264</v>
      </c>
      <c r="Q445" s="119" t="s">
        <v>1342</v>
      </c>
      <c r="R445" s="146" t="s">
        <v>300</v>
      </c>
      <c r="S445" s="225" t="s">
        <v>469</v>
      </c>
      <c r="T445" s="146" t="s">
        <v>164</v>
      </c>
      <c r="U445" s="221" t="s">
        <v>299</v>
      </c>
      <c r="V445" s="221" t="s">
        <v>1188</v>
      </c>
      <c r="W445" s="146"/>
      <c r="X445" s="117"/>
      <c r="Y445" s="221"/>
      <c r="Z445" s="146" t="s">
        <v>253</v>
      </c>
      <c r="AA445" s="146"/>
      <c r="AB445" s="117"/>
      <c r="AC445" s="63">
        <f t="shared" si="20"/>
        <v>0</v>
      </c>
      <c r="AD445" s="221"/>
      <c r="AE445" s="221" t="s">
        <v>217</v>
      </c>
      <c r="AF445" s="117" t="s">
        <v>225</v>
      </c>
      <c r="AG445" s="117"/>
      <c r="AH445" s="64"/>
      <c r="AI445" s="117"/>
      <c r="AJ445" s="117"/>
      <c r="AK445" s="145"/>
      <c r="AL445" s="117"/>
      <c r="AM445" s="117"/>
    </row>
    <row r="446" spans="1:39" ht="12.75" hidden="1" customHeight="1">
      <c r="A446" s="147">
        <v>445</v>
      </c>
      <c r="B446" s="178">
        <v>204361</v>
      </c>
      <c r="C446" s="117" t="s">
        <v>121</v>
      </c>
      <c r="D446" s="57">
        <v>42976</v>
      </c>
      <c r="E446" s="58" t="s">
        <v>1500</v>
      </c>
      <c r="F446" s="118">
        <v>42990</v>
      </c>
      <c r="G446" s="146">
        <f t="shared" si="22"/>
        <v>14</v>
      </c>
      <c r="H446" s="146" t="s">
        <v>133</v>
      </c>
      <c r="I446" s="221"/>
      <c r="J446" s="221"/>
      <c r="K446" s="94">
        <v>2699</v>
      </c>
      <c r="L446" s="94">
        <v>2699</v>
      </c>
      <c r="M446" s="221"/>
      <c r="N446" s="221"/>
      <c r="O446" s="151">
        <f t="shared" si="21"/>
        <v>0</v>
      </c>
      <c r="P446" s="119" t="s">
        <v>264</v>
      </c>
      <c r="Q446" s="119" t="s">
        <v>1342</v>
      </c>
      <c r="R446" s="146" t="s">
        <v>210</v>
      </c>
      <c r="S446" s="225" t="s">
        <v>469</v>
      </c>
      <c r="T446" s="146" t="s">
        <v>164</v>
      </c>
      <c r="U446" s="221" t="s">
        <v>1187</v>
      </c>
      <c r="V446" s="224" t="s">
        <v>90</v>
      </c>
      <c r="W446" s="146"/>
      <c r="X446" s="117"/>
      <c r="Y446" s="221"/>
      <c r="Z446" s="117" t="s">
        <v>202</v>
      </c>
      <c r="AA446" s="221"/>
      <c r="AB446" s="117"/>
      <c r="AC446" s="63">
        <f t="shared" si="20"/>
        <v>0</v>
      </c>
      <c r="AD446" s="221"/>
      <c r="AE446" s="221" t="s">
        <v>217</v>
      </c>
      <c r="AF446" s="117" t="s">
        <v>225</v>
      </c>
      <c r="AG446" s="117"/>
      <c r="AH446" s="64"/>
      <c r="AI446" s="117"/>
      <c r="AJ446" s="117"/>
      <c r="AK446" s="145"/>
      <c r="AL446" s="117"/>
      <c r="AM446" s="117"/>
    </row>
    <row r="447" spans="1:39" ht="12.75" hidden="1" customHeight="1">
      <c r="A447" s="147">
        <v>446</v>
      </c>
      <c r="B447" s="178">
        <v>204850</v>
      </c>
      <c r="C447" s="117" t="s">
        <v>1130</v>
      </c>
      <c r="D447" s="57">
        <v>42979</v>
      </c>
      <c r="E447" s="58" t="s">
        <v>1501</v>
      </c>
      <c r="F447" s="118">
        <v>42986</v>
      </c>
      <c r="G447" s="146">
        <f t="shared" si="22"/>
        <v>7</v>
      </c>
      <c r="H447" s="117" t="s">
        <v>133</v>
      </c>
      <c r="I447" s="221"/>
      <c r="J447" s="221"/>
      <c r="K447" s="94">
        <v>4369.05</v>
      </c>
      <c r="L447" s="94">
        <v>4369.05</v>
      </c>
      <c r="M447" s="221"/>
      <c r="N447" s="221"/>
      <c r="O447" s="151">
        <f t="shared" si="21"/>
        <v>0</v>
      </c>
      <c r="P447" s="119" t="s">
        <v>264</v>
      </c>
      <c r="Q447" s="119" t="s">
        <v>1342</v>
      </c>
      <c r="R447" s="146" t="s">
        <v>122</v>
      </c>
      <c r="S447" s="225" t="s">
        <v>469</v>
      </c>
      <c r="T447" s="221" t="s">
        <v>114</v>
      </c>
      <c r="U447" s="221" t="s">
        <v>1192</v>
      </c>
      <c r="V447" s="221" t="s">
        <v>222</v>
      </c>
      <c r="W447" s="146"/>
      <c r="X447" s="117"/>
      <c r="Y447" s="117"/>
      <c r="Z447" s="146" t="s">
        <v>170</v>
      </c>
      <c r="AA447" s="146"/>
      <c r="AB447" s="146"/>
      <c r="AC447" s="63">
        <f t="shared" si="20"/>
        <v>0</v>
      </c>
      <c r="AD447" s="221"/>
      <c r="AE447" s="221" t="s">
        <v>217</v>
      </c>
      <c r="AF447" s="117" t="s">
        <v>225</v>
      </c>
      <c r="AG447" s="117"/>
      <c r="AH447" s="64"/>
      <c r="AI447" s="117"/>
      <c r="AJ447" s="117"/>
      <c r="AK447" s="145"/>
      <c r="AL447" s="117"/>
      <c r="AM447" s="117"/>
    </row>
    <row r="448" spans="1:39" ht="12.75" hidden="1" customHeight="1">
      <c r="A448" s="147">
        <v>447</v>
      </c>
      <c r="B448" s="178">
        <v>204989</v>
      </c>
      <c r="C448" s="117" t="s">
        <v>1130</v>
      </c>
      <c r="D448" s="57">
        <v>42979</v>
      </c>
      <c r="E448" s="58" t="s">
        <v>1501</v>
      </c>
      <c r="F448" s="118">
        <v>42986</v>
      </c>
      <c r="G448" s="146">
        <f t="shared" si="22"/>
        <v>7</v>
      </c>
      <c r="H448" s="117" t="s">
        <v>363</v>
      </c>
      <c r="I448" s="221"/>
      <c r="J448" s="221"/>
      <c r="K448" s="94">
        <v>800</v>
      </c>
      <c r="L448" s="94">
        <v>800</v>
      </c>
      <c r="M448" s="96">
        <v>0</v>
      </c>
      <c r="N448" s="221"/>
      <c r="O448" s="93">
        <f t="shared" si="21"/>
        <v>752</v>
      </c>
      <c r="P448" s="119" t="s">
        <v>264</v>
      </c>
      <c r="Q448" s="119" t="s">
        <v>1342</v>
      </c>
      <c r="R448" s="146" t="s">
        <v>752</v>
      </c>
      <c r="S448" s="225" t="s">
        <v>466</v>
      </c>
      <c r="T448" s="221" t="s">
        <v>164</v>
      </c>
      <c r="U448" s="221" t="s">
        <v>1193</v>
      </c>
      <c r="V448" s="224" t="s">
        <v>90</v>
      </c>
      <c r="W448" s="146"/>
      <c r="X448" s="146"/>
      <c r="Y448" s="221"/>
      <c r="Z448" s="117" t="s">
        <v>315</v>
      </c>
      <c r="AA448" s="221"/>
      <c r="AB448" s="117"/>
      <c r="AC448" s="63">
        <f t="shared" si="20"/>
        <v>1</v>
      </c>
      <c r="AD448" s="221"/>
      <c r="AE448" s="117"/>
      <c r="AF448" s="117"/>
      <c r="AG448" s="117"/>
      <c r="AH448" s="64" t="s">
        <v>1196</v>
      </c>
      <c r="AI448" s="117"/>
      <c r="AJ448" s="221"/>
      <c r="AK448" s="145"/>
      <c r="AL448" s="117"/>
      <c r="AM448" s="221"/>
    </row>
    <row r="449" spans="1:39" ht="12.75" hidden="1" customHeight="1">
      <c r="A449" s="147">
        <v>448</v>
      </c>
      <c r="B449" s="178">
        <v>204909</v>
      </c>
      <c r="C449" s="117" t="s">
        <v>1130</v>
      </c>
      <c r="D449" s="57">
        <v>42979</v>
      </c>
      <c r="E449" s="58" t="s">
        <v>1501</v>
      </c>
      <c r="F449" s="118">
        <v>42986</v>
      </c>
      <c r="G449" s="117">
        <f t="shared" si="22"/>
        <v>7</v>
      </c>
      <c r="H449" s="117" t="s">
        <v>133</v>
      </c>
      <c r="I449" s="221"/>
      <c r="J449" s="221"/>
      <c r="K449" s="94">
        <v>1399</v>
      </c>
      <c r="L449" s="94">
        <v>1399</v>
      </c>
      <c r="M449" s="221"/>
      <c r="N449" s="221"/>
      <c r="O449" s="151">
        <f t="shared" si="21"/>
        <v>0</v>
      </c>
      <c r="P449" s="119" t="s">
        <v>262</v>
      </c>
      <c r="Q449" s="119" t="s">
        <v>1342</v>
      </c>
      <c r="R449" s="146" t="s">
        <v>210</v>
      </c>
      <c r="S449" s="225" t="s">
        <v>469</v>
      </c>
      <c r="T449" s="146" t="s">
        <v>114</v>
      </c>
      <c r="U449" s="221" t="s">
        <v>1194</v>
      </c>
      <c r="V449" s="224" t="s">
        <v>90</v>
      </c>
      <c r="W449" s="146"/>
      <c r="X449" s="117"/>
      <c r="Y449" s="117"/>
      <c r="Z449" s="146" t="s">
        <v>170</v>
      </c>
      <c r="AA449" s="221"/>
      <c r="AB449" s="117"/>
      <c r="AC449" s="63">
        <f t="shared" si="20"/>
        <v>0</v>
      </c>
      <c r="AD449" s="221"/>
      <c r="AE449" s="221" t="s">
        <v>217</v>
      </c>
      <c r="AF449" s="117" t="s">
        <v>225</v>
      </c>
      <c r="AG449" s="117"/>
      <c r="AH449" s="64"/>
      <c r="AI449" s="117"/>
      <c r="AJ449" s="221"/>
      <c r="AK449" s="145"/>
      <c r="AL449" s="117"/>
      <c r="AM449" s="221"/>
    </row>
    <row r="450" spans="1:39" ht="12.75" hidden="1" customHeight="1">
      <c r="A450" s="147">
        <v>449</v>
      </c>
      <c r="B450" s="178">
        <v>205065</v>
      </c>
      <c r="C450" s="117" t="s">
        <v>1130</v>
      </c>
      <c r="D450" s="57">
        <v>42979</v>
      </c>
      <c r="E450" s="58" t="s">
        <v>1501</v>
      </c>
      <c r="F450" s="118">
        <v>42988</v>
      </c>
      <c r="G450" s="146">
        <f t="shared" si="22"/>
        <v>9</v>
      </c>
      <c r="H450" s="117" t="s">
        <v>133</v>
      </c>
      <c r="I450" s="221"/>
      <c r="J450" s="221"/>
      <c r="K450" s="94">
        <v>5999</v>
      </c>
      <c r="L450" s="94">
        <v>5999</v>
      </c>
      <c r="M450" s="221"/>
      <c r="N450" s="221"/>
      <c r="O450" s="151">
        <f t="shared" si="21"/>
        <v>0</v>
      </c>
      <c r="P450" s="119" t="s">
        <v>264</v>
      </c>
      <c r="Q450" s="119" t="s">
        <v>1342</v>
      </c>
      <c r="R450" s="117" t="s">
        <v>134</v>
      </c>
      <c r="S450" s="62" t="s">
        <v>465</v>
      </c>
      <c r="T450" s="221" t="s">
        <v>88</v>
      </c>
      <c r="U450" s="221" t="s">
        <v>1195</v>
      </c>
      <c r="V450" s="221" t="s">
        <v>1019</v>
      </c>
      <c r="W450" s="146"/>
      <c r="X450" s="117"/>
      <c r="Y450" s="221"/>
      <c r="Z450" s="146" t="s">
        <v>189</v>
      </c>
      <c r="AA450" s="221"/>
      <c r="AB450" s="117"/>
      <c r="AC450" s="63">
        <f t="shared" ref="AC450:AC513" si="23">+IF(O450&gt;0,1,0)</f>
        <v>0</v>
      </c>
      <c r="AD450" s="221"/>
      <c r="AE450" s="221" t="s">
        <v>217</v>
      </c>
      <c r="AF450" s="117" t="s">
        <v>225</v>
      </c>
      <c r="AG450" s="117"/>
      <c r="AH450" s="64"/>
      <c r="AI450" s="117"/>
      <c r="AJ450" s="117"/>
      <c r="AK450" s="145"/>
      <c r="AL450" s="117"/>
      <c r="AM450" s="117"/>
    </row>
    <row r="451" spans="1:39" ht="12.75" hidden="1" customHeight="1">
      <c r="A451" s="147">
        <v>450</v>
      </c>
      <c r="B451" s="178">
        <v>204565</v>
      </c>
      <c r="C451" s="117" t="s">
        <v>121</v>
      </c>
      <c r="D451" s="57">
        <v>42982</v>
      </c>
      <c r="E451" s="58" t="s">
        <v>1501</v>
      </c>
      <c r="F451" s="118">
        <v>42983</v>
      </c>
      <c r="G451" s="146">
        <f t="shared" si="22"/>
        <v>1</v>
      </c>
      <c r="H451" s="117" t="s">
        <v>133</v>
      </c>
      <c r="I451" s="221"/>
      <c r="J451" s="221"/>
      <c r="K451" s="94">
        <v>2099</v>
      </c>
      <c r="L451" s="94">
        <v>2099</v>
      </c>
      <c r="M451" s="221"/>
      <c r="N451" s="221"/>
      <c r="O451" s="151">
        <f t="shared" si="21"/>
        <v>0</v>
      </c>
      <c r="P451" s="119" t="s">
        <v>264</v>
      </c>
      <c r="Q451" s="119" t="s">
        <v>1342</v>
      </c>
      <c r="R451" s="146" t="s">
        <v>143</v>
      </c>
      <c r="S451" s="62" t="s">
        <v>465</v>
      </c>
      <c r="T451" s="221" t="s">
        <v>164</v>
      </c>
      <c r="U451" s="221" t="s">
        <v>1197</v>
      </c>
      <c r="V451" s="221" t="s">
        <v>453</v>
      </c>
      <c r="W451" s="146" t="s">
        <v>1198</v>
      </c>
      <c r="X451" s="117"/>
      <c r="Y451" s="221"/>
      <c r="Z451" s="146" t="s">
        <v>202</v>
      </c>
      <c r="AA451" s="221"/>
      <c r="AB451" s="117"/>
      <c r="AC451" s="63">
        <f t="shared" si="23"/>
        <v>0</v>
      </c>
      <c r="AD451" s="221"/>
      <c r="AE451" s="221" t="s">
        <v>217</v>
      </c>
      <c r="AF451" s="117" t="s">
        <v>225</v>
      </c>
      <c r="AG451" s="117"/>
      <c r="AH451" s="64"/>
      <c r="AI451" s="117"/>
      <c r="AJ451" s="146"/>
      <c r="AK451" s="145"/>
      <c r="AL451" s="117"/>
      <c r="AM451" s="146"/>
    </row>
    <row r="452" spans="1:39" ht="12.75" hidden="1" customHeight="1">
      <c r="A452" s="147">
        <v>451</v>
      </c>
      <c r="B452" s="178">
        <v>205453</v>
      </c>
      <c r="C452" s="117" t="s">
        <v>121</v>
      </c>
      <c r="D452" s="57">
        <v>42983</v>
      </c>
      <c r="E452" s="58" t="s">
        <v>1501</v>
      </c>
      <c r="F452" s="118">
        <v>42995</v>
      </c>
      <c r="G452" s="117">
        <f t="shared" si="22"/>
        <v>12</v>
      </c>
      <c r="H452" s="146" t="s">
        <v>133</v>
      </c>
      <c r="I452" s="221"/>
      <c r="J452" s="223" t="s">
        <v>614</v>
      </c>
      <c r="K452" s="94">
        <v>1899</v>
      </c>
      <c r="L452" s="94">
        <v>1899</v>
      </c>
      <c r="M452" s="221">
        <v>250</v>
      </c>
      <c r="N452" s="221">
        <v>257</v>
      </c>
      <c r="O452" s="93">
        <f t="shared" si="21"/>
        <v>1528.06</v>
      </c>
      <c r="P452" s="119" t="s">
        <v>264</v>
      </c>
      <c r="Q452" s="119" t="s">
        <v>1342</v>
      </c>
      <c r="R452" s="146" t="s">
        <v>134</v>
      </c>
      <c r="S452" s="62" t="s">
        <v>465</v>
      </c>
      <c r="T452" s="221" t="s">
        <v>164</v>
      </c>
      <c r="U452" s="221" t="s">
        <v>797</v>
      </c>
      <c r="V452" s="224" t="s">
        <v>90</v>
      </c>
      <c r="W452" s="146" t="s">
        <v>798</v>
      </c>
      <c r="X452" s="146"/>
      <c r="Y452" s="146" t="s">
        <v>316</v>
      </c>
      <c r="Z452" s="146" t="s">
        <v>202</v>
      </c>
      <c r="AA452" s="222">
        <v>42984</v>
      </c>
      <c r="AB452" s="117" t="s">
        <v>872</v>
      </c>
      <c r="AC452" s="63">
        <f t="shared" si="23"/>
        <v>1</v>
      </c>
      <c r="AD452" s="221" t="s">
        <v>217</v>
      </c>
      <c r="AE452" s="221" t="s">
        <v>218</v>
      </c>
      <c r="AF452" s="117"/>
      <c r="AG452" s="117"/>
      <c r="AH452" s="64"/>
      <c r="AI452" s="117" t="s">
        <v>184</v>
      </c>
      <c r="AJ452" s="222">
        <v>42996</v>
      </c>
      <c r="AK452" s="145" t="s">
        <v>1251</v>
      </c>
      <c r="AL452" s="117" t="s">
        <v>645</v>
      </c>
      <c r="AM452" s="222">
        <v>42998</v>
      </c>
    </row>
    <row r="453" spans="1:39" ht="12.75" hidden="1" customHeight="1">
      <c r="A453" s="147">
        <v>452</v>
      </c>
      <c r="B453" s="223">
        <v>205146</v>
      </c>
      <c r="C453" s="117" t="s">
        <v>1130</v>
      </c>
      <c r="D453" s="57">
        <v>42983</v>
      </c>
      <c r="E453" s="58" t="s">
        <v>1501</v>
      </c>
      <c r="F453" s="118">
        <v>42987</v>
      </c>
      <c r="G453" s="146">
        <f t="shared" si="22"/>
        <v>4</v>
      </c>
      <c r="H453" s="117" t="s">
        <v>133</v>
      </c>
      <c r="I453" s="221"/>
      <c r="J453" s="221" t="s">
        <v>614</v>
      </c>
      <c r="K453" s="94">
        <v>2899</v>
      </c>
      <c r="L453" s="221"/>
      <c r="M453" s="221">
        <v>290</v>
      </c>
      <c r="N453" s="221">
        <v>220</v>
      </c>
      <c r="O453" s="93">
        <f t="shared" si="21"/>
        <v>2435.06</v>
      </c>
      <c r="P453" s="119" t="s">
        <v>264</v>
      </c>
      <c r="Q453" s="119" t="s">
        <v>1342</v>
      </c>
      <c r="R453" s="146" t="s">
        <v>134</v>
      </c>
      <c r="S453" s="62" t="s">
        <v>465</v>
      </c>
      <c r="T453" s="221" t="s">
        <v>88</v>
      </c>
      <c r="U453" s="221" t="s">
        <v>1460</v>
      </c>
      <c r="V453" s="146" t="s">
        <v>429</v>
      </c>
      <c r="W453" s="146"/>
      <c r="X453" s="146"/>
      <c r="Y453" s="146" t="s">
        <v>1172</v>
      </c>
      <c r="Z453" s="146" t="s">
        <v>189</v>
      </c>
      <c r="AA453" s="222">
        <v>42983</v>
      </c>
      <c r="AB453" s="117" t="s">
        <v>782</v>
      </c>
      <c r="AC453" s="63">
        <f t="shared" si="23"/>
        <v>1</v>
      </c>
      <c r="AD453" s="221" t="s">
        <v>217</v>
      </c>
      <c r="AE453" s="221" t="s">
        <v>218</v>
      </c>
      <c r="AF453" s="117"/>
      <c r="AG453" s="117"/>
      <c r="AH453" s="64"/>
      <c r="AI453" s="117"/>
      <c r="AJ453" s="221"/>
      <c r="AK453" s="221"/>
      <c r="AL453" s="117"/>
      <c r="AM453" s="221"/>
    </row>
    <row r="454" spans="1:39" ht="12.75" hidden="1" customHeight="1">
      <c r="A454" s="147">
        <v>453</v>
      </c>
      <c r="B454" s="178">
        <v>205526</v>
      </c>
      <c r="C454" s="146" t="s">
        <v>1130</v>
      </c>
      <c r="D454" s="57">
        <v>42984</v>
      </c>
      <c r="E454" s="58" t="s">
        <v>1501</v>
      </c>
      <c r="F454" s="118">
        <v>42995</v>
      </c>
      <c r="G454" s="117">
        <f t="shared" si="22"/>
        <v>11</v>
      </c>
      <c r="H454" s="117" t="s">
        <v>363</v>
      </c>
      <c r="I454" s="221"/>
      <c r="J454" s="221"/>
      <c r="K454" s="94">
        <v>9995.2000000000007</v>
      </c>
      <c r="L454" s="94">
        <v>9995.2000000000007</v>
      </c>
      <c r="M454" s="96">
        <v>0</v>
      </c>
      <c r="N454" s="221"/>
      <c r="O454" s="151">
        <f t="shared" si="21"/>
        <v>0</v>
      </c>
      <c r="P454" s="119" t="s">
        <v>264</v>
      </c>
      <c r="Q454" s="119" t="s">
        <v>1342</v>
      </c>
      <c r="R454" s="117" t="s">
        <v>122</v>
      </c>
      <c r="S454" s="225" t="s">
        <v>469</v>
      </c>
      <c r="T454" s="146" t="s">
        <v>114</v>
      </c>
      <c r="U454" s="221" t="s">
        <v>444</v>
      </c>
      <c r="V454" s="221" t="s">
        <v>222</v>
      </c>
      <c r="W454" s="146"/>
      <c r="X454" s="117"/>
      <c r="Y454" s="146"/>
      <c r="Z454" s="146" t="s">
        <v>170</v>
      </c>
      <c r="AA454" s="221"/>
      <c r="AB454" s="117"/>
      <c r="AC454" s="63">
        <f t="shared" si="23"/>
        <v>0</v>
      </c>
      <c r="AD454" s="221"/>
      <c r="AE454" s="221" t="s">
        <v>217</v>
      </c>
      <c r="AF454" s="117" t="s">
        <v>225</v>
      </c>
      <c r="AG454" s="117"/>
      <c r="AH454" s="64"/>
      <c r="AI454" s="117"/>
      <c r="AJ454" s="221"/>
      <c r="AK454" s="145"/>
      <c r="AL454" s="117"/>
      <c r="AM454" s="221"/>
    </row>
    <row r="455" spans="1:39" ht="12.75" hidden="1" customHeight="1">
      <c r="A455" s="147">
        <v>454</v>
      </c>
      <c r="B455" s="178">
        <v>205720</v>
      </c>
      <c r="C455" s="146" t="s">
        <v>1130</v>
      </c>
      <c r="D455" s="57">
        <v>42984</v>
      </c>
      <c r="E455" s="58" t="s">
        <v>1501</v>
      </c>
      <c r="F455" s="118">
        <v>42995</v>
      </c>
      <c r="G455" s="117">
        <f t="shared" si="22"/>
        <v>11</v>
      </c>
      <c r="H455" s="117" t="s">
        <v>363</v>
      </c>
      <c r="I455" s="221"/>
      <c r="J455" s="221"/>
      <c r="K455" s="94">
        <v>2089.0500000000002</v>
      </c>
      <c r="L455" s="94">
        <v>2089.0500000000002</v>
      </c>
      <c r="M455" s="96">
        <v>0</v>
      </c>
      <c r="N455" s="221"/>
      <c r="O455" s="151">
        <f t="shared" si="21"/>
        <v>0</v>
      </c>
      <c r="P455" s="119" t="s">
        <v>264</v>
      </c>
      <c r="Q455" s="119" t="s">
        <v>1342</v>
      </c>
      <c r="R455" s="146" t="s">
        <v>122</v>
      </c>
      <c r="S455" s="225" t="s">
        <v>469</v>
      </c>
      <c r="T455" s="221" t="s">
        <v>376</v>
      </c>
      <c r="U455" s="221" t="s">
        <v>1205</v>
      </c>
      <c r="V455" s="221" t="s">
        <v>222</v>
      </c>
      <c r="W455" s="146"/>
      <c r="X455" s="146"/>
      <c r="Y455" s="221"/>
      <c r="Z455" s="146" t="s">
        <v>170</v>
      </c>
      <c r="AA455" s="221"/>
      <c r="AB455" s="117"/>
      <c r="AC455" s="63">
        <f t="shared" si="23"/>
        <v>0</v>
      </c>
      <c r="AD455" s="221"/>
      <c r="AE455" s="221" t="s">
        <v>217</v>
      </c>
      <c r="AF455" s="146" t="s">
        <v>225</v>
      </c>
      <c r="AG455" s="117"/>
      <c r="AH455" s="64"/>
      <c r="AI455" s="117"/>
      <c r="AJ455" s="146"/>
      <c r="AK455" s="145"/>
      <c r="AL455" s="117"/>
      <c r="AM455" s="146"/>
    </row>
    <row r="456" spans="1:39" ht="12.75" hidden="1" customHeight="1">
      <c r="A456" s="147">
        <v>455</v>
      </c>
      <c r="B456" s="178">
        <v>205210</v>
      </c>
      <c r="C456" s="146" t="s">
        <v>1130</v>
      </c>
      <c r="D456" s="57">
        <v>42984</v>
      </c>
      <c r="E456" s="58" t="s">
        <v>1501</v>
      </c>
      <c r="F456" s="118">
        <v>42991</v>
      </c>
      <c r="G456" s="117">
        <f t="shared" si="22"/>
        <v>7</v>
      </c>
      <c r="H456" s="146" t="s">
        <v>363</v>
      </c>
      <c r="I456" s="221"/>
      <c r="J456" s="221"/>
      <c r="K456" s="94">
        <v>2499</v>
      </c>
      <c r="L456" s="94">
        <v>2499</v>
      </c>
      <c r="M456" s="96">
        <v>0</v>
      </c>
      <c r="N456" s="221"/>
      <c r="O456" s="93">
        <f t="shared" si="21"/>
        <v>2349.06</v>
      </c>
      <c r="P456" s="119" t="s">
        <v>264</v>
      </c>
      <c r="Q456" s="119" t="s">
        <v>1342</v>
      </c>
      <c r="R456" s="117" t="s">
        <v>134</v>
      </c>
      <c r="S456" s="62" t="s">
        <v>465</v>
      </c>
      <c r="T456" s="221" t="s">
        <v>88</v>
      </c>
      <c r="U456" s="67" t="s">
        <v>741</v>
      </c>
      <c r="V456" s="146" t="s">
        <v>187</v>
      </c>
      <c r="W456" s="146"/>
      <c r="X456" s="146"/>
      <c r="Y456" s="146"/>
      <c r="Z456" s="146" t="s">
        <v>189</v>
      </c>
      <c r="AA456" s="221"/>
      <c r="AB456" s="117"/>
      <c r="AC456" s="63">
        <f t="shared" si="23"/>
        <v>1</v>
      </c>
      <c r="AD456" s="221"/>
      <c r="AE456" s="117"/>
      <c r="AF456" s="117"/>
      <c r="AG456" s="117"/>
      <c r="AH456" s="64" t="s">
        <v>1206</v>
      </c>
      <c r="AI456" s="117"/>
      <c r="AJ456" s="146"/>
      <c r="AK456" s="145"/>
      <c r="AL456" s="117"/>
      <c r="AM456" s="146"/>
    </row>
    <row r="457" spans="1:39" ht="12.75" hidden="1" customHeight="1">
      <c r="A457" s="147">
        <v>456</v>
      </c>
      <c r="B457" s="178">
        <v>205381</v>
      </c>
      <c r="C457" s="146" t="s">
        <v>121</v>
      </c>
      <c r="D457" s="57">
        <v>42985</v>
      </c>
      <c r="E457" s="58" t="s">
        <v>1501</v>
      </c>
      <c r="F457" s="118">
        <v>42995</v>
      </c>
      <c r="G457" s="146">
        <f t="shared" si="22"/>
        <v>10</v>
      </c>
      <c r="H457" s="221" t="s">
        <v>133</v>
      </c>
      <c r="I457" s="221"/>
      <c r="J457" s="223" t="s">
        <v>614</v>
      </c>
      <c r="K457" s="94">
        <v>1999</v>
      </c>
      <c r="L457" s="94">
        <v>1999</v>
      </c>
      <c r="M457" s="221">
        <v>285</v>
      </c>
      <c r="N457" s="221">
        <v>210</v>
      </c>
      <c r="O457" s="151">
        <f t="shared" si="21"/>
        <v>0</v>
      </c>
      <c r="P457" s="119" t="s">
        <v>264</v>
      </c>
      <c r="Q457" s="119" t="s">
        <v>1342</v>
      </c>
      <c r="R457" s="146" t="s">
        <v>122</v>
      </c>
      <c r="S457" s="225" t="s">
        <v>469</v>
      </c>
      <c r="T457" s="221" t="s">
        <v>114</v>
      </c>
      <c r="U457" s="221" t="s">
        <v>1207</v>
      </c>
      <c r="V457" s="222" t="s">
        <v>169</v>
      </c>
      <c r="W457" s="146"/>
      <c r="X457" s="146"/>
      <c r="Y457" s="221" t="s">
        <v>316</v>
      </c>
      <c r="Z457" s="146" t="s">
        <v>124</v>
      </c>
      <c r="AA457" s="222">
        <v>42985</v>
      </c>
      <c r="AB457" s="146" t="s">
        <v>195</v>
      </c>
      <c r="AC457" s="63">
        <f t="shared" si="23"/>
        <v>0</v>
      </c>
      <c r="AD457" s="221"/>
      <c r="AE457" s="221" t="s">
        <v>217</v>
      </c>
      <c r="AF457" s="146" t="s">
        <v>737</v>
      </c>
      <c r="AG457" s="146"/>
      <c r="AH457" s="64" t="s">
        <v>1552</v>
      </c>
      <c r="AI457" s="146" t="s">
        <v>184</v>
      </c>
      <c r="AJ457" s="222">
        <v>42996</v>
      </c>
      <c r="AK457" s="145" t="s">
        <v>1250</v>
      </c>
      <c r="AL457" s="146" t="s">
        <v>645</v>
      </c>
      <c r="AM457" s="222">
        <v>42998</v>
      </c>
    </row>
    <row r="458" spans="1:39" ht="12.75" hidden="1" customHeight="1">
      <c r="A458" s="147">
        <v>457</v>
      </c>
      <c r="B458" s="223">
        <v>205665</v>
      </c>
      <c r="C458" s="117" t="s">
        <v>121</v>
      </c>
      <c r="D458" s="57">
        <v>42985</v>
      </c>
      <c r="E458" s="58" t="s">
        <v>1501</v>
      </c>
      <c r="F458" s="118">
        <v>42997</v>
      </c>
      <c r="G458" s="117">
        <f t="shared" si="22"/>
        <v>12</v>
      </c>
      <c r="H458" s="117" t="s">
        <v>133</v>
      </c>
      <c r="I458" s="221"/>
      <c r="J458" s="60" t="s">
        <v>614</v>
      </c>
      <c r="K458" s="94">
        <v>2659.05</v>
      </c>
      <c r="L458" s="94">
        <v>2659.05</v>
      </c>
      <c r="M458" s="221"/>
      <c r="N458" s="221"/>
      <c r="O458" s="151">
        <f t="shared" si="21"/>
        <v>0</v>
      </c>
      <c r="P458" s="119" t="s">
        <v>264</v>
      </c>
      <c r="Q458" s="119" t="s">
        <v>1342</v>
      </c>
      <c r="R458" s="117" t="s">
        <v>122</v>
      </c>
      <c r="S458" s="225" t="s">
        <v>469</v>
      </c>
      <c r="T458" s="146" t="s">
        <v>164</v>
      </c>
      <c r="U458" s="221" t="s">
        <v>1208</v>
      </c>
      <c r="V458" s="222" t="s">
        <v>169</v>
      </c>
      <c r="W458" s="146"/>
      <c r="X458" s="146"/>
      <c r="Y458" s="146"/>
      <c r="Z458" s="146" t="s">
        <v>253</v>
      </c>
      <c r="AA458" s="221"/>
      <c r="AB458" s="117"/>
      <c r="AC458" s="63">
        <f t="shared" si="23"/>
        <v>0</v>
      </c>
      <c r="AD458" s="221"/>
      <c r="AE458" s="221" t="s">
        <v>217</v>
      </c>
      <c r="AF458" s="117" t="s">
        <v>225</v>
      </c>
      <c r="AG458" s="117"/>
      <c r="AH458" s="64"/>
      <c r="AI458" s="117"/>
      <c r="AJ458" s="221"/>
      <c r="AK458" s="145"/>
      <c r="AL458" s="117"/>
      <c r="AM458" s="221"/>
    </row>
    <row r="459" spans="1:39" ht="12.75" hidden="1" customHeight="1">
      <c r="A459" s="147">
        <v>458</v>
      </c>
      <c r="B459" s="223">
        <v>205993</v>
      </c>
      <c r="C459" s="146" t="s">
        <v>128</v>
      </c>
      <c r="D459" s="57">
        <v>42989</v>
      </c>
      <c r="E459" s="58" t="s">
        <v>1501</v>
      </c>
      <c r="F459" s="118">
        <v>43000</v>
      </c>
      <c r="G459" s="117">
        <f t="shared" si="22"/>
        <v>11</v>
      </c>
      <c r="H459" s="221" t="s">
        <v>133</v>
      </c>
      <c r="I459" s="221"/>
      <c r="J459" s="223" t="s">
        <v>614</v>
      </c>
      <c r="K459" s="94">
        <v>1999</v>
      </c>
      <c r="L459" s="94">
        <v>1999</v>
      </c>
      <c r="M459" s="221"/>
      <c r="N459" s="221"/>
      <c r="O459" s="151">
        <f t="shared" si="21"/>
        <v>0</v>
      </c>
      <c r="P459" s="119" t="s">
        <v>264</v>
      </c>
      <c r="Q459" s="119" t="s">
        <v>1342</v>
      </c>
      <c r="R459" s="117" t="s">
        <v>134</v>
      </c>
      <c r="S459" s="62" t="s">
        <v>465</v>
      </c>
      <c r="T459" s="221" t="s">
        <v>120</v>
      </c>
      <c r="U459" s="221" t="s">
        <v>1212</v>
      </c>
      <c r="V459" s="221" t="s">
        <v>1213</v>
      </c>
      <c r="W459" s="221"/>
      <c r="X459" s="117"/>
      <c r="Y459" s="146"/>
      <c r="Z459" s="117" t="s">
        <v>137</v>
      </c>
      <c r="AA459" s="221"/>
      <c r="AB459" s="117"/>
      <c r="AC459" s="63">
        <f t="shared" si="23"/>
        <v>0</v>
      </c>
      <c r="AD459" s="221"/>
      <c r="AE459" s="221" t="s">
        <v>217</v>
      </c>
      <c r="AF459" s="117" t="s">
        <v>225</v>
      </c>
      <c r="AG459" s="117"/>
      <c r="AH459" s="64" t="s">
        <v>1238</v>
      </c>
      <c r="AI459" s="146"/>
      <c r="AJ459" s="146"/>
      <c r="AK459" s="145"/>
      <c r="AL459" s="146"/>
      <c r="AM459" s="146"/>
    </row>
    <row r="460" spans="1:39" ht="12.75" hidden="1" customHeight="1">
      <c r="A460" s="147">
        <v>459</v>
      </c>
      <c r="B460" s="223">
        <v>205619</v>
      </c>
      <c r="C460" s="117" t="s">
        <v>128</v>
      </c>
      <c r="D460" s="57">
        <v>42989</v>
      </c>
      <c r="E460" s="58" t="s">
        <v>1501</v>
      </c>
      <c r="F460" s="118">
        <v>42999</v>
      </c>
      <c r="G460" s="117">
        <f t="shared" si="22"/>
        <v>10</v>
      </c>
      <c r="H460" s="117" t="s">
        <v>133</v>
      </c>
      <c r="I460" s="221"/>
      <c r="J460" s="223" t="s">
        <v>614</v>
      </c>
      <c r="K460" s="94">
        <v>1599</v>
      </c>
      <c r="L460" s="94">
        <v>1599</v>
      </c>
      <c r="M460" s="221">
        <v>275</v>
      </c>
      <c r="N460" s="221">
        <v>150</v>
      </c>
      <c r="O460" s="93">
        <f t="shared" si="21"/>
        <v>1228.06</v>
      </c>
      <c r="P460" s="119" t="s">
        <v>262</v>
      </c>
      <c r="Q460" s="119" t="s">
        <v>1342</v>
      </c>
      <c r="R460" s="117" t="s">
        <v>254</v>
      </c>
      <c r="S460" s="225" t="s">
        <v>466</v>
      </c>
      <c r="T460" s="221" t="s">
        <v>405</v>
      </c>
      <c r="U460" s="221" t="s">
        <v>1214</v>
      </c>
      <c r="V460" s="221" t="s">
        <v>831</v>
      </c>
      <c r="W460" s="146"/>
      <c r="X460" s="117"/>
      <c r="Y460" s="117" t="s">
        <v>316</v>
      </c>
      <c r="Z460" s="117" t="s">
        <v>1189</v>
      </c>
      <c r="AA460" s="222" t="s">
        <v>84</v>
      </c>
      <c r="AB460" s="117" t="s">
        <v>140</v>
      </c>
      <c r="AC460" s="63">
        <f t="shared" si="23"/>
        <v>1</v>
      </c>
      <c r="AD460" s="221" t="s">
        <v>217</v>
      </c>
      <c r="AE460" s="221" t="s">
        <v>218</v>
      </c>
      <c r="AF460" s="117"/>
      <c r="AG460" s="117"/>
      <c r="AH460" s="64"/>
      <c r="AI460" s="146" t="s">
        <v>184</v>
      </c>
      <c r="AJ460" s="222">
        <v>42996</v>
      </c>
      <c r="AK460" s="145" t="s">
        <v>1249</v>
      </c>
      <c r="AL460" s="146" t="s">
        <v>645</v>
      </c>
      <c r="AM460" s="222">
        <v>42998</v>
      </c>
    </row>
    <row r="461" spans="1:39" ht="12.75" hidden="1" customHeight="1">
      <c r="A461" s="147">
        <v>460</v>
      </c>
      <c r="B461" s="223">
        <v>205439</v>
      </c>
      <c r="C461" s="146" t="s">
        <v>121</v>
      </c>
      <c r="D461" s="57">
        <v>42989</v>
      </c>
      <c r="E461" s="58" t="s">
        <v>1501</v>
      </c>
      <c r="F461" s="118">
        <v>42995</v>
      </c>
      <c r="G461" s="117">
        <f t="shared" si="22"/>
        <v>6</v>
      </c>
      <c r="H461" s="117" t="s">
        <v>363</v>
      </c>
      <c r="I461" s="221"/>
      <c r="J461" s="223" t="s">
        <v>614</v>
      </c>
      <c r="K461" s="94">
        <v>2699</v>
      </c>
      <c r="L461" s="94">
        <v>2699</v>
      </c>
      <c r="M461" s="96">
        <v>0</v>
      </c>
      <c r="N461" s="221"/>
      <c r="O461" s="151">
        <f t="shared" si="21"/>
        <v>0</v>
      </c>
      <c r="P461" s="119" t="s">
        <v>264</v>
      </c>
      <c r="Q461" s="119" t="s">
        <v>1342</v>
      </c>
      <c r="R461" s="117" t="s">
        <v>143</v>
      </c>
      <c r="S461" s="62" t="s">
        <v>465</v>
      </c>
      <c r="T461" s="221" t="s">
        <v>164</v>
      </c>
      <c r="U461" s="221" t="s">
        <v>1215</v>
      </c>
      <c r="V461" s="221" t="s">
        <v>1216</v>
      </c>
      <c r="W461" s="146"/>
      <c r="X461" s="146"/>
      <c r="Y461" s="146"/>
      <c r="Z461" s="146" t="s">
        <v>202</v>
      </c>
      <c r="AA461" s="222">
        <v>42991</v>
      </c>
      <c r="AB461" s="117" t="s">
        <v>140</v>
      </c>
      <c r="AC461" s="63">
        <f t="shared" si="23"/>
        <v>0</v>
      </c>
      <c r="AD461" s="221"/>
      <c r="AE461" s="221" t="s">
        <v>217</v>
      </c>
      <c r="AF461" s="117" t="s">
        <v>225</v>
      </c>
      <c r="AG461" s="117"/>
      <c r="AH461" s="64" t="s">
        <v>1258</v>
      </c>
      <c r="AI461" s="146"/>
      <c r="AJ461" s="146"/>
      <c r="AK461" s="145"/>
      <c r="AL461" s="146"/>
      <c r="AM461" s="146"/>
    </row>
    <row r="462" spans="1:39" ht="12.75" hidden="1" customHeight="1">
      <c r="A462" s="147">
        <v>461</v>
      </c>
      <c r="B462" s="223">
        <v>205743</v>
      </c>
      <c r="C462" s="117" t="s">
        <v>121</v>
      </c>
      <c r="D462" s="57">
        <v>42989</v>
      </c>
      <c r="E462" s="58" t="s">
        <v>1501</v>
      </c>
      <c r="F462" s="118">
        <v>43002</v>
      </c>
      <c r="G462" s="117">
        <f t="shared" si="22"/>
        <v>13</v>
      </c>
      <c r="H462" s="221" t="s">
        <v>133</v>
      </c>
      <c r="I462" s="221"/>
      <c r="J462" s="223" t="s">
        <v>614</v>
      </c>
      <c r="K462" s="94">
        <v>2799</v>
      </c>
      <c r="L462" s="94">
        <v>2799</v>
      </c>
      <c r="M462" s="221"/>
      <c r="N462" s="221"/>
      <c r="O462" s="151">
        <f t="shared" si="21"/>
        <v>0</v>
      </c>
      <c r="P462" s="119" t="s">
        <v>264</v>
      </c>
      <c r="Q462" s="119" t="s">
        <v>1342</v>
      </c>
      <c r="R462" s="146" t="s">
        <v>134</v>
      </c>
      <c r="S462" s="62" t="s">
        <v>465</v>
      </c>
      <c r="T462" s="221" t="s">
        <v>120</v>
      </c>
      <c r="U462" s="221" t="s">
        <v>1217</v>
      </c>
      <c r="V462" s="221" t="s">
        <v>1218</v>
      </c>
      <c r="W462" s="146"/>
      <c r="X462" s="117"/>
      <c r="Y462" s="146"/>
      <c r="Z462" s="146" t="s">
        <v>434</v>
      </c>
      <c r="AA462" s="221"/>
      <c r="AB462" s="117"/>
      <c r="AC462" s="63">
        <f t="shared" si="23"/>
        <v>0</v>
      </c>
      <c r="AD462" s="221"/>
      <c r="AE462" s="221" t="s">
        <v>217</v>
      </c>
      <c r="AF462" s="117" t="s">
        <v>225</v>
      </c>
      <c r="AG462" s="117"/>
      <c r="AH462" s="64"/>
      <c r="AI462" s="117"/>
      <c r="AJ462" s="146"/>
      <c r="AK462" s="145"/>
      <c r="AL462" s="117"/>
      <c r="AM462" s="146"/>
    </row>
    <row r="463" spans="1:39" ht="12" hidden="1" customHeight="1">
      <c r="A463" s="147">
        <v>462</v>
      </c>
      <c r="B463" s="223">
        <v>205659</v>
      </c>
      <c r="C463" s="146" t="s">
        <v>1130</v>
      </c>
      <c r="D463" s="57">
        <v>42991</v>
      </c>
      <c r="E463" s="58" t="s">
        <v>1501</v>
      </c>
      <c r="F463" s="118">
        <v>42998</v>
      </c>
      <c r="G463" s="146">
        <f t="shared" si="22"/>
        <v>7</v>
      </c>
      <c r="H463" s="146" t="s">
        <v>133</v>
      </c>
      <c r="I463" s="221"/>
      <c r="J463" s="60" t="s">
        <v>614</v>
      </c>
      <c r="K463" s="94">
        <v>3599</v>
      </c>
      <c r="L463" s="94">
        <v>3599</v>
      </c>
      <c r="M463" s="221"/>
      <c r="N463" s="221"/>
      <c r="O463" s="151">
        <f t="shared" ref="O463:O526" si="24">IF(AE463="Reemplazo",0,K463-(K463*0.12*0.5)-(MAX(M463,N463)))</f>
        <v>0</v>
      </c>
      <c r="P463" s="119" t="s">
        <v>263</v>
      </c>
      <c r="Q463" s="119" t="s">
        <v>1341</v>
      </c>
      <c r="R463" s="146" t="s">
        <v>122</v>
      </c>
      <c r="S463" s="225" t="s">
        <v>469</v>
      </c>
      <c r="T463" s="146" t="s">
        <v>376</v>
      </c>
      <c r="U463" s="221" t="s">
        <v>1220</v>
      </c>
      <c r="V463" s="221" t="s">
        <v>222</v>
      </c>
      <c r="W463" s="146"/>
      <c r="X463" s="146"/>
      <c r="Y463" s="146"/>
      <c r="Z463" s="146" t="s">
        <v>170</v>
      </c>
      <c r="AA463" s="221"/>
      <c r="AB463" s="146"/>
      <c r="AC463" s="63">
        <f t="shared" si="23"/>
        <v>0</v>
      </c>
      <c r="AD463" s="221"/>
      <c r="AE463" s="221" t="s">
        <v>217</v>
      </c>
      <c r="AF463" s="146" t="s">
        <v>225</v>
      </c>
      <c r="AG463" s="146"/>
      <c r="AH463" s="64"/>
      <c r="AI463" s="146"/>
      <c r="AJ463" s="221"/>
      <c r="AK463" s="145"/>
      <c r="AL463" s="146"/>
      <c r="AM463" s="221"/>
    </row>
    <row r="464" spans="1:39" ht="12.75" hidden="1" customHeight="1">
      <c r="A464" s="147">
        <v>463</v>
      </c>
      <c r="B464" s="223">
        <v>205757</v>
      </c>
      <c r="C464" s="117" t="s">
        <v>1130</v>
      </c>
      <c r="D464" s="57">
        <v>42991</v>
      </c>
      <c r="E464" s="58" t="s">
        <v>1501</v>
      </c>
      <c r="F464" s="118">
        <v>42998</v>
      </c>
      <c r="G464" s="117">
        <f t="shared" si="22"/>
        <v>7</v>
      </c>
      <c r="H464" s="117" t="s">
        <v>363</v>
      </c>
      <c r="I464" s="221"/>
      <c r="J464" s="60" t="s">
        <v>614</v>
      </c>
      <c r="K464" s="94">
        <v>1614.2</v>
      </c>
      <c r="L464" s="94">
        <v>1614.2</v>
      </c>
      <c r="M464" s="96">
        <v>0</v>
      </c>
      <c r="N464" s="221"/>
      <c r="O464" s="93">
        <f t="shared" si="24"/>
        <v>1517.348</v>
      </c>
      <c r="P464" s="119" t="s">
        <v>264</v>
      </c>
      <c r="Q464" s="119" t="s">
        <v>1342</v>
      </c>
      <c r="R464" s="146" t="s">
        <v>143</v>
      </c>
      <c r="S464" s="62" t="s">
        <v>465</v>
      </c>
      <c r="T464" s="221" t="s">
        <v>88</v>
      </c>
      <c r="U464" s="221" t="s">
        <v>1221</v>
      </c>
      <c r="V464" s="221" t="s">
        <v>1222</v>
      </c>
      <c r="W464" s="117"/>
      <c r="X464" s="117"/>
      <c r="Y464" s="146"/>
      <c r="Z464" s="117" t="s">
        <v>189</v>
      </c>
      <c r="AA464" s="221"/>
      <c r="AB464" s="117"/>
      <c r="AC464" s="63">
        <f t="shared" si="23"/>
        <v>1</v>
      </c>
      <c r="AD464" s="221"/>
      <c r="AE464" s="117"/>
      <c r="AF464" s="117"/>
      <c r="AG464" s="117"/>
      <c r="AH464" s="64" t="s">
        <v>1225</v>
      </c>
      <c r="AI464" s="117"/>
      <c r="AJ464" s="146"/>
      <c r="AK464" s="145"/>
      <c r="AL464" s="117"/>
      <c r="AM464" s="146"/>
    </row>
    <row r="465" spans="1:39" ht="12.75" hidden="1" customHeight="1">
      <c r="A465" s="147">
        <v>464</v>
      </c>
      <c r="B465" s="223">
        <v>206002</v>
      </c>
      <c r="C465" s="146" t="s">
        <v>128</v>
      </c>
      <c r="D465" s="57">
        <v>42991</v>
      </c>
      <c r="E465" s="58" t="s">
        <v>1501</v>
      </c>
      <c r="F465" s="118">
        <v>43008</v>
      </c>
      <c r="G465" s="146">
        <f t="shared" si="22"/>
        <v>17</v>
      </c>
      <c r="H465" s="146" t="s">
        <v>133</v>
      </c>
      <c r="I465" s="221"/>
      <c r="J465" s="60" t="s">
        <v>614</v>
      </c>
      <c r="K465" s="94">
        <v>1399</v>
      </c>
      <c r="L465" s="94">
        <v>1399</v>
      </c>
      <c r="M465" s="221">
        <v>595</v>
      </c>
      <c r="N465" s="221">
        <v>175</v>
      </c>
      <c r="O465" s="151">
        <f t="shared" si="24"/>
        <v>720.06</v>
      </c>
      <c r="P465" s="119" t="s">
        <v>261</v>
      </c>
      <c r="Q465" s="119" t="s">
        <v>1341</v>
      </c>
      <c r="R465" s="117" t="s">
        <v>122</v>
      </c>
      <c r="S465" s="225" t="s">
        <v>469</v>
      </c>
      <c r="T465" s="146" t="s">
        <v>829</v>
      </c>
      <c r="U465" s="221" t="s">
        <v>1223</v>
      </c>
      <c r="V465" s="221" t="s">
        <v>90</v>
      </c>
      <c r="W465" s="146"/>
      <c r="X465" s="146"/>
      <c r="Y465" s="221" t="s">
        <v>296</v>
      </c>
      <c r="Z465" s="146" t="s">
        <v>510</v>
      </c>
      <c r="AA465" s="222">
        <v>42992</v>
      </c>
      <c r="AB465" s="146" t="s">
        <v>591</v>
      </c>
      <c r="AC465" s="63">
        <f t="shared" si="23"/>
        <v>1</v>
      </c>
      <c r="AD465" s="221" t="s">
        <v>217</v>
      </c>
      <c r="AE465" s="221" t="s">
        <v>218</v>
      </c>
      <c r="AF465" s="146"/>
      <c r="AG465" s="146"/>
      <c r="AH465" s="64"/>
      <c r="AI465" s="146"/>
      <c r="AJ465" s="221"/>
      <c r="AK465" s="145"/>
      <c r="AL465" s="146"/>
      <c r="AM465" s="221"/>
    </row>
    <row r="466" spans="1:39" ht="12.75" hidden="1" customHeight="1">
      <c r="A466" s="147">
        <v>465</v>
      </c>
      <c r="B466" s="223">
        <v>206525</v>
      </c>
      <c r="C466" s="117" t="s">
        <v>128</v>
      </c>
      <c r="D466" s="57">
        <v>42992</v>
      </c>
      <c r="E466" s="58" t="s">
        <v>1501</v>
      </c>
      <c r="F466" s="118">
        <v>43008</v>
      </c>
      <c r="G466" s="117">
        <f t="shared" si="22"/>
        <v>16</v>
      </c>
      <c r="H466" s="221" t="s">
        <v>133</v>
      </c>
      <c r="I466" s="221"/>
      <c r="J466" s="60" t="s">
        <v>614</v>
      </c>
      <c r="K466" s="94">
        <v>1994</v>
      </c>
      <c r="L466" s="94">
        <v>1994.05</v>
      </c>
      <c r="M466" s="221">
        <v>305</v>
      </c>
      <c r="N466" s="221">
        <v>80</v>
      </c>
      <c r="O466" s="93">
        <f t="shared" si="24"/>
        <v>1569.36</v>
      </c>
      <c r="P466" s="119" t="s">
        <v>264</v>
      </c>
      <c r="Q466" s="119" t="s">
        <v>1342</v>
      </c>
      <c r="R466" s="146" t="s">
        <v>134</v>
      </c>
      <c r="S466" s="62" t="s">
        <v>465</v>
      </c>
      <c r="T466" s="221" t="s">
        <v>164</v>
      </c>
      <c r="U466" s="221" t="s">
        <v>799</v>
      </c>
      <c r="V466" s="221" t="s">
        <v>90</v>
      </c>
      <c r="W466" s="117"/>
      <c r="X466" s="117"/>
      <c r="Y466" s="221" t="s">
        <v>316</v>
      </c>
      <c r="Z466" s="221" t="s">
        <v>1224</v>
      </c>
      <c r="AA466" s="222">
        <v>42992</v>
      </c>
      <c r="AB466" s="117" t="s">
        <v>195</v>
      </c>
      <c r="AC466" s="63">
        <f t="shared" si="23"/>
        <v>1</v>
      </c>
      <c r="AD466" s="221" t="s">
        <v>217</v>
      </c>
      <c r="AE466" s="221" t="s">
        <v>218</v>
      </c>
      <c r="AF466" s="117"/>
      <c r="AG466" s="117"/>
      <c r="AH466" s="64"/>
      <c r="AI466" s="117" t="s">
        <v>184</v>
      </c>
      <c r="AJ466" s="222">
        <v>42996</v>
      </c>
      <c r="AK466" s="145" t="s">
        <v>1257</v>
      </c>
      <c r="AL466" s="117" t="s">
        <v>645</v>
      </c>
      <c r="AM466" s="222">
        <v>42998</v>
      </c>
    </row>
    <row r="467" spans="1:39" ht="12.75" hidden="1" customHeight="1">
      <c r="A467" s="147">
        <v>466</v>
      </c>
      <c r="B467" s="223">
        <v>205543</v>
      </c>
      <c r="C467" s="117" t="s">
        <v>1130</v>
      </c>
      <c r="D467" s="57">
        <v>42992</v>
      </c>
      <c r="E467" s="58" t="s">
        <v>1501</v>
      </c>
      <c r="F467" s="118">
        <v>42995</v>
      </c>
      <c r="G467" s="117">
        <f t="shared" si="22"/>
        <v>3</v>
      </c>
      <c r="H467" s="117" t="s">
        <v>133</v>
      </c>
      <c r="I467" s="221"/>
      <c r="J467" s="221"/>
      <c r="K467" s="94">
        <v>1599</v>
      </c>
      <c r="L467" s="94">
        <v>1599</v>
      </c>
      <c r="M467" s="221">
        <v>170</v>
      </c>
      <c r="N467" s="221">
        <v>150</v>
      </c>
      <c r="O467" s="93">
        <f t="shared" si="24"/>
        <v>1333.06</v>
      </c>
      <c r="P467" s="119" t="s">
        <v>262</v>
      </c>
      <c r="Q467" s="119" t="s">
        <v>1342</v>
      </c>
      <c r="R467" s="117" t="s">
        <v>143</v>
      </c>
      <c r="S467" s="62" t="s">
        <v>465</v>
      </c>
      <c r="T467" s="221" t="s">
        <v>88</v>
      </c>
      <c r="U467" s="221" t="s">
        <v>1227</v>
      </c>
      <c r="V467" s="221" t="s">
        <v>432</v>
      </c>
      <c r="W467" s="117"/>
      <c r="X467" s="117"/>
      <c r="Y467" s="221" t="s">
        <v>1172</v>
      </c>
      <c r="Z467" s="221" t="s">
        <v>189</v>
      </c>
      <c r="AA467" s="222">
        <v>42992</v>
      </c>
      <c r="AB467" s="117" t="s">
        <v>782</v>
      </c>
      <c r="AC467" s="63">
        <f t="shared" si="23"/>
        <v>1</v>
      </c>
      <c r="AD467" s="221" t="s">
        <v>217</v>
      </c>
      <c r="AE467" s="221" t="s">
        <v>218</v>
      </c>
      <c r="AF467" s="117"/>
      <c r="AG467" s="117"/>
      <c r="AH467" s="64"/>
      <c r="AI467" s="117"/>
      <c r="AJ467" s="221"/>
      <c r="AK467" s="145"/>
      <c r="AL467" s="117"/>
      <c r="AM467" s="221"/>
    </row>
    <row r="468" spans="1:39" ht="12.75" hidden="1" customHeight="1">
      <c r="A468" s="147">
        <v>467</v>
      </c>
      <c r="B468" s="223">
        <v>206016</v>
      </c>
      <c r="C468" s="117" t="s">
        <v>121</v>
      </c>
      <c r="D468" s="57">
        <v>42992</v>
      </c>
      <c r="E468" s="58" t="s">
        <v>1501</v>
      </c>
      <c r="F468" s="118">
        <v>43000</v>
      </c>
      <c r="G468" s="117">
        <f t="shared" si="22"/>
        <v>8</v>
      </c>
      <c r="H468" s="221" t="s">
        <v>133</v>
      </c>
      <c r="I468" s="221"/>
      <c r="J468" s="60" t="s">
        <v>614</v>
      </c>
      <c r="K468" s="94">
        <v>1999</v>
      </c>
      <c r="L468" s="94">
        <v>1999</v>
      </c>
      <c r="M468" s="221"/>
      <c r="N468" s="221"/>
      <c r="O468" s="151">
        <f t="shared" si="24"/>
        <v>0</v>
      </c>
      <c r="P468" s="119" t="s">
        <v>264</v>
      </c>
      <c r="Q468" s="119" t="s">
        <v>1342</v>
      </c>
      <c r="R468" s="146" t="s">
        <v>220</v>
      </c>
      <c r="S468" s="225" t="s">
        <v>469</v>
      </c>
      <c r="T468" s="146" t="s">
        <v>1106</v>
      </c>
      <c r="U468" s="221" t="s">
        <v>1234</v>
      </c>
      <c r="V468" s="221" t="s">
        <v>1235</v>
      </c>
      <c r="W468" s="146"/>
      <c r="X468" s="146"/>
      <c r="Y468" s="221"/>
      <c r="Z468" s="146" t="s">
        <v>367</v>
      </c>
      <c r="AA468" s="222"/>
      <c r="AB468" s="117"/>
      <c r="AC468" s="63">
        <f t="shared" si="23"/>
        <v>0</v>
      </c>
      <c r="AD468" s="221"/>
      <c r="AE468" s="221" t="s">
        <v>217</v>
      </c>
      <c r="AF468" s="117" t="s">
        <v>225</v>
      </c>
      <c r="AG468" s="117"/>
      <c r="AH468" s="64"/>
      <c r="AI468" s="117"/>
      <c r="AJ468" s="117"/>
      <c r="AK468" s="145"/>
      <c r="AL468" s="117"/>
      <c r="AM468" s="117"/>
    </row>
    <row r="469" spans="1:39" ht="12.75" hidden="1" customHeight="1">
      <c r="A469" s="147">
        <v>468</v>
      </c>
      <c r="B469" s="223">
        <v>205788</v>
      </c>
      <c r="C469" s="117" t="s">
        <v>1130</v>
      </c>
      <c r="D469" s="57">
        <v>42992</v>
      </c>
      <c r="E469" s="58" t="s">
        <v>1501</v>
      </c>
      <c r="F469" s="118">
        <v>42998</v>
      </c>
      <c r="G469" s="117">
        <f t="shared" si="22"/>
        <v>6</v>
      </c>
      <c r="H469" s="221" t="s">
        <v>133</v>
      </c>
      <c r="I469" s="125"/>
      <c r="J469" s="60" t="s">
        <v>614</v>
      </c>
      <c r="K469" s="94">
        <v>1114</v>
      </c>
      <c r="L469" s="94">
        <v>1114</v>
      </c>
      <c r="M469" s="221">
        <v>160</v>
      </c>
      <c r="N469" s="221">
        <v>80</v>
      </c>
      <c r="O469" s="93">
        <f t="shared" si="24"/>
        <v>887.16000000000008</v>
      </c>
      <c r="P469" s="119" t="s">
        <v>264</v>
      </c>
      <c r="Q469" s="119" t="s">
        <v>1342</v>
      </c>
      <c r="R469" s="146" t="s">
        <v>143</v>
      </c>
      <c r="S469" s="62" t="s">
        <v>465</v>
      </c>
      <c r="T469" s="221" t="s">
        <v>88</v>
      </c>
      <c r="U469" s="221" t="s">
        <v>1227</v>
      </c>
      <c r="V469" s="146" t="s">
        <v>432</v>
      </c>
      <c r="W469" s="146"/>
      <c r="X469" s="146"/>
      <c r="Y469" s="146" t="s">
        <v>1172</v>
      </c>
      <c r="Z469" s="117" t="s">
        <v>189</v>
      </c>
      <c r="AA469" s="222">
        <v>42998</v>
      </c>
      <c r="AB469" s="117" t="s">
        <v>140</v>
      </c>
      <c r="AC469" s="63">
        <f t="shared" si="23"/>
        <v>1</v>
      </c>
      <c r="AD469" s="221" t="s">
        <v>217</v>
      </c>
      <c r="AE469" s="221" t="s">
        <v>218</v>
      </c>
      <c r="AF469" s="117"/>
      <c r="AG469" s="117"/>
      <c r="AH469" s="64"/>
      <c r="AI469" s="117"/>
      <c r="AJ469" s="146"/>
      <c r="AK469" s="145"/>
      <c r="AL469" s="117"/>
      <c r="AM469" s="146"/>
    </row>
    <row r="470" spans="1:39" ht="12.75" hidden="1" customHeight="1">
      <c r="A470" s="147">
        <v>469</v>
      </c>
      <c r="B470" s="229">
        <v>206080</v>
      </c>
      <c r="C470" s="117" t="s">
        <v>1130</v>
      </c>
      <c r="D470" s="57">
        <v>42992</v>
      </c>
      <c r="E470" s="58" t="s">
        <v>1501</v>
      </c>
      <c r="F470" s="118">
        <v>43001</v>
      </c>
      <c r="G470" s="117">
        <f t="shared" si="22"/>
        <v>9</v>
      </c>
      <c r="H470" s="221" t="s">
        <v>133</v>
      </c>
      <c r="I470" s="125"/>
      <c r="J470" s="60" t="s">
        <v>614</v>
      </c>
      <c r="K470" s="94">
        <v>1599</v>
      </c>
      <c r="L470" s="94">
        <v>1599</v>
      </c>
      <c r="M470" s="221">
        <v>0</v>
      </c>
      <c r="N470" s="221">
        <v>190</v>
      </c>
      <c r="O470" s="93">
        <f t="shared" si="24"/>
        <v>1313.06</v>
      </c>
      <c r="P470" s="119" t="s">
        <v>264</v>
      </c>
      <c r="Q470" s="119" t="s">
        <v>1342</v>
      </c>
      <c r="R470" s="221" t="s">
        <v>143</v>
      </c>
      <c r="S470" s="62" t="s">
        <v>465</v>
      </c>
      <c r="T470" s="221" t="s">
        <v>88</v>
      </c>
      <c r="U470" s="221" t="s">
        <v>1227</v>
      </c>
      <c r="V470" s="221" t="s">
        <v>432</v>
      </c>
      <c r="W470" s="146"/>
      <c r="X470" s="146"/>
      <c r="Y470" s="221" t="s">
        <v>1172</v>
      </c>
      <c r="Z470" s="117" t="s">
        <v>189</v>
      </c>
      <c r="AA470" s="222">
        <v>42998</v>
      </c>
      <c r="AB470" s="117" t="s">
        <v>140</v>
      </c>
      <c r="AC470" s="63">
        <f t="shared" si="23"/>
        <v>1</v>
      </c>
      <c r="AD470" s="221" t="s">
        <v>217</v>
      </c>
      <c r="AE470" s="221" t="s">
        <v>218</v>
      </c>
      <c r="AF470" s="117"/>
      <c r="AG470" s="117"/>
      <c r="AH470" s="64"/>
      <c r="AI470" s="117"/>
      <c r="AJ470" s="221"/>
      <c r="AK470" s="145"/>
      <c r="AL470" s="117"/>
      <c r="AM470" s="221"/>
    </row>
    <row r="471" spans="1:39" ht="12.75" hidden="1" customHeight="1">
      <c r="A471" s="147">
        <v>470</v>
      </c>
      <c r="B471" s="223">
        <v>205644</v>
      </c>
      <c r="C471" s="117" t="s">
        <v>128</v>
      </c>
      <c r="D471" s="57">
        <v>42993</v>
      </c>
      <c r="E471" s="58" t="s">
        <v>1501</v>
      </c>
      <c r="F471" s="118">
        <v>43000</v>
      </c>
      <c r="G471" s="117">
        <f t="shared" si="22"/>
        <v>7</v>
      </c>
      <c r="H471" s="117" t="s">
        <v>363</v>
      </c>
      <c r="I471" s="221"/>
      <c r="J471" s="221"/>
      <c r="K471" s="94">
        <v>4999</v>
      </c>
      <c r="L471" s="94">
        <v>4999</v>
      </c>
      <c r="M471" s="96">
        <v>0</v>
      </c>
      <c r="N471" s="221"/>
      <c r="O471" s="93">
        <f t="shared" si="24"/>
        <v>4699.0600000000004</v>
      </c>
      <c r="P471" s="119" t="s">
        <v>264</v>
      </c>
      <c r="Q471" s="119" t="s">
        <v>1342</v>
      </c>
      <c r="R471" s="221" t="s">
        <v>87</v>
      </c>
      <c r="S471" s="62" t="s">
        <v>465</v>
      </c>
      <c r="T471" s="221" t="s">
        <v>114</v>
      </c>
      <c r="U471" s="221" t="s">
        <v>1232</v>
      </c>
      <c r="V471" s="221" t="s">
        <v>1233</v>
      </c>
      <c r="W471" s="117"/>
      <c r="X471" s="117"/>
      <c r="Y471" s="117"/>
      <c r="Z471" s="117" t="s">
        <v>147</v>
      </c>
      <c r="AA471" s="221"/>
      <c r="AB471" s="117"/>
      <c r="AC471" s="63">
        <f t="shared" si="23"/>
        <v>1</v>
      </c>
      <c r="AD471" s="221"/>
      <c r="AE471" s="117"/>
      <c r="AF471" s="117"/>
      <c r="AG471" s="117"/>
      <c r="AH471" s="64" t="s">
        <v>1239</v>
      </c>
      <c r="AI471" s="117"/>
      <c r="AJ471" s="146"/>
      <c r="AK471" s="145"/>
      <c r="AL471" s="117"/>
      <c r="AM471" s="146"/>
    </row>
    <row r="472" spans="1:39" ht="25.5" hidden="1" customHeight="1">
      <c r="A472" s="147">
        <v>471</v>
      </c>
      <c r="B472" s="223">
        <v>206440</v>
      </c>
      <c r="C472" s="117" t="s">
        <v>1130</v>
      </c>
      <c r="D472" s="57">
        <v>42996</v>
      </c>
      <c r="E472" s="58" t="s">
        <v>1501</v>
      </c>
      <c r="F472" s="118">
        <v>43003</v>
      </c>
      <c r="G472" s="117">
        <f t="shared" si="22"/>
        <v>7</v>
      </c>
      <c r="H472" s="221" t="s">
        <v>363</v>
      </c>
      <c r="I472" s="221"/>
      <c r="J472" s="60" t="s">
        <v>614</v>
      </c>
      <c r="K472" s="94">
        <v>1699</v>
      </c>
      <c r="L472" s="94">
        <v>1699</v>
      </c>
      <c r="M472" s="96">
        <v>0</v>
      </c>
      <c r="N472" s="221"/>
      <c r="O472" s="93">
        <f t="shared" si="24"/>
        <v>1597.06</v>
      </c>
      <c r="P472" s="119" t="s">
        <v>264</v>
      </c>
      <c r="Q472" s="119" t="s">
        <v>1342</v>
      </c>
      <c r="R472" s="146" t="s">
        <v>122</v>
      </c>
      <c r="S472" s="225" t="s">
        <v>469</v>
      </c>
      <c r="T472" s="146" t="s">
        <v>114</v>
      </c>
      <c r="U472" s="221" t="s">
        <v>1236</v>
      </c>
      <c r="V472" s="221" t="s">
        <v>1237</v>
      </c>
      <c r="W472" s="117"/>
      <c r="X472" s="117"/>
      <c r="Y472" s="221"/>
      <c r="Z472" s="117" t="s">
        <v>170</v>
      </c>
      <c r="AA472" s="221"/>
      <c r="AB472" s="117"/>
      <c r="AC472" s="63">
        <f t="shared" si="23"/>
        <v>1</v>
      </c>
      <c r="AD472" s="221"/>
      <c r="AE472" s="117"/>
      <c r="AF472" s="117"/>
      <c r="AG472" s="117"/>
      <c r="AH472" s="64" t="s">
        <v>1246</v>
      </c>
      <c r="AI472" s="117"/>
      <c r="AJ472" s="221"/>
      <c r="AK472" s="145"/>
      <c r="AL472" s="117"/>
      <c r="AM472" s="221"/>
    </row>
    <row r="473" spans="1:39" ht="12.75" hidden="1" customHeight="1">
      <c r="A473" s="147">
        <v>472</v>
      </c>
      <c r="B473" s="223">
        <v>206569</v>
      </c>
      <c r="C473" s="117" t="s">
        <v>1130</v>
      </c>
      <c r="D473" s="57">
        <v>42996</v>
      </c>
      <c r="E473" s="58" t="s">
        <v>1501</v>
      </c>
      <c r="F473" s="118">
        <v>43009</v>
      </c>
      <c r="G473" s="146">
        <f t="shared" si="22"/>
        <v>13</v>
      </c>
      <c r="H473" s="221" t="s">
        <v>133</v>
      </c>
      <c r="I473" s="221"/>
      <c r="J473" s="221" t="s">
        <v>614</v>
      </c>
      <c r="K473" s="94">
        <v>3999</v>
      </c>
      <c r="L473" s="221"/>
      <c r="M473" s="221">
        <v>290</v>
      </c>
      <c r="N473" s="221">
        <v>270</v>
      </c>
      <c r="O473" s="93">
        <f t="shared" si="24"/>
        <v>3469.06</v>
      </c>
      <c r="P473" s="119" t="s">
        <v>264</v>
      </c>
      <c r="Q473" s="119" t="s">
        <v>1342</v>
      </c>
      <c r="R473" s="221" t="s">
        <v>134</v>
      </c>
      <c r="S473" s="62" t="s">
        <v>465</v>
      </c>
      <c r="T473" s="221" t="s">
        <v>88</v>
      </c>
      <c r="U473" s="221" t="s">
        <v>1460</v>
      </c>
      <c r="V473" s="221" t="s">
        <v>429</v>
      </c>
      <c r="W473" s="117"/>
      <c r="X473" s="117"/>
      <c r="Y473" s="221" t="s">
        <v>1172</v>
      </c>
      <c r="Z473" s="117" t="s">
        <v>189</v>
      </c>
      <c r="AA473" s="222">
        <v>42996</v>
      </c>
      <c r="AB473" s="117" t="s">
        <v>782</v>
      </c>
      <c r="AC473" s="63">
        <f t="shared" si="23"/>
        <v>1</v>
      </c>
      <c r="AD473" s="221" t="s">
        <v>217</v>
      </c>
      <c r="AE473" s="221" t="s">
        <v>218</v>
      </c>
      <c r="AF473" s="117"/>
      <c r="AG473" s="117"/>
      <c r="AH473" s="64"/>
      <c r="AI473" s="117"/>
      <c r="AJ473" s="146"/>
      <c r="AK473" s="221"/>
      <c r="AL473" s="117"/>
      <c r="AM473" s="146"/>
    </row>
    <row r="474" spans="1:39" ht="12.75" hidden="1" customHeight="1">
      <c r="A474" s="147">
        <v>473</v>
      </c>
      <c r="B474" s="223">
        <v>205876</v>
      </c>
      <c r="C474" s="146" t="s">
        <v>1130</v>
      </c>
      <c r="D474" s="57">
        <v>42997</v>
      </c>
      <c r="E474" s="58" t="s">
        <v>1501</v>
      </c>
      <c r="F474" s="118">
        <v>43000</v>
      </c>
      <c r="G474" s="146">
        <f t="shared" si="22"/>
        <v>3</v>
      </c>
      <c r="H474" s="221" t="s">
        <v>133</v>
      </c>
      <c r="I474" s="221"/>
      <c r="J474" s="60" t="s">
        <v>614</v>
      </c>
      <c r="K474" s="94">
        <v>2599</v>
      </c>
      <c r="L474" s="94">
        <v>2599</v>
      </c>
      <c r="M474" s="221">
        <v>320</v>
      </c>
      <c r="N474" s="221">
        <v>180</v>
      </c>
      <c r="O474" s="93">
        <f t="shared" si="24"/>
        <v>2123.06</v>
      </c>
      <c r="P474" s="119" t="s">
        <v>264</v>
      </c>
      <c r="Q474" s="119" t="s">
        <v>1342</v>
      </c>
      <c r="R474" s="146" t="s">
        <v>122</v>
      </c>
      <c r="S474" s="225" t="s">
        <v>469</v>
      </c>
      <c r="T474" s="221" t="s">
        <v>114</v>
      </c>
      <c r="U474" s="221" t="s">
        <v>525</v>
      </c>
      <c r="V474" s="222" t="s">
        <v>169</v>
      </c>
      <c r="W474" s="117"/>
      <c r="X474" s="117"/>
      <c r="Y474" s="221" t="s">
        <v>316</v>
      </c>
      <c r="Z474" s="117" t="s">
        <v>170</v>
      </c>
      <c r="AA474" s="222">
        <v>42997</v>
      </c>
      <c r="AB474" s="117" t="s">
        <v>140</v>
      </c>
      <c r="AC474" s="63">
        <f t="shared" si="23"/>
        <v>1</v>
      </c>
      <c r="AD474" s="221" t="s">
        <v>217</v>
      </c>
      <c r="AE474" s="221" t="s">
        <v>218</v>
      </c>
      <c r="AF474" s="117"/>
      <c r="AG474" s="117"/>
      <c r="AH474" s="64" t="s">
        <v>1226</v>
      </c>
      <c r="AI474" s="117" t="s">
        <v>184</v>
      </c>
      <c r="AJ474" s="222">
        <v>43010</v>
      </c>
      <c r="AK474" s="145" t="s">
        <v>1274</v>
      </c>
      <c r="AL474" s="117" t="s">
        <v>645</v>
      </c>
      <c r="AM474" s="222">
        <v>43010</v>
      </c>
    </row>
    <row r="475" spans="1:39" ht="25.5" hidden="1" customHeight="1">
      <c r="A475" s="147">
        <v>474</v>
      </c>
      <c r="B475" s="223">
        <v>206064</v>
      </c>
      <c r="C475" s="146" t="s">
        <v>1130</v>
      </c>
      <c r="D475" s="57">
        <v>42997</v>
      </c>
      <c r="E475" s="58" t="s">
        <v>1501</v>
      </c>
      <c r="F475" s="118">
        <v>43002</v>
      </c>
      <c r="G475" s="117">
        <f t="shared" si="22"/>
        <v>5</v>
      </c>
      <c r="H475" s="221" t="s">
        <v>133</v>
      </c>
      <c r="I475" s="221"/>
      <c r="J475" s="60" t="s">
        <v>614</v>
      </c>
      <c r="K475" s="94">
        <v>2469</v>
      </c>
      <c r="L475" s="94">
        <v>2469.0500000000002</v>
      </c>
      <c r="M475" s="221">
        <v>320</v>
      </c>
      <c r="N475" s="221">
        <v>180</v>
      </c>
      <c r="O475" s="93">
        <f t="shared" si="24"/>
        <v>2000.8600000000001</v>
      </c>
      <c r="P475" s="119" t="s">
        <v>264</v>
      </c>
      <c r="Q475" s="119" t="s">
        <v>1342</v>
      </c>
      <c r="R475" s="221" t="s">
        <v>122</v>
      </c>
      <c r="S475" s="225" t="s">
        <v>469</v>
      </c>
      <c r="T475" s="221" t="s">
        <v>114</v>
      </c>
      <c r="U475" s="221" t="s">
        <v>458</v>
      </c>
      <c r="V475" s="222" t="s">
        <v>169</v>
      </c>
      <c r="W475" s="117"/>
      <c r="X475" s="117"/>
      <c r="Y475" s="221" t="s">
        <v>316</v>
      </c>
      <c r="Z475" s="146" t="s">
        <v>170</v>
      </c>
      <c r="AA475" s="118">
        <v>42997</v>
      </c>
      <c r="AB475" s="117" t="s">
        <v>140</v>
      </c>
      <c r="AC475" s="63">
        <f t="shared" si="23"/>
        <v>1</v>
      </c>
      <c r="AD475" s="221" t="s">
        <v>217</v>
      </c>
      <c r="AE475" s="221" t="s">
        <v>218</v>
      </c>
      <c r="AF475" s="146"/>
      <c r="AG475" s="117"/>
      <c r="AH475" s="64" t="s">
        <v>1226</v>
      </c>
      <c r="AI475" s="117" t="s">
        <v>184</v>
      </c>
      <c r="AJ475" s="222">
        <v>43010</v>
      </c>
      <c r="AK475" s="145" t="s">
        <v>1275</v>
      </c>
      <c r="AL475" s="117" t="s">
        <v>645</v>
      </c>
      <c r="AM475" s="222">
        <v>43010</v>
      </c>
    </row>
    <row r="476" spans="1:39" ht="12.75" hidden="1" customHeight="1">
      <c r="A476" s="147">
        <v>475</v>
      </c>
      <c r="B476" s="223">
        <v>205917</v>
      </c>
      <c r="C476" s="146" t="s">
        <v>121</v>
      </c>
      <c r="D476" s="57">
        <v>42997</v>
      </c>
      <c r="E476" s="58" t="s">
        <v>1501</v>
      </c>
      <c r="F476" s="118">
        <v>43002</v>
      </c>
      <c r="G476" s="117">
        <f t="shared" si="22"/>
        <v>5</v>
      </c>
      <c r="H476" s="221" t="s">
        <v>363</v>
      </c>
      <c r="I476" s="221"/>
      <c r="J476" s="60" t="s">
        <v>614</v>
      </c>
      <c r="K476" s="94">
        <v>2849.05</v>
      </c>
      <c r="L476" s="94">
        <v>2849.05</v>
      </c>
      <c r="M476" s="96">
        <v>0</v>
      </c>
      <c r="N476" s="221"/>
      <c r="O476" s="151">
        <f t="shared" si="24"/>
        <v>0</v>
      </c>
      <c r="P476" s="119" t="s">
        <v>264</v>
      </c>
      <c r="Q476" s="119" t="s">
        <v>1342</v>
      </c>
      <c r="R476" s="146" t="s">
        <v>87</v>
      </c>
      <c r="S476" s="62" t="s">
        <v>465</v>
      </c>
      <c r="T476" s="221" t="s">
        <v>88</v>
      </c>
      <c r="U476" s="221" t="s">
        <v>1245</v>
      </c>
      <c r="V476" s="221" t="s">
        <v>90</v>
      </c>
      <c r="W476" s="117"/>
      <c r="X476" s="117"/>
      <c r="Y476" s="221"/>
      <c r="Z476" s="146" t="s">
        <v>434</v>
      </c>
      <c r="AA476" s="221"/>
      <c r="AB476" s="117" t="s">
        <v>195</v>
      </c>
      <c r="AC476" s="63">
        <f t="shared" si="23"/>
        <v>0</v>
      </c>
      <c r="AD476" s="221"/>
      <c r="AE476" s="221" t="s">
        <v>217</v>
      </c>
      <c r="AF476" s="148" t="s">
        <v>1625</v>
      </c>
      <c r="AG476" s="117"/>
      <c r="AH476" s="64" t="s">
        <v>1259</v>
      </c>
      <c r="AI476" s="117"/>
      <c r="AJ476" s="117"/>
      <c r="AK476" s="145"/>
      <c r="AL476" s="117"/>
      <c r="AM476" s="117"/>
    </row>
    <row r="477" spans="1:39" ht="12.75" hidden="1" customHeight="1">
      <c r="A477" s="147">
        <v>476</v>
      </c>
      <c r="B477" s="223">
        <v>206026</v>
      </c>
      <c r="C477" s="117" t="s">
        <v>121</v>
      </c>
      <c r="D477" s="57">
        <v>42997</v>
      </c>
      <c r="E477" s="58" t="s">
        <v>1501</v>
      </c>
      <c r="F477" s="118">
        <v>43002</v>
      </c>
      <c r="G477" s="117">
        <f t="shared" si="22"/>
        <v>5</v>
      </c>
      <c r="H477" s="146" t="s">
        <v>133</v>
      </c>
      <c r="I477" s="221"/>
      <c r="J477" s="223" t="s">
        <v>614</v>
      </c>
      <c r="K477" s="94">
        <v>4999</v>
      </c>
      <c r="L477" s="94">
        <v>4999</v>
      </c>
      <c r="M477" s="221">
        <v>104.09</v>
      </c>
      <c r="N477" s="221">
        <v>230</v>
      </c>
      <c r="O477" s="93">
        <f t="shared" si="24"/>
        <v>4469.0600000000004</v>
      </c>
      <c r="P477" s="119" t="s">
        <v>263</v>
      </c>
      <c r="Q477" s="119" t="s">
        <v>1341</v>
      </c>
      <c r="R477" s="117" t="s">
        <v>134</v>
      </c>
      <c r="S477" s="62" t="s">
        <v>465</v>
      </c>
      <c r="T477" s="117" t="s">
        <v>114</v>
      </c>
      <c r="U477" s="221" t="s">
        <v>1247</v>
      </c>
      <c r="V477" s="146" t="s">
        <v>1248</v>
      </c>
      <c r="W477" s="117"/>
      <c r="X477" s="117"/>
      <c r="Y477" s="221" t="s">
        <v>91</v>
      </c>
      <c r="Z477" s="117" t="s">
        <v>1118</v>
      </c>
      <c r="AA477" s="222">
        <v>42999</v>
      </c>
      <c r="AB477" s="117" t="s">
        <v>872</v>
      </c>
      <c r="AC477" s="63">
        <f t="shared" si="23"/>
        <v>1</v>
      </c>
      <c r="AD477" s="221" t="s">
        <v>217</v>
      </c>
      <c r="AE477" s="221" t="s">
        <v>218</v>
      </c>
      <c r="AF477" s="117"/>
      <c r="AG477" s="117"/>
      <c r="AH477" s="64"/>
      <c r="AI477" s="117" t="s">
        <v>82</v>
      </c>
      <c r="AJ477" s="222">
        <v>43000</v>
      </c>
      <c r="AK477" s="145" t="s">
        <v>1294</v>
      </c>
      <c r="AL477" s="117" t="s">
        <v>645</v>
      </c>
      <c r="AM477" s="221"/>
    </row>
    <row r="478" spans="1:39" ht="12.75" hidden="1" customHeight="1">
      <c r="A478" s="147">
        <v>477</v>
      </c>
      <c r="B478" s="223">
        <v>206686</v>
      </c>
      <c r="C478" s="117" t="s">
        <v>1130</v>
      </c>
      <c r="D478" s="57">
        <v>42998</v>
      </c>
      <c r="E478" s="58" t="s">
        <v>1501</v>
      </c>
      <c r="F478" s="118">
        <v>43008</v>
      </c>
      <c r="G478" s="117">
        <f t="shared" si="22"/>
        <v>10</v>
      </c>
      <c r="H478" s="221" t="s">
        <v>133</v>
      </c>
      <c r="I478" s="221"/>
      <c r="J478" s="60" t="s">
        <v>614</v>
      </c>
      <c r="K478" s="94">
        <v>2319</v>
      </c>
      <c r="L478" s="94">
        <v>2319.1999999999998</v>
      </c>
      <c r="M478" s="221">
        <v>70</v>
      </c>
      <c r="N478" s="221"/>
      <c r="O478" s="93">
        <f t="shared" si="24"/>
        <v>2109.86</v>
      </c>
      <c r="P478" s="119" t="s">
        <v>264</v>
      </c>
      <c r="Q478" s="119" t="s">
        <v>1342</v>
      </c>
      <c r="R478" s="221" t="s">
        <v>237</v>
      </c>
      <c r="S478" s="62" t="s">
        <v>465</v>
      </c>
      <c r="T478" s="221" t="s">
        <v>1011</v>
      </c>
      <c r="U478" s="221" t="s">
        <v>1255</v>
      </c>
      <c r="V478" s="221" t="s">
        <v>1256</v>
      </c>
      <c r="W478" s="117"/>
      <c r="X478" s="117"/>
      <c r="Y478" s="221" t="s">
        <v>203</v>
      </c>
      <c r="Z478" s="146" t="s">
        <v>315</v>
      </c>
      <c r="AA478" s="222">
        <v>42999</v>
      </c>
      <c r="AB478" s="117" t="s">
        <v>1102</v>
      </c>
      <c r="AC478" s="63">
        <f t="shared" si="23"/>
        <v>1</v>
      </c>
      <c r="AD478" s="221" t="s">
        <v>217</v>
      </c>
      <c r="AE478" s="221" t="s">
        <v>218</v>
      </c>
      <c r="AF478" s="117"/>
      <c r="AG478" s="117"/>
      <c r="AH478" s="64"/>
      <c r="AI478" s="117"/>
      <c r="AJ478" s="221"/>
      <c r="AK478" s="145"/>
      <c r="AL478" s="117"/>
      <c r="AM478" s="221"/>
    </row>
    <row r="479" spans="1:39" ht="12.75" hidden="1" customHeight="1">
      <c r="A479" s="147">
        <v>478</v>
      </c>
      <c r="B479" s="223">
        <v>206584</v>
      </c>
      <c r="C479" s="117" t="s">
        <v>1130</v>
      </c>
      <c r="D479" s="57">
        <v>42998</v>
      </c>
      <c r="E479" s="58" t="s">
        <v>1501</v>
      </c>
      <c r="F479" s="118">
        <v>43008</v>
      </c>
      <c r="G479" s="146">
        <f t="shared" si="22"/>
        <v>10</v>
      </c>
      <c r="H479" s="221" t="s">
        <v>363</v>
      </c>
      <c r="I479" s="221"/>
      <c r="J479" s="223" t="s">
        <v>614</v>
      </c>
      <c r="K479" s="94">
        <v>2574.1</v>
      </c>
      <c r="L479" s="94">
        <v>2574.1</v>
      </c>
      <c r="M479" s="96">
        <v>0</v>
      </c>
      <c r="N479" s="221"/>
      <c r="O479" s="151">
        <f t="shared" si="24"/>
        <v>0</v>
      </c>
      <c r="P479" s="119" t="s">
        <v>264</v>
      </c>
      <c r="Q479" s="119" t="s">
        <v>1342</v>
      </c>
      <c r="R479" s="146" t="s">
        <v>122</v>
      </c>
      <c r="S479" s="225" t="s">
        <v>469</v>
      </c>
      <c r="T479" s="221" t="s">
        <v>114</v>
      </c>
      <c r="U479" s="221" t="s">
        <v>1252</v>
      </c>
      <c r="V479" s="221" t="s">
        <v>222</v>
      </c>
      <c r="W479" s="117"/>
      <c r="X479" s="117"/>
      <c r="Y479" s="221"/>
      <c r="Z479" s="117" t="s">
        <v>170</v>
      </c>
      <c r="AA479" s="221"/>
      <c r="AB479" s="117"/>
      <c r="AC479" s="63">
        <f t="shared" si="23"/>
        <v>0</v>
      </c>
      <c r="AD479" s="221"/>
      <c r="AE479" s="221" t="s">
        <v>217</v>
      </c>
      <c r="AF479" s="117" t="s">
        <v>225</v>
      </c>
      <c r="AG479" s="117"/>
      <c r="AH479" s="64"/>
      <c r="AI479" s="117"/>
      <c r="AJ479" s="146"/>
      <c r="AK479" s="145"/>
      <c r="AL479" s="117"/>
      <c r="AM479" s="146"/>
    </row>
    <row r="480" spans="1:39" ht="25.5" hidden="1" customHeight="1">
      <c r="A480" s="147">
        <v>479</v>
      </c>
      <c r="B480" s="223">
        <v>206604</v>
      </c>
      <c r="C480" s="117" t="s">
        <v>1130</v>
      </c>
      <c r="D480" s="57">
        <v>42998</v>
      </c>
      <c r="E480" s="58" t="s">
        <v>1501</v>
      </c>
      <c r="F480" s="118">
        <v>43009</v>
      </c>
      <c r="G480" s="146">
        <f t="shared" si="22"/>
        <v>11</v>
      </c>
      <c r="H480" s="221" t="s">
        <v>363</v>
      </c>
      <c r="I480" s="221"/>
      <c r="J480" s="60" t="s">
        <v>614</v>
      </c>
      <c r="K480" s="94">
        <v>5999.25</v>
      </c>
      <c r="L480" s="94">
        <v>5999.25</v>
      </c>
      <c r="M480" s="96">
        <v>0</v>
      </c>
      <c r="N480" s="221"/>
      <c r="O480" s="151">
        <f t="shared" si="24"/>
        <v>0</v>
      </c>
      <c r="P480" s="119" t="s">
        <v>263</v>
      </c>
      <c r="Q480" s="119" t="s">
        <v>1341</v>
      </c>
      <c r="R480" s="221" t="s">
        <v>122</v>
      </c>
      <c r="S480" s="225" t="s">
        <v>469</v>
      </c>
      <c r="T480" s="221" t="s">
        <v>114</v>
      </c>
      <c r="U480" s="221" t="s">
        <v>1253</v>
      </c>
      <c r="V480" s="221" t="s">
        <v>222</v>
      </c>
      <c r="W480" s="221"/>
      <c r="X480" s="117"/>
      <c r="Y480" s="221"/>
      <c r="Z480" s="117" t="s">
        <v>170</v>
      </c>
      <c r="AA480" s="221"/>
      <c r="AB480" s="117"/>
      <c r="AC480" s="63">
        <f t="shared" si="23"/>
        <v>0</v>
      </c>
      <c r="AD480" s="221"/>
      <c r="AE480" s="221" t="s">
        <v>217</v>
      </c>
      <c r="AF480" s="117" t="s">
        <v>225</v>
      </c>
      <c r="AG480" s="117"/>
      <c r="AH480" s="64"/>
      <c r="AI480" s="117"/>
      <c r="AJ480" s="221"/>
      <c r="AK480" s="145"/>
      <c r="AL480" s="117"/>
      <c r="AM480" s="221"/>
    </row>
    <row r="481" spans="1:39" ht="12.75" hidden="1" customHeight="1">
      <c r="A481" s="147">
        <v>480</v>
      </c>
      <c r="B481" s="223">
        <v>206813</v>
      </c>
      <c r="C481" s="117" t="s">
        <v>1130</v>
      </c>
      <c r="D481" s="57">
        <v>42998</v>
      </c>
      <c r="E481" s="58" t="s">
        <v>1501</v>
      </c>
      <c r="F481" s="118">
        <v>43011</v>
      </c>
      <c r="G481" s="146">
        <f t="shared" si="22"/>
        <v>13</v>
      </c>
      <c r="H481" s="221" t="s">
        <v>363</v>
      </c>
      <c r="I481" s="125"/>
      <c r="J481" s="60" t="s">
        <v>614</v>
      </c>
      <c r="K481" s="94">
        <v>1699</v>
      </c>
      <c r="L481" s="94">
        <v>1699</v>
      </c>
      <c r="M481" s="96">
        <v>0</v>
      </c>
      <c r="N481" s="221"/>
      <c r="O481" s="151">
        <f t="shared" si="24"/>
        <v>0</v>
      </c>
      <c r="P481" s="119" t="s">
        <v>264</v>
      </c>
      <c r="Q481" s="119" t="s">
        <v>1342</v>
      </c>
      <c r="R481" s="221" t="s">
        <v>122</v>
      </c>
      <c r="S481" s="225" t="s">
        <v>469</v>
      </c>
      <c r="T481" s="221" t="s">
        <v>114</v>
      </c>
      <c r="U481" s="221" t="s">
        <v>1254</v>
      </c>
      <c r="V481" s="221" t="s">
        <v>222</v>
      </c>
      <c r="W481" s="146"/>
      <c r="X481" s="117"/>
      <c r="Y481" s="221"/>
      <c r="Z481" s="117" t="s">
        <v>170</v>
      </c>
      <c r="AA481" s="221"/>
      <c r="AB481" s="117"/>
      <c r="AC481" s="63">
        <f t="shared" si="23"/>
        <v>0</v>
      </c>
      <c r="AD481" s="221"/>
      <c r="AE481" s="221" t="s">
        <v>217</v>
      </c>
      <c r="AF481" s="117" t="s">
        <v>225</v>
      </c>
      <c r="AG481" s="117"/>
      <c r="AH481" s="64"/>
      <c r="AI481" s="146"/>
      <c r="AJ481" s="221"/>
      <c r="AK481" s="145"/>
      <c r="AL481" s="146"/>
      <c r="AM481" s="221"/>
    </row>
    <row r="482" spans="1:39" ht="12.75" hidden="1" customHeight="1">
      <c r="A482" s="147">
        <v>481</v>
      </c>
      <c r="B482" s="223">
        <v>206930</v>
      </c>
      <c r="C482" s="146" t="s">
        <v>1130</v>
      </c>
      <c r="D482" s="57">
        <v>42999</v>
      </c>
      <c r="E482" s="58" t="s">
        <v>1501</v>
      </c>
      <c r="F482" s="118">
        <v>43014</v>
      </c>
      <c r="G482" s="146">
        <f t="shared" si="22"/>
        <v>15</v>
      </c>
      <c r="H482" s="221" t="s">
        <v>363</v>
      </c>
      <c r="I482" s="125"/>
      <c r="J482" s="221" t="s">
        <v>614</v>
      </c>
      <c r="K482" s="94">
        <v>1999</v>
      </c>
      <c r="L482" s="94">
        <v>1999</v>
      </c>
      <c r="M482" s="96">
        <v>0</v>
      </c>
      <c r="N482" s="221"/>
      <c r="O482" s="151">
        <f t="shared" si="24"/>
        <v>1879.06</v>
      </c>
      <c r="P482" s="119" t="s">
        <v>262</v>
      </c>
      <c r="Q482" s="119" t="s">
        <v>1342</v>
      </c>
      <c r="R482" s="221" t="s">
        <v>143</v>
      </c>
      <c r="S482" s="62" t="s">
        <v>465</v>
      </c>
      <c r="T482" s="221" t="s">
        <v>114</v>
      </c>
      <c r="U482" s="221" t="s">
        <v>832</v>
      </c>
      <c r="V482" s="221" t="s">
        <v>519</v>
      </c>
      <c r="W482" s="146"/>
      <c r="X482" s="146"/>
      <c r="Y482" s="221"/>
      <c r="Z482" s="146" t="s">
        <v>170</v>
      </c>
      <c r="AA482" s="221"/>
      <c r="AB482" s="146"/>
      <c r="AC482" s="63">
        <f t="shared" si="23"/>
        <v>1</v>
      </c>
      <c r="AD482" s="221"/>
      <c r="AE482" s="146"/>
      <c r="AF482" s="146"/>
      <c r="AG482" s="146"/>
      <c r="AH482" s="126" t="s">
        <v>1264</v>
      </c>
      <c r="AI482" s="146"/>
      <c r="AJ482" s="146"/>
      <c r="AK482" s="145"/>
      <c r="AL482" s="146"/>
      <c r="AM482" s="146"/>
    </row>
    <row r="483" spans="1:39" ht="12.75" hidden="1" customHeight="1">
      <c r="A483" s="147">
        <v>482</v>
      </c>
      <c r="B483" s="223">
        <v>206583</v>
      </c>
      <c r="C483" s="146" t="s">
        <v>128</v>
      </c>
      <c r="D483" s="57">
        <v>43003</v>
      </c>
      <c r="E483" s="58" t="s">
        <v>1501</v>
      </c>
      <c r="F483" s="118">
        <v>43011</v>
      </c>
      <c r="G483" s="146">
        <f t="shared" si="22"/>
        <v>8</v>
      </c>
      <c r="H483" s="221" t="s">
        <v>133</v>
      </c>
      <c r="I483" s="221"/>
      <c r="J483" s="221" t="s">
        <v>614</v>
      </c>
      <c r="K483" s="94">
        <v>2399</v>
      </c>
      <c r="L483" s="94">
        <v>2399.25</v>
      </c>
      <c r="M483" s="221">
        <v>370</v>
      </c>
      <c r="N483" s="221">
        <v>140</v>
      </c>
      <c r="O483" s="93">
        <f t="shared" si="24"/>
        <v>1885.06</v>
      </c>
      <c r="P483" s="119" t="s">
        <v>263</v>
      </c>
      <c r="Q483" s="119" t="s">
        <v>1341</v>
      </c>
      <c r="R483" s="221" t="s">
        <v>237</v>
      </c>
      <c r="S483" s="62" t="s">
        <v>465</v>
      </c>
      <c r="T483" s="221" t="s">
        <v>1011</v>
      </c>
      <c r="U483" s="221" t="s">
        <v>1260</v>
      </c>
      <c r="V483" s="221" t="s">
        <v>1261</v>
      </c>
      <c r="W483" s="146"/>
      <c r="X483" s="146"/>
      <c r="Y483" s="146" t="s">
        <v>203</v>
      </c>
      <c r="Z483" s="146" t="s">
        <v>1097</v>
      </c>
      <c r="AA483" s="222">
        <v>43004</v>
      </c>
      <c r="AB483" s="146" t="s">
        <v>1101</v>
      </c>
      <c r="AC483" s="63">
        <f t="shared" si="23"/>
        <v>1</v>
      </c>
      <c r="AD483" s="221" t="s">
        <v>217</v>
      </c>
      <c r="AE483" s="221" t="s">
        <v>218</v>
      </c>
      <c r="AF483" s="146"/>
      <c r="AG483" s="146"/>
      <c r="AH483" s="64"/>
      <c r="AI483" s="146"/>
      <c r="AJ483" s="221"/>
      <c r="AK483" s="145"/>
      <c r="AL483" s="146"/>
      <c r="AM483" s="146"/>
    </row>
    <row r="484" spans="1:39" ht="12.75" hidden="1" customHeight="1">
      <c r="A484" s="147">
        <v>483</v>
      </c>
      <c r="B484" s="223">
        <v>206601</v>
      </c>
      <c r="C484" s="146" t="s">
        <v>121</v>
      </c>
      <c r="D484" s="57">
        <v>43003</v>
      </c>
      <c r="E484" s="58" t="s">
        <v>1501</v>
      </c>
      <c r="F484" s="118">
        <v>43010</v>
      </c>
      <c r="G484" s="146">
        <f t="shared" si="22"/>
        <v>7</v>
      </c>
      <c r="H484" s="146" t="s">
        <v>133</v>
      </c>
      <c r="I484" s="221"/>
      <c r="J484" s="221" t="s">
        <v>614</v>
      </c>
      <c r="K484" s="94">
        <v>2133</v>
      </c>
      <c r="L484" s="94">
        <v>2133.0300000000002</v>
      </c>
      <c r="M484" s="221">
        <v>340</v>
      </c>
      <c r="N484" s="221">
        <v>230</v>
      </c>
      <c r="O484" s="93">
        <f t="shared" si="24"/>
        <v>1665.02</v>
      </c>
      <c r="P484" s="119" t="s">
        <v>264</v>
      </c>
      <c r="Q484" s="119" t="s">
        <v>1342</v>
      </c>
      <c r="R484" s="221" t="s">
        <v>122</v>
      </c>
      <c r="S484" s="225" t="s">
        <v>469</v>
      </c>
      <c r="T484" s="221" t="s">
        <v>164</v>
      </c>
      <c r="U484" s="221" t="s">
        <v>1262</v>
      </c>
      <c r="V484" s="222" t="s">
        <v>169</v>
      </c>
      <c r="W484" s="117"/>
      <c r="X484" s="117"/>
      <c r="Y484" s="146" t="s">
        <v>316</v>
      </c>
      <c r="Z484" s="117" t="s">
        <v>253</v>
      </c>
      <c r="AA484" s="222">
        <v>43003</v>
      </c>
      <c r="AB484" s="117" t="s">
        <v>872</v>
      </c>
      <c r="AC484" s="63">
        <f t="shared" si="23"/>
        <v>1</v>
      </c>
      <c r="AD484" s="221" t="s">
        <v>217</v>
      </c>
      <c r="AE484" s="221" t="s">
        <v>218</v>
      </c>
      <c r="AF484" s="117"/>
      <c r="AG484" s="117"/>
      <c r="AH484" s="64"/>
      <c r="AI484" s="117" t="s">
        <v>184</v>
      </c>
      <c r="AJ484" s="222">
        <v>43005</v>
      </c>
      <c r="AK484" s="145" t="s">
        <v>1266</v>
      </c>
      <c r="AL484" s="117" t="s">
        <v>645</v>
      </c>
      <c r="AM484" s="222">
        <v>43005</v>
      </c>
    </row>
    <row r="485" spans="1:39" ht="12.75" hidden="1" customHeight="1">
      <c r="A485" s="147">
        <v>484</v>
      </c>
      <c r="B485" s="223">
        <v>206280</v>
      </c>
      <c r="C485" s="146" t="s">
        <v>121</v>
      </c>
      <c r="D485" s="57">
        <v>43003</v>
      </c>
      <c r="E485" s="58" t="s">
        <v>1501</v>
      </c>
      <c r="F485" s="118">
        <v>43006</v>
      </c>
      <c r="G485" s="146">
        <f t="shared" si="22"/>
        <v>3</v>
      </c>
      <c r="H485" s="221" t="s">
        <v>133</v>
      </c>
      <c r="I485" s="221"/>
      <c r="J485" s="221" t="s">
        <v>614</v>
      </c>
      <c r="K485" s="94">
        <v>1999</v>
      </c>
      <c r="L485" s="94">
        <v>1999</v>
      </c>
      <c r="M485" s="221">
        <v>340</v>
      </c>
      <c r="N485" s="221">
        <v>230</v>
      </c>
      <c r="O485" s="93">
        <f t="shared" si="24"/>
        <v>1539.06</v>
      </c>
      <c r="P485" s="119" t="s">
        <v>264</v>
      </c>
      <c r="Q485" s="119" t="s">
        <v>1342</v>
      </c>
      <c r="R485" s="146" t="s">
        <v>122</v>
      </c>
      <c r="S485" s="225" t="s">
        <v>469</v>
      </c>
      <c r="T485" s="221" t="s">
        <v>164</v>
      </c>
      <c r="U485" s="221" t="s">
        <v>1263</v>
      </c>
      <c r="V485" s="222" t="s">
        <v>169</v>
      </c>
      <c r="W485" s="117"/>
      <c r="X485" s="117"/>
      <c r="Y485" s="221" t="s">
        <v>316</v>
      </c>
      <c r="Z485" s="117" t="s">
        <v>253</v>
      </c>
      <c r="AA485" s="222">
        <v>43003</v>
      </c>
      <c r="AB485" s="117" t="s">
        <v>872</v>
      </c>
      <c r="AC485" s="63">
        <f t="shared" si="23"/>
        <v>1</v>
      </c>
      <c r="AD485" s="221" t="s">
        <v>217</v>
      </c>
      <c r="AE485" s="221" t="s">
        <v>218</v>
      </c>
      <c r="AF485" s="117"/>
      <c r="AG485" s="117"/>
      <c r="AH485" s="64"/>
      <c r="AI485" s="117" t="s">
        <v>184</v>
      </c>
      <c r="AJ485" s="222">
        <v>43005</v>
      </c>
      <c r="AK485" s="145" t="s">
        <v>1265</v>
      </c>
      <c r="AL485" s="117" t="s">
        <v>645</v>
      </c>
      <c r="AM485" s="222">
        <v>43005</v>
      </c>
    </row>
    <row r="486" spans="1:39" ht="12.75" hidden="1" customHeight="1">
      <c r="A486" s="147">
        <v>485</v>
      </c>
      <c r="B486" s="223">
        <v>207146</v>
      </c>
      <c r="C486" s="117" t="s">
        <v>1130</v>
      </c>
      <c r="D486" s="57">
        <v>43005</v>
      </c>
      <c r="E486" s="58" t="s">
        <v>1501</v>
      </c>
      <c r="F486" s="118">
        <v>43015</v>
      </c>
      <c r="G486" s="146">
        <f t="shared" si="22"/>
        <v>10</v>
      </c>
      <c r="H486" s="221" t="s">
        <v>133</v>
      </c>
      <c r="I486" s="221"/>
      <c r="J486" s="221" t="s">
        <v>614</v>
      </c>
      <c r="K486" s="94">
        <v>2215</v>
      </c>
      <c r="L486" s="94">
        <v>2215.15</v>
      </c>
      <c r="M486" s="221">
        <v>220</v>
      </c>
      <c r="N486" s="221">
        <v>80</v>
      </c>
      <c r="O486" s="93">
        <f t="shared" si="24"/>
        <v>1862.1</v>
      </c>
      <c r="P486" s="119" t="s">
        <v>264</v>
      </c>
      <c r="Q486" s="119" t="s">
        <v>1342</v>
      </c>
      <c r="R486" s="146" t="s">
        <v>143</v>
      </c>
      <c r="S486" s="62" t="s">
        <v>465</v>
      </c>
      <c r="T486" s="221" t="s">
        <v>114</v>
      </c>
      <c r="U486" s="221" t="s">
        <v>1054</v>
      </c>
      <c r="V486" s="221" t="s">
        <v>519</v>
      </c>
      <c r="W486" s="117"/>
      <c r="X486" s="117"/>
      <c r="Y486" s="146" t="s">
        <v>316</v>
      </c>
      <c r="Z486" s="117" t="s">
        <v>170</v>
      </c>
      <c r="AA486" s="222">
        <v>43005</v>
      </c>
      <c r="AB486" s="117" t="s">
        <v>140</v>
      </c>
      <c r="AC486" s="63">
        <f t="shared" si="23"/>
        <v>1</v>
      </c>
      <c r="AD486" s="221" t="s">
        <v>217</v>
      </c>
      <c r="AE486" s="221" t="s">
        <v>218</v>
      </c>
      <c r="AF486" s="117"/>
      <c r="AG486" s="117"/>
      <c r="AH486" s="64"/>
      <c r="AI486" s="117" t="s">
        <v>184</v>
      </c>
      <c r="AJ486" s="222">
        <v>43010</v>
      </c>
      <c r="AK486" s="145" t="s">
        <v>1273</v>
      </c>
      <c r="AL486" s="117" t="s">
        <v>645</v>
      </c>
      <c r="AM486" s="222">
        <v>43010</v>
      </c>
    </row>
    <row r="487" spans="1:39" ht="12.75" hidden="1" customHeight="1">
      <c r="A487" s="147">
        <v>486</v>
      </c>
      <c r="B487" s="223">
        <v>206775</v>
      </c>
      <c r="C487" s="221" t="s">
        <v>1130</v>
      </c>
      <c r="D487" s="57">
        <v>43005</v>
      </c>
      <c r="E487" s="58" t="s">
        <v>1501</v>
      </c>
      <c r="F487" s="222">
        <v>43012</v>
      </c>
      <c r="G487" s="221">
        <f t="shared" si="22"/>
        <v>7</v>
      </c>
      <c r="H487" s="221" t="s">
        <v>133</v>
      </c>
      <c r="I487" s="221"/>
      <c r="J487" s="221" t="s">
        <v>614</v>
      </c>
      <c r="K487" s="94">
        <v>1199</v>
      </c>
      <c r="L487" s="94">
        <v>1199</v>
      </c>
      <c r="M487" s="221"/>
      <c r="N487" s="221"/>
      <c r="O487" s="227">
        <f t="shared" si="24"/>
        <v>0</v>
      </c>
      <c r="P487" s="224" t="s">
        <v>261</v>
      </c>
      <c r="Q487" s="119" t="s">
        <v>1341</v>
      </c>
      <c r="R487" s="221" t="s">
        <v>254</v>
      </c>
      <c r="S487" s="225" t="s">
        <v>466</v>
      </c>
      <c r="T487" s="221" t="s">
        <v>164</v>
      </c>
      <c r="U487" s="221" t="s">
        <v>1267</v>
      </c>
      <c r="V487" s="221" t="s">
        <v>257</v>
      </c>
      <c r="W487" s="221"/>
      <c r="X487" s="221"/>
      <c r="Y487" s="221"/>
      <c r="Z487" s="221" t="s">
        <v>315</v>
      </c>
      <c r="AA487" s="221"/>
      <c r="AB487" s="221"/>
      <c r="AC487" s="226">
        <f t="shared" si="23"/>
        <v>0</v>
      </c>
      <c r="AD487" s="221"/>
      <c r="AE487" s="221" t="s">
        <v>217</v>
      </c>
      <c r="AF487" s="221" t="s">
        <v>225</v>
      </c>
      <c r="AG487" s="221"/>
      <c r="AH487" s="64"/>
      <c r="AI487" s="221"/>
      <c r="AJ487" s="221"/>
      <c r="AK487" s="145"/>
      <c r="AL487" s="221"/>
      <c r="AM487" s="117"/>
    </row>
    <row r="488" spans="1:39" ht="12.75" hidden="1" customHeight="1">
      <c r="A488" s="147">
        <v>487</v>
      </c>
      <c r="B488" s="223">
        <v>207308</v>
      </c>
      <c r="C488" s="221" t="s">
        <v>1130</v>
      </c>
      <c r="D488" s="57">
        <v>43005</v>
      </c>
      <c r="E488" s="58" t="s">
        <v>1501</v>
      </c>
      <c r="F488" s="222">
        <v>43015</v>
      </c>
      <c r="G488" s="221">
        <f t="shared" si="22"/>
        <v>10</v>
      </c>
      <c r="H488" s="221" t="s">
        <v>133</v>
      </c>
      <c r="I488" s="221"/>
      <c r="J488" s="221" t="s">
        <v>614</v>
      </c>
      <c r="K488" s="94">
        <v>1323.32</v>
      </c>
      <c r="L488" s="94">
        <v>1323.32</v>
      </c>
      <c r="M488" s="221"/>
      <c r="N488" s="221"/>
      <c r="O488" s="151">
        <f t="shared" si="24"/>
        <v>0</v>
      </c>
      <c r="P488" s="224" t="s">
        <v>262</v>
      </c>
      <c r="Q488" s="119" t="s">
        <v>1342</v>
      </c>
      <c r="R488" s="221" t="s">
        <v>122</v>
      </c>
      <c r="S488" s="225" t="s">
        <v>469</v>
      </c>
      <c r="T488" s="221" t="s">
        <v>114</v>
      </c>
      <c r="U488" s="221" t="s">
        <v>1268</v>
      </c>
      <c r="V488" s="221" t="s">
        <v>222</v>
      </c>
      <c r="W488" s="221"/>
      <c r="X488" s="221"/>
      <c r="Y488" s="221"/>
      <c r="Z488" s="221" t="s">
        <v>315</v>
      </c>
      <c r="AA488" s="221"/>
      <c r="AB488" s="221"/>
      <c r="AC488" s="63">
        <f t="shared" si="23"/>
        <v>0</v>
      </c>
      <c r="AD488" s="221"/>
      <c r="AE488" s="221" t="s">
        <v>217</v>
      </c>
      <c r="AF488" s="221" t="s">
        <v>225</v>
      </c>
      <c r="AG488" s="221"/>
      <c r="AH488" s="64"/>
      <c r="AI488" s="221"/>
      <c r="AJ488" s="221"/>
      <c r="AK488" s="145"/>
      <c r="AL488" s="221"/>
      <c r="AM488" s="146"/>
    </row>
    <row r="489" spans="1:39" ht="12.75" hidden="1" customHeight="1">
      <c r="A489" s="147">
        <v>488</v>
      </c>
      <c r="B489" s="223">
        <v>206787</v>
      </c>
      <c r="C489" s="221" t="s">
        <v>121</v>
      </c>
      <c r="D489" s="57">
        <v>43005</v>
      </c>
      <c r="E489" s="58" t="s">
        <v>1501</v>
      </c>
      <c r="F489" s="118">
        <v>43013</v>
      </c>
      <c r="G489" s="146">
        <f t="shared" si="22"/>
        <v>8</v>
      </c>
      <c r="H489" s="146" t="s">
        <v>133</v>
      </c>
      <c r="I489" s="125"/>
      <c r="J489" s="221" t="s">
        <v>614</v>
      </c>
      <c r="K489" s="94">
        <v>2469.0500000000002</v>
      </c>
      <c r="L489" s="94">
        <v>2469.0500000000002</v>
      </c>
      <c r="M489" s="221"/>
      <c r="N489" s="221"/>
      <c r="O489" s="151">
        <f t="shared" si="24"/>
        <v>0</v>
      </c>
      <c r="P489" s="119" t="s">
        <v>264</v>
      </c>
      <c r="Q489" s="119" t="s">
        <v>1342</v>
      </c>
      <c r="R489" s="146" t="s">
        <v>122</v>
      </c>
      <c r="S489" s="225" t="s">
        <v>469</v>
      </c>
      <c r="T489" s="146" t="s">
        <v>164</v>
      </c>
      <c r="U489" s="146" t="s">
        <v>1269</v>
      </c>
      <c r="V489" s="222" t="s">
        <v>169</v>
      </c>
      <c r="W489" s="146"/>
      <c r="X489" s="146"/>
      <c r="Y489" s="146"/>
      <c r="Z489" s="146" t="s">
        <v>253</v>
      </c>
      <c r="AA489" s="222"/>
      <c r="AB489" s="146"/>
      <c r="AC489" s="63">
        <f t="shared" si="23"/>
        <v>0</v>
      </c>
      <c r="AD489" s="221"/>
      <c r="AE489" s="221" t="s">
        <v>217</v>
      </c>
      <c r="AF489" s="146" t="s">
        <v>225</v>
      </c>
      <c r="AG489" s="146"/>
      <c r="AH489" s="64" t="s">
        <v>1279</v>
      </c>
      <c r="AI489" s="146"/>
      <c r="AJ489" s="146"/>
      <c r="AK489" s="145"/>
      <c r="AL489" s="146"/>
      <c r="AM489" s="146"/>
    </row>
    <row r="490" spans="1:39" ht="12.75" hidden="1" customHeight="1">
      <c r="A490" s="147">
        <v>489</v>
      </c>
      <c r="B490" s="223">
        <v>206658</v>
      </c>
      <c r="C490" s="221" t="s">
        <v>121</v>
      </c>
      <c r="D490" s="57">
        <v>43005</v>
      </c>
      <c r="E490" s="58" t="s">
        <v>1501</v>
      </c>
      <c r="F490" s="118">
        <v>43011</v>
      </c>
      <c r="G490" s="146">
        <f t="shared" si="22"/>
        <v>6</v>
      </c>
      <c r="H490" s="146" t="s">
        <v>133</v>
      </c>
      <c r="I490" s="125"/>
      <c r="J490" s="221" t="s">
        <v>614</v>
      </c>
      <c r="K490" s="94">
        <v>3299</v>
      </c>
      <c r="L490" s="94">
        <v>3299</v>
      </c>
      <c r="M490" s="221"/>
      <c r="N490" s="221"/>
      <c r="O490" s="151">
        <f t="shared" si="24"/>
        <v>0</v>
      </c>
      <c r="P490" s="119" t="s">
        <v>264</v>
      </c>
      <c r="Q490" s="119" t="s">
        <v>1342</v>
      </c>
      <c r="R490" s="221" t="s">
        <v>134</v>
      </c>
      <c r="S490" s="62" t="s">
        <v>465</v>
      </c>
      <c r="T490" s="146" t="s">
        <v>162</v>
      </c>
      <c r="U490" s="146" t="s">
        <v>1270</v>
      </c>
      <c r="V490" s="146" t="s">
        <v>90</v>
      </c>
      <c r="W490" s="146"/>
      <c r="X490" s="146"/>
      <c r="Y490" s="221"/>
      <c r="Z490" s="146" t="s">
        <v>252</v>
      </c>
      <c r="AA490" s="221"/>
      <c r="AB490" s="146"/>
      <c r="AC490" s="63">
        <f t="shared" si="23"/>
        <v>0</v>
      </c>
      <c r="AD490" s="221"/>
      <c r="AE490" s="221" t="s">
        <v>217</v>
      </c>
      <c r="AF490" s="146" t="s">
        <v>225</v>
      </c>
      <c r="AG490" s="146"/>
      <c r="AH490" s="64"/>
      <c r="AI490" s="146"/>
      <c r="AJ490" s="221"/>
      <c r="AK490" s="145"/>
      <c r="AL490" s="146"/>
      <c r="AM490" s="221"/>
    </row>
    <row r="491" spans="1:39" ht="12.75" hidden="1" customHeight="1">
      <c r="A491" s="147">
        <v>490</v>
      </c>
      <c r="B491" s="223">
        <v>207093</v>
      </c>
      <c r="C491" s="221" t="s">
        <v>1130</v>
      </c>
      <c r="D491" s="57">
        <v>43005</v>
      </c>
      <c r="E491" s="58" t="s">
        <v>1501</v>
      </c>
      <c r="F491" s="118">
        <v>43012</v>
      </c>
      <c r="G491" s="146">
        <f t="shared" si="22"/>
        <v>7</v>
      </c>
      <c r="H491" s="146" t="s">
        <v>133</v>
      </c>
      <c r="I491" s="221"/>
      <c r="J491" s="221" t="s">
        <v>614</v>
      </c>
      <c r="K491" s="94">
        <v>2754</v>
      </c>
      <c r="L491" s="221"/>
      <c r="M491" s="221">
        <v>290</v>
      </c>
      <c r="N491" s="221">
        <v>120</v>
      </c>
      <c r="O491" s="93">
        <f t="shared" si="24"/>
        <v>2298.7600000000002</v>
      </c>
      <c r="P491" s="119" t="s">
        <v>264</v>
      </c>
      <c r="Q491" s="119" t="s">
        <v>1342</v>
      </c>
      <c r="R491" s="146" t="s">
        <v>134</v>
      </c>
      <c r="S491" s="62" t="s">
        <v>465</v>
      </c>
      <c r="T491" s="221" t="s">
        <v>88</v>
      </c>
      <c r="U491" s="146" t="s">
        <v>1461</v>
      </c>
      <c r="V491" s="146" t="s">
        <v>429</v>
      </c>
      <c r="W491" s="146"/>
      <c r="X491" s="146"/>
      <c r="Y491" s="146" t="s">
        <v>1172</v>
      </c>
      <c r="Z491" s="146" t="s">
        <v>189</v>
      </c>
      <c r="AA491" s="222">
        <v>43005</v>
      </c>
      <c r="AB491" s="146" t="s">
        <v>782</v>
      </c>
      <c r="AC491" s="63">
        <f t="shared" si="23"/>
        <v>1</v>
      </c>
      <c r="AD491" s="221" t="s">
        <v>217</v>
      </c>
      <c r="AE491" s="221" t="s">
        <v>218</v>
      </c>
      <c r="AF491" s="146"/>
      <c r="AG491" s="146"/>
      <c r="AH491" s="64"/>
      <c r="AI491" s="146"/>
      <c r="AJ491" s="221"/>
      <c r="AK491" s="221"/>
      <c r="AL491" s="146"/>
      <c r="AM491" s="221"/>
    </row>
    <row r="492" spans="1:39" ht="12.75" hidden="1" customHeight="1">
      <c r="A492" s="147">
        <v>491</v>
      </c>
      <c r="B492" s="223">
        <v>206789</v>
      </c>
      <c r="C492" s="221" t="s">
        <v>121</v>
      </c>
      <c r="D492" s="57">
        <v>43006</v>
      </c>
      <c r="E492" s="58" t="s">
        <v>1501</v>
      </c>
      <c r="F492" s="222">
        <v>43014</v>
      </c>
      <c r="G492" s="221">
        <f t="shared" si="22"/>
        <v>8</v>
      </c>
      <c r="H492" s="221" t="s">
        <v>133</v>
      </c>
      <c r="I492" s="221"/>
      <c r="J492" s="221" t="s">
        <v>614</v>
      </c>
      <c r="K492" s="94">
        <v>2299</v>
      </c>
      <c r="L492" s="94">
        <v>2299</v>
      </c>
      <c r="M492" s="221">
        <v>390</v>
      </c>
      <c r="N492" s="221">
        <v>160</v>
      </c>
      <c r="O492" s="227">
        <f t="shared" si="24"/>
        <v>1771.06</v>
      </c>
      <c r="P492" s="224" t="s">
        <v>264</v>
      </c>
      <c r="Q492" s="119" t="s">
        <v>1342</v>
      </c>
      <c r="R492" s="221" t="s">
        <v>122</v>
      </c>
      <c r="S492" s="225" t="s">
        <v>469</v>
      </c>
      <c r="T492" s="146" t="s">
        <v>164</v>
      </c>
      <c r="U492" s="221" t="s">
        <v>1271</v>
      </c>
      <c r="V492" s="222" t="s">
        <v>169</v>
      </c>
      <c r="W492" s="221"/>
      <c r="X492" s="221"/>
      <c r="Y492" s="221" t="s">
        <v>316</v>
      </c>
      <c r="Z492" s="221" t="s">
        <v>202</v>
      </c>
      <c r="AA492" s="222">
        <v>43007</v>
      </c>
      <c r="AB492" s="221" t="s">
        <v>140</v>
      </c>
      <c r="AC492" s="63">
        <f t="shared" si="23"/>
        <v>1</v>
      </c>
      <c r="AD492" s="221" t="s">
        <v>217</v>
      </c>
      <c r="AE492" s="221" t="s">
        <v>218</v>
      </c>
      <c r="AF492" s="221"/>
      <c r="AG492" s="221"/>
      <c r="AH492" s="64"/>
      <c r="AI492" s="221" t="s">
        <v>184</v>
      </c>
      <c r="AJ492" s="222">
        <v>43010</v>
      </c>
      <c r="AK492" s="145" t="s">
        <v>1276</v>
      </c>
      <c r="AL492" s="221" t="s">
        <v>645</v>
      </c>
      <c r="AM492" s="222">
        <v>43010</v>
      </c>
    </row>
    <row r="493" spans="1:39" ht="12.75" hidden="1" customHeight="1">
      <c r="A493" s="147">
        <v>492</v>
      </c>
      <c r="B493" s="223">
        <v>207165</v>
      </c>
      <c r="C493" s="146" t="s">
        <v>128</v>
      </c>
      <c r="D493" s="57">
        <v>43007</v>
      </c>
      <c r="E493" s="58" t="s">
        <v>1501</v>
      </c>
      <c r="F493" s="118">
        <v>43020</v>
      </c>
      <c r="G493" s="146">
        <f t="shared" si="22"/>
        <v>13</v>
      </c>
      <c r="H493" s="146" t="s">
        <v>133</v>
      </c>
      <c r="I493" s="221"/>
      <c r="J493" s="221" t="s">
        <v>614</v>
      </c>
      <c r="K493" s="94">
        <v>1539</v>
      </c>
      <c r="L493" s="94">
        <v>1539.2</v>
      </c>
      <c r="M493" s="221">
        <v>370</v>
      </c>
      <c r="N493" s="221">
        <v>150</v>
      </c>
      <c r="O493" s="93">
        <f t="shared" si="24"/>
        <v>1076.6600000000001</v>
      </c>
      <c r="P493" s="119" t="s">
        <v>264</v>
      </c>
      <c r="Q493" s="119" t="s">
        <v>1342</v>
      </c>
      <c r="R493" s="146" t="s">
        <v>210</v>
      </c>
      <c r="S493" s="225" t="s">
        <v>469</v>
      </c>
      <c r="T493" s="221" t="s">
        <v>380</v>
      </c>
      <c r="U493" s="221" t="s">
        <v>983</v>
      </c>
      <c r="V493" s="221" t="s">
        <v>1272</v>
      </c>
      <c r="W493" s="146"/>
      <c r="X493" s="146"/>
      <c r="Y493" s="221" t="s">
        <v>316</v>
      </c>
      <c r="Z493" s="146" t="s">
        <v>296</v>
      </c>
      <c r="AA493" s="222">
        <v>43014</v>
      </c>
      <c r="AB493" s="146" t="s">
        <v>571</v>
      </c>
      <c r="AC493" s="63">
        <f t="shared" si="23"/>
        <v>1</v>
      </c>
      <c r="AD493" s="221" t="s">
        <v>217</v>
      </c>
      <c r="AE493" s="221" t="s">
        <v>218</v>
      </c>
      <c r="AF493" s="146"/>
      <c r="AG493" s="146"/>
      <c r="AH493" s="64"/>
      <c r="AI493" s="146" t="s">
        <v>184</v>
      </c>
      <c r="AJ493" s="222">
        <v>43017</v>
      </c>
      <c r="AK493" s="145" t="s">
        <v>1291</v>
      </c>
      <c r="AL493" s="146" t="s">
        <v>645</v>
      </c>
      <c r="AM493" s="222">
        <v>43018</v>
      </c>
    </row>
    <row r="494" spans="1:39" ht="12.75" hidden="1" customHeight="1">
      <c r="A494" s="147">
        <v>493</v>
      </c>
      <c r="B494" s="223">
        <v>207199</v>
      </c>
      <c r="C494" s="221" t="s">
        <v>1130</v>
      </c>
      <c r="D494" s="57">
        <v>43007</v>
      </c>
      <c r="E494" s="58" t="s">
        <v>1501</v>
      </c>
      <c r="F494" s="118">
        <v>43011</v>
      </c>
      <c r="G494" s="146">
        <f t="shared" si="22"/>
        <v>4</v>
      </c>
      <c r="H494" s="221" t="s">
        <v>133</v>
      </c>
      <c r="I494" s="65"/>
      <c r="J494" s="221" t="s">
        <v>614</v>
      </c>
      <c r="K494" s="94">
        <v>2850</v>
      </c>
      <c r="L494" s="221"/>
      <c r="M494" s="221">
        <v>290</v>
      </c>
      <c r="N494" s="221">
        <v>370</v>
      </c>
      <c r="O494" s="93">
        <f t="shared" si="24"/>
        <v>2309</v>
      </c>
      <c r="P494" s="119" t="s">
        <v>264</v>
      </c>
      <c r="Q494" s="119" t="s">
        <v>1342</v>
      </c>
      <c r="R494" s="221" t="s">
        <v>134</v>
      </c>
      <c r="S494" s="62" t="s">
        <v>465</v>
      </c>
      <c r="T494" s="221" t="s">
        <v>88</v>
      </c>
      <c r="U494" s="221" t="s">
        <v>482</v>
      </c>
      <c r="V494" s="221" t="s">
        <v>429</v>
      </c>
      <c r="W494" s="221"/>
      <c r="X494" s="221"/>
      <c r="Y494" s="221" t="s">
        <v>1172</v>
      </c>
      <c r="Z494" s="117" t="s">
        <v>189</v>
      </c>
      <c r="AA494" s="222">
        <v>43004</v>
      </c>
      <c r="AB494" s="117" t="s">
        <v>782</v>
      </c>
      <c r="AC494" s="63">
        <f t="shared" si="23"/>
        <v>1</v>
      </c>
      <c r="AD494" s="221" t="s">
        <v>217</v>
      </c>
      <c r="AE494" s="221" t="s">
        <v>218</v>
      </c>
      <c r="AF494" s="117"/>
      <c r="AG494" s="117"/>
      <c r="AH494" s="64"/>
      <c r="AI494" s="117"/>
      <c r="AJ494" s="146"/>
      <c r="AK494" s="221"/>
      <c r="AL494" s="117"/>
      <c r="AM494" s="146"/>
    </row>
    <row r="495" spans="1:39" ht="12.75" hidden="1" customHeight="1">
      <c r="A495" s="147">
        <v>494</v>
      </c>
      <c r="B495" s="223">
        <v>207081</v>
      </c>
      <c r="C495" s="117" t="s">
        <v>121</v>
      </c>
      <c r="D495" s="57">
        <v>43010</v>
      </c>
      <c r="E495" s="160" t="s">
        <v>1502</v>
      </c>
      <c r="F495" s="118">
        <v>43016</v>
      </c>
      <c r="G495" s="146">
        <f t="shared" si="22"/>
        <v>6</v>
      </c>
      <c r="H495" s="117" t="s">
        <v>133</v>
      </c>
      <c r="I495" s="221"/>
      <c r="J495" s="221" t="s">
        <v>614</v>
      </c>
      <c r="K495" s="94">
        <v>1499</v>
      </c>
      <c r="L495" s="94">
        <v>1499</v>
      </c>
      <c r="M495" s="221"/>
      <c r="N495" s="221"/>
      <c r="O495" s="151">
        <f t="shared" si="24"/>
        <v>0</v>
      </c>
      <c r="P495" s="119" t="s">
        <v>264</v>
      </c>
      <c r="Q495" s="119" t="s">
        <v>1342</v>
      </c>
      <c r="R495" s="221" t="s">
        <v>122</v>
      </c>
      <c r="S495" s="225" t="s">
        <v>469</v>
      </c>
      <c r="T495" s="221" t="s">
        <v>164</v>
      </c>
      <c r="U495" s="221" t="s">
        <v>411</v>
      </c>
      <c r="V495" s="222" t="s">
        <v>169</v>
      </c>
      <c r="W495" s="221"/>
      <c r="X495" s="221"/>
      <c r="Y495" s="221"/>
      <c r="Z495" s="117" t="s">
        <v>404</v>
      </c>
      <c r="AA495" s="221"/>
      <c r="AB495" s="117"/>
      <c r="AC495" s="63">
        <f t="shared" si="23"/>
        <v>0</v>
      </c>
      <c r="AD495" s="221"/>
      <c r="AE495" s="221" t="s">
        <v>217</v>
      </c>
      <c r="AF495" s="117" t="s">
        <v>225</v>
      </c>
      <c r="AG495" s="117"/>
      <c r="AH495" s="64"/>
      <c r="AI495" s="117"/>
      <c r="AJ495" s="146"/>
      <c r="AK495" s="145"/>
      <c r="AL495" s="117"/>
      <c r="AM495" s="146"/>
    </row>
    <row r="496" spans="1:39" ht="12.75" hidden="1" customHeight="1">
      <c r="A496" s="147">
        <v>495</v>
      </c>
      <c r="B496" s="223">
        <v>207395</v>
      </c>
      <c r="C496" s="221" t="s">
        <v>121</v>
      </c>
      <c r="D496" s="57">
        <v>43010</v>
      </c>
      <c r="E496" s="160" t="s">
        <v>1502</v>
      </c>
      <c r="F496" s="118">
        <v>43018</v>
      </c>
      <c r="G496" s="146">
        <f t="shared" si="22"/>
        <v>8</v>
      </c>
      <c r="H496" s="146" t="s">
        <v>133</v>
      </c>
      <c r="I496" s="221"/>
      <c r="J496" s="221" t="s">
        <v>614</v>
      </c>
      <c r="K496" s="94">
        <v>1745.03</v>
      </c>
      <c r="L496" s="94">
        <v>1745.03</v>
      </c>
      <c r="M496" s="221"/>
      <c r="N496" s="221"/>
      <c r="O496" s="151">
        <f t="shared" si="24"/>
        <v>0</v>
      </c>
      <c r="P496" s="119" t="s">
        <v>264</v>
      </c>
      <c r="Q496" s="119" t="s">
        <v>1342</v>
      </c>
      <c r="R496" s="224" t="s">
        <v>460</v>
      </c>
      <c r="S496" s="225" t="s">
        <v>469</v>
      </c>
      <c r="T496" s="221" t="s">
        <v>376</v>
      </c>
      <c r="U496" s="221" t="s">
        <v>1126</v>
      </c>
      <c r="V496" s="221" t="s">
        <v>90</v>
      </c>
      <c r="W496" s="221"/>
      <c r="X496" s="221"/>
      <c r="Y496" s="146"/>
      <c r="Z496" s="117" t="s">
        <v>367</v>
      </c>
      <c r="AA496" s="146"/>
      <c r="AB496" s="117"/>
      <c r="AC496" s="63">
        <f t="shared" si="23"/>
        <v>0</v>
      </c>
      <c r="AD496" s="221"/>
      <c r="AE496" s="221" t="s">
        <v>217</v>
      </c>
      <c r="AF496" s="146" t="s">
        <v>225</v>
      </c>
      <c r="AG496" s="117"/>
      <c r="AH496" s="64"/>
      <c r="AI496" s="117"/>
      <c r="AJ496" s="146"/>
      <c r="AK496" s="145"/>
      <c r="AL496" s="117"/>
      <c r="AM496" s="146"/>
    </row>
    <row r="497" spans="1:39" ht="12.75" hidden="1" customHeight="1">
      <c r="A497" s="147">
        <v>496</v>
      </c>
      <c r="B497" s="223">
        <v>207484</v>
      </c>
      <c r="C497" s="117" t="s">
        <v>128</v>
      </c>
      <c r="D497" s="57">
        <v>43010</v>
      </c>
      <c r="E497" s="160" t="s">
        <v>1502</v>
      </c>
      <c r="F497" s="118">
        <v>43024</v>
      </c>
      <c r="G497" s="146">
        <f t="shared" si="22"/>
        <v>14</v>
      </c>
      <c r="H497" s="221" t="s">
        <v>133</v>
      </c>
      <c r="I497" s="221"/>
      <c r="J497" s="221" t="s">
        <v>614</v>
      </c>
      <c r="K497" s="94">
        <v>4599</v>
      </c>
      <c r="L497" s="94">
        <v>4599</v>
      </c>
      <c r="M497" s="221"/>
      <c r="N497" s="221"/>
      <c r="O497" s="151">
        <f t="shared" si="24"/>
        <v>0</v>
      </c>
      <c r="P497" s="119" t="s">
        <v>264</v>
      </c>
      <c r="Q497" s="119" t="s">
        <v>1342</v>
      </c>
      <c r="R497" s="221" t="s">
        <v>501</v>
      </c>
      <c r="S497" s="225" t="s">
        <v>466</v>
      </c>
      <c r="T497" s="221" t="s">
        <v>405</v>
      </c>
      <c r="U497" s="221" t="s">
        <v>1277</v>
      </c>
      <c r="V497" s="221" t="s">
        <v>222</v>
      </c>
      <c r="W497" s="117"/>
      <c r="X497" s="117"/>
      <c r="Y497" s="146"/>
      <c r="Z497" s="117" t="s">
        <v>259</v>
      </c>
      <c r="AA497" s="221"/>
      <c r="AB497" s="117"/>
      <c r="AC497" s="63">
        <f t="shared" si="23"/>
        <v>0</v>
      </c>
      <c r="AD497" s="221"/>
      <c r="AE497" s="221" t="s">
        <v>217</v>
      </c>
      <c r="AF497" s="148" t="s">
        <v>1625</v>
      </c>
      <c r="AG497" s="117"/>
      <c r="AH497" s="64"/>
      <c r="AI497" s="117"/>
      <c r="AJ497" s="146"/>
      <c r="AK497" s="145"/>
      <c r="AL497" s="117"/>
      <c r="AM497" s="146"/>
    </row>
    <row r="498" spans="1:39" ht="12.75" hidden="1" customHeight="1">
      <c r="A498" s="147">
        <v>497</v>
      </c>
      <c r="B498" s="223">
        <v>207467</v>
      </c>
      <c r="C498" s="221" t="s">
        <v>128</v>
      </c>
      <c r="D498" s="57">
        <v>43010</v>
      </c>
      <c r="E498" s="160" t="s">
        <v>1502</v>
      </c>
      <c r="F498" s="222">
        <v>43025</v>
      </c>
      <c r="G498" s="221">
        <f t="shared" ref="G498:G561" si="25">F498-D498</f>
        <v>15</v>
      </c>
      <c r="H498" s="221" t="s">
        <v>133</v>
      </c>
      <c r="I498" s="221"/>
      <c r="J498" s="221" t="s">
        <v>614</v>
      </c>
      <c r="K498" s="94">
        <v>1529</v>
      </c>
      <c r="L498" s="94">
        <v>1529</v>
      </c>
      <c r="M498" s="221">
        <v>500</v>
      </c>
      <c r="N498" s="221">
        <v>65</v>
      </c>
      <c r="O498" s="93">
        <f t="shared" si="24"/>
        <v>937.26</v>
      </c>
      <c r="P498" s="224" t="s">
        <v>264</v>
      </c>
      <c r="Q498" s="119" t="s">
        <v>1342</v>
      </c>
      <c r="R498" s="221" t="s">
        <v>501</v>
      </c>
      <c r="S498" s="225" t="s">
        <v>466</v>
      </c>
      <c r="T498" s="221" t="s">
        <v>114</v>
      </c>
      <c r="U498" s="221" t="s">
        <v>643</v>
      </c>
      <c r="V498" s="221" t="s">
        <v>222</v>
      </c>
      <c r="W498" s="221"/>
      <c r="X498" s="221"/>
      <c r="Y498" s="221" t="s">
        <v>978</v>
      </c>
      <c r="Z498" s="221" t="s">
        <v>304</v>
      </c>
      <c r="AA498" s="222">
        <v>43012</v>
      </c>
      <c r="AB498" s="221" t="s">
        <v>140</v>
      </c>
      <c r="AC498" s="63">
        <f t="shared" si="23"/>
        <v>1</v>
      </c>
      <c r="AD498" s="221" t="s">
        <v>217</v>
      </c>
      <c r="AE498" s="221" t="s">
        <v>218</v>
      </c>
      <c r="AF498" s="221"/>
      <c r="AG498" s="221"/>
      <c r="AH498" s="64"/>
      <c r="AI498" s="221" t="s">
        <v>184</v>
      </c>
      <c r="AJ498" s="222">
        <v>43019</v>
      </c>
      <c r="AK498" s="145" t="s">
        <v>1303</v>
      </c>
      <c r="AL498" s="221" t="s">
        <v>609</v>
      </c>
      <c r="AM498" s="222">
        <v>43020</v>
      </c>
    </row>
    <row r="499" spans="1:39" ht="12.75" hidden="1" customHeight="1">
      <c r="A499" s="147">
        <v>498</v>
      </c>
      <c r="B499" s="223">
        <v>206889</v>
      </c>
      <c r="C499" s="146" t="s">
        <v>1130</v>
      </c>
      <c r="D499" s="57">
        <v>43010</v>
      </c>
      <c r="E499" s="160" t="s">
        <v>1502</v>
      </c>
      <c r="F499" s="118">
        <v>43015</v>
      </c>
      <c r="G499" s="146">
        <f t="shared" si="25"/>
        <v>5</v>
      </c>
      <c r="H499" s="146" t="s">
        <v>133</v>
      </c>
      <c r="I499" s="221"/>
      <c r="J499" s="221" t="s">
        <v>614</v>
      </c>
      <c r="K499" s="94">
        <v>1199</v>
      </c>
      <c r="L499" s="94">
        <v>1199</v>
      </c>
      <c r="M499" s="221">
        <v>416.17</v>
      </c>
      <c r="N499" s="221">
        <v>240</v>
      </c>
      <c r="O499" s="93">
        <f t="shared" si="24"/>
        <v>710.88999999999987</v>
      </c>
      <c r="P499" s="119" t="s">
        <v>262</v>
      </c>
      <c r="Q499" s="119" t="s">
        <v>1342</v>
      </c>
      <c r="R499" s="221" t="s">
        <v>122</v>
      </c>
      <c r="S499" s="225" t="s">
        <v>469</v>
      </c>
      <c r="T499" s="221" t="s">
        <v>114</v>
      </c>
      <c r="U499" s="221" t="s">
        <v>1278</v>
      </c>
      <c r="V499" s="221" t="s">
        <v>90</v>
      </c>
      <c r="W499" s="221"/>
      <c r="X499" s="117"/>
      <c r="Y499" s="221" t="s">
        <v>91</v>
      </c>
      <c r="Z499" s="146" t="s">
        <v>170</v>
      </c>
      <c r="AA499" s="222">
        <v>43011</v>
      </c>
      <c r="AB499" s="146" t="s">
        <v>140</v>
      </c>
      <c r="AC499" s="63">
        <f t="shared" si="23"/>
        <v>1</v>
      </c>
      <c r="AD499" s="221" t="s">
        <v>217</v>
      </c>
      <c r="AE499" s="221" t="s">
        <v>218</v>
      </c>
      <c r="AF499" s="117"/>
      <c r="AG499" s="117"/>
      <c r="AH499" s="64"/>
      <c r="AI499" s="146" t="s">
        <v>184</v>
      </c>
      <c r="AJ499" s="222">
        <v>43012</v>
      </c>
      <c r="AK499" s="145" t="s">
        <v>1293</v>
      </c>
      <c r="AL499" s="117" t="s">
        <v>645</v>
      </c>
      <c r="AM499" s="221"/>
    </row>
    <row r="500" spans="1:39" ht="12.75" hidden="1" customHeight="1">
      <c r="A500" s="147">
        <v>499</v>
      </c>
      <c r="B500" s="223">
        <v>207757</v>
      </c>
      <c r="C500" s="146" t="s">
        <v>1130</v>
      </c>
      <c r="D500" s="57">
        <v>43011</v>
      </c>
      <c r="E500" s="160" t="s">
        <v>1502</v>
      </c>
      <c r="F500" s="118">
        <v>43022</v>
      </c>
      <c r="G500" s="146">
        <f t="shared" si="25"/>
        <v>11</v>
      </c>
      <c r="H500" s="146" t="s">
        <v>133</v>
      </c>
      <c r="I500" s="221"/>
      <c r="J500" s="221" t="s">
        <v>614</v>
      </c>
      <c r="K500" s="94">
        <v>1699</v>
      </c>
      <c r="L500" s="94">
        <v>1699</v>
      </c>
      <c r="M500" s="221">
        <v>180</v>
      </c>
      <c r="N500" s="221">
        <v>0</v>
      </c>
      <c r="O500" s="93">
        <f t="shared" si="24"/>
        <v>1417.06</v>
      </c>
      <c r="P500" s="119" t="s">
        <v>261</v>
      </c>
      <c r="Q500" s="119" t="s">
        <v>1341</v>
      </c>
      <c r="R500" s="221" t="s">
        <v>143</v>
      </c>
      <c r="S500" s="62" t="s">
        <v>465</v>
      </c>
      <c r="T500" s="221" t="s">
        <v>88</v>
      </c>
      <c r="U500" s="221" t="s">
        <v>1280</v>
      </c>
      <c r="V500" s="221" t="s">
        <v>432</v>
      </c>
      <c r="W500" s="221"/>
      <c r="X500" s="117"/>
      <c r="Y500" s="221" t="s">
        <v>316</v>
      </c>
      <c r="Z500" s="146" t="s">
        <v>189</v>
      </c>
      <c r="AA500" s="222">
        <v>43013</v>
      </c>
      <c r="AB500" s="146" t="s">
        <v>140</v>
      </c>
      <c r="AC500" s="63">
        <f t="shared" si="23"/>
        <v>1</v>
      </c>
      <c r="AD500" s="221" t="s">
        <v>217</v>
      </c>
      <c r="AE500" s="221" t="s">
        <v>218</v>
      </c>
      <c r="AF500" s="117"/>
      <c r="AG500" s="117"/>
      <c r="AH500" s="64"/>
      <c r="AI500" s="221" t="s">
        <v>184</v>
      </c>
      <c r="AJ500" s="222">
        <v>43017</v>
      </c>
      <c r="AK500" s="145" t="s">
        <v>1288</v>
      </c>
      <c r="AL500" s="221" t="s">
        <v>645</v>
      </c>
      <c r="AM500" s="222">
        <v>43018</v>
      </c>
    </row>
    <row r="501" spans="1:39" ht="12.75" hidden="1" customHeight="1">
      <c r="A501" s="147">
        <v>500</v>
      </c>
      <c r="B501" s="223">
        <v>207600</v>
      </c>
      <c r="C501" s="117" t="s">
        <v>1130</v>
      </c>
      <c r="D501" s="57">
        <v>43012</v>
      </c>
      <c r="E501" s="160" t="s">
        <v>1502</v>
      </c>
      <c r="F501" s="118">
        <v>43018</v>
      </c>
      <c r="G501" s="146">
        <f t="shared" si="25"/>
        <v>6</v>
      </c>
      <c r="H501" s="117" t="s">
        <v>133</v>
      </c>
      <c r="I501" s="221"/>
      <c r="J501" s="221" t="s">
        <v>614</v>
      </c>
      <c r="K501" s="94">
        <v>1799</v>
      </c>
      <c r="L501" s="94">
        <v>1799</v>
      </c>
      <c r="M501" s="221"/>
      <c r="N501" s="221"/>
      <c r="O501" s="151">
        <f t="shared" si="24"/>
        <v>0</v>
      </c>
      <c r="P501" s="119" t="s">
        <v>262</v>
      </c>
      <c r="Q501" s="119" t="s">
        <v>1342</v>
      </c>
      <c r="R501" s="221" t="s">
        <v>122</v>
      </c>
      <c r="S501" s="225" t="s">
        <v>469</v>
      </c>
      <c r="T501" s="221" t="s">
        <v>1281</v>
      </c>
      <c r="U501" s="221" t="s">
        <v>1282</v>
      </c>
      <c r="V501" s="221" t="s">
        <v>90</v>
      </c>
      <c r="W501" s="117"/>
      <c r="X501" s="117"/>
      <c r="Y501" s="221"/>
      <c r="Z501" s="117" t="s">
        <v>315</v>
      </c>
      <c r="AA501" s="222"/>
      <c r="AB501" s="117"/>
      <c r="AC501" s="63">
        <f t="shared" si="23"/>
        <v>0</v>
      </c>
      <c r="AD501" s="221"/>
      <c r="AE501" s="221" t="s">
        <v>217</v>
      </c>
      <c r="AF501" s="148" t="s">
        <v>1625</v>
      </c>
      <c r="AG501" s="117"/>
      <c r="AH501" s="64" t="s">
        <v>1317</v>
      </c>
      <c r="AI501" s="117" t="s">
        <v>184</v>
      </c>
      <c r="AJ501" s="222">
        <v>43017</v>
      </c>
      <c r="AK501" s="145" t="s">
        <v>1290</v>
      </c>
      <c r="AL501" s="146" t="s">
        <v>609</v>
      </c>
      <c r="AM501" s="222">
        <v>43018</v>
      </c>
    </row>
    <row r="502" spans="1:39" ht="12.75" hidden="1" customHeight="1">
      <c r="A502" s="147">
        <v>501</v>
      </c>
      <c r="B502" s="223">
        <v>207464</v>
      </c>
      <c r="C502" s="117" t="s">
        <v>121</v>
      </c>
      <c r="D502" s="57">
        <v>43013</v>
      </c>
      <c r="E502" s="160" t="s">
        <v>1502</v>
      </c>
      <c r="F502" s="118">
        <v>43024</v>
      </c>
      <c r="G502" s="146">
        <f t="shared" si="25"/>
        <v>11</v>
      </c>
      <c r="H502" s="146" t="s">
        <v>363</v>
      </c>
      <c r="I502" s="221"/>
      <c r="J502" s="221" t="s">
        <v>614</v>
      </c>
      <c r="K502" s="94">
        <v>1299</v>
      </c>
      <c r="L502" s="94">
        <v>1299</v>
      </c>
      <c r="M502" s="96">
        <v>0</v>
      </c>
      <c r="N502" s="221"/>
      <c r="O502" s="151">
        <f t="shared" si="24"/>
        <v>0</v>
      </c>
      <c r="P502" s="119" t="s">
        <v>264</v>
      </c>
      <c r="Q502" s="119" t="s">
        <v>1342</v>
      </c>
      <c r="R502" s="221" t="s">
        <v>143</v>
      </c>
      <c r="S502" s="62" t="s">
        <v>465</v>
      </c>
      <c r="T502" s="221" t="s">
        <v>88</v>
      </c>
      <c r="U502" s="221" t="s">
        <v>1283</v>
      </c>
      <c r="V502" s="221" t="s">
        <v>90</v>
      </c>
      <c r="W502" s="221"/>
      <c r="X502" s="221"/>
      <c r="Y502" s="221"/>
      <c r="Z502" s="221" t="s">
        <v>1284</v>
      </c>
      <c r="AA502" s="146"/>
      <c r="AB502" s="117"/>
      <c r="AC502" s="63">
        <f t="shared" si="23"/>
        <v>0</v>
      </c>
      <c r="AD502" s="221"/>
      <c r="AE502" s="221" t="s">
        <v>217</v>
      </c>
      <c r="AF502" s="117" t="s">
        <v>1021</v>
      </c>
      <c r="AG502" s="117"/>
      <c r="AH502" s="64"/>
      <c r="AI502" s="221"/>
      <c r="AJ502" s="221"/>
      <c r="AK502" s="145"/>
      <c r="AL502" s="221"/>
      <c r="AM502" s="146"/>
    </row>
    <row r="503" spans="1:39" ht="12.75" hidden="1" customHeight="1">
      <c r="A503" s="147">
        <v>502</v>
      </c>
      <c r="B503" s="223">
        <v>208283</v>
      </c>
      <c r="C503" s="117" t="s">
        <v>128</v>
      </c>
      <c r="D503" s="57">
        <v>43013</v>
      </c>
      <c r="E503" s="160" t="s">
        <v>1502</v>
      </c>
      <c r="F503" s="118">
        <v>43025</v>
      </c>
      <c r="G503" s="146">
        <f t="shared" si="25"/>
        <v>12</v>
      </c>
      <c r="H503" s="221" t="s">
        <v>133</v>
      </c>
      <c r="I503" s="221"/>
      <c r="J503" s="221" t="s">
        <v>614</v>
      </c>
      <c r="K503" s="94">
        <v>4099</v>
      </c>
      <c r="L503" s="94">
        <v>4099</v>
      </c>
      <c r="M503" s="221"/>
      <c r="N503" s="221"/>
      <c r="O503" s="151">
        <f t="shared" si="24"/>
        <v>0</v>
      </c>
      <c r="P503" s="119" t="s">
        <v>264</v>
      </c>
      <c r="Q503" s="119" t="s">
        <v>1342</v>
      </c>
      <c r="R503" s="146" t="s">
        <v>254</v>
      </c>
      <c r="S503" s="225" t="s">
        <v>466</v>
      </c>
      <c r="T503" s="221" t="s">
        <v>302</v>
      </c>
      <c r="U503" s="221" t="s">
        <v>1304</v>
      </c>
      <c r="V503" s="221" t="s">
        <v>1305</v>
      </c>
      <c r="W503" s="221"/>
      <c r="X503" s="221"/>
      <c r="Y503" s="221"/>
      <c r="Z503" s="221" t="s">
        <v>304</v>
      </c>
      <c r="AA503" s="146"/>
      <c r="AB503" s="117"/>
      <c r="AC503" s="63">
        <f t="shared" si="23"/>
        <v>0</v>
      </c>
      <c r="AD503" s="221"/>
      <c r="AE503" s="221" t="s">
        <v>217</v>
      </c>
      <c r="AF503" s="117" t="s">
        <v>225</v>
      </c>
      <c r="AG503" s="117"/>
      <c r="AH503" s="64"/>
      <c r="AI503" s="117"/>
      <c r="AJ503" s="146"/>
      <c r="AK503" s="145"/>
      <c r="AL503" s="117"/>
      <c r="AM503" s="146"/>
    </row>
    <row r="504" spans="1:39" ht="12.75" hidden="1" customHeight="1">
      <c r="A504" s="147">
        <v>503</v>
      </c>
      <c r="B504" s="223">
        <v>207862</v>
      </c>
      <c r="C504" s="146" t="s">
        <v>1130</v>
      </c>
      <c r="D504" s="57">
        <v>43014</v>
      </c>
      <c r="E504" s="160" t="s">
        <v>1502</v>
      </c>
      <c r="F504" s="118">
        <v>43020</v>
      </c>
      <c r="G504" s="146">
        <f t="shared" si="25"/>
        <v>6</v>
      </c>
      <c r="H504" s="146" t="s">
        <v>133</v>
      </c>
      <c r="I504" s="221"/>
      <c r="J504" s="221" t="s">
        <v>614</v>
      </c>
      <c r="K504" s="94">
        <v>799</v>
      </c>
      <c r="L504" s="94">
        <v>799</v>
      </c>
      <c r="M504" s="221">
        <v>190</v>
      </c>
      <c r="N504" s="221">
        <v>80</v>
      </c>
      <c r="O504" s="151">
        <f t="shared" si="24"/>
        <v>561.05999999999995</v>
      </c>
      <c r="P504" s="119" t="s">
        <v>262</v>
      </c>
      <c r="Q504" s="119" t="s">
        <v>1342</v>
      </c>
      <c r="R504" s="146" t="s">
        <v>143</v>
      </c>
      <c r="S504" s="62" t="s">
        <v>465</v>
      </c>
      <c r="T504" s="221" t="s">
        <v>88</v>
      </c>
      <c r="U504" s="221" t="s">
        <v>431</v>
      </c>
      <c r="V504" s="146" t="s">
        <v>432</v>
      </c>
      <c r="W504" s="221"/>
      <c r="X504" s="146"/>
      <c r="Y504" s="221" t="s">
        <v>316</v>
      </c>
      <c r="Z504" s="146" t="s">
        <v>189</v>
      </c>
      <c r="AA504" s="222">
        <v>43014</v>
      </c>
      <c r="AB504" s="146" t="s">
        <v>872</v>
      </c>
      <c r="AC504" s="63">
        <f t="shared" si="23"/>
        <v>1</v>
      </c>
      <c r="AD504" s="221" t="s">
        <v>217</v>
      </c>
      <c r="AE504" s="221" t="s">
        <v>218</v>
      </c>
      <c r="AF504" s="146"/>
      <c r="AG504" s="146"/>
      <c r="AH504" s="64"/>
      <c r="AI504" s="221" t="s">
        <v>184</v>
      </c>
      <c r="AJ504" s="222">
        <v>43017</v>
      </c>
      <c r="AK504" s="145" t="s">
        <v>1292</v>
      </c>
      <c r="AL504" s="221" t="s">
        <v>645</v>
      </c>
      <c r="AM504" s="222">
        <v>43018</v>
      </c>
    </row>
    <row r="505" spans="1:39" hidden="1">
      <c r="A505" s="147">
        <v>504</v>
      </c>
      <c r="B505" s="223">
        <v>207998</v>
      </c>
      <c r="C505" s="117" t="s">
        <v>1130</v>
      </c>
      <c r="D505" s="57">
        <v>43014</v>
      </c>
      <c r="E505" s="160" t="s">
        <v>1502</v>
      </c>
      <c r="F505" s="118">
        <v>43022</v>
      </c>
      <c r="G505" s="146">
        <f t="shared" si="25"/>
        <v>8</v>
      </c>
      <c r="H505" s="117" t="s">
        <v>133</v>
      </c>
      <c r="I505" s="221"/>
      <c r="J505" s="221" t="s">
        <v>614</v>
      </c>
      <c r="K505" s="94">
        <v>999</v>
      </c>
      <c r="L505" s="94">
        <v>999</v>
      </c>
      <c r="M505" s="221">
        <v>190</v>
      </c>
      <c r="N505" s="221">
        <v>80</v>
      </c>
      <c r="O505" s="93">
        <f t="shared" si="24"/>
        <v>749.06</v>
      </c>
      <c r="P505" s="119" t="s">
        <v>264</v>
      </c>
      <c r="Q505" s="119" t="s">
        <v>1342</v>
      </c>
      <c r="R505" s="146" t="s">
        <v>143</v>
      </c>
      <c r="S505" s="62" t="s">
        <v>465</v>
      </c>
      <c r="T505" s="221" t="s">
        <v>88</v>
      </c>
      <c r="U505" s="117" t="s">
        <v>952</v>
      </c>
      <c r="V505" s="150" t="s">
        <v>432</v>
      </c>
      <c r="W505" s="221"/>
      <c r="X505" s="117"/>
      <c r="Y505" s="117" t="s">
        <v>316</v>
      </c>
      <c r="Z505" s="117" t="s">
        <v>189</v>
      </c>
      <c r="AA505" s="222">
        <v>43014</v>
      </c>
      <c r="AB505" s="117" t="s">
        <v>872</v>
      </c>
      <c r="AC505" s="63">
        <f t="shared" si="23"/>
        <v>1</v>
      </c>
      <c r="AD505" s="221" t="s">
        <v>217</v>
      </c>
      <c r="AE505" s="221" t="s">
        <v>218</v>
      </c>
      <c r="AF505" s="117"/>
      <c r="AG505" s="117"/>
      <c r="AH505" s="64" t="s">
        <v>1318</v>
      </c>
      <c r="AI505" s="221" t="s">
        <v>184</v>
      </c>
      <c r="AJ505" s="222">
        <v>43017</v>
      </c>
      <c r="AK505" s="145" t="s">
        <v>1352</v>
      </c>
      <c r="AL505" s="225" t="s">
        <v>609</v>
      </c>
      <c r="AM505" s="222">
        <v>43018</v>
      </c>
    </row>
    <row r="506" spans="1:39" ht="12.75" hidden="1" customHeight="1">
      <c r="A506" s="147">
        <v>505</v>
      </c>
      <c r="B506" s="223">
        <v>208138</v>
      </c>
      <c r="C506" s="117" t="s">
        <v>1130</v>
      </c>
      <c r="D506" s="57">
        <v>43014</v>
      </c>
      <c r="E506" s="160" t="s">
        <v>1502</v>
      </c>
      <c r="F506" s="118">
        <v>43022</v>
      </c>
      <c r="G506" s="146">
        <f t="shared" si="25"/>
        <v>8</v>
      </c>
      <c r="H506" s="117" t="s">
        <v>133</v>
      </c>
      <c r="I506" s="221"/>
      <c r="J506" s="221" t="s">
        <v>614</v>
      </c>
      <c r="K506" s="94">
        <v>999</v>
      </c>
      <c r="L506" s="94">
        <v>960</v>
      </c>
      <c r="M506" s="221">
        <v>190</v>
      </c>
      <c r="N506" s="221">
        <v>80</v>
      </c>
      <c r="O506" s="93">
        <f t="shared" si="24"/>
        <v>749.06</v>
      </c>
      <c r="P506" s="119" t="s">
        <v>264</v>
      </c>
      <c r="Q506" s="119" t="s">
        <v>1342</v>
      </c>
      <c r="R506" s="221" t="s">
        <v>143</v>
      </c>
      <c r="S506" s="225" t="s">
        <v>465</v>
      </c>
      <c r="T506" s="221" t="s">
        <v>88</v>
      </c>
      <c r="U506" s="221" t="s">
        <v>1285</v>
      </c>
      <c r="V506" s="146" t="s">
        <v>432</v>
      </c>
      <c r="W506" s="221"/>
      <c r="X506" s="221"/>
      <c r="Y506" s="221" t="s">
        <v>316</v>
      </c>
      <c r="Z506" s="221" t="s">
        <v>189</v>
      </c>
      <c r="AA506" s="222">
        <v>43014</v>
      </c>
      <c r="AB506" s="117" t="s">
        <v>872</v>
      </c>
      <c r="AC506" s="63">
        <f t="shared" si="23"/>
        <v>1</v>
      </c>
      <c r="AD506" s="221" t="s">
        <v>217</v>
      </c>
      <c r="AE506" s="221" t="s">
        <v>218</v>
      </c>
      <c r="AF506" s="117"/>
      <c r="AG506" s="117"/>
      <c r="AH506" s="64"/>
      <c r="AI506" s="221" t="s">
        <v>184</v>
      </c>
      <c r="AJ506" s="222">
        <v>43017</v>
      </c>
      <c r="AK506" s="145" t="s">
        <v>1289</v>
      </c>
      <c r="AL506" s="221" t="s">
        <v>645</v>
      </c>
      <c r="AM506" s="222">
        <v>43018</v>
      </c>
    </row>
    <row r="507" spans="1:39" ht="12.75" hidden="1" customHeight="1">
      <c r="A507" s="147">
        <v>506</v>
      </c>
      <c r="B507" s="223">
        <v>207995</v>
      </c>
      <c r="C507" s="117" t="s">
        <v>1130</v>
      </c>
      <c r="D507" s="57">
        <v>43014</v>
      </c>
      <c r="E507" s="160" t="s">
        <v>1502</v>
      </c>
      <c r="F507" s="118">
        <v>43021</v>
      </c>
      <c r="G507" s="146">
        <f t="shared" si="25"/>
        <v>7</v>
      </c>
      <c r="H507" s="221" t="s">
        <v>133</v>
      </c>
      <c r="I507" s="221"/>
      <c r="J507" s="221" t="s">
        <v>614</v>
      </c>
      <c r="K507" s="94">
        <v>2299</v>
      </c>
      <c r="L507" s="94">
        <v>2299</v>
      </c>
      <c r="M507" s="221">
        <v>783.52</v>
      </c>
      <c r="N507" s="221">
        <v>450</v>
      </c>
      <c r="O507" s="93">
        <f t="shared" si="24"/>
        <v>1377.54</v>
      </c>
      <c r="P507" s="119" t="s">
        <v>262</v>
      </c>
      <c r="Q507" s="119" t="s">
        <v>1342</v>
      </c>
      <c r="R507" s="221" t="s">
        <v>134</v>
      </c>
      <c r="S507" s="62" t="s">
        <v>465</v>
      </c>
      <c r="T507" s="221" t="s">
        <v>88</v>
      </c>
      <c r="U507" s="221" t="s">
        <v>1286</v>
      </c>
      <c r="V507" s="221" t="s">
        <v>1287</v>
      </c>
      <c r="W507" s="221"/>
      <c r="X507" s="221"/>
      <c r="Y507" s="221" t="s">
        <v>1228</v>
      </c>
      <c r="Z507" s="221" t="s">
        <v>189</v>
      </c>
      <c r="AA507" s="222">
        <v>43017</v>
      </c>
      <c r="AB507" s="117" t="s">
        <v>872</v>
      </c>
      <c r="AC507" s="63">
        <f t="shared" si="23"/>
        <v>1</v>
      </c>
      <c r="AD507" s="221" t="s">
        <v>217</v>
      </c>
      <c r="AE507" s="221" t="s">
        <v>218</v>
      </c>
      <c r="AF507" s="146"/>
      <c r="AG507" s="117"/>
      <c r="AH507" s="64"/>
      <c r="AI507" s="117" t="s">
        <v>184</v>
      </c>
      <c r="AJ507" s="222">
        <v>43020</v>
      </c>
      <c r="AK507" s="145" t="s">
        <v>1316</v>
      </c>
      <c r="AL507" s="117" t="s">
        <v>609</v>
      </c>
      <c r="AM507" s="222">
        <v>43025</v>
      </c>
    </row>
    <row r="508" spans="1:39" ht="12.75" hidden="1" customHeight="1">
      <c r="A508" s="147">
        <v>507</v>
      </c>
      <c r="B508" s="223">
        <v>207168</v>
      </c>
      <c r="C508" s="221" t="s">
        <v>121</v>
      </c>
      <c r="D508" s="57">
        <v>43017</v>
      </c>
      <c r="E508" s="160" t="s">
        <v>1502</v>
      </c>
      <c r="F508" s="222">
        <v>43018</v>
      </c>
      <c r="G508" s="221">
        <f t="shared" si="25"/>
        <v>1</v>
      </c>
      <c r="H508" s="221" t="s">
        <v>363</v>
      </c>
      <c r="I508" s="221"/>
      <c r="J508" s="221" t="s">
        <v>614</v>
      </c>
      <c r="K508" s="94">
        <v>3999</v>
      </c>
      <c r="L508" s="94">
        <v>3999</v>
      </c>
      <c r="M508" s="96">
        <v>0</v>
      </c>
      <c r="N508" s="221"/>
      <c r="O508" s="151">
        <f t="shared" si="24"/>
        <v>0</v>
      </c>
      <c r="P508" s="224" t="s">
        <v>264</v>
      </c>
      <c r="Q508" s="119" t="s">
        <v>1342</v>
      </c>
      <c r="R508" s="221" t="s">
        <v>134</v>
      </c>
      <c r="S508" s="62" t="s">
        <v>465</v>
      </c>
      <c r="T508" s="221" t="s">
        <v>164</v>
      </c>
      <c r="U508" s="221" t="s">
        <v>492</v>
      </c>
      <c r="V508" s="221" t="s">
        <v>90</v>
      </c>
      <c r="W508" s="221"/>
      <c r="X508" s="221"/>
      <c r="Y508" s="221"/>
      <c r="Z508" s="221" t="s">
        <v>202</v>
      </c>
      <c r="AA508" s="222"/>
      <c r="AB508" s="221"/>
      <c r="AC508" s="63">
        <f t="shared" si="23"/>
        <v>0</v>
      </c>
      <c r="AD508" s="221"/>
      <c r="AE508" s="221" t="s">
        <v>217</v>
      </c>
      <c r="AF508" s="221" t="s">
        <v>225</v>
      </c>
      <c r="AG508" s="221"/>
      <c r="AH508" s="64" t="s">
        <v>1296</v>
      </c>
      <c r="AI508" s="221"/>
      <c r="AJ508" s="221"/>
      <c r="AK508" s="145"/>
      <c r="AL508" s="221"/>
      <c r="AM508" s="146"/>
    </row>
    <row r="509" spans="1:39" ht="12.75" hidden="1" customHeight="1">
      <c r="A509" s="147">
        <v>508</v>
      </c>
      <c r="B509" s="223">
        <v>207430</v>
      </c>
      <c r="C509" s="221" t="s">
        <v>121</v>
      </c>
      <c r="D509" s="57">
        <v>43017</v>
      </c>
      <c r="E509" s="160" t="s">
        <v>1502</v>
      </c>
      <c r="F509" s="222">
        <v>43022</v>
      </c>
      <c r="G509" s="221">
        <f t="shared" si="25"/>
        <v>5</v>
      </c>
      <c r="H509" s="221" t="s">
        <v>363</v>
      </c>
      <c r="I509" s="221"/>
      <c r="J509" s="221" t="s">
        <v>614</v>
      </c>
      <c r="K509" s="94">
        <v>1699</v>
      </c>
      <c r="L509" s="94">
        <v>1699</v>
      </c>
      <c r="M509" s="96">
        <v>0</v>
      </c>
      <c r="N509" s="221"/>
      <c r="O509" s="93">
        <f t="shared" si="24"/>
        <v>1597.06</v>
      </c>
      <c r="P509" s="224" t="s">
        <v>264</v>
      </c>
      <c r="Q509" s="119" t="s">
        <v>1342</v>
      </c>
      <c r="R509" s="221" t="s">
        <v>122</v>
      </c>
      <c r="S509" s="225" t="s">
        <v>469</v>
      </c>
      <c r="T509" s="221" t="s">
        <v>164</v>
      </c>
      <c r="U509" s="221" t="s">
        <v>1069</v>
      </c>
      <c r="V509" s="222" t="s">
        <v>169</v>
      </c>
      <c r="W509" s="221"/>
      <c r="X509" s="221"/>
      <c r="Y509" s="221"/>
      <c r="Z509" s="221" t="s">
        <v>202</v>
      </c>
      <c r="AA509" s="146"/>
      <c r="AB509" s="221"/>
      <c r="AC509" s="63">
        <f t="shared" si="23"/>
        <v>1</v>
      </c>
      <c r="AD509" s="221"/>
      <c r="AE509" s="117"/>
      <c r="AF509" s="221"/>
      <c r="AG509" s="221"/>
      <c r="AH509" s="64" t="s">
        <v>1295</v>
      </c>
      <c r="AI509" s="221"/>
      <c r="AJ509" s="221"/>
      <c r="AK509" s="145"/>
      <c r="AL509" s="221"/>
      <c r="AM509" s="146"/>
    </row>
    <row r="510" spans="1:39" ht="12.75" hidden="1" customHeight="1">
      <c r="A510" s="147">
        <v>509</v>
      </c>
      <c r="B510" s="223">
        <v>208216</v>
      </c>
      <c r="C510" s="221" t="s">
        <v>128</v>
      </c>
      <c r="D510" s="57">
        <v>43017</v>
      </c>
      <c r="E510" s="160" t="s">
        <v>1502</v>
      </c>
      <c r="F510" s="222">
        <v>43032</v>
      </c>
      <c r="G510" s="221">
        <f t="shared" si="25"/>
        <v>15</v>
      </c>
      <c r="H510" s="221" t="s">
        <v>133</v>
      </c>
      <c r="I510" s="221"/>
      <c r="J510" s="221" t="s">
        <v>614</v>
      </c>
      <c r="K510" s="94">
        <v>1799</v>
      </c>
      <c r="L510" s="94">
        <v>1799</v>
      </c>
      <c r="M510" s="221">
        <v>585</v>
      </c>
      <c r="N510" s="221">
        <v>320</v>
      </c>
      <c r="O510" s="93">
        <f t="shared" si="24"/>
        <v>1106.06</v>
      </c>
      <c r="P510" s="224" t="s">
        <v>264</v>
      </c>
      <c r="Q510" s="119" t="s">
        <v>1342</v>
      </c>
      <c r="R510" s="221" t="s">
        <v>254</v>
      </c>
      <c r="S510" s="225" t="s">
        <v>466</v>
      </c>
      <c r="T510" s="221" t="s">
        <v>405</v>
      </c>
      <c r="U510" s="221" t="s">
        <v>409</v>
      </c>
      <c r="V510" s="221" t="s">
        <v>257</v>
      </c>
      <c r="W510" s="221"/>
      <c r="X510" s="221"/>
      <c r="Y510" s="221" t="s">
        <v>978</v>
      </c>
      <c r="Z510" s="221" t="s">
        <v>1189</v>
      </c>
      <c r="AA510" s="222">
        <v>43020</v>
      </c>
      <c r="AB510" s="221" t="s">
        <v>1102</v>
      </c>
      <c r="AC510" s="63">
        <f t="shared" si="23"/>
        <v>1</v>
      </c>
      <c r="AD510" s="221" t="s">
        <v>217</v>
      </c>
      <c r="AE510" s="221" t="s">
        <v>218</v>
      </c>
      <c r="AF510" s="221"/>
      <c r="AG510" s="221"/>
      <c r="AH510" s="64" t="s">
        <v>1302</v>
      </c>
      <c r="AI510" s="221" t="s">
        <v>184</v>
      </c>
      <c r="AJ510" s="222">
        <v>43031</v>
      </c>
      <c r="AK510" s="145" t="s">
        <v>1333</v>
      </c>
      <c r="AL510" s="221" t="s">
        <v>609</v>
      </c>
      <c r="AM510" s="222">
        <v>43032</v>
      </c>
    </row>
    <row r="511" spans="1:39" ht="12.75" hidden="1" customHeight="1">
      <c r="A511" s="147">
        <v>510</v>
      </c>
      <c r="B511" s="223">
        <v>207720</v>
      </c>
      <c r="C511" s="221" t="s">
        <v>128</v>
      </c>
      <c r="D511" s="57">
        <v>43018</v>
      </c>
      <c r="E511" s="160" t="s">
        <v>1502</v>
      </c>
      <c r="F511" s="222">
        <v>43027</v>
      </c>
      <c r="G511" s="221">
        <f t="shared" si="25"/>
        <v>9</v>
      </c>
      <c r="H511" s="221" t="s">
        <v>133</v>
      </c>
      <c r="I511" s="221"/>
      <c r="J511" s="221" t="s">
        <v>614</v>
      </c>
      <c r="K511" s="94"/>
      <c r="L511" s="94">
        <v>1399</v>
      </c>
      <c r="M511" s="221">
        <v>0</v>
      </c>
      <c r="N511" s="221"/>
      <c r="O511" s="151">
        <f t="shared" si="24"/>
        <v>0</v>
      </c>
      <c r="P511" s="224" t="s">
        <v>264</v>
      </c>
      <c r="Q511" s="119" t="s">
        <v>1342</v>
      </c>
      <c r="R511" s="221" t="s">
        <v>143</v>
      </c>
      <c r="S511" s="62" t="s">
        <v>465</v>
      </c>
      <c r="T511" s="221" t="s">
        <v>88</v>
      </c>
      <c r="U511" s="221" t="s">
        <v>423</v>
      </c>
      <c r="V511" s="150" t="s">
        <v>432</v>
      </c>
      <c r="W511" s="221"/>
      <c r="X511" s="221"/>
      <c r="Y511" s="221" t="s">
        <v>316</v>
      </c>
      <c r="Z511" s="221" t="s">
        <v>510</v>
      </c>
      <c r="AA511" s="222"/>
      <c r="AB511" s="221"/>
      <c r="AC511" s="63">
        <f t="shared" si="23"/>
        <v>0</v>
      </c>
      <c r="AD511" s="221"/>
      <c r="AE511" s="221" t="s">
        <v>217</v>
      </c>
      <c r="AF511" s="221" t="s">
        <v>225</v>
      </c>
      <c r="AG511" s="221"/>
      <c r="AH511" s="64" t="s">
        <v>1319</v>
      </c>
      <c r="AI511" s="221"/>
      <c r="AJ511" s="222"/>
      <c r="AK511" s="145"/>
      <c r="AL511" s="221"/>
      <c r="AM511" s="222"/>
    </row>
    <row r="512" spans="1:39" ht="12.75" hidden="1" customHeight="1">
      <c r="A512" s="147">
        <v>511</v>
      </c>
      <c r="B512" s="223">
        <v>207947</v>
      </c>
      <c r="C512" s="221" t="s">
        <v>121</v>
      </c>
      <c r="D512" s="57">
        <v>43018</v>
      </c>
      <c r="E512" s="160" t="s">
        <v>1502</v>
      </c>
      <c r="F512" s="222">
        <v>43025</v>
      </c>
      <c r="G512" s="221">
        <f t="shared" si="25"/>
        <v>7</v>
      </c>
      <c r="H512" s="221" t="s">
        <v>133</v>
      </c>
      <c r="I512" s="221"/>
      <c r="J512" s="221" t="s">
        <v>614</v>
      </c>
      <c r="K512" s="94">
        <v>2079.1999999999998</v>
      </c>
      <c r="L512" s="94">
        <v>2079.1999999999998</v>
      </c>
      <c r="M512" s="221"/>
      <c r="N512" s="221"/>
      <c r="O512" s="151">
        <f t="shared" si="24"/>
        <v>0</v>
      </c>
      <c r="P512" s="224" t="s">
        <v>264</v>
      </c>
      <c r="Q512" s="119" t="s">
        <v>1342</v>
      </c>
      <c r="R512" s="146" t="s">
        <v>134</v>
      </c>
      <c r="S512" s="62" t="s">
        <v>465</v>
      </c>
      <c r="T512" s="146" t="s">
        <v>164</v>
      </c>
      <c r="U512" s="221" t="s">
        <v>799</v>
      </c>
      <c r="V512" s="221" t="s">
        <v>136</v>
      </c>
      <c r="W512" s="221"/>
      <c r="X512" s="221"/>
      <c r="Y512" s="221"/>
      <c r="Z512" s="221" t="s">
        <v>202</v>
      </c>
      <c r="AA512" s="221"/>
      <c r="AB512" s="221"/>
      <c r="AC512" s="63">
        <f t="shared" si="23"/>
        <v>0</v>
      </c>
      <c r="AD512" s="221"/>
      <c r="AE512" s="221" t="s">
        <v>217</v>
      </c>
      <c r="AF512" s="221" t="s">
        <v>225</v>
      </c>
      <c r="AG512" s="221"/>
      <c r="AH512" s="64"/>
      <c r="AI512" s="221"/>
      <c r="AJ512" s="221"/>
      <c r="AK512" s="145"/>
      <c r="AL512" s="221"/>
      <c r="AM512" s="221"/>
    </row>
    <row r="513" spans="1:39" ht="12.75" hidden="1" customHeight="1">
      <c r="A513" s="147">
        <v>512</v>
      </c>
      <c r="B513" s="223">
        <v>207772</v>
      </c>
      <c r="C513" s="221" t="s">
        <v>121</v>
      </c>
      <c r="D513" s="57">
        <v>43019</v>
      </c>
      <c r="E513" s="160" t="s">
        <v>1502</v>
      </c>
      <c r="F513" s="222">
        <v>43025</v>
      </c>
      <c r="G513" s="221">
        <f t="shared" si="25"/>
        <v>6</v>
      </c>
      <c r="H513" s="221" t="s">
        <v>363</v>
      </c>
      <c r="I513" s="221"/>
      <c r="J513" s="221" t="s">
        <v>614</v>
      </c>
      <c r="K513" s="94">
        <v>1799</v>
      </c>
      <c r="L513" s="94">
        <v>1799</v>
      </c>
      <c r="M513" s="96">
        <v>0</v>
      </c>
      <c r="N513" s="221"/>
      <c r="O513" s="151">
        <f t="shared" si="24"/>
        <v>0</v>
      </c>
      <c r="P513" s="224" t="s">
        <v>264</v>
      </c>
      <c r="Q513" s="119" t="s">
        <v>1342</v>
      </c>
      <c r="R513" s="221" t="s">
        <v>122</v>
      </c>
      <c r="S513" s="225" t="s">
        <v>469</v>
      </c>
      <c r="T513" s="221" t="s">
        <v>164</v>
      </c>
      <c r="U513" s="221" t="s">
        <v>214</v>
      </c>
      <c r="V513" s="222" t="s">
        <v>169</v>
      </c>
      <c r="W513" s="221"/>
      <c r="X513" s="221"/>
      <c r="Y513" s="221"/>
      <c r="Z513" s="221" t="s">
        <v>202</v>
      </c>
      <c r="AA513" s="221"/>
      <c r="AB513" s="221" t="s">
        <v>195</v>
      </c>
      <c r="AC513" s="63">
        <f t="shared" si="23"/>
        <v>0</v>
      </c>
      <c r="AD513" s="221"/>
      <c r="AE513" s="221" t="s">
        <v>217</v>
      </c>
      <c r="AF513" s="148" t="s">
        <v>1625</v>
      </c>
      <c r="AG513" s="221"/>
      <c r="AH513" s="64" t="s">
        <v>1315</v>
      </c>
      <c r="AI513" s="221"/>
      <c r="AJ513" s="221"/>
      <c r="AK513" s="145"/>
      <c r="AL513" s="221"/>
      <c r="AM513" s="221"/>
    </row>
    <row r="514" spans="1:39" hidden="1">
      <c r="A514" s="147">
        <v>513</v>
      </c>
      <c r="B514" s="223">
        <v>207925</v>
      </c>
      <c r="C514" s="221" t="s">
        <v>1130</v>
      </c>
      <c r="D514" s="57">
        <v>43019</v>
      </c>
      <c r="E514" s="160" t="s">
        <v>1502</v>
      </c>
      <c r="F514" s="222">
        <v>43024</v>
      </c>
      <c r="G514" s="221">
        <f t="shared" si="25"/>
        <v>5</v>
      </c>
      <c r="H514" s="221" t="s">
        <v>133</v>
      </c>
      <c r="I514" s="221"/>
      <c r="J514" s="221" t="s">
        <v>614</v>
      </c>
      <c r="K514" s="94">
        <v>911</v>
      </c>
      <c r="L514" s="94">
        <v>911.28</v>
      </c>
      <c r="M514" s="221">
        <v>190</v>
      </c>
      <c r="N514" s="221">
        <v>150</v>
      </c>
      <c r="O514" s="93">
        <f t="shared" si="24"/>
        <v>666.34</v>
      </c>
      <c r="P514" s="224" t="s">
        <v>264</v>
      </c>
      <c r="Q514" s="119" t="s">
        <v>1342</v>
      </c>
      <c r="R514" s="146" t="s">
        <v>143</v>
      </c>
      <c r="S514" s="62" t="s">
        <v>465</v>
      </c>
      <c r="T514" s="221" t="s">
        <v>88</v>
      </c>
      <c r="U514" s="221" t="s">
        <v>952</v>
      </c>
      <c r="V514" s="221" t="s">
        <v>432</v>
      </c>
      <c r="W514" s="221"/>
      <c r="X514" s="221"/>
      <c r="Y514" s="221" t="s">
        <v>316</v>
      </c>
      <c r="Z514" s="221" t="s">
        <v>189</v>
      </c>
      <c r="AA514" s="222">
        <v>43020</v>
      </c>
      <c r="AB514" s="221" t="s">
        <v>872</v>
      </c>
      <c r="AC514" s="63">
        <f t="shared" ref="AC514:AC577" si="26">+IF(O514&gt;0,1,0)</f>
        <v>1</v>
      </c>
      <c r="AD514" s="221" t="s">
        <v>217</v>
      </c>
      <c r="AE514" s="221" t="s">
        <v>218</v>
      </c>
      <c r="AF514" s="221"/>
      <c r="AG514" s="221"/>
      <c r="AH514" s="64"/>
      <c r="AI514" s="221" t="s">
        <v>184</v>
      </c>
      <c r="AJ514" s="222">
        <v>43028</v>
      </c>
      <c r="AK514" s="225" t="s">
        <v>1328</v>
      </c>
      <c r="AL514" s="221" t="s">
        <v>645</v>
      </c>
      <c r="AM514" s="222">
        <v>43032</v>
      </c>
    </row>
    <row r="515" spans="1:39" ht="12.75" hidden="1" customHeight="1">
      <c r="A515" s="147">
        <v>514</v>
      </c>
      <c r="B515" s="223">
        <v>208486</v>
      </c>
      <c r="C515" s="221" t="s">
        <v>1130</v>
      </c>
      <c r="D515" s="57">
        <v>43019</v>
      </c>
      <c r="E515" s="160" t="s">
        <v>1502</v>
      </c>
      <c r="F515" s="222">
        <v>43025</v>
      </c>
      <c r="G515" s="221">
        <f t="shared" si="25"/>
        <v>6</v>
      </c>
      <c r="H515" s="221" t="s">
        <v>133</v>
      </c>
      <c r="I515" s="221"/>
      <c r="J515" s="221" t="s">
        <v>614</v>
      </c>
      <c r="K515" s="94">
        <v>1199</v>
      </c>
      <c r="L515" s="94">
        <v>1199</v>
      </c>
      <c r="M515" s="221">
        <v>336.3</v>
      </c>
      <c r="N515" s="221">
        <v>170</v>
      </c>
      <c r="O515" s="93">
        <f t="shared" si="24"/>
        <v>790.76</v>
      </c>
      <c r="P515" s="224" t="s">
        <v>264</v>
      </c>
      <c r="Q515" s="119" t="s">
        <v>1342</v>
      </c>
      <c r="R515" s="221" t="s">
        <v>143</v>
      </c>
      <c r="S515" s="62" t="s">
        <v>465</v>
      </c>
      <c r="T515" s="221" t="s">
        <v>88</v>
      </c>
      <c r="U515" s="221" t="s">
        <v>1297</v>
      </c>
      <c r="V515" s="221" t="s">
        <v>90</v>
      </c>
      <c r="W515" s="221"/>
      <c r="X515" s="221"/>
      <c r="Y515" s="221" t="s">
        <v>1228</v>
      </c>
      <c r="Z515" s="221" t="s">
        <v>189</v>
      </c>
      <c r="AA515" s="222">
        <v>43020</v>
      </c>
      <c r="AB515" s="221" t="s">
        <v>236</v>
      </c>
      <c r="AC515" s="63">
        <f t="shared" si="26"/>
        <v>1</v>
      </c>
      <c r="AD515" s="221" t="s">
        <v>217</v>
      </c>
      <c r="AE515" s="221" t="s">
        <v>218</v>
      </c>
      <c r="AF515" s="221"/>
      <c r="AG515" s="221"/>
      <c r="AH515" s="64"/>
      <c r="AI515" s="221" t="s">
        <v>184</v>
      </c>
      <c r="AJ515" s="222">
        <v>43032</v>
      </c>
      <c r="AK515" s="145" t="s">
        <v>1351</v>
      </c>
      <c r="AL515" s="221" t="s">
        <v>609</v>
      </c>
      <c r="AM515" s="222">
        <v>43034</v>
      </c>
    </row>
    <row r="516" spans="1:39" ht="12.75" hidden="1" customHeight="1">
      <c r="A516" s="147">
        <v>515</v>
      </c>
      <c r="B516" s="223">
        <v>208194</v>
      </c>
      <c r="C516" s="221" t="s">
        <v>121</v>
      </c>
      <c r="D516" s="57">
        <v>43019</v>
      </c>
      <c r="E516" s="160" t="s">
        <v>1502</v>
      </c>
      <c r="F516" s="222">
        <v>43029</v>
      </c>
      <c r="G516" s="221">
        <f t="shared" si="25"/>
        <v>10</v>
      </c>
      <c r="H516" s="221" t="s">
        <v>133</v>
      </c>
      <c r="I516" s="221"/>
      <c r="J516" s="221" t="s">
        <v>614</v>
      </c>
      <c r="K516" s="94">
        <v>1311.2</v>
      </c>
      <c r="L516" s="94">
        <v>1311.2</v>
      </c>
      <c r="M516" s="221"/>
      <c r="N516" s="221"/>
      <c r="O516" s="93">
        <f t="shared" si="24"/>
        <v>1232.528</v>
      </c>
      <c r="P516" s="224" t="s">
        <v>264</v>
      </c>
      <c r="Q516" s="119" t="s">
        <v>1342</v>
      </c>
      <c r="R516" s="221" t="s">
        <v>134</v>
      </c>
      <c r="S516" s="62" t="s">
        <v>465</v>
      </c>
      <c r="T516" s="221" t="s">
        <v>120</v>
      </c>
      <c r="U516" s="221" t="s">
        <v>1298</v>
      </c>
      <c r="V516" s="228" t="s">
        <v>1299</v>
      </c>
      <c r="W516" s="221"/>
      <c r="X516" s="221"/>
      <c r="Y516" s="221"/>
      <c r="Z516" s="221" t="s">
        <v>434</v>
      </c>
      <c r="AA516" s="221"/>
      <c r="AB516" s="221"/>
      <c r="AC516" s="63">
        <f t="shared" si="26"/>
        <v>1</v>
      </c>
      <c r="AD516" s="221"/>
      <c r="AE516" s="221" t="s">
        <v>218</v>
      </c>
      <c r="AF516" s="221" t="s">
        <v>225</v>
      </c>
      <c r="AG516" s="221"/>
      <c r="AH516" s="64"/>
      <c r="AI516" s="221"/>
      <c r="AJ516" s="221"/>
      <c r="AK516" s="145"/>
      <c r="AL516" s="221"/>
      <c r="AM516" s="221"/>
    </row>
    <row r="517" spans="1:39" ht="12.75" hidden="1" customHeight="1">
      <c r="A517" s="147">
        <v>516</v>
      </c>
      <c r="B517" s="223">
        <v>208626</v>
      </c>
      <c r="C517" s="221" t="s">
        <v>128</v>
      </c>
      <c r="D517" s="57">
        <v>43020</v>
      </c>
      <c r="E517" s="160" t="s">
        <v>1502</v>
      </c>
      <c r="F517" s="222">
        <v>43033</v>
      </c>
      <c r="G517" s="221">
        <f t="shared" si="25"/>
        <v>13</v>
      </c>
      <c r="H517" s="221" t="s">
        <v>133</v>
      </c>
      <c r="I517" s="221"/>
      <c r="J517" s="221" t="s">
        <v>614</v>
      </c>
      <c r="K517" s="94">
        <v>1499</v>
      </c>
      <c r="L517" s="94">
        <v>1499</v>
      </c>
      <c r="M517" s="221">
        <v>410</v>
      </c>
      <c r="N517" s="221">
        <v>150</v>
      </c>
      <c r="O517" s="93">
        <f t="shared" si="24"/>
        <v>999.06</v>
      </c>
      <c r="P517" s="224" t="s">
        <v>264</v>
      </c>
      <c r="Q517" s="119" t="s">
        <v>1342</v>
      </c>
      <c r="R517" s="221" t="s">
        <v>210</v>
      </c>
      <c r="S517" s="225" t="s">
        <v>469</v>
      </c>
      <c r="T517" s="221" t="s">
        <v>1300</v>
      </c>
      <c r="U517" s="221" t="s">
        <v>1301</v>
      </c>
      <c r="V517" s="221" t="s">
        <v>90</v>
      </c>
      <c r="W517" s="221"/>
      <c r="X517" s="221"/>
      <c r="Y517" s="221" t="s">
        <v>316</v>
      </c>
      <c r="Z517" s="221" t="s">
        <v>147</v>
      </c>
      <c r="AA517" s="222">
        <v>43020</v>
      </c>
      <c r="AB517" s="221" t="s">
        <v>1102</v>
      </c>
      <c r="AC517" s="63">
        <f t="shared" si="26"/>
        <v>1</v>
      </c>
      <c r="AD517" s="221" t="s">
        <v>217</v>
      </c>
      <c r="AE517" s="221" t="s">
        <v>218</v>
      </c>
      <c r="AF517" s="117"/>
      <c r="AG517" s="221"/>
      <c r="AH517" s="64"/>
      <c r="AI517" s="221" t="s">
        <v>184</v>
      </c>
      <c r="AJ517" s="222">
        <v>43028</v>
      </c>
      <c r="AK517" s="225" t="s">
        <v>1327</v>
      </c>
      <c r="AL517" s="221" t="s">
        <v>645</v>
      </c>
      <c r="AM517" s="222">
        <v>43032</v>
      </c>
    </row>
    <row r="518" spans="1:39" ht="12.75" hidden="1" customHeight="1">
      <c r="A518" s="147">
        <v>517</v>
      </c>
      <c r="B518" s="223">
        <v>208583</v>
      </c>
      <c r="C518" s="221" t="s">
        <v>1130</v>
      </c>
      <c r="D518" s="57">
        <v>43020</v>
      </c>
      <c r="E518" s="160" t="s">
        <v>1502</v>
      </c>
      <c r="F518" s="222">
        <v>43025</v>
      </c>
      <c r="G518" s="221">
        <f t="shared" si="25"/>
        <v>5</v>
      </c>
      <c r="H518" s="221" t="s">
        <v>133</v>
      </c>
      <c r="I518" s="221"/>
      <c r="J518" s="221" t="s">
        <v>614</v>
      </c>
      <c r="K518" s="94">
        <v>1749</v>
      </c>
      <c r="L518" s="94">
        <v>1749</v>
      </c>
      <c r="M518" s="221">
        <v>190</v>
      </c>
      <c r="N518" s="221">
        <v>80</v>
      </c>
      <c r="O518" s="93">
        <f t="shared" si="24"/>
        <v>1454.06</v>
      </c>
      <c r="P518" s="224" t="s">
        <v>264</v>
      </c>
      <c r="Q518" s="119" t="s">
        <v>1342</v>
      </c>
      <c r="R518" s="221" t="s">
        <v>143</v>
      </c>
      <c r="S518" s="62" t="s">
        <v>465</v>
      </c>
      <c r="T518" s="221" t="s">
        <v>88</v>
      </c>
      <c r="U518" s="221" t="s">
        <v>963</v>
      </c>
      <c r="V518" s="150" t="s">
        <v>432</v>
      </c>
      <c r="W518" s="221"/>
      <c r="X518" s="221"/>
      <c r="Y518" s="221" t="s">
        <v>316</v>
      </c>
      <c r="Z518" s="221" t="s">
        <v>189</v>
      </c>
      <c r="AA518" s="222">
        <v>43020</v>
      </c>
      <c r="AB518" s="221" t="s">
        <v>140</v>
      </c>
      <c r="AC518" s="63">
        <f t="shared" si="26"/>
        <v>1</v>
      </c>
      <c r="AD518" s="221" t="s">
        <v>217</v>
      </c>
      <c r="AE518" s="221" t="s">
        <v>218</v>
      </c>
      <c r="AF518" s="221"/>
      <c r="AG518" s="221"/>
      <c r="AH518" s="64"/>
      <c r="AI518" s="221" t="s">
        <v>184</v>
      </c>
      <c r="AJ518" s="222">
        <v>43028</v>
      </c>
      <c r="AK518" s="225" t="s">
        <v>1326</v>
      </c>
      <c r="AL518" s="221" t="s">
        <v>645</v>
      </c>
      <c r="AM518" s="222">
        <v>43032</v>
      </c>
    </row>
    <row r="519" spans="1:39" ht="12.75" hidden="1" customHeight="1">
      <c r="A519" s="147">
        <v>518</v>
      </c>
      <c r="B519" s="51">
        <v>208588</v>
      </c>
      <c r="C519" s="221" t="s">
        <v>1130</v>
      </c>
      <c r="D519" s="57">
        <v>43024</v>
      </c>
      <c r="E519" s="160" t="s">
        <v>1502</v>
      </c>
      <c r="F519" s="222">
        <v>43037</v>
      </c>
      <c r="G519" s="221">
        <f t="shared" si="25"/>
        <v>13</v>
      </c>
      <c r="H519" s="221" t="s">
        <v>133</v>
      </c>
      <c r="I519" s="221"/>
      <c r="J519" s="221" t="s">
        <v>614</v>
      </c>
      <c r="K519" s="94">
        <v>1429</v>
      </c>
      <c r="L519" s="94">
        <v>1429</v>
      </c>
      <c r="M519" s="221"/>
      <c r="N519" s="221"/>
      <c r="O519" s="151">
        <f t="shared" si="24"/>
        <v>0</v>
      </c>
      <c r="P519" s="224" t="s">
        <v>262</v>
      </c>
      <c r="Q519" s="119" t="s">
        <v>1342</v>
      </c>
      <c r="R519" s="221" t="s">
        <v>143</v>
      </c>
      <c r="S519" s="62" t="s">
        <v>465</v>
      </c>
      <c r="T519" s="221" t="s">
        <v>88</v>
      </c>
      <c r="U519" s="221" t="s">
        <v>1306</v>
      </c>
      <c r="V519" s="150" t="s">
        <v>432</v>
      </c>
      <c r="W519" s="221"/>
      <c r="X519" s="221"/>
      <c r="Y519" s="221"/>
      <c r="Z519" s="221" t="s">
        <v>189</v>
      </c>
      <c r="AA519" s="221"/>
      <c r="AB519" s="221"/>
      <c r="AC519" s="63">
        <f t="shared" si="26"/>
        <v>0</v>
      </c>
      <c r="AD519" s="221"/>
      <c r="AE519" s="221" t="s">
        <v>217</v>
      </c>
      <c r="AF519" s="221" t="s">
        <v>225</v>
      </c>
      <c r="AG519" s="221"/>
      <c r="AH519" s="64"/>
      <c r="AI519" s="221"/>
      <c r="AJ519" s="221"/>
      <c r="AK519" s="145"/>
      <c r="AL519" s="221"/>
      <c r="AM519" s="221"/>
    </row>
    <row r="520" spans="1:39" s="144" customFormat="1" hidden="1">
      <c r="A520" s="147">
        <v>519</v>
      </c>
      <c r="B520" s="51">
        <v>208630</v>
      </c>
      <c r="C520" s="221" t="s">
        <v>1130</v>
      </c>
      <c r="D520" s="57">
        <v>43024</v>
      </c>
      <c r="E520" s="160" t="s">
        <v>1502</v>
      </c>
      <c r="F520" s="118">
        <v>43036</v>
      </c>
      <c r="G520" s="221">
        <f t="shared" si="25"/>
        <v>12</v>
      </c>
      <c r="H520" s="146" t="s">
        <v>133</v>
      </c>
      <c r="I520" s="221"/>
      <c r="J520" s="221" t="s">
        <v>614</v>
      </c>
      <c r="K520" s="94">
        <v>899</v>
      </c>
      <c r="L520" s="94">
        <v>899</v>
      </c>
      <c r="M520" s="221"/>
      <c r="N520" s="221"/>
      <c r="O520" s="151">
        <f t="shared" si="24"/>
        <v>0</v>
      </c>
      <c r="P520" s="119" t="s">
        <v>264</v>
      </c>
      <c r="Q520" s="119" t="s">
        <v>1342</v>
      </c>
      <c r="R520" s="146" t="s">
        <v>143</v>
      </c>
      <c r="S520" s="62" t="s">
        <v>465</v>
      </c>
      <c r="T520" s="221" t="s">
        <v>88</v>
      </c>
      <c r="U520" s="146" t="s">
        <v>1307</v>
      </c>
      <c r="V520" s="150" t="s">
        <v>432</v>
      </c>
      <c r="W520" s="221"/>
      <c r="X520" s="146"/>
      <c r="Y520" s="146"/>
      <c r="Z520" s="146" t="s">
        <v>189</v>
      </c>
      <c r="AA520" s="221"/>
      <c r="AB520" s="146"/>
      <c r="AC520" s="63">
        <f t="shared" si="26"/>
        <v>0</v>
      </c>
      <c r="AD520" s="221"/>
      <c r="AE520" s="221" t="s">
        <v>217</v>
      </c>
      <c r="AF520" s="146" t="s">
        <v>225</v>
      </c>
      <c r="AG520" s="146"/>
      <c r="AH520" s="64"/>
      <c r="AI520" s="146"/>
      <c r="AJ520" s="221"/>
      <c r="AK520" s="145"/>
      <c r="AL520" s="146"/>
      <c r="AM520" s="221"/>
    </row>
    <row r="521" spans="1:39" ht="12.75" hidden="1" customHeight="1">
      <c r="A521" s="147">
        <v>520</v>
      </c>
      <c r="B521" s="223">
        <v>208315</v>
      </c>
      <c r="C521" s="146" t="s">
        <v>1130</v>
      </c>
      <c r="D521" s="57">
        <v>43024</v>
      </c>
      <c r="E521" s="160" t="s">
        <v>1502</v>
      </c>
      <c r="F521" s="118">
        <v>43030</v>
      </c>
      <c r="G521" s="221">
        <f t="shared" si="25"/>
        <v>6</v>
      </c>
      <c r="H521" s="146" t="s">
        <v>133</v>
      </c>
      <c r="I521" s="221"/>
      <c r="J521" s="221" t="s">
        <v>614</v>
      </c>
      <c r="K521" s="94">
        <v>15999</v>
      </c>
      <c r="L521" s="94">
        <v>15999</v>
      </c>
      <c r="M521" s="221"/>
      <c r="N521" s="221"/>
      <c r="O521" s="151">
        <f t="shared" si="24"/>
        <v>0</v>
      </c>
      <c r="P521" s="119" t="s">
        <v>264</v>
      </c>
      <c r="Q521" s="119" t="s">
        <v>1342</v>
      </c>
      <c r="R521" s="146" t="s">
        <v>122</v>
      </c>
      <c r="S521" s="225" t="s">
        <v>469</v>
      </c>
      <c r="T521" s="146" t="s">
        <v>114</v>
      </c>
      <c r="U521" s="146" t="s">
        <v>1308</v>
      </c>
      <c r="V521" s="221" t="s">
        <v>1310</v>
      </c>
      <c r="W521" s="146"/>
      <c r="X521" s="146"/>
      <c r="Y521" s="221"/>
      <c r="Z521" s="146" t="s">
        <v>170</v>
      </c>
      <c r="AA521" s="221"/>
      <c r="AB521" s="146"/>
      <c r="AC521" s="63">
        <f t="shared" si="26"/>
        <v>0</v>
      </c>
      <c r="AD521" s="221"/>
      <c r="AE521" s="221" t="s">
        <v>217</v>
      </c>
      <c r="AF521" s="146" t="s">
        <v>225</v>
      </c>
      <c r="AG521" s="146"/>
      <c r="AH521" s="64"/>
      <c r="AI521" s="146"/>
      <c r="AJ521" s="221"/>
      <c r="AK521" s="145"/>
      <c r="AL521" s="146"/>
      <c r="AM521" s="221"/>
    </row>
    <row r="522" spans="1:39" ht="12.75" hidden="1" customHeight="1">
      <c r="A522" s="147">
        <v>521</v>
      </c>
      <c r="B522" s="223">
        <v>208612</v>
      </c>
      <c r="C522" s="117" t="s">
        <v>1130</v>
      </c>
      <c r="D522" s="57">
        <v>43024</v>
      </c>
      <c r="E522" s="160" t="s">
        <v>1502</v>
      </c>
      <c r="F522" s="118">
        <v>43035</v>
      </c>
      <c r="G522" s="221">
        <f t="shared" si="25"/>
        <v>11</v>
      </c>
      <c r="H522" s="146" t="s">
        <v>363</v>
      </c>
      <c r="I522" s="221"/>
      <c r="J522" s="221" t="s">
        <v>614</v>
      </c>
      <c r="K522" s="94">
        <v>1899</v>
      </c>
      <c r="L522" s="94">
        <v>1899</v>
      </c>
      <c r="M522" s="96">
        <v>0</v>
      </c>
      <c r="N522" s="221"/>
      <c r="O522" s="151">
        <f t="shared" si="24"/>
        <v>1785.06</v>
      </c>
      <c r="P522" s="119" t="s">
        <v>264</v>
      </c>
      <c r="Q522" s="119" t="s">
        <v>1342</v>
      </c>
      <c r="R522" s="146" t="s">
        <v>143</v>
      </c>
      <c r="S522" s="62" t="s">
        <v>465</v>
      </c>
      <c r="T522" s="146" t="s">
        <v>114</v>
      </c>
      <c r="U522" s="221" t="s">
        <v>244</v>
      </c>
      <c r="V522" s="150" t="s">
        <v>90</v>
      </c>
      <c r="W522" s="117"/>
      <c r="X522" s="117"/>
      <c r="Y522" s="117"/>
      <c r="Z522" s="117" t="s">
        <v>170</v>
      </c>
      <c r="AA522" s="221"/>
      <c r="AB522" s="117" t="s">
        <v>140</v>
      </c>
      <c r="AC522" s="63">
        <f t="shared" si="26"/>
        <v>1</v>
      </c>
      <c r="AD522" s="221"/>
      <c r="AE522" s="117"/>
      <c r="AF522" s="117"/>
      <c r="AG522" s="117"/>
      <c r="AH522" s="64" t="s">
        <v>1320</v>
      </c>
      <c r="AI522" s="117"/>
      <c r="AJ522" s="146"/>
      <c r="AK522" s="145"/>
      <c r="AL522" s="146"/>
      <c r="AM522" s="146"/>
    </row>
    <row r="523" spans="1:39" ht="12.75" hidden="1" customHeight="1">
      <c r="A523" s="147">
        <v>522</v>
      </c>
      <c r="B523" s="223">
        <v>208960</v>
      </c>
      <c r="C523" s="117" t="s">
        <v>1130</v>
      </c>
      <c r="D523" s="57">
        <v>43024</v>
      </c>
      <c r="E523" s="160" t="s">
        <v>1502</v>
      </c>
      <c r="F523" s="118">
        <v>43033</v>
      </c>
      <c r="G523" s="221">
        <f t="shared" si="25"/>
        <v>9</v>
      </c>
      <c r="H523" s="146" t="s">
        <v>363</v>
      </c>
      <c r="I523" s="221"/>
      <c r="J523" s="221" t="s">
        <v>614</v>
      </c>
      <c r="K523" s="94">
        <v>1999</v>
      </c>
      <c r="L523" s="94">
        <v>1999</v>
      </c>
      <c r="M523" s="96">
        <v>0</v>
      </c>
      <c r="N523" s="221"/>
      <c r="O523" s="151">
        <f t="shared" si="24"/>
        <v>1879.06</v>
      </c>
      <c r="P523" s="119" t="s">
        <v>264</v>
      </c>
      <c r="Q523" s="119" t="s">
        <v>1342</v>
      </c>
      <c r="R523" s="146" t="s">
        <v>300</v>
      </c>
      <c r="S523" s="225" t="s">
        <v>469</v>
      </c>
      <c r="T523" s="117" t="s">
        <v>114</v>
      </c>
      <c r="U523" s="221" t="s">
        <v>1309</v>
      </c>
      <c r="V523" s="146" t="s">
        <v>1311</v>
      </c>
      <c r="W523" s="146"/>
      <c r="X523" s="146"/>
      <c r="Y523" s="221"/>
      <c r="Z523" s="117" t="s">
        <v>170</v>
      </c>
      <c r="AA523" s="221"/>
      <c r="AB523" s="117"/>
      <c r="AC523" s="63">
        <f t="shared" si="26"/>
        <v>1</v>
      </c>
      <c r="AD523" s="221"/>
      <c r="AE523" s="117"/>
      <c r="AF523" s="117"/>
      <c r="AG523" s="117"/>
      <c r="AH523" s="64" t="s">
        <v>1312</v>
      </c>
      <c r="AI523" s="117"/>
      <c r="AJ523" s="221"/>
      <c r="AK523" s="145"/>
      <c r="AL523" s="117"/>
      <c r="AM523" s="221"/>
    </row>
    <row r="524" spans="1:39" ht="12.75" hidden="1" customHeight="1">
      <c r="A524" s="147">
        <v>523</v>
      </c>
      <c r="B524" s="51">
        <v>208706</v>
      </c>
      <c r="C524" s="117" t="s">
        <v>1130</v>
      </c>
      <c r="D524" s="57">
        <v>43024</v>
      </c>
      <c r="E524" s="160" t="s">
        <v>1502</v>
      </c>
      <c r="F524" s="118">
        <v>43036</v>
      </c>
      <c r="G524" s="221">
        <f t="shared" si="25"/>
        <v>12</v>
      </c>
      <c r="H524" s="146" t="s">
        <v>133</v>
      </c>
      <c r="I524" s="221"/>
      <c r="J524" s="221" t="s">
        <v>614</v>
      </c>
      <c r="K524" s="94">
        <v>999</v>
      </c>
      <c r="L524" s="94">
        <v>999</v>
      </c>
      <c r="M524" s="221">
        <v>160</v>
      </c>
      <c r="N524" s="221">
        <v>80</v>
      </c>
      <c r="O524" s="93">
        <f t="shared" si="24"/>
        <v>779.06</v>
      </c>
      <c r="P524" s="119" t="s">
        <v>261</v>
      </c>
      <c r="Q524" s="119" t="s">
        <v>1341</v>
      </c>
      <c r="R524" s="117" t="s">
        <v>143</v>
      </c>
      <c r="S524" s="62" t="s">
        <v>465</v>
      </c>
      <c r="T524" s="221" t="s">
        <v>88</v>
      </c>
      <c r="U524" s="146" t="s">
        <v>1313</v>
      </c>
      <c r="V524" s="150" t="s">
        <v>432</v>
      </c>
      <c r="W524" s="117"/>
      <c r="X524" s="117"/>
      <c r="Y524" s="117" t="s">
        <v>1228</v>
      </c>
      <c r="Z524" s="117" t="s">
        <v>189</v>
      </c>
      <c r="AA524" s="222">
        <v>43032</v>
      </c>
      <c r="AB524" s="117" t="s">
        <v>140</v>
      </c>
      <c r="AC524" s="63">
        <f t="shared" si="26"/>
        <v>1</v>
      </c>
      <c r="AD524" s="221" t="s">
        <v>217</v>
      </c>
      <c r="AE524" s="221" t="s">
        <v>218</v>
      </c>
      <c r="AF524" s="117"/>
      <c r="AG524" s="117"/>
      <c r="AH524" s="64"/>
      <c r="AI524" s="117" t="s">
        <v>184</v>
      </c>
      <c r="AJ524" s="222">
        <v>43042</v>
      </c>
      <c r="AK524" s="145" t="s">
        <v>1367</v>
      </c>
      <c r="AL524" s="117" t="s">
        <v>609</v>
      </c>
      <c r="AM524" s="222">
        <v>43042</v>
      </c>
    </row>
    <row r="525" spans="1:39" ht="12.75" hidden="1" customHeight="1">
      <c r="A525" s="147">
        <v>524</v>
      </c>
      <c r="B525" s="51">
        <v>208769</v>
      </c>
      <c r="C525" s="145" t="s">
        <v>1130</v>
      </c>
      <c r="D525" s="57">
        <v>43024</v>
      </c>
      <c r="E525" s="160" t="s">
        <v>1502</v>
      </c>
      <c r="F525" s="143">
        <v>43036</v>
      </c>
      <c r="G525" s="145">
        <f t="shared" si="25"/>
        <v>12</v>
      </c>
      <c r="H525" s="145" t="s">
        <v>133</v>
      </c>
      <c r="I525" s="145"/>
      <c r="J525" s="145" t="s">
        <v>614</v>
      </c>
      <c r="K525" s="94">
        <v>1299</v>
      </c>
      <c r="L525" s="94">
        <v>1299</v>
      </c>
      <c r="M525" s="145">
        <v>110</v>
      </c>
      <c r="N525" s="145">
        <v>80</v>
      </c>
      <c r="O525" s="93">
        <f t="shared" si="24"/>
        <v>1111.06</v>
      </c>
      <c r="P525" s="162" t="s">
        <v>261</v>
      </c>
      <c r="Q525" s="119" t="s">
        <v>1341</v>
      </c>
      <c r="R525" s="145" t="s">
        <v>143</v>
      </c>
      <c r="S525" s="62" t="s">
        <v>465</v>
      </c>
      <c r="T525" s="221" t="s">
        <v>88</v>
      </c>
      <c r="U525" s="145" t="s">
        <v>1314</v>
      </c>
      <c r="V525" s="142" t="s">
        <v>432</v>
      </c>
      <c r="W525" s="145"/>
      <c r="X525" s="145"/>
      <c r="Y525" s="145" t="s">
        <v>1228</v>
      </c>
      <c r="Z525" s="145" t="s">
        <v>189</v>
      </c>
      <c r="AA525" s="143">
        <v>43041</v>
      </c>
      <c r="AB525" s="145" t="s">
        <v>872</v>
      </c>
      <c r="AC525" s="163">
        <f t="shared" si="26"/>
        <v>1</v>
      </c>
      <c r="AD525" s="221" t="s">
        <v>217</v>
      </c>
      <c r="AE525" s="221" t="s">
        <v>218</v>
      </c>
      <c r="AF525" s="145"/>
      <c r="AG525" s="145"/>
      <c r="AH525" s="164" t="s">
        <v>1358</v>
      </c>
      <c r="AI525" s="145" t="s">
        <v>184</v>
      </c>
      <c r="AJ525" s="143">
        <v>43054</v>
      </c>
      <c r="AK525" s="145" t="s">
        <v>1410</v>
      </c>
      <c r="AL525" s="145" t="s">
        <v>609</v>
      </c>
      <c r="AM525" s="143">
        <v>43054</v>
      </c>
    </row>
    <row r="526" spans="1:39" ht="12.75" hidden="1" customHeight="1">
      <c r="A526" s="147">
        <v>525</v>
      </c>
      <c r="B526" s="51">
        <v>207269</v>
      </c>
      <c r="C526" s="117" t="s">
        <v>121</v>
      </c>
      <c r="D526" s="57">
        <v>43025</v>
      </c>
      <c r="E526" s="160" t="s">
        <v>1502</v>
      </c>
      <c r="F526" s="118">
        <v>43033</v>
      </c>
      <c r="G526" s="221">
        <f t="shared" si="25"/>
        <v>8</v>
      </c>
      <c r="H526" s="146" t="s">
        <v>133</v>
      </c>
      <c r="I526" s="221"/>
      <c r="J526" s="221" t="s">
        <v>614</v>
      </c>
      <c r="K526" s="94">
        <v>1999</v>
      </c>
      <c r="L526" s="94">
        <v>1999</v>
      </c>
      <c r="M526" s="221"/>
      <c r="N526" s="221"/>
      <c r="O526" s="93">
        <f t="shared" si="24"/>
        <v>0</v>
      </c>
      <c r="P526" s="224" t="s">
        <v>261</v>
      </c>
      <c r="Q526" s="119" t="s">
        <v>1341</v>
      </c>
      <c r="R526" s="221" t="s">
        <v>134</v>
      </c>
      <c r="S526" s="62" t="s">
        <v>465</v>
      </c>
      <c r="T526" s="117" t="s">
        <v>164</v>
      </c>
      <c r="U526" s="221" t="s">
        <v>1321</v>
      </c>
      <c r="V526" s="221" t="s">
        <v>1322</v>
      </c>
      <c r="W526" s="221" t="s">
        <v>1323</v>
      </c>
      <c r="X526" s="117"/>
      <c r="Y526" s="221"/>
      <c r="Z526" s="117" t="s">
        <v>202</v>
      </c>
      <c r="AA526" s="221"/>
      <c r="AB526" s="117"/>
      <c r="AC526" s="63">
        <f t="shared" si="26"/>
        <v>0</v>
      </c>
      <c r="AD526" s="221"/>
      <c r="AE526" s="221" t="s">
        <v>217</v>
      </c>
      <c r="AF526" s="117" t="s">
        <v>225</v>
      </c>
      <c r="AG526" s="117"/>
      <c r="AH526" s="64"/>
      <c r="AI526" s="117"/>
      <c r="AJ526" s="221"/>
      <c r="AK526" s="145"/>
      <c r="AL526" s="117"/>
      <c r="AM526" s="221"/>
    </row>
    <row r="527" spans="1:39" ht="12.75" hidden="1" customHeight="1">
      <c r="A527" s="147">
        <v>526</v>
      </c>
      <c r="B527" s="223">
        <v>208786</v>
      </c>
      <c r="C527" s="117" t="s">
        <v>1130</v>
      </c>
      <c r="D527" s="57">
        <v>43026</v>
      </c>
      <c r="E527" s="160" t="s">
        <v>1502</v>
      </c>
      <c r="F527" s="118">
        <v>43051</v>
      </c>
      <c r="G527" s="146">
        <f t="shared" si="25"/>
        <v>25</v>
      </c>
      <c r="H527" s="146" t="s">
        <v>133</v>
      </c>
      <c r="I527" s="221"/>
      <c r="J527" s="221" t="s">
        <v>614</v>
      </c>
      <c r="K527" s="94">
        <v>1499</v>
      </c>
      <c r="L527" s="94">
        <v>1499</v>
      </c>
      <c r="M527" s="221">
        <v>330</v>
      </c>
      <c r="N527" s="221">
        <v>120</v>
      </c>
      <c r="O527" s="93">
        <f t="shared" ref="O527:O590" si="27">IF(AE527="Reemplazo",0,K527-(K527*0.12*0.5)-(MAX(M527,N527)))</f>
        <v>1079.06</v>
      </c>
      <c r="P527" s="119" t="s">
        <v>261</v>
      </c>
      <c r="Q527" s="119" t="s">
        <v>1341</v>
      </c>
      <c r="R527" s="221" t="s">
        <v>143</v>
      </c>
      <c r="S527" s="62" t="s">
        <v>465</v>
      </c>
      <c r="T527" s="221" t="s">
        <v>88</v>
      </c>
      <c r="U527" s="117" t="s">
        <v>1324</v>
      </c>
      <c r="V527" s="221" t="s">
        <v>90</v>
      </c>
      <c r="W527" s="117"/>
      <c r="X527" s="117"/>
      <c r="Y527" s="117" t="s">
        <v>316</v>
      </c>
      <c r="Z527" s="117" t="s">
        <v>189</v>
      </c>
      <c r="AA527" s="222">
        <v>43756</v>
      </c>
      <c r="AB527" s="117" t="s">
        <v>140</v>
      </c>
      <c r="AC527" s="63">
        <f t="shared" si="26"/>
        <v>1</v>
      </c>
      <c r="AD527" s="221" t="s">
        <v>217</v>
      </c>
      <c r="AE527" s="221" t="s">
        <v>218</v>
      </c>
      <c r="AF527" s="117"/>
      <c r="AG527" s="117"/>
      <c r="AH527" s="64"/>
      <c r="AI527" s="117" t="s">
        <v>184</v>
      </c>
      <c r="AJ527" s="222">
        <v>43028</v>
      </c>
      <c r="AK527" s="225" t="s">
        <v>1325</v>
      </c>
      <c r="AL527" s="117" t="s">
        <v>645</v>
      </c>
      <c r="AM527" s="222">
        <v>43032</v>
      </c>
    </row>
    <row r="528" spans="1:39" ht="12.75" hidden="1" customHeight="1">
      <c r="A528" s="147">
        <v>527</v>
      </c>
      <c r="B528" s="223">
        <v>208850</v>
      </c>
      <c r="C528" s="117" t="s">
        <v>128</v>
      </c>
      <c r="D528" s="57">
        <v>43027</v>
      </c>
      <c r="E528" s="160" t="s">
        <v>1502</v>
      </c>
      <c r="F528" s="118">
        <v>43051</v>
      </c>
      <c r="G528" s="221">
        <f t="shared" si="25"/>
        <v>24</v>
      </c>
      <c r="H528" s="146" t="s">
        <v>133</v>
      </c>
      <c r="I528" s="221"/>
      <c r="J528" s="221" t="s">
        <v>614</v>
      </c>
      <c r="K528" s="94">
        <v>2999</v>
      </c>
      <c r="L528" s="94">
        <v>2999</v>
      </c>
      <c r="M528" s="221"/>
      <c r="N528" s="221"/>
      <c r="O528" s="151">
        <f t="shared" si="27"/>
        <v>0</v>
      </c>
      <c r="P528" s="119" t="s">
        <v>261</v>
      </c>
      <c r="Q528" s="119" t="s">
        <v>1341</v>
      </c>
      <c r="R528" s="221" t="s">
        <v>122</v>
      </c>
      <c r="S528" s="225" t="s">
        <v>469</v>
      </c>
      <c r="T528" s="117" t="s">
        <v>829</v>
      </c>
      <c r="U528" s="117" t="s">
        <v>1329</v>
      </c>
      <c r="V528" s="221" t="s">
        <v>90</v>
      </c>
      <c r="W528" s="117"/>
      <c r="X528" s="117"/>
      <c r="Y528" s="117"/>
      <c r="Z528" s="221" t="s">
        <v>296</v>
      </c>
      <c r="AA528" s="117"/>
      <c r="AB528" s="117"/>
      <c r="AC528" s="63">
        <f t="shared" si="26"/>
        <v>0</v>
      </c>
      <c r="AD528" s="221"/>
      <c r="AE528" s="221" t="s">
        <v>217</v>
      </c>
      <c r="AF528" s="117" t="s">
        <v>225</v>
      </c>
      <c r="AG528" s="117"/>
      <c r="AH528" s="64"/>
      <c r="AI528" s="117"/>
      <c r="AJ528" s="117"/>
      <c r="AK528" s="145"/>
      <c r="AL528" s="117"/>
      <c r="AM528" s="221"/>
    </row>
    <row r="529" spans="1:39" ht="12.75" hidden="1" customHeight="1">
      <c r="A529" s="147">
        <v>528</v>
      </c>
      <c r="B529" s="223">
        <v>209066</v>
      </c>
      <c r="C529" s="117" t="s">
        <v>121</v>
      </c>
      <c r="D529" s="57">
        <v>43031</v>
      </c>
      <c r="E529" s="160" t="s">
        <v>1502</v>
      </c>
      <c r="F529" s="118">
        <v>43039</v>
      </c>
      <c r="G529" s="146">
        <f t="shared" si="25"/>
        <v>8</v>
      </c>
      <c r="H529" s="146" t="s">
        <v>363</v>
      </c>
      <c r="I529" s="125"/>
      <c r="J529" s="221" t="s">
        <v>614</v>
      </c>
      <c r="K529" s="94">
        <v>1099</v>
      </c>
      <c r="L529" s="94">
        <v>1099</v>
      </c>
      <c r="M529" s="96">
        <v>0</v>
      </c>
      <c r="N529" s="221"/>
      <c r="O529" s="93">
        <f t="shared" si="27"/>
        <v>1033.06</v>
      </c>
      <c r="P529" s="119" t="s">
        <v>264</v>
      </c>
      <c r="Q529" s="119" t="s">
        <v>1342</v>
      </c>
      <c r="R529" s="146" t="s">
        <v>210</v>
      </c>
      <c r="S529" s="225" t="s">
        <v>469</v>
      </c>
      <c r="T529" s="117" t="s">
        <v>376</v>
      </c>
      <c r="U529" s="117" t="s">
        <v>1330</v>
      </c>
      <c r="V529" s="221" t="s">
        <v>382</v>
      </c>
      <c r="W529" s="117"/>
      <c r="X529" s="117"/>
      <c r="Y529" s="221"/>
      <c r="Z529" s="117" t="s">
        <v>253</v>
      </c>
      <c r="AA529" s="146"/>
      <c r="AB529" s="117"/>
      <c r="AC529" s="63">
        <f t="shared" si="26"/>
        <v>1</v>
      </c>
      <c r="AD529" s="221"/>
      <c r="AE529" s="117"/>
      <c r="AF529" s="117"/>
      <c r="AG529" s="117"/>
      <c r="AH529" s="64" t="s">
        <v>1353</v>
      </c>
      <c r="AI529" s="117"/>
      <c r="AJ529" s="146"/>
      <c r="AK529" s="145"/>
      <c r="AL529" s="117"/>
      <c r="AM529" s="146"/>
    </row>
    <row r="530" spans="1:39" ht="12.75" hidden="1" customHeight="1">
      <c r="A530" s="147">
        <v>529</v>
      </c>
      <c r="B530" s="223">
        <v>209232</v>
      </c>
      <c r="C530" s="117" t="s">
        <v>128</v>
      </c>
      <c r="D530" s="57">
        <v>43031</v>
      </c>
      <c r="E530" s="160" t="s">
        <v>1502</v>
      </c>
      <c r="F530" s="118">
        <v>43044</v>
      </c>
      <c r="G530" s="146">
        <f t="shared" si="25"/>
        <v>13</v>
      </c>
      <c r="H530" s="146" t="s">
        <v>133</v>
      </c>
      <c r="I530" s="221"/>
      <c r="J530" s="221" t="s">
        <v>614</v>
      </c>
      <c r="K530" s="94"/>
      <c r="L530" s="221"/>
      <c r="M530" s="221"/>
      <c r="N530" s="221"/>
      <c r="O530" s="151">
        <f t="shared" si="27"/>
        <v>0</v>
      </c>
      <c r="P530" s="119" t="s">
        <v>264</v>
      </c>
      <c r="Q530" s="119" t="s">
        <v>1342</v>
      </c>
      <c r="R530" s="146" t="s">
        <v>134</v>
      </c>
      <c r="S530" s="62" t="s">
        <v>465</v>
      </c>
      <c r="T530" s="146" t="s">
        <v>144</v>
      </c>
      <c r="U530" s="146" t="s">
        <v>1344</v>
      </c>
      <c r="V530" s="221" t="s">
        <v>90</v>
      </c>
      <c r="W530" s="117"/>
      <c r="X530" s="117"/>
      <c r="Y530" s="221"/>
      <c r="Z530" s="117" t="s">
        <v>137</v>
      </c>
      <c r="AA530" s="221"/>
      <c r="AB530" s="117"/>
      <c r="AC530" s="63">
        <f t="shared" si="26"/>
        <v>0</v>
      </c>
      <c r="AD530" s="221"/>
      <c r="AE530" s="221" t="s">
        <v>217</v>
      </c>
      <c r="AF530" s="117" t="s">
        <v>225</v>
      </c>
      <c r="AG530" s="117"/>
      <c r="AH530" s="64"/>
      <c r="AI530" s="117"/>
      <c r="AJ530" s="221"/>
      <c r="AK530" s="145"/>
      <c r="AL530" s="117"/>
      <c r="AM530" s="221"/>
    </row>
    <row r="531" spans="1:39" ht="12.75" hidden="1" customHeight="1">
      <c r="A531" s="147">
        <v>530</v>
      </c>
      <c r="B531" s="223">
        <v>208441</v>
      </c>
      <c r="C531" s="221" t="s">
        <v>121</v>
      </c>
      <c r="D531" s="57">
        <v>43031</v>
      </c>
      <c r="E531" s="160" t="s">
        <v>1502</v>
      </c>
      <c r="F531" s="222">
        <v>43034</v>
      </c>
      <c r="G531" s="221">
        <f t="shared" si="25"/>
        <v>3</v>
      </c>
      <c r="H531" s="221" t="s">
        <v>133</v>
      </c>
      <c r="I531" s="221"/>
      <c r="J531" s="221" t="s">
        <v>614</v>
      </c>
      <c r="K531" s="94">
        <v>2899</v>
      </c>
      <c r="L531" s="221"/>
      <c r="M531" s="221">
        <v>290</v>
      </c>
      <c r="N531" s="221">
        <v>145</v>
      </c>
      <c r="O531" s="93">
        <f t="shared" si="27"/>
        <v>2435.06</v>
      </c>
      <c r="P531" s="224" t="s">
        <v>264</v>
      </c>
      <c r="Q531" s="119" t="s">
        <v>1342</v>
      </c>
      <c r="R531" s="221" t="s">
        <v>134</v>
      </c>
      <c r="S531" s="62" t="s">
        <v>465</v>
      </c>
      <c r="T531" s="221" t="s">
        <v>88</v>
      </c>
      <c r="U531" s="221" t="s">
        <v>741</v>
      </c>
      <c r="V531" s="221" t="s">
        <v>429</v>
      </c>
      <c r="W531" s="221"/>
      <c r="X531" s="221"/>
      <c r="Y531" s="221" t="s">
        <v>1172</v>
      </c>
      <c r="Z531" s="221" t="s">
        <v>124</v>
      </c>
      <c r="AA531" s="222">
        <v>43034</v>
      </c>
      <c r="AB531" s="221" t="s">
        <v>782</v>
      </c>
      <c r="AC531" s="226">
        <f t="shared" si="26"/>
        <v>1</v>
      </c>
      <c r="AD531" s="221" t="s">
        <v>217</v>
      </c>
      <c r="AE531" s="221" t="s">
        <v>218</v>
      </c>
      <c r="AF531" s="221"/>
      <c r="AG531" s="221"/>
      <c r="AH531" s="64"/>
      <c r="AI531" s="221"/>
      <c r="AJ531" s="221"/>
      <c r="AK531" s="221"/>
      <c r="AL531" s="221"/>
      <c r="AM531" s="221"/>
    </row>
    <row r="532" spans="1:39" ht="12.75" hidden="1" customHeight="1">
      <c r="A532" s="147">
        <v>531</v>
      </c>
      <c r="B532" s="223">
        <v>208948</v>
      </c>
      <c r="C532" s="117" t="s">
        <v>121</v>
      </c>
      <c r="D532" s="57">
        <v>43032</v>
      </c>
      <c r="E532" s="160" t="s">
        <v>1502</v>
      </c>
      <c r="F532" s="118">
        <v>43039</v>
      </c>
      <c r="G532" s="146">
        <f t="shared" si="25"/>
        <v>7</v>
      </c>
      <c r="H532" s="146" t="s">
        <v>363</v>
      </c>
      <c r="I532" s="125"/>
      <c r="J532" s="221" t="s">
        <v>614</v>
      </c>
      <c r="K532" s="94">
        <v>1899</v>
      </c>
      <c r="L532" s="94">
        <v>1899</v>
      </c>
      <c r="M532" s="96">
        <v>0</v>
      </c>
      <c r="N532" s="221"/>
      <c r="O532" s="93">
        <f t="shared" si="27"/>
        <v>1785.06</v>
      </c>
      <c r="P532" s="119" t="s">
        <v>264</v>
      </c>
      <c r="Q532" s="119" t="s">
        <v>1342</v>
      </c>
      <c r="R532" s="146" t="s">
        <v>134</v>
      </c>
      <c r="S532" s="62" t="s">
        <v>465</v>
      </c>
      <c r="T532" s="117" t="s">
        <v>1011</v>
      </c>
      <c r="U532" s="146" t="s">
        <v>1331</v>
      </c>
      <c r="V532" s="146" t="s">
        <v>1332</v>
      </c>
      <c r="W532" s="117"/>
      <c r="X532" s="117"/>
      <c r="Y532" s="221"/>
      <c r="Z532" s="117" t="s">
        <v>434</v>
      </c>
      <c r="AA532" s="221"/>
      <c r="AB532" s="117"/>
      <c r="AC532" s="63">
        <f t="shared" si="26"/>
        <v>1</v>
      </c>
      <c r="AD532" s="221"/>
      <c r="AE532" s="117"/>
      <c r="AF532" s="117"/>
      <c r="AG532" s="117"/>
      <c r="AH532" s="64" t="s">
        <v>1350</v>
      </c>
      <c r="AI532" s="117"/>
      <c r="AJ532" s="221"/>
      <c r="AK532" s="145"/>
      <c r="AL532" s="117"/>
      <c r="AM532" s="221"/>
    </row>
    <row r="533" spans="1:39" ht="12.75" hidden="1" customHeight="1">
      <c r="A533" s="147">
        <v>532</v>
      </c>
      <c r="B533" s="223">
        <v>209347</v>
      </c>
      <c r="C533" s="117" t="s">
        <v>128</v>
      </c>
      <c r="D533" s="57">
        <v>43032</v>
      </c>
      <c r="E533" s="160" t="s">
        <v>1502</v>
      </c>
      <c r="F533" s="118">
        <v>43045</v>
      </c>
      <c r="G533" s="146">
        <f t="shared" si="25"/>
        <v>13</v>
      </c>
      <c r="H533" s="146" t="s">
        <v>133</v>
      </c>
      <c r="I533" s="125"/>
      <c r="J533" s="221" t="s">
        <v>614</v>
      </c>
      <c r="K533" s="94">
        <v>1499</v>
      </c>
      <c r="L533" s="94">
        <v>1499</v>
      </c>
      <c r="M533" s="221"/>
      <c r="N533" s="221"/>
      <c r="O533" s="151">
        <f t="shared" si="27"/>
        <v>0</v>
      </c>
      <c r="P533" s="119" t="s">
        <v>264</v>
      </c>
      <c r="Q533" s="119" t="s">
        <v>1342</v>
      </c>
      <c r="R533" s="117" t="s">
        <v>390</v>
      </c>
      <c r="S533" s="225" t="s">
        <v>1547</v>
      </c>
      <c r="T533" s="117" t="s">
        <v>1334</v>
      </c>
      <c r="U533" s="117" t="s">
        <v>1335</v>
      </c>
      <c r="V533" s="146" t="s">
        <v>1336</v>
      </c>
      <c r="W533" s="117"/>
      <c r="X533" s="117"/>
      <c r="Y533" s="221"/>
      <c r="Z533" s="117" t="s">
        <v>1337</v>
      </c>
      <c r="AA533" s="221"/>
      <c r="AB533" s="117"/>
      <c r="AC533" s="63">
        <f t="shared" si="26"/>
        <v>0</v>
      </c>
      <c r="AD533" s="221"/>
      <c r="AE533" s="221" t="s">
        <v>217</v>
      </c>
      <c r="AF533" s="117" t="s">
        <v>225</v>
      </c>
      <c r="AG533" s="117"/>
      <c r="AH533" s="64"/>
      <c r="AI533" s="117"/>
      <c r="AJ533" s="221"/>
      <c r="AK533" s="145"/>
      <c r="AL533" s="117"/>
      <c r="AM533" s="221"/>
    </row>
    <row r="534" spans="1:39" ht="12.75" hidden="1" customHeight="1">
      <c r="A534" s="147">
        <v>533</v>
      </c>
      <c r="B534" s="223">
        <v>208652</v>
      </c>
      <c r="C534" s="117" t="s">
        <v>121</v>
      </c>
      <c r="D534" s="57">
        <v>43032</v>
      </c>
      <c r="E534" s="160" t="s">
        <v>1502</v>
      </c>
      <c r="F534" s="118">
        <v>43035</v>
      </c>
      <c r="G534" s="146">
        <f t="shared" si="25"/>
        <v>3</v>
      </c>
      <c r="H534" s="146" t="s">
        <v>133</v>
      </c>
      <c r="I534" s="221"/>
      <c r="J534" s="221" t="s">
        <v>614</v>
      </c>
      <c r="K534" s="94">
        <v>8299</v>
      </c>
      <c r="L534" s="94">
        <v>8299</v>
      </c>
      <c r="M534" s="221"/>
      <c r="N534" s="221"/>
      <c r="O534" s="151">
        <f t="shared" si="27"/>
        <v>0</v>
      </c>
      <c r="P534" s="119" t="s">
        <v>264</v>
      </c>
      <c r="Q534" s="119" t="s">
        <v>1342</v>
      </c>
      <c r="R534" s="146" t="s">
        <v>134</v>
      </c>
      <c r="S534" s="62" t="s">
        <v>465</v>
      </c>
      <c r="T534" s="146" t="s">
        <v>114</v>
      </c>
      <c r="U534" s="117" t="s">
        <v>198</v>
      </c>
      <c r="V534" s="146" t="s">
        <v>396</v>
      </c>
      <c r="W534" s="117"/>
      <c r="X534" s="117"/>
      <c r="Y534" s="221"/>
      <c r="Z534" s="146" t="s">
        <v>124</v>
      </c>
      <c r="AA534" s="221"/>
      <c r="AB534" s="117"/>
      <c r="AC534" s="63">
        <f t="shared" si="26"/>
        <v>0</v>
      </c>
      <c r="AD534" s="221" t="s">
        <v>217</v>
      </c>
      <c r="AE534" s="221" t="s">
        <v>217</v>
      </c>
      <c r="AF534" s="117" t="s">
        <v>225</v>
      </c>
      <c r="AG534" s="117"/>
      <c r="AH534" s="64"/>
      <c r="AI534" s="117"/>
      <c r="AJ534" s="221"/>
      <c r="AK534" s="145"/>
      <c r="AL534" s="117"/>
      <c r="AM534" s="221"/>
    </row>
    <row r="535" spans="1:39" ht="12.75" hidden="1" customHeight="1">
      <c r="A535" s="147">
        <v>534</v>
      </c>
      <c r="B535" s="223">
        <v>209170</v>
      </c>
      <c r="C535" s="146" t="s">
        <v>1130</v>
      </c>
      <c r="D535" s="57">
        <v>43032</v>
      </c>
      <c r="E535" s="160" t="s">
        <v>1502</v>
      </c>
      <c r="F535" s="118">
        <v>43043</v>
      </c>
      <c r="G535" s="146">
        <f t="shared" si="25"/>
        <v>11</v>
      </c>
      <c r="H535" s="146" t="s">
        <v>363</v>
      </c>
      <c r="I535" s="221"/>
      <c r="J535" s="221" t="s">
        <v>614</v>
      </c>
      <c r="K535" s="94">
        <v>2099</v>
      </c>
      <c r="L535" s="94">
        <v>2099</v>
      </c>
      <c r="M535" s="96">
        <v>0</v>
      </c>
      <c r="N535" s="221"/>
      <c r="O535" s="93">
        <f t="shared" si="27"/>
        <v>1973.06</v>
      </c>
      <c r="P535" s="119" t="s">
        <v>264</v>
      </c>
      <c r="Q535" s="119" t="s">
        <v>1342</v>
      </c>
      <c r="R535" s="146" t="s">
        <v>134</v>
      </c>
      <c r="S535" s="62" t="s">
        <v>465</v>
      </c>
      <c r="T535" s="221" t="s">
        <v>88</v>
      </c>
      <c r="U535" s="117" t="s">
        <v>1338</v>
      </c>
      <c r="V535" s="221" t="s">
        <v>1339</v>
      </c>
      <c r="W535" s="117"/>
      <c r="X535" s="117"/>
      <c r="Y535" s="221"/>
      <c r="Z535" s="146" t="s">
        <v>189</v>
      </c>
      <c r="AA535" s="146"/>
      <c r="AB535" s="117"/>
      <c r="AC535" s="63">
        <f t="shared" si="26"/>
        <v>1</v>
      </c>
      <c r="AD535" s="221"/>
      <c r="AE535" s="146"/>
      <c r="AF535" s="117"/>
      <c r="AG535" s="117"/>
      <c r="AH535" s="64" t="s">
        <v>1357</v>
      </c>
      <c r="AI535" s="117"/>
      <c r="AJ535" s="146"/>
      <c r="AK535" s="145"/>
      <c r="AL535" s="117"/>
      <c r="AM535" s="221"/>
    </row>
    <row r="536" spans="1:39" ht="12.75" hidden="1" customHeight="1">
      <c r="A536" s="147">
        <v>535</v>
      </c>
      <c r="B536" s="223">
        <v>209379</v>
      </c>
      <c r="C536" s="117" t="s">
        <v>1130</v>
      </c>
      <c r="D536" s="57">
        <v>43032</v>
      </c>
      <c r="E536" s="160" t="s">
        <v>1502</v>
      </c>
      <c r="F536" s="118">
        <v>43045</v>
      </c>
      <c r="G536" s="146">
        <f t="shared" si="25"/>
        <v>13</v>
      </c>
      <c r="H536" s="146" t="s">
        <v>133</v>
      </c>
      <c r="I536" s="221"/>
      <c r="J536" s="221" t="s">
        <v>614</v>
      </c>
      <c r="K536" s="94">
        <v>1460</v>
      </c>
      <c r="L536" s="221">
        <v>1460</v>
      </c>
      <c r="M536" s="221">
        <v>365.8</v>
      </c>
      <c r="N536" s="221">
        <v>80</v>
      </c>
      <c r="O536" s="93">
        <f t="shared" si="27"/>
        <v>1006.6000000000001</v>
      </c>
      <c r="P536" s="119" t="s">
        <v>264</v>
      </c>
      <c r="Q536" s="119" t="s">
        <v>1342</v>
      </c>
      <c r="R536" s="146" t="s">
        <v>134</v>
      </c>
      <c r="S536" s="62" t="s">
        <v>465</v>
      </c>
      <c r="T536" s="221" t="s">
        <v>88</v>
      </c>
      <c r="U536" s="117" t="s">
        <v>482</v>
      </c>
      <c r="V536" s="221" t="s">
        <v>1345</v>
      </c>
      <c r="W536" s="117"/>
      <c r="X536" s="117"/>
      <c r="Y536" s="221" t="s">
        <v>1228</v>
      </c>
      <c r="Z536" s="146" t="s">
        <v>189</v>
      </c>
      <c r="AA536" s="222">
        <v>43038</v>
      </c>
      <c r="AB536" s="117" t="s">
        <v>140</v>
      </c>
      <c r="AC536" s="63">
        <f t="shared" si="26"/>
        <v>1</v>
      </c>
      <c r="AD536" s="221" t="s">
        <v>217</v>
      </c>
      <c r="AE536" s="221" t="s">
        <v>218</v>
      </c>
      <c r="AF536" s="117"/>
      <c r="AG536" s="117"/>
      <c r="AH536" s="64"/>
      <c r="AI536" s="117" t="s">
        <v>184</v>
      </c>
      <c r="AJ536" s="222">
        <v>43042</v>
      </c>
      <c r="AK536" s="145" t="s">
        <v>1574</v>
      </c>
      <c r="AL536" s="117" t="s">
        <v>609</v>
      </c>
      <c r="AM536" s="222">
        <v>43042</v>
      </c>
    </row>
    <row r="537" spans="1:39" s="201" customFormat="1" ht="12.75" hidden="1" customHeight="1">
      <c r="A537" s="147">
        <v>536</v>
      </c>
      <c r="B537" s="223">
        <v>208652</v>
      </c>
      <c r="C537" s="117" t="s">
        <v>121</v>
      </c>
      <c r="D537" s="57">
        <v>43032</v>
      </c>
      <c r="E537" s="160" t="s">
        <v>1502</v>
      </c>
      <c r="F537" s="118">
        <v>43036</v>
      </c>
      <c r="G537" s="221">
        <f t="shared" si="25"/>
        <v>4</v>
      </c>
      <c r="H537" s="146" t="s">
        <v>133</v>
      </c>
      <c r="I537" s="125"/>
      <c r="J537" s="221" t="s">
        <v>614</v>
      </c>
      <c r="K537" s="94"/>
      <c r="L537" s="221"/>
      <c r="M537" s="221"/>
      <c r="N537" s="221"/>
      <c r="O537" s="93">
        <f t="shared" si="27"/>
        <v>0</v>
      </c>
      <c r="P537" s="119" t="s">
        <v>264</v>
      </c>
      <c r="Q537" s="119" t="s">
        <v>1342</v>
      </c>
      <c r="R537" s="146" t="s">
        <v>134</v>
      </c>
      <c r="S537" s="62" t="s">
        <v>465</v>
      </c>
      <c r="T537" s="117" t="s">
        <v>114</v>
      </c>
      <c r="U537" s="146" t="s">
        <v>1331</v>
      </c>
      <c r="V537" s="146" t="s">
        <v>1354</v>
      </c>
      <c r="W537" s="117"/>
      <c r="X537" s="117"/>
      <c r="Y537" s="146"/>
      <c r="Z537" s="221" t="s">
        <v>124</v>
      </c>
      <c r="AA537" s="221"/>
      <c r="AB537" s="117"/>
      <c r="AC537" s="63">
        <f t="shared" si="26"/>
        <v>0</v>
      </c>
      <c r="AD537" s="221"/>
      <c r="AE537" s="221" t="s">
        <v>217</v>
      </c>
      <c r="AF537" s="117" t="s">
        <v>225</v>
      </c>
      <c r="AG537" s="117"/>
      <c r="AH537" s="64"/>
      <c r="AI537" s="146"/>
      <c r="AJ537" s="221"/>
      <c r="AK537" s="145"/>
      <c r="AL537" s="146"/>
      <c r="AM537" s="221"/>
    </row>
    <row r="538" spans="1:39" ht="12.75" hidden="1" customHeight="1">
      <c r="A538" s="147">
        <v>537</v>
      </c>
      <c r="B538" s="223">
        <v>209629</v>
      </c>
      <c r="C538" s="117" t="s">
        <v>128</v>
      </c>
      <c r="D538" s="57">
        <v>43033</v>
      </c>
      <c r="E538" s="160" t="s">
        <v>1502</v>
      </c>
      <c r="F538" s="118">
        <v>43052</v>
      </c>
      <c r="G538" s="146">
        <f t="shared" si="25"/>
        <v>19</v>
      </c>
      <c r="H538" s="146" t="s">
        <v>363</v>
      </c>
      <c r="I538" s="221"/>
      <c r="J538" s="221" t="s">
        <v>614</v>
      </c>
      <c r="K538" s="94">
        <v>2499</v>
      </c>
      <c r="L538" s="221"/>
      <c r="M538" s="96">
        <v>0</v>
      </c>
      <c r="N538" s="221"/>
      <c r="O538" s="151">
        <f t="shared" si="27"/>
        <v>0</v>
      </c>
      <c r="P538" s="119" t="s">
        <v>264</v>
      </c>
      <c r="Q538" s="119" t="s">
        <v>1342</v>
      </c>
      <c r="R538" s="146" t="s">
        <v>501</v>
      </c>
      <c r="S538" s="225" t="s">
        <v>466</v>
      </c>
      <c r="T538" s="146" t="s">
        <v>313</v>
      </c>
      <c r="U538" s="117" t="s">
        <v>1346</v>
      </c>
      <c r="V538" s="221" t="s">
        <v>222</v>
      </c>
      <c r="W538" s="117"/>
      <c r="X538" s="117"/>
      <c r="Y538" s="221"/>
      <c r="Z538" s="146" t="s">
        <v>259</v>
      </c>
      <c r="AA538" s="222">
        <v>43034</v>
      </c>
      <c r="AB538" s="117" t="s">
        <v>872</v>
      </c>
      <c r="AC538" s="63">
        <f t="shared" si="26"/>
        <v>0</v>
      </c>
      <c r="AD538" s="221" t="s">
        <v>217</v>
      </c>
      <c r="AE538" s="221" t="s">
        <v>217</v>
      </c>
      <c r="AF538" s="117" t="s">
        <v>225</v>
      </c>
      <c r="AG538" s="117"/>
      <c r="AH538" s="64" t="s">
        <v>1376</v>
      </c>
      <c r="AI538" s="146"/>
      <c r="AJ538" s="221"/>
      <c r="AK538" s="145"/>
      <c r="AL538" s="146"/>
      <c r="AM538" s="221"/>
    </row>
    <row r="539" spans="1:39" ht="12.75" hidden="1" customHeight="1">
      <c r="A539" s="147">
        <v>538</v>
      </c>
      <c r="B539" s="223">
        <v>209552</v>
      </c>
      <c r="C539" s="117" t="s">
        <v>128</v>
      </c>
      <c r="D539" s="57">
        <v>43033</v>
      </c>
      <c r="E539" s="160" t="s">
        <v>1502</v>
      </c>
      <c r="F539" s="222">
        <v>43052</v>
      </c>
      <c r="G539" s="146">
        <f t="shared" si="25"/>
        <v>19</v>
      </c>
      <c r="H539" s="221" t="s">
        <v>133</v>
      </c>
      <c r="I539" s="221"/>
      <c r="J539" s="221" t="s">
        <v>614</v>
      </c>
      <c r="K539" s="94"/>
      <c r="L539" s="221"/>
      <c r="M539" s="221">
        <v>70</v>
      </c>
      <c r="N539" s="221"/>
      <c r="O539" s="151">
        <f t="shared" si="27"/>
        <v>0</v>
      </c>
      <c r="P539" s="119" t="s">
        <v>264</v>
      </c>
      <c r="Q539" s="119" t="s">
        <v>1342</v>
      </c>
      <c r="R539" s="146" t="s">
        <v>254</v>
      </c>
      <c r="S539" s="225" t="s">
        <v>466</v>
      </c>
      <c r="T539" s="117" t="s">
        <v>313</v>
      </c>
      <c r="U539" s="146" t="s">
        <v>1347</v>
      </c>
      <c r="V539" s="221" t="s">
        <v>257</v>
      </c>
      <c r="W539" s="117"/>
      <c r="X539" s="117"/>
      <c r="Y539" s="146" t="s">
        <v>978</v>
      </c>
      <c r="Z539" s="117" t="s">
        <v>1189</v>
      </c>
      <c r="AA539" s="222">
        <v>43041</v>
      </c>
      <c r="AB539" s="117"/>
      <c r="AC539" s="63">
        <f t="shared" si="26"/>
        <v>0</v>
      </c>
      <c r="AD539" s="221"/>
      <c r="AE539" s="221" t="s">
        <v>217</v>
      </c>
      <c r="AF539" s="117" t="s">
        <v>737</v>
      </c>
      <c r="AG539" s="117"/>
      <c r="AH539" s="64" t="s">
        <v>1550</v>
      </c>
      <c r="AI539" s="146" t="s">
        <v>184</v>
      </c>
      <c r="AJ539" s="222">
        <v>43069</v>
      </c>
      <c r="AK539" s="145" t="s">
        <v>1498</v>
      </c>
      <c r="AL539" s="146" t="s">
        <v>609</v>
      </c>
      <c r="AM539" s="222">
        <v>43074</v>
      </c>
    </row>
    <row r="540" spans="1:39" ht="12.75" hidden="1" customHeight="1">
      <c r="A540" s="147">
        <v>539</v>
      </c>
      <c r="B540" s="223">
        <v>209396</v>
      </c>
      <c r="C540" s="221" t="s">
        <v>1130</v>
      </c>
      <c r="D540" s="57">
        <v>43033</v>
      </c>
      <c r="E540" s="160" t="s">
        <v>1502</v>
      </c>
      <c r="F540" s="222">
        <v>43046</v>
      </c>
      <c r="G540" s="221">
        <f t="shared" si="25"/>
        <v>13</v>
      </c>
      <c r="H540" s="221" t="s">
        <v>133</v>
      </c>
      <c r="I540" s="125"/>
      <c r="J540" s="222" t="s">
        <v>614</v>
      </c>
      <c r="K540" s="94">
        <v>999</v>
      </c>
      <c r="L540" s="221">
        <v>999</v>
      </c>
      <c r="M540" s="221">
        <v>206.5</v>
      </c>
      <c r="N540" s="221">
        <v>170</v>
      </c>
      <c r="O540" s="227">
        <f t="shared" si="27"/>
        <v>732.56</v>
      </c>
      <c r="P540" s="224" t="s">
        <v>262</v>
      </c>
      <c r="Q540" s="119" t="s">
        <v>1342</v>
      </c>
      <c r="R540" s="146" t="s">
        <v>134</v>
      </c>
      <c r="S540" s="225" t="s">
        <v>465</v>
      </c>
      <c r="T540" s="221" t="s">
        <v>88</v>
      </c>
      <c r="U540" s="221" t="s">
        <v>1348</v>
      </c>
      <c r="V540" s="221" t="s">
        <v>1349</v>
      </c>
      <c r="W540" s="221"/>
      <c r="X540" s="221"/>
      <c r="Y540" s="221" t="s">
        <v>1228</v>
      </c>
      <c r="Z540" s="221" t="s">
        <v>189</v>
      </c>
      <c r="AA540" s="222">
        <v>43038</v>
      </c>
      <c r="AB540" s="221" t="s">
        <v>140</v>
      </c>
      <c r="AC540" s="226">
        <f t="shared" si="26"/>
        <v>1</v>
      </c>
      <c r="AD540" s="221" t="s">
        <v>217</v>
      </c>
      <c r="AE540" s="221" t="s">
        <v>218</v>
      </c>
      <c r="AF540" s="221"/>
      <c r="AG540" s="221"/>
      <c r="AH540" s="64"/>
      <c r="AI540" s="221" t="s">
        <v>184</v>
      </c>
      <c r="AJ540" s="222">
        <v>43042</v>
      </c>
      <c r="AK540" s="145" t="s">
        <v>1575</v>
      </c>
      <c r="AL540" s="221" t="s">
        <v>609</v>
      </c>
      <c r="AM540" s="222">
        <v>43042</v>
      </c>
    </row>
    <row r="541" spans="1:39" ht="12.75" hidden="1" customHeight="1">
      <c r="A541" s="147">
        <v>540</v>
      </c>
      <c r="B541" s="223">
        <v>209525</v>
      </c>
      <c r="C541" s="146" t="s">
        <v>1130</v>
      </c>
      <c r="D541" s="57">
        <v>43034</v>
      </c>
      <c r="E541" s="160" t="s">
        <v>1502</v>
      </c>
      <c r="F541" s="118">
        <v>43049</v>
      </c>
      <c r="G541" s="146">
        <f t="shared" si="25"/>
        <v>15</v>
      </c>
      <c r="H541" s="146" t="s">
        <v>363</v>
      </c>
      <c r="I541" s="125"/>
      <c r="J541" s="222" t="s">
        <v>614</v>
      </c>
      <c r="K541" s="94"/>
      <c r="L541" s="221"/>
      <c r="M541" s="96">
        <v>0</v>
      </c>
      <c r="N541" s="221"/>
      <c r="O541" s="151">
        <f t="shared" si="27"/>
        <v>0</v>
      </c>
      <c r="P541" s="119" t="s">
        <v>264</v>
      </c>
      <c r="Q541" s="119" t="s">
        <v>1342</v>
      </c>
      <c r="R541" s="146" t="s">
        <v>143</v>
      </c>
      <c r="S541" s="62" t="s">
        <v>465</v>
      </c>
      <c r="T541" s="221" t="s">
        <v>88</v>
      </c>
      <c r="U541" s="146" t="s">
        <v>423</v>
      </c>
      <c r="V541" s="221" t="s">
        <v>432</v>
      </c>
      <c r="W541" s="146"/>
      <c r="X541" s="146"/>
      <c r="Y541" s="146"/>
      <c r="Z541" s="146" t="s">
        <v>189</v>
      </c>
      <c r="AA541" s="146"/>
      <c r="AB541" s="146"/>
      <c r="AC541" s="63">
        <f t="shared" si="26"/>
        <v>0</v>
      </c>
      <c r="AD541" s="221"/>
      <c r="AE541" s="146"/>
      <c r="AF541" s="146"/>
      <c r="AG541" s="146"/>
      <c r="AH541" s="64" t="s">
        <v>1366</v>
      </c>
      <c r="AI541" s="146"/>
      <c r="AJ541" s="146"/>
      <c r="AK541" s="145"/>
      <c r="AL541" s="146"/>
      <c r="AM541" s="146"/>
    </row>
    <row r="542" spans="1:39" ht="12.75" hidden="1" customHeight="1">
      <c r="A542" s="147">
        <v>541</v>
      </c>
      <c r="B542" s="223">
        <v>209505</v>
      </c>
      <c r="C542" s="117" t="s">
        <v>1130</v>
      </c>
      <c r="D542" s="57">
        <v>43034</v>
      </c>
      <c r="E542" s="160" t="s">
        <v>1502</v>
      </c>
      <c r="F542" s="118">
        <v>43050</v>
      </c>
      <c r="G542" s="146">
        <f t="shared" si="25"/>
        <v>16</v>
      </c>
      <c r="H542" s="146" t="s">
        <v>133</v>
      </c>
      <c r="I542" s="125"/>
      <c r="J542" s="221" t="s">
        <v>614</v>
      </c>
      <c r="K542" s="94">
        <v>1299</v>
      </c>
      <c r="L542" s="221"/>
      <c r="M542" s="221">
        <v>190</v>
      </c>
      <c r="N542" s="221">
        <v>80</v>
      </c>
      <c r="O542" s="93">
        <f t="shared" si="27"/>
        <v>1031.06</v>
      </c>
      <c r="P542" s="119" t="s">
        <v>261</v>
      </c>
      <c r="Q542" s="119" t="s">
        <v>1341</v>
      </c>
      <c r="R542" s="146" t="s">
        <v>143</v>
      </c>
      <c r="S542" s="62" t="s">
        <v>465</v>
      </c>
      <c r="T542" s="221" t="s">
        <v>88</v>
      </c>
      <c r="U542" s="221" t="s">
        <v>431</v>
      </c>
      <c r="V542" s="221" t="s">
        <v>432</v>
      </c>
      <c r="W542" s="117"/>
      <c r="X542" s="117"/>
      <c r="Y542" s="221" t="s">
        <v>316</v>
      </c>
      <c r="Z542" s="221" t="s">
        <v>189</v>
      </c>
      <c r="AA542" s="222">
        <v>43034</v>
      </c>
      <c r="AB542" s="117" t="s">
        <v>782</v>
      </c>
      <c r="AC542" s="63">
        <f t="shared" si="26"/>
        <v>1</v>
      </c>
      <c r="AD542" s="221" t="s">
        <v>217</v>
      </c>
      <c r="AE542" s="221" t="s">
        <v>218</v>
      </c>
      <c r="AF542" s="117"/>
      <c r="AG542" s="117"/>
      <c r="AH542" s="64"/>
      <c r="AI542" s="117" t="s">
        <v>184</v>
      </c>
      <c r="AJ542" s="222">
        <v>43032</v>
      </c>
      <c r="AK542" s="145" t="s">
        <v>1364</v>
      </c>
      <c r="AL542" s="117" t="s">
        <v>645</v>
      </c>
      <c r="AM542" s="222">
        <v>43042</v>
      </c>
    </row>
    <row r="543" spans="1:39" ht="12.75" hidden="1" customHeight="1">
      <c r="A543" s="147">
        <v>542</v>
      </c>
      <c r="B543" s="68">
        <v>209700</v>
      </c>
      <c r="C543" s="117" t="s">
        <v>128</v>
      </c>
      <c r="D543" s="57">
        <v>43035</v>
      </c>
      <c r="E543" s="160" t="s">
        <v>1502</v>
      </c>
      <c r="F543" s="118">
        <v>43051</v>
      </c>
      <c r="G543" s="146">
        <f t="shared" si="25"/>
        <v>16</v>
      </c>
      <c r="H543" s="148" t="s">
        <v>133</v>
      </c>
      <c r="I543" s="221"/>
      <c r="J543" s="221" t="s">
        <v>614</v>
      </c>
      <c r="K543" s="94">
        <v>1299</v>
      </c>
      <c r="L543" s="221"/>
      <c r="M543" s="148">
        <v>470</v>
      </c>
      <c r="N543" s="221">
        <v>107.1</v>
      </c>
      <c r="O543" s="93">
        <f t="shared" si="27"/>
        <v>751.06</v>
      </c>
      <c r="P543" s="119" t="s">
        <v>264</v>
      </c>
      <c r="Q543" s="119" t="s">
        <v>1342</v>
      </c>
      <c r="R543" s="146" t="s">
        <v>501</v>
      </c>
      <c r="S543" s="225" t="s">
        <v>466</v>
      </c>
      <c r="T543" s="221" t="s">
        <v>405</v>
      </c>
      <c r="U543" s="146" t="s">
        <v>693</v>
      </c>
      <c r="V543" s="148" t="s">
        <v>257</v>
      </c>
      <c r="W543" s="117"/>
      <c r="X543" s="117"/>
      <c r="Y543" s="148" t="s">
        <v>316</v>
      </c>
      <c r="Z543" s="221" t="s">
        <v>259</v>
      </c>
      <c r="AA543" s="222">
        <v>43038</v>
      </c>
      <c r="AB543" s="117" t="s">
        <v>140</v>
      </c>
      <c r="AC543" s="63">
        <f t="shared" si="26"/>
        <v>1</v>
      </c>
      <c r="AD543" s="221"/>
      <c r="AE543" s="221" t="s">
        <v>218</v>
      </c>
      <c r="AF543" s="117"/>
      <c r="AG543" s="117"/>
      <c r="AH543" s="64" t="s">
        <v>1381</v>
      </c>
      <c r="AI543" s="148" t="s">
        <v>184</v>
      </c>
      <c r="AJ543" s="67">
        <v>43042</v>
      </c>
      <c r="AK543" s="148" t="s">
        <v>1401</v>
      </c>
      <c r="AL543" s="148" t="s">
        <v>609</v>
      </c>
      <c r="AM543" s="67">
        <v>43054</v>
      </c>
    </row>
    <row r="544" spans="1:39" ht="12.75" hidden="1" customHeight="1">
      <c r="A544" s="147">
        <v>543</v>
      </c>
      <c r="B544" s="223">
        <v>209312</v>
      </c>
      <c r="C544" s="117" t="s">
        <v>128</v>
      </c>
      <c r="D544" s="57">
        <v>43035</v>
      </c>
      <c r="E544" s="160" t="s">
        <v>1502</v>
      </c>
      <c r="F544" s="118">
        <v>43042</v>
      </c>
      <c r="G544" s="146">
        <f t="shared" si="25"/>
        <v>7</v>
      </c>
      <c r="H544" s="146" t="s">
        <v>133</v>
      </c>
      <c r="I544" s="221"/>
      <c r="J544" s="221" t="s">
        <v>614</v>
      </c>
      <c r="K544" s="94">
        <v>2999</v>
      </c>
      <c r="L544" s="221"/>
      <c r="M544" s="221">
        <v>290</v>
      </c>
      <c r="N544" s="221">
        <v>125</v>
      </c>
      <c r="O544" s="93">
        <f t="shared" si="27"/>
        <v>2529.06</v>
      </c>
      <c r="P544" s="119" t="s">
        <v>264</v>
      </c>
      <c r="Q544" s="119" t="s">
        <v>1342</v>
      </c>
      <c r="R544" s="221" t="s">
        <v>134</v>
      </c>
      <c r="S544" s="62" t="s">
        <v>465</v>
      </c>
      <c r="T544" s="221" t="s">
        <v>88</v>
      </c>
      <c r="U544" s="117" t="s">
        <v>1460</v>
      </c>
      <c r="V544" s="221" t="s">
        <v>429</v>
      </c>
      <c r="W544" s="146"/>
      <c r="X544" s="117"/>
      <c r="Y544" s="146" t="s">
        <v>1172</v>
      </c>
      <c r="Z544" s="117" t="s">
        <v>1380</v>
      </c>
      <c r="AA544" s="222">
        <v>43035</v>
      </c>
      <c r="AB544" s="117" t="s">
        <v>782</v>
      </c>
      <c r="AC544" s="63">
        <f t="shared" si="26"/>
        <v>1</v>
      </c>
      <c r="AD544" s="221" t="s">
        <v>217</v>
      </c>
      <c r="AE544" s="221" t="s">
        <v>218</v>
      </c>
      <c r="AF544" s="117"/>
      <c r="AG544" s="117"/>
      <c r="AH544" s="64"/>
      <c r="AI544" s="146"/>
      <c r="AJ544" s="146"/>
      <c r="AK544" s="221"/>
      <c r="AL544" s="146"/>
      <c r="AM544" s="146"/>
    </row>
    <row r="545" spans="1:39" s="201" customFormat="1" ht="12.75" hidden="1" customHeight="1">
      <c r="A545" s="147">
        <v>544</v>
      </c>
      <c r="B545" s="223">
        <v>209881</v>
      </c>
      <c r="C545" s="117" t="s">
        <v>128</v>
      </c>
      <c r="D545" s="57">
        <v>43038</v>
      </c>
      <c r="E545" s="160" t="s">
        <v>1502</v>
      </c>
      <c r="F545" s="118">
        <v>43057</v>
      </c>
      <c r="G545" s="146">
        <f t="shared" si="25"/>
        <v>19</v>
      </c>
      <c r="H545" s="146" t="s">
        <v>133</v>
      </c>
      <c r="I545" s="125"/>
      <c r="J545" s="221" t="s">
        <v>614</v>
      </c>
      <c r="K545" s="94">
        <v>1899</v>
      </c>
      <c r="L545" s="221"/>
      <c r="M545" s="221">
        <v>180</v>
      </c>
      <c r="N545" s="221">
        <v>107.1</v>
      </c>
      <c r="O545" s="93">
        <f t="shared" si="27"/>
        <v>1605.06</v>
      </c>
      <c r="P545" s="224" t="s">
        <v>264</v>
      </c>
      <c r="Q545" s="119" t="s">
        <v>1342</v>
      </c>
      <c r="R545" s="146" t="s">
        <v>254</v>
      </c>
      <c r="S545" s="225" t="s">
        <v>466</v>
      </c>
      <c r="T545" s="117" t="s">
        <v>313</v>
      </c>
      <c r="U545" s="117" t="s">
        <v>1355</v>
      </c>
      <c r="V545" s="146" t="s">
        <v>1356</v>
      </c>
      <c r="W545" s="146"/>
      <c r="X545" s="117"/>
      <c r="Y545" s="146" t="s">
        <v>316</v>
      </c>
      <c r="Z545" s="117" t="s">
        <v>259</v>
      </c>
      <c r="AA545" s="222">
        <v>43038</v>
      </c>
      <c r="AB545" s="117" t="s">
        <v>140</v>
      </c>
      <c r="AC545" s="63">
        <f t="shared" si="26"/>
        <v>1</v>
      </c>
      <c r="AD545" s="221"/>
      <c r="AE545" s="221" t="s">
        <v>218</v>
      </c>
      <c r="AF545" s="117"/>
      <c r="AG545" s="117"/>
      <c r="AH545" s="64"/>
      <c r="AI545" s="146" t="s">
        <v>184</v>
      </c>
      <c r="AJ545" s="222">
        <v>43041</v>
      </c>
      <c r="AK545" s="145" t="s">
        <v>1365</v>
      </c>
      <c r="AL545" s="146" t="s">
        <v>645</v>
      </c>
      <c r="AM545" s="222">
        <v>43042</v>
      </c>
    </row>
    <row r="546" spans="1:39" s="201" customFormat="1" ht="12.75" hidden="1" customHeight="1">
      <c r="A546" s="147">
        <v>545</v>
      </c>
      <c r="B546" s="223">
        <v>209589</v>
      </c>
      <c r="C546" s="146" t="s">
        <v>1130</v>
      </c>
      <c r="D546" s="57">
        <v>43039</v>
      </c>
      <c r="E546" s="160" t="s">
        <v>1502</v>
      </c>
      <c r="F546" s="118">
        <v>43054</v>
      </c>
      <c r="G546" s="146">
        <f t="shared" si="25"/>
        <v>15</v>
      </c>
      <c r="H546" s="146" t="s">
        <v>133</v>
      </c>
      <c r="I546" s="125"/>
      <c r="J546" s="221" t="s">
        <v>614</v>
      </c>
      <c r="K546" s="94">
        <v>2999</v>
      </c>
      <c r="L546" s="221">
        <v>2999</v>
      </c>
      <c r="M546" s="221">
        <v>310</v>
      </c>
      <c r="N546" s="221">
        <v>220</v>
      </c>
      <c r="O546" s="151">
        <f t="shared" si="27"/>
        <v>2509.06</v>
      </c>
      <c r="P546" s="224" t="s">
        <v>261</v>
      </c>
      <c r="Q546" s="119" t="s">
        <v>1341</v>
      </c>
      <c r="R546" s="221" t="s">
        <v>134</v>
      </c>
      <c r="S546" s="62" t="s">
        <v>465</v>
      </c>
      <c r="T546" s="221" t="s">
        <v>88</v>
      </c>
      <c r="U546" s="224" t="s">
        <v>1461</v>
      </c>
      <c r="V546" s="146" t="s">
        <v>429</v>
      </c>
      <c r="W546" s="146"/>
      <c r="X546" s="146"/>
      <c r="Y546" s="146" t="s">
        <v>1228</v>
      </c>
      <c r="Z546" s="146" t="s">
        <v>189</v>
      </c>
      <c r="AA546" s="222">
        <v>43042</v>
      </c>
      <c r="AB546" s="146" t="s">
        <v>872</v>
      </c>
      <c r="AC546" s="63">
        <f t="shared" si="26"/>
        <v>1</v>
      </c>
      <c r="AD546" s="221" t="s">
        <v>217</v>
      </c>
      <c r="AE546" s="221" t="s">
        <v>218</v>
      </c>
      <c r="AF546" s="146"/>
      <c r="AG546" s="146"/>
      <c r="AH546" s="64"/>
      <c r="AI546" s="146" t="s">
        <v>184</v>
      </c>
      <c r="AJ546" s="222">
        <v>43054</v>
      </c>
      <c r="AK546" s="145" t="s">
        <v>1407</v>
      </c>
      <c r="AL546" s="146" t="s">
        <v>609</v>
      </c>
      <c r="AM546" s="222">
        <v>43054</v>
      </c>
    </row>
    <row r="547" spans="1:39" ht="12.75" hidden="1" customHeight="1">
      <c r="A547" s="147">
        <v>546</v>
      </c>
      <c r="B547" s="223">
        <v>209962</v>
      </c>
      <c r="C547" s="146" t="s">
        <v>1130</v>
      </c>
      <c r="D547" s="57">
        <v>43039</v>
      </c>
      <c r="E547" s="160" t="s">
        <v>1502</v>
      </c>
      <c r="F547" s="118">
        <v>43056</v>
      </c>
      <c r="G547" s="146">
        <f t="shared" si="25"/>
        <v>17</v>
      </c>
      <c r="H547" s="221" t="s">
        <v>133</v>
      </c>
      <c r="I547" s="125"/>
      <c r="J547" s="221" t="s">
        <v>614</v>
      </c>
      <c r="K547" s="94">
        <v>3499</v>
      </c>
      <c r="L547" s="221">
        <v>3499</v>
      </c>
      <c r="M547" s="221">
        <v>222</v>
      </c>
      <c r="N547" s="221"/>
      <c r="O547" s="151">
        <f t="shared" si="27"/>
        <v>3067.06</v>
      </c>
      <c r="P547" s="224" t="s">
        <v>264</v>
      </c>
      <c r="Q547" s="119" t="s">
        <v>1342</v>
      </c>
      <c r="R547" s="146" t="s">
        <v>143</v>
      </c>
      <c r="S547" s="62" t="s">
        <v>465</v>
      </c>
      <c r="T547" s="221" t="s">
        <v>88</v>
      </c>
      <c r="U547" s="146" t="s">
        <v>1359</v>
      </c>
      <c r="V547" s="221" t="s">
        <v>1360</v>
      </c>
      <c r="W547" s="146"/>
      <c r="X547" s="146"/>
      <c r="Y547" s="221" t="s">
        <v>1228</v>
      </c>
      <c r="Z547" s="146" t="s">
        <v>189</v>
      </c>
      <c r="AA547" s="222">
        <v>43045</v>
      </c>
      <c r="AB547" s="146" t="s">
        <v>140</v>
      </c>
      <c r="AC547" s="63">
        <f t="shared" si="26"/>
        <v>1</v>
      </c>
      <c r="AD547" s="221" t="s">
        <v>217</v>
      </c>
      <c r="AE547" s="221" t="s">
        <v>218</v>
      </c>
      <c r="AF547" s="146"/>
      <c r="AG547" s="146"/>
      <c r="AH547" s="64" t="s">
        <v>1385</v>
      </c>
      <c r="AI547" s="146" t="s">
        <v>184</v>
      </c>
      <c r="AJ547" s="222">
        <v>43054</v>
      </c>
      <c r="AK547" s="145" t="s">
        <v>1408</v>
      </c>
      <c r="AL547" s="146" t="s">
        <v>609</v>
      </c>
      <c r="AM547" s="222">
        <v>43054</v>
      </c>
    </row>
    <row r="548" spans="1:39" ht="12.75" hidden="1" customHeight="1">
      <c r="A548" s="147">
        <v>547</v>
      </c>
      <c r="B548" s="223">
        <v>209912</v>
      </c>
      <c r="C548" s="146" t="s">
        <v>128</v>
      </c>
      <c r="D548" s="57">
        <v>43039</v>
      </c>
      <c r="E548" s="160" t="s">
        <v>1503</v>
      </c>
      <c r="F548" s="118">
        <v>43053</v>
      </c>
      <c r="G548" s="146">
        <f t="shared" si="25"/>
        <v>14</v>
      </c>
      <c r="H548" s="221" t="s">
        <v>133</v>
      </c>
      <c r="I548" s="221"/>
      <c r="J548" s="125" t="s">
        <v>614</v>
      </c>
      <c r="K548" s="94"/>
      <c r="L548" s="221"/>
      <c r="M548" s="221"/>
      <c r="N548" s="221"/>
      <c r="O548" s="151">
        <f t="shared" si="27"/>
        <v>0</v>
      </c>
      <c r="P548" s="119" t="s">
        <v>264</v>
      </c>
      <c r="Q548" s="119" t="s">
        <v>1342</v>
      </c>
      <c r="R548" s="146" t="s">
        <v>501</v>
      </c>
      <c r="S548" s="225" t="s">
        <v>466</v>
      </c>
      <c r="T548" s="146" t="s">
        <v>313</v>
      </c>
      <c r="U548" s="146" t="s">
        <v>1361</v>
      </c>
      <c r="V548" s="221" t="s">
        <v>257</v>
      </c>
      <c r="W548" s="146"/>
      <c r="X548" s="146"/>
      <c r="Y548" s="146"/>
      <c r="Z548" s="146" t="s">
        <v>259</v>
      </c>
      <c r="AA548" s="221"/>
      <c r="AB548" s="146"/>
      <c r="AC548" s="226">
        <f t="shared" si="26"/>
        <v>0</v>
      </c>
      <c r="AD548" s="221"/>
      <c r="AE548" s="221" t="s">
        <v>217</v>
      </c>
      <c r="AF548" s="146" t="s">
        <v>225</v>
      </c>
      <c r="AG548" s="146"/>
      <c r="AH548" s="64"/>
      <c r="AI548" s="146"/>
      <c r="AJ548" s="221"/>
      <c r="AK548" s="145"/>
      <c r="AL548" s="146"/>
      <c r="AM548" s="221"/>
    </row>
    <row r="549" spans="1:39" ht="12.75" hidden="1" customHeight="1">
      <c r="A549" s="147">
        <v>548</v>
      </c>
      <c r="B549" s="223">
        <v>209523</v>
      </c>
      <c r="C549" s="146" t="s">
        <v>121</v>
      </c>
      <c r="D549" s="57">
        <v>43041</v>
      </c>
      <c r="E549" s="160" t="s">
        <v>1503</v>
      </c>
      <c r="F549" s="118">
        <v>43048</v>
      </c>
      <c r="G549" s="146">
        <f t="shared" si="25"/>
        <v>7</v>
      </c>
      <c r="H549" s="221" t="s">
        <v>133</v>
      </c>
      <c r="I549" s="221"/>
      <c r="J549" s="221" t="s">
        <v>614</v>
      </c>
      <c r="K549" s="94"/>
      <c r="L549" s="221"/>
      <c r="M549" s="221"/>
      <c r="N549" s="221"/>
      <c r="O549" s="151">
        <f t="shared" si="27"/>
        <v>0</v>
      </c>
      <c r="P549" s="224" t="s">
        <v>264</v>
      </c>
      <c r="Q549" s="119" t="s">
        <v>1342</v>
      </c>
      <c r="R549" s="146" t="s">
        <v>143</v>
      </c>
      <c r="S549" s="62" t="s">
        <v>465</v>
      </c>
      <c r="T549" s="221" t="s">
        <v>88</v>
      </c>
      <c r="U549" s="146" t="s">
        <v>334</v>
      </c>
      <c r="V549" s="221" t="s">
        <v>90</v>
      </c>
      <c r="W549" s="146"/>
      <c r="X549" s="146"/>
      <c r="Y549" s="221"/>
      <c r="Z549" s="146" t="s">
        <v>124</v>
      </c>
      <c r="AA549" s="221"/>
      <c r="AB549" s="146"/>
      <c r="AC549" s="63">
        <f t="shared" si="26"/>
        <v>0</v>
      </c>
      <c r="AD549" s="221"/>
      <c r="AE549" s="221" t="s">
        <v>217</v>
      </c>
      <c r="AF549" s="146" t="s">
        <v>225</v>
      </c>
      <c r="AG549" s="146"/>
      <c r="AH549" s="64"/>
      <c r="AI549" s="221"/>
      <c r="AJ549" s="221"/>
      <c r="AK549" s="145"/>
      <c r="AL549" s="221"/>
      <c r="AM549" s="221"/>
    </row>
    <row r="550" spans="1:39" hidden="1">
      <c r="A550" s="147">
        <v>549</v>
      </c>
      <c r="B550" s="223">
        <v>209849</v>
      </c>
      <c r="C550" s="146" t="s">
        <v>121</v>
      </c>
      <c r="D550" s="57">
        <v>43041</v>
      </c>
      <c r="E550" s="160" t="s">
        <v>1503</v>
      </c>
      <c r="F550" s="118">
        <v>43050</v>
      </c>
      <c r="G550" s="146">
        <f t="shared" si="25"/>
        <v>9</v>
      </c>
      <c r="H550" s="221" t="s">
        <v>133</v>
      </c>
      <c r="I550" s="125"/>
      <c r="J550" s="221" t="s">
        <v>614</v>
      </c>
      <c r="K550" s="94"/>
      <c r="L550" s="221"/>
      <c r="M550" s="221"/>
      <c r="N550" s="221"/>
      <c r="O550" s="151">
        <f t="shared" si="27"/>
        <v>0</v>
      </c>
      <c r="P550" s="119" t="s">
        <v>264</v>
      </c>
      <c r="Q550" s="119" t="s">
        <v>1342</v>
      </c>
      <c r="R550" s="146" t="s">
        <v>122</v>
      </c>
      <c r="S550" s="225" t="s">
        <v>469</v>
      </c>
      <c r="T550" s="146" t="s">
        <v>114</v>
      </c>
      <c r="U550" s="221" t="s">
        <v>604</v>
      </c>
      <c r="V550" s="221" t="s">
        <v>222</v>
      </c>
      <c r="W550" s="146"/>
      <c r="X550" s="146"/>
      <c r="Y550" s="221"/>
      <c r="Z550" s="146" t="s">
        <v>124</v>
      </c>
      <c r="AA550" s="221"/>
      <c r="AB550" s="146"/>
      <c r="AC550" s="63">
        <f t="shared" si="26"/>
        <v>0</v>
      </c>
      <c r="AD550" s="221"/>
      <c r="AE550" s="221" t="s">
        <v>217</v>
      </c>
      <c r="AF550" s="146" t="s">
        <v>225</v>
      </c>
      <c r="AG550" s="146"/>
      <c r="AH550" s="64"/>
      <c r="AI550" s="146"/>
      <c r="AJ550" s="221"/>
      <c r="AK550" s="145"/>
      <c r="AL550" s="146"/>
      <c r="AM550" s="221"/>
    </row>
    <row r="551" spans="1:39" s="201" customFormat="1" hidden="1">
      <c r="A551" s="147">
        <v>550</v>
      </c>
      <c r="B551" s="223">
        <v>209528</v>
      </c>
      <c r="C551" s="146" t="s">
        <v>121</v>
      </c>
      <c r="D551" s="57">
        <v>43041</v>
      </c>
      <c r="E551" s="160" t="s">
        <v>1503</v>
      </c>
      <c r="F551" s="118">
        <v>43046</v>
      </c>
      <c r="G551" s="146">
        <f t="shared" si="25"/>
        <v>5</v>
      </c>
      <c r="H551" s="221" t="s">
        <v>133</v>
      </c>
      <c r="I551" s="125"/>
      <c r="J551" s="221" t="s">
        <v>614</v>
      </c>
      <c r="K551" s="94"/>
      <c r="L551" s="221"/>
      <c r="M551" s="221"/>
      <c r="N551" s="221"/>
      <c r="O551" s="151">
        <f t="shared" si="27"/>
        <v>0</v>
      </c>
      <c r="P551" s="119" t="s">
        <v>264</v>
      </c>
      <c r="Q551" s="119" t="s">
        <v>1342</v>
      </c>
      <c r="R551" s="146" t="s">
        <v>143</v>
      </c>
      <c r="S551" s="62" t="s">
        <v>465</v>
      </c>
      <c r="T551" s="146" t="s">
        <v>164</v>
      </c>
      <c r="U551" s="146" t="s">
        <v>817</v>
      </c>
      <c r="V551" s="221" t="s">
        <v>1362</v>
      </c>
      <c r="W551" s="146"/>
      <c r="X551" s="146"/>
      <c r="Y551" s="221"/>
      <c r="Z551" s="146" t="s">
        <v>202</v>
      </c>
      <c r="AA551" s="221"/>
      <c r="AB551" s="146"/>
      <c r="AC551" s="63">
        <f t="shared" si="26"/>
        <v>0</v>
      </c>
      <c r="AD551" s="221"/>
      <c r="AE551" s="221" t="s">
        <v>217</v>
      </c>
      <c r="AF551" s="146" t="s">
        <v>225</v>
      </c>
      <c r="AG551" s="146"/>
      <c r="AH551" s="64" t="s">
        <v>1363</v>
      </c>
      <c r="AI551" s="146"/>
      <c r="AJ551" s="221"/>
      <c r="AK551" s="145"/>
      <c r="AL551" s="146"/>
      <c r="AM551" s="221"/>
    </row>
    <row r="552" spans="1:39" s="201" customFormat="1" ht="12.75" hidden="1" customHeight="1">
      <c r="A552" s="147">
        <v>551</v>
      </c>
      <c r="B552" s="68">
        <v>210093</v>
      </c>
      <c r="C552" s="146" t="s">
        <v>1130</v>
      </c>
      <c r="D552" s="57">
        <v>43042</v>
      </c>
      <c r="E552" s="160" t="s">
        <v>1503</v>
      </c>
      <c r="F552" s="118">
        <v>43048</v>
      </c>
      <c r="G552" s="146">
        <f t="shared" si="25"/>
        <v>6</v>
      </c>
      <c r="H552" s="148" t="s">
        <v>133</v>
      </c>
      <c r="I552" s="221"/>
      <c r="J552" s="221" t="s">
        <v>614</v>
      </c>
      <c r="K552" s="94">
        <v>1899</v>
      </c>
      <c r="L552" s="221"/>
      <c r="M552" s="148">
        <v>240</v>
      </c>
      <c r="N552" s="221"/>
      <c r="O552" s="151">
        <f t="shared" si="27"/>
        <v>1545.06</v>
      </c>
      <c r="P552" s="119" t="s">
        <v>264</v>
      </c>
      <c r="Q552" s="119" t="s">
        <v>1342</v>
      </c>
      <c r="R552" s="146" t="s">
        <v>143</v>
      </c>
      <c r="S552" s="62" t="s">
        <v>465</v>
      </c>
      <c r="T552" s="221" t="s">
        <v>114</v>
      </c>
      <c r="U552" s="221" t="s">
        <v>1368</v>
      </c>
      <c r="V552" s="148" t="s">
        <v>519</v>
      </c>
      <c r="W552" s="146"/>
      <c r="X552" s="146"/>
      <c r="Y552" s="148" t="s">
        <v>316</v>
      </c>
      <c r="Z552" s="146" t="s">
        <v>170</v>
      </c>
      <c r="AA552" s="222">
        <v>43045</v>
      </c>
      <c r="AB552" s="146" t="s">
        <v>872</v>
      </c>
      <c r="AC552" s="63">
        <f t="shared" si="26"/>
        <v>1</v>
      </c>
      <c r="AD552" s="221"/>
      <c r="AE552" s="221" t="s">
        <v>218</v>
      </c>
      <c r="AF552" s="146"/>
      <c r="AG552" s="146"/>
      <c r="AH552" s="64" t="s">
        <v>1371</v>
      </c>
      <c r="AI552" s="148" t="s">
        <v>184</v>
      </c>
      <c r="AJ552" s="67">
        <v>43053</v>
      </c>
      <c r="AK552" s="148" t="s">
        <v>1403</v>
      </c>
      <c r="AL552" s="148" t="s">
        <v>609</v>
      </c>
      <c r="AM552" s="67">
        <v>43054</v>
      </c>
    </row>
    <row r="553" spans="1:39" ht="12.75" hidden="1" customHeight="1">
      <c r="A553" s="147">
        <v>552</v>
      </c>
      <c r="B553" s="68">
        <v>209857</v>
      </c>
      <c r="C553" s="146" t="s">
        <v>128</v>
      </c>
      <c r="D553" s="57">
        <v>43042</v>
      </c>
      <c r="E553" s="160" t="s">
        <v>1503</v>
      </c>
      <c r="F553" s="118">
        <v>43063</v>
      </c>
      <c r="G553" s="146">
        <f t="shared" si="25"/>
        <v>21</v>
      </c>
      <c r="H553" s="148" t="s">
        <v>133</v>
      </c>
      <c r="I553" s="221"/>
      <c r="J553" s="221" t="s">
        <v>614</v>
      </c>
      <c r="K553" s="94">
        <v>1199</v>
      </c>
      <c r="L553" s="221"/>
      <c r="M553" s="148">
        <v>180</v>
      </c>
      <c r="N553" s="221"/>
      <c r="O553" s="151">
        <f t="shared" si="27"/>
        <v>0</v>
      </c>
      <c r="P553" s="119" t="s">
        <v>261</v>
      </c>
      <c r="Q553" s="119" t="s">
        <v>1341</v>
      </c>
      <c r="R553" s="146" t="s">
        <v>122</v>
      </c>
      <c r="S553" s="225" t="s">
        <v>469</v>
      </c>
      <c r="T553" s="146" t="s">
        <v>1369</v>
      </c>
      <c r="U553" s="146" t="s">
        <v>1370</v>
      </c>
      <c r="V553" s="148" t="s">
        <v>90</v>
      </c>
      <c r="W553" s="146"/>
      <c r="X553" s="146"/>
      <c r="Y553" s="148" t="s">
        <v>316</v>
      </c>
      <c r="Z553" s="221" t="s">
        <v>296</v>
      </c>
      <c r="AA553" s="222">
        <v>43045</v>
      </c>
      <c r="AB553" s="146" t="s">
        <v>872</v>
      </c>
      <c r="AC553" s="63">
        <f t="shared" si="26"/>
        <v>0</v>
      </c>
      <c r="AD553" s="221"/>
      <c r="AE553" s="221" t="s">
        <v>217</v>
      </c>
      <c r="AF553" s="148" t="s">
        <v>1625</v>
      </c>
      <c r="AG553" s="146"/>
      <c r="AH553" s="64" t="s">
        <v>1548</v>
      </c>
      <c r="AI553" s="148" t="s">
        <v>184</v>
      </c>
      <c r="AJ553" s="67">
        <v>43053</v>
      </c>
      <c r="AK553" s="148" t="s">
        <v>1404</v>
      </c>
      <c r="AL553" s="148" t="s">
        <v>609</v>
      </c>
      <c r="AM553" s="67">
        <v>43054</v>
      </c>
    </row>
    <row r="554" spans="1:39" ht="12.75" hidden="1" customHeight="1">
      <c r="A554" s="147">
        <v>553</v>
      </c>
      <c r="B554" s="181">
        <v>210139</v>
      </c>
      <c r="C554" s="146" t="s">
        <v>121</v>
      </c>
      <c r="D554" s="57">
        <v>43045</v>
      </c>
      <c r="E554" s="160" t="s">
        <v>1503</v>
      </c>
      <c r="F554" s="118">
        <v>43054</v>
      </c>
      <c r="G554" s="221">
        <f t="shared" si="25"/>
        <v>9</v>
      </c>
      <c r="H554" s="146" t="s">
        <v>133</v>
      </c>
      <c r="I554" s="221"/>
      <c r="J554" s="221" t="s">
        <v>614</v>
      </c>
      <c r="K554" s="94">
        <v>1930</v>
      </c>
      <c r="L554" s="221"/>
      <c r="M554" s="221"/>
      <c r="N554" s="221"/>
      <c r="O554" s="151">
        <f t="shared" si="27"/>
        <v>0</v>
      </c>
      <c r="P554" s="119" t="s">
        <v>264</v>
      </c>
      <c r="Q554" s="119" t="s">
        <v>1342</v>
      </c>
      <c r="R554" s="146" t="s">
        <v>1374</v>
      </c>
      <c r="S554" s="225" t="s">
        <v>469</v>
      </c>
      <c r="T554" s="146" t="s">
        <v>376</v>
      </c>
      <c r="U554" s="146" t="s">
        <v>778</v>
      </c>
      <c r="V554" s="221" t="s">
        <v>1372</v>
      </c>
      <c r="W554" s="146" t="s">
        <v>1373</v>
      </c>
      <c r="X554" s="146"/>
      <c r="Y554" s="221"/>
      <c r="Z554" s="146" t="s">
        <v>253</v>
      </c>
      <c r="AA554" s="222"/>
      <c r="AB554" s="146"/>
      <c r="AC554" s="63">
        <f t="shared" si="26"/>
        <v>0</v>
      </c>
      <c r="AD554" s="221"/>
      <c r="AE554" s="221" t="s">
        <v>217</v>
      </c>
      <c r="AF554" s="146" t="s">
        <v>225</v>
      </c>
      <c r="AG554" s="146"/>
      <c r="AH554" s="64"/>
      <c r="AI554" s="146"/>
      <c r="AJ554" s="146"/>
      <c r="AK554" s="145"/>
      <c r="AL554" s="146"/>
      <c r="AM554" s="146"/>
    </row>
    <row r="555" spans="1:39" s="201" customFormat="1" ht="12.75" hidden="1" customHeight="1">
      <c r="A555" s="147">
        <v>554</v>
      </c>
      <c r="B555" s="223">
        <v>209694</v>
      </c>
      <c r="C555" s="146" t="s">
        <v>121</v>
      </c>
      <c r="D555" s="57">
        <v>43045</v>
      </c>
      <c r="E555" s="160" t="s">
        <v>1503</v>
      </c>
      <c r="F555" s="118">
        <v>43050</v>
      </c>
      <c r="G555" s="221">
        <f t="shared" si="25"/>
        <v>5</v>
      </c>
      <c r="H555" s="146" t="s">
        <v>133</v>
      </c>
      <c r="I555" s="221"/>
      <c r="J555" s="221" t="s">
        <v>614</v>
      </c>
      <c r="K555" s="94">
        <v>2499</v>
      </c>
      <c r="L555" s="221"/>
      <c r="M555" s="221"/>
      <c r="N555" s="221"/>
      <c r="O555" s="151">
        <f t="shared" si="27"/>
        <v>0</v>
      </c>
      <c r="P555" s="119" t="s">
        <v>264</v>
      </c>
      <c r="Q555" s="119" t="s">
        <v>1342</v>
      </c>
      <c r="R555" s="146" t="s">
        <v>210</v>
      </c>
      <c r="S555" s="225" t="s">
        <v>469</v>
      </c>
      <c r="T555" s="146" t="s">
        <v>762</v>
      </c>
      <c r="U555" s="146" t="s">
        <v>1375</v>
      </c>
      <c r="V555" s="221" t="s">
        <v>1400</v>
      </c>
      <c r="W555" s="146"/>
      <c r="X555" s="146"/>
      <c r="Y555" s="146"/>
      <c r="Z555" s="146" t="s">
        <v>292</v>
      </c>
      <c r="AA555" s="222"/>
      <c r="AB555" s="146"/>
      <c r="AC555" s="63">
        <f t="shared" si="26"/>
        <v>0</v>
      </c>
      <c r="AD555" s="221"/>
      <c r="AE555" s="221" t="s">
        <v>217</v>
      </c>
      <c r="AF555" s="146" t="s">
        <v>225</v>
      </c>
      <c r="AG555" s="146"/>
      <c r="AH555" s="64"/>
      <c r="AI555" s="146"/>
      <c r="AJ555" s="146"/>
      <c r="AK555" s="145"/>
      <c r="AL555" s="146"/>
      <c r="AM555" s="146"/>
    </row>
    <row r="556" spans="1:39" ht="12.75" hidden="1" customHeight="1">
      <c r="A556" s="147">
        <v>555</v>
      </c>
      <c r="B556" s="223">
        <v>210141</v>
      </c>
      <c r="C556" s="146" t="s">
        <v>1130</v>
      </c>
      <c r="D556" s="57">
        <v>43045</v>
      </c>
      <c r="E556" s="160" t="s">
        <v>1503</v>
      </c>
      <c r="F556" s="118">
        <v>43056</v>
      </c>
      <c r="G556" s="221">
        <f t="shared" si="25"/>
        <v>11</v>
      </c>
      <c r="H556" s="146" t="s">
        <v>133</v>
      </c>
      <c r="I556" s="221"/>
      <c r="J556" s="221" t="s">
        <v>614</v>
      </c>
      <c r="K556" s="94">
        <v>999</v>
      </c>
      <c r="L556" s="221"/>
      <c r="M556" s="221"/>
      <c r="N556" s="221"/>
      <c r="O556" s="151">
        <f t="shared" si="27"/>
        <v>0</v>
      </c>
      <c r="P556" s="119" t="s">
        <v>262</v>
      </c>
      <c r="Q556" s="119" t="s">
        <v>1342</v>
      </c>
      <c r="R556" s="146" t="s">
        <v>143</v>
      </c>
      <c r="S556" s="62" t="s">
        <v>465</v>
      </c>
      <c r="T556" s="221" t="s">
        <v>88</v>
      </c>
      <c r="U556" s="146" t="s">
        <v>452</v>
      </c>
      <c r="V556" s="146" t="s">
        <v>432</v>
      </c>
      <c r="W556" s="221"/>
      <c r="X556" s="146"/>
      <c r="Y556" s="146"/>
      <c r="Z556" s="146" t="s">
        <v>189</v>
      </c>
      <c r="AA556" s="222"/>
      <c r="AB556" s="146"/>
      <c r="AC556" s="63">
        <f t="shared" si="26"/>
        <v>0</v>
      </c>
      <c r="AD556" s="221"/>
      <c r="AE556" s="221" t="s">
        <v>217</v>
      </c>
      <c r="AF556" s="146" t="s">
        <v>225</v>
      </c>
      <c r="AG556" s="146"/>
      <c r="AH556" s="64"/>
      <c r="AI556" s="146"/>
      <c r="AJ556" s="221"/>
      <c r="AK556" s="145"/>
      <c r="AL556" s="146"/>
      <c r="AM556" s="221"/>
    </row>
    <row r="557" spans="1:39" ht="12.75" hidden="1" customHeight="1">
      <c r="A557" s="147">
        <v>556</v>
      </c>
      <c r="B557" s="223">
        <v>209671</v>
      </c>
      <c r="C557" s="146" t="s">
        <v>121</v>
      </c>
      <c r="D557" s="57">
        <v>43045</v>
      </c>
      <c r="E557" s="160" t="s">
        <v>1503</v>
      </c>
      <c r="F557" s="118">
        <v>43059</v>
      </c>
      <c r="G557" s="221">
        <f t="shared" si="25"/>
        <v>14</v>
      </c>
      <c r="H557" s="146" t="s">
        <v>133</v>
      </c>
      <c r="I557" s="221"/>
      <c r="J557" s="221" t="s">
        <v>614</v>
      </c>
      <c r="K557" s="94">
        <v>2199</v>
      </c>
      <c r="L557" s="221">
        <v>2199</v>
      </c>
      <c r="M557" s="221">
        <v>506</v>
      </c>
      <c r="N557" s="221">
        <v>112</v>
      </c>
      <c r="O557" s="151">
        <f t="shared" si="27"/>
        <v>1561.06</v>
      </c>
      <c r="P557" s="119" t="s">
        <v>261</v>
      </c>
      <c r="Q557" s="119" t="s">
        <v>261</v>
      </c>
      <c r="R557" s="146" t="s">
        <v>134</v>
      </c>
      <c r="S557" s="62" t="s">
        <v>465</v>
      </c>
      <c r="T557" s="221" t="s">
        <v>88</v>
      </c>
      <c r="U557" s="224" t="s">
        <v>1461</v>
      </c>
      <c r="V557" s="146" t="s">
        <v>1474</v>
      </c>
      <c r="W557" s="146"/>
      <c r="X557" s="146"/>
      <c r="Y557" s="146" t="s">
        <v>1473</v>
      </c>
      <c r="Z557" s="146" t="s">
        <v>124</v>
      </c>
      <c r="AA557" s="222">
        <v>43048</v>
      </c>
      <c r="AB557" s="146" t="s">
        <v>872</v>
      </c>
      <c r="AC557" s="63">
        <f t="shared" si="26"/>
        <v>1</v>
      </c>
      <c r="AD557" s="221" t="s">
        <v>217</v>
      </c>
      <c r="AE557" s="221" t="s">
        <v>218</v>
      </c>
      <c r="AF557" s="146"/>
      <c r="AG557" s="146"/>
      <c r="AH557" s="64" t="s">
        <v>1390</v>
      </c>
      <c r="AI557" s="146" t="s">
        <v>184</v>
      </c>
      <c r="AJ557" s="222">
        <v>43054</v>
      </c>
      <c r="AK557" s="145" t="s">
        <v>1405</v>
      </c>
      <c r="AL557" s="146" t="s">
        <v>609</v>
      </c>
      <c r="AM557" s="222">
        <v>43054</v>
      </c>
    </row>
    <row r="558" spans="1:39" ht="12.75" hidden="1" customHeight="1">
      <c r="A558" s="147">
        <v>557</v>
      </c>
      <c r="B558" s="68">
        <v>210143</v>
      </c>
      <c r="C558" s="146" t="s">
        <v>121</v>
      </c>
      <c r="D558" s="57">
        <v>43045</v>
      </c>
      <c r="E558" s="160" t="s">
        <v>1503</v>
      </c>
      <c r="F558" s="118">
        <v>43055</v>
      </c>
      <c r="G558" s="221">
        <f t="shared" si="25"/>
        <v>10</v>
      </c>
      <c r="H558" s="148" t="s">
        <v>133</v>
      </c>
      <c r="I558" s="221"/>
      <c r="J558" s="221" t="s">
        <v>614</v>
      </c>
      <c r="K558" s="94">
        <v>1999</v>
      </c>
      <c r="L558" s="221"/>
      <c r="M558" s="148">
        <v>265</v>
      </c>
      <c r="N558" s="221">
        <v>230</v>
      </c>
      <c r="O558" s="151">
        <f t="shared" si="27"/>
        <v>1614.06</v>
      </c>
      <c r="P558" s="119" t="s">
        <v>264</v>
      </c>
      <c r="Q558" s="119" t="s">
        <v>1342</v>
      </c>
      <c r="R558" s="146" t="s">
        <v>122</v>
      </c>
      <c r="S558" s="225" t="s">
        <v>469</v>
      </c>
      <c r="T558" s="146" t="s">
        <v>164</v>
      </c>
      <c r="U558" s="146" t="s">
        <v>1386</v>
      </c>
      <c r="V558" s="222" t="s">
        <v>169</v>
      </c>
      <c r="W558" s="146" t="s">
        <v>1395</v>
      </c>
      <c r="X558" s="146"/>
      <c r="Y558" s="148" t="s">
        <v>316</v>
      </c>
      <c r="Z558" s="146" t="s">
        <v>202</v>
      </c>
      <c r="AA558" s="222">
        <v>43049</v>
      </c>
      <c r="AB558" s="146" t="s">
        <v>872</v>
      </c>
      <c r="AC558" s="63">
        <f t="shared" si="26"/>
        <v>1</v>
      </c>
      <c r="AD558" s="221" t="s">
        <v>217</v>
      </c>
      <c r="AE558" s="221" t="s">
        <v>218</v>
      </c>
      <c r="AF558" s="146"/>
      <c r="AG558" s="146"/>
      <c r="AH558" s="64" t="s">
        <v>1387</v>
      </c>
      <c r="AI558" s="148" t="s">
        <v>184</v>
      </c>
      <c r="AJ558" s="67">
        <v>43054</v>
      </c>
      <c r="AK558" s="148" t="s">
        <v>1421</v>
      </c>
      <c r="AL558" s="148" t="s">
        <v>609</v>
      </c>
      <c r="AM558" s="67">
        <v>43062</v>
      </c>
    </row>
    <row r="559" spans="1:39" ht="12.75" hidden="1" customHeight="1">
      <c r="A559" s="147">
        <v>558</v>
      </c>
      <c r="B559" s="223">
        <v>210053</v>
      </c>
      <c r="C559" s="146" t="s">
        <v>128</v>
      </c>
      <c r="D559" s="57">
        <v>43045</v>
      </c>
      <c r="E559" s="160" t="s">
        <v>1503</v>
      </c>
      <c r="F559" s="118">
        <v>43058</v>
      </c>
      <c r="G559" s="221">
        <f t="shared" si="25"/>
        <v>13</v>
      </c>
      <c r="H559" s="221" t="s">
        <v>133</v>
      </c>
      <c r="I559" s="221"/>
      <c r="J559" s="221" t="s">
        <v>614</v>
      </c>
      <c r="K559" s="94">
        <v>1399</v>
      </c>
      <c r="L559" s="221">
        <v>1399</v>
      </c>
      <c r="M559" s="221">
        <v>450</v>
      </c>
      <c r="N559" s="221"/>
      <c r="O559" s="151">
        <f t="shared" si="27"/>
        <v>865.06</v>
      </c>
      <c r="P559" s="119" t="s">
        <v>264</v>
      </c>
      <c r="Q559" s="119" t="s">
        <v>1342</v>
      </c>
      <c r="R559" s="146" t="s">
        <v>143</v>
      </c>
      <c r="S559" s="62" t="s">
        <v>465</v>
      </c>
      <c r="T559" s="221" t="s">
        <v>88</v>
      </c>
      <c r="U559" s="221" t="s">
        <v>1378</v>
      </c>
      <c r="V559" s="221" t="s">
        <v>1379</v>
      </c>
      <c r="W559" s="146"/>
      <c r="X559" s="146"/>
      <c r="Y559" s="221" t="s">
        <v>1228</v>
      </c>
      <c r="Z559" s="146" t="s">
        <v>1380</v>
      </c>
      <c r="AA559" s="222">
        <v>43048</v>
      </c>
      <c r="AB559" s="146" t="s">
        <v>872</v>
      </c>
      <c r="AC559" s="63">
        <f t="shared" si="26"/>
        <v>1</v>
      </c>
      <c r="AD559" s="221" t="s">
        <v>217</v>
      </c>
      <c r="AE559" s="221" t="s">
        <v>218</v>
      </c>
      <c r="AF559" s="146"/>
      <c r="AG559" s="146"/>
      <c r="AH559" s="64" t="s">
        <v>1389</v>
      </c>
      <c r="AI559" s="221" t="s">
        <v>184</v>
      </c>
      <c r="AJ559" s="222">
        <v>43053</v>
      </c>
      <c r="AK559" s="145" t="s">
        <v>1406</v>
      </c>
      <c r="AL559" s="221" t="s">
        <v>609</v>
      </c>
      <c r="AM559" s="222">
        <v>43054</v>
      </c>
    </row>
    <row r="560" spans="1:39" ht="12.75" hidden="1" customHeight="1">
      <c r="A560" s="147">
        <v>559</v>
      </c>
      <c r="B560" s="202">
        <v>209925</v>
      </c>
      <c r="C560" s="146" t="s">
        <v>121</v>
      </c>
      <c r="D560" s="57">
        <v>43046</v>
      </c>
      <c r="E560" s="160" t="s">
        <v>1503</v>
      </c>
      <c r="F560" s="118">
        <v>43053</v>
      </c>
      <c r="G560" s="221">
        <f t="shared" si="25"/>
        <v>7</v>
      </c>
      <c r="H560" s="148" t="s">
        <v>133</v>
      </c>
      <c r="I560" s="221"/>
      <c r="J560" s="221" t="s">
        <v>614</v>
      </c>
      <c r="K560" s="94">
        <v>2899</v>
      </c>
      <c r="L560" s="221"/>
      <c r="M560" s="148">
        <v>150</v>
      </c>
      <c r="N560" s="221"/>
      <c r="O560" s="93">
        <f t="shared" si="27"/>
        <v>2575.06</v>
      </c>
      <c r="P560" s="119" t="s">
        <v>264</v>
      </c>
      <c r="Q560" s="119" t="s">
        <v>1342</v>
      </c>
      <c r="R560" s="221" t="s">
        <v>134</v>
      </c>
      <c r="S560" s="62" t="s">
        <v>465</v>
      </c>
      <c r="T560" s="221" t="s">
        <v>164</v>
      </c>
      <c r="U560" s="221" t="s">
        <v>1377</v>
      </c>
      <c r="V560" s="228" t="s">
        <v>1299</v>
      </c>
      <c r="W560" s="146"/>
      <c r="X560" s="146"/>
      <c r="Y560" s="148" t="s">
        <v>316</v>
      </c>
      <c r="Z560" s="146" t="s">
        <v>203</v>
      </c>
      <c r="AA560" s="222">
        <v>43049</v>
      </c>
      <c r="AB560" s="146" t="s">
        <v>140</v>
      </c>
      <c r="AC560" s="63">
        <f t="shared" si="26"/>
        <v>1</v>
      </c>
      <c r="AD560" s="221" t="s">
        <v>217</v>
      </c>
      <c r="AE560" s="221" t="s">
        <v>218</v>
      </c>
      <c r="AF560" s="146"/>
      <c r="AG560" s="146"/>
      <c r="AH560" s="64" t="s">
        <v>1388</v>
      </c>
      <c r="AI560" s="148" t="s">
        <v>184</v>
      </c>
      <c r="AJ560" s="67">
        <v>43066</v>
      </c>
      <c r="AK560" s="148" t="s">
        <v>1452</v>
      </c>
      <c r="AL560" s="148" t="s">
        <v>609</v>
      </c>
      <c r="AM560" s="67">
        <v>43074</v>
      </c>
    </row>
    <row r="561" spans="1:39" ht="12.75" hidden="1" customHeight="1">
      <c r="A561" s="147">
        <v>560</v>
      </c>
      <c r="B561" s="223">
        <v>209873</v>
      </c>
      <c r="C561" s="146" t="s">
        <v>1130</v>
      </c>
      <c r="D561" s="57">
        <v>43046</v>
      </c>
      <c r="E561" s="160" t="s">
        <v>1503</v>
      </c>
      <c r="F561" s="118">
        <v>43054</v>
      </c>
      <c r="G561" s="221">
        <f t="shared" si="25"/>
        <v>8</v>
      </c>
      <c r="H561" s="146" t="s">
        <v>133</v>
      </c>
      <c r="I561" s="221"/>
      <c r="J561" s="221" t="s">
        <v>614</v>
      </c>
      <c r="K561" s="94">
        <v>2754</v>
      </c>
      <c r="L561" s="221"/>
      <c r="M561" s="221">
        <v>290</v>
      </c>
      <c r="N561" s="221">
        <v>200</v>
      </c>
      <c r="O561" s="93">
        <f t="shared" si="27"/>
        <v>2298.7600000000002</v>
      </c>
      <c r="P561" s="119" t="s">
        <v>264</v>
      </c>
      <c r="Q561" s="119" t="s">
        <v>1342</v>
      </c>
      <c r="R561" s="146" t="s">
        <v>134</v>
      </c>
      <c r="S561" s="225" t="s">
        <v>465</v>
      </c>
      <c r="T561" s="221" t="s">
        <v>88</v>
      </c>
      <c r="U561" s="224" t="s">
        <v>1461</v>
      </c>
      <c r="V561" s="221" t="s">
        <v>429</v>
      </c>
      <c r="W561" s="146"/>
      <c r="X561" s="146"/>
      <c r="Y561" s="146" t="s">
        <v>1172</v>
      </c>
      <c r="Z561" s="146" t="s">
        <v>189</v>
      </c>
      <c r="AA561" s="222">
        <v>43046</v>
      </c>
      <c r="AB561" s="146" t="s">
        <v>782</v>
      </c>
      <c r="AC561" s="63">
        <f t="shared" si="26"/>
        <v>1</v>
      </c>
      <c r="AD561" s="221" t="s">
        <v>217</v>
      </c>
      <c r="AE561" s="221" t="s">
        <v>218</v>
      </c>
      <c r="AF561" s="146"/>
      <c r="AG561" s="146"/>
      <c r="AH561" s="64" t="s">
        <v>1382</v>
      </c>
      <c r="AI561" s="146"/>
      <c r="AJ561" s="146"/>
      <c r="AK561" s="145"/>
      <c r="AL561" s="146"/>
      <c r="AM561" s="146"/>
    </row>
    <row r="562" spans="1:39" ht="12.75" hidden="1" customHeight="1">
      <c r="A562" s="147">
        <v>561</v>
      </c>
      <c r="B562" s="223">
        <v>210134</v>
      </c>
      <c r="C562" s="221" t="s">
        <v>1130</v>
      </c>
      <c r="D562" s="57">
        <v>43046</v>
      </c>
      <c r="E562" s="160" t="s">
        <v>1503</v>
      </c>
      <c r="F562" s="222">
        <v>43055</v>
      </c>
      <c r="G562" s="221">
        <f t="shared" ref="G562:G625" si="28">F562-D562</f>
        <v>9</v>
      </c>
      <c r="H562" s="221" t="s">
        <v>133</v>
      </c>
      <c r="I562" s="221"/>
      <c r="J562" s="221" t="s">
        <v>614</v>
      </c>
      <c r="K562" s="94">
        <v>1299</v>
      </c>
      <c r="L562" s="221">
        <v>1299</v>
      </c>
      <c r="M562" s="221">
        <v>123.9</v>
      </c>
      <c r="N562" s="221"/>
      <c r="O562" s="93">
        <f t="shared" si="27"/>
        <v>1097.1599999999999</v>
      </c>
      <c r="P562" s="224" t="s">
        <v>262</v>
      </c>
      <c r="Q562" s="119" t="s">
        <v>1342</v>
      </c>
      <c r="R562" s="146" t="s">
        <v>134</v>
      </c>
      <c r="S562" s="62" t="s">
        <v>465</v>
      </c>
      <c r="T562" s="221" t="s">
        <v>88</v>
      </c>
      <c r="U562" s="221" t="s">
        <v>388</v>
      </c>
      <c r="V562" s="221" t="s">
        <v>1399</v>
      </c>
      <c r="W562" s="221"/>
      <c r="X562" s="221"/>
      <c r="Y562" s="221" t="s">
        <v>1228</v>
      </c>
      <c r="Z562" s="221" t="s">
        <v>189</v>
      </c>
      <c r="AA562" s="222">
        <v>43048</v>
      </c>
      <c r="AB562" s="221" t="s">
        <v>872</v>
      </c>
      <c r="AC562" s="63">
        <f t="shared" si="26"/>
        <v>1</v>
      </c>
      <c r="AD562" s="221" t="s">
        <v>217</v>
      </c>
      <c r="AE562" s="221" t="s">
        <v>218</v>
      </c>
      <c r="AF562" s="221"/>
      <c r="AG562" s="221"/>
      <c r="AH562" s="64"/>
      <c r="AI562" s="221" t="s">
        <v>184</v>
      </c>
      <c r="AJ562" s="222">
        <v>43054</v>
      </c>
      <c r="AK562" s="145" t="s">
        <v>1409</v>
      </c>
      <c r="AL562" s="221" t="s">
        <v>609</v>
      </c>
      <c r="AM562" s="222">
        <v>43054</v>
      </c>
    </row>
    <row r="563" spans="1:39" ht="12.75" hidden="1" customHeight="1">
      <c r="A563" s="147">
        <v>562</v>
      </c>
      <c r="B563" s="68">
        <v>210442</v>
      </c>
      <c r="C563" s="221" t="s">
        <v>1130</v>
      </c>
      <c r="D563" s="57">
        <v>43046</v>
      </c>
      <c r="E563" s="160" t="s">
        <v>1503</v>
      </c>
      <c r="F563" s="222">
        <v>43055</v>
      </c>
      <c r="G563" s="221">
        <f t="shared" si="28"/>
        <v>9</v>
      </c>
      <c r="H563" s="148" t="s">
        <v>133</v>
      </c>
      <c r="I563" s="221"/>
      <c r="J563" s="221" t="s">
        <v>614</v>
      </c>
      <c r="K563" s="94">
        <v>1099</v>
      </c>
      <c r="L563" s="221"/>
      <c r="M563" s="148">
        <v>190</v>
      </c>
      <c r="N563" s="221">
        <v>80</v>
      </c>
      <c r="O563" s="93">
        <f t="shared" si="27"/>
        <v>843.06</v>
      </c>
      <c r="P563" s="224" t="s">
        <v>262</v>
      </c>
      <c r="Q563" s="119" t="s">
        <v>1342</v>
      </c>
      <c r="R563" s="221" t="s">
        <v>143</v>
      </c>
      <c r="S563" s="62" t="s">
        <v>465</v>
      </c>
      <c r="T563" s="221" t="s">
        <v>88</v>
      </c>
      <c r="U563" s="221" t="s">
        <v>431</v>
      </c>
      <c r="V563" s="148" t="s">
        <v>432</v>
      </c>
      <c r="W563" s="221"/>
      <c r="X563" s="221"/>
      <c r="Y563" s="148" t="s">
        <v>316</v>
      </c>
      <c r="Z563" s="221" t="s">
        <v>189</v>
      </c>
      <c r="AA563" s="222">
        <v>43047</v>
      </c>
      <c r="AB563" s="221" t="s">
        <v>872</v>
      </c>
      <c r="AC563" s="63">
        <f t="shared" si="26"/>
        <v>1</v>
      </c>
      <c r="AD563" s="221" t="s">
        <v>217</v>
      </c>
      <c r="AE563" s="221" t="s">
        <v>218</v>
      </c>
      <c r="AF563" s="221"/>
      <c r="AG563" s="221"/>
      <c r="AH563" s="64"/>
      <c r="AI563" s="148" t="s">
        <v>184</v>
      </c>
      <c r="AJ563" s="67">
        <v>43053</v>
      </c>
      <c r="AK563" s="148" t="s">
        <v>1402</v>
      </c>
      <c r="AL563" s="148" t="s">
        <v>609</v>
      </c>
      <c r="AM563" s="67">
        <v>43054</v>
      </c>
    </row>
    <row r="564" spans="1:39" ht="12.75" hidden="1" customHeight="1">
      <c r="A564" s="147">
        <v>563</v>
      </c>
      <c r="B564" s="223">
        <v>210214</v>
      </c>
      <c r="C564" s="221" t="s">
        <v>1130</v>
      </c>
      <c r="D564" s="57">
        <v>43047</v>
      </c>
      <c r="E564" s="160" t="s">
        <v>1503</v>
      </c>
      <c r="F564" s="222">
        <v>43056</v>
      </c>
      <c r="G564" s="221">
        <f t="shared" si="28"/>
        <v>9</v>
      </c>
      <c r="H564" s="221" t="s">
        <v>363</v>
      </c>
      <c r="I564" s="221"/>
      <c r="J564" s="221" t="s">
        <v>614</v>
      </c>
      <c r="K564" s="94"/>
      <c r="L564" s="221"/>
      <c r="M564" s="96">
        <v>0</v>
      </c>
      <c r="N564" s="221"/>
      <c r="O564" s="93">
        <f t="shared" si="27"/>
        <v>0</v>
      </c>
      <c r="P564" s="224" t="s">
        <v>264</v>
      </c>
      <c r="Q564" s="119" t="s">
        <v>1342</v>
      </c>
      <c r="R564" s="221" t="s">
        <v>143</v>
      </c>
      <c r="S564" s="62" t="s">
        <v>465</v>
      </c>
      <c r="T564" s="221" t="s">
        <v>164</v>
      </c>
      <c r="U564" s="221" t="s">
        <v>1197</v>
      </c>
      <c r="V564" s="221" t="s">
        <v>1360</v>
      </c>
      <c r="W564" s="221" t="s">
        <v>1198</v>
      </c>
      <c r="X564" s="221"/>
      <c r="Y564" s="221"/>
      <c r="Z564" s="221" t="s">
        <v>189</v>
      </c>
      <c r="AA564" s="222"/>
      <c r="AB564" s="221"/>
      <c r="AC564" s="63">
        <f t="shared" si="26"/>
        <v>0</v>
      </c>
      <c r="AD564" s="221"/>
      <c r="AE564" s="146"/>
      <c r="AF564" s="221"/>
      <c r="AG564" s="221"/>
      <c r="AH564" s="64" t="s">
        <v>1554</v>
      </c>
      <c r="AI564" s="221"/>
      <c r="AJ564" s="221"/>
      <c r="AK564" s="145"/>
      <c r="AL564" s="221"/>
      <c r="AM564" s="221"/>
    </row>
    <row r="565" spans="1:39" s="201" customFormat="1" ht="12.75" hidden="1" customHeight="1">
      <c r="A565" s="147">
        <v>564</v>
      </c>
      <c r="B565" s="223">
        <v>210121</v>
      </c>
      <c r="C565" s="221" t="s">
        <v>121</v>
      </c>
      <c r="D565" s="57">
        <v>43048</v>
      </c>
      <c r="E565" s="160" t="s">
        <v>1503</v>
      </c>
      <c r="F565" s="222">
        <v>43059</v>
      </c>
      <c r="G565" s="221">
        <f t="shared" si="28"/>
        <v>11</v>
      </c>
      <c r="H565" s="221" t="s">
        <v>133</v>
      </c>
      <c r="I565" s="221"/>
      <c r="J565" s="221" t="s">
        <v>614</v>
      </c>
      <c r="K565" s="94"/>
      <c r="L565" s="221"/>
      <c r="M565" s="221"/>
      <c r="N565" s="221"/>
      <c r="O565" s="151">
        <f t="shared" si="27"/>
        <v>0</v>
      </c>
      <c r="P565" s="224" t="s">
        <v>264</v>
      </c>
      <c r="Q565" s="119" t="s">
        <v>1342</v>
      </c>
      <c r="R565" s="146" t="s">
        <v>122</v>
      </c>
      <c r="S565" s="225" t="s">
        <v>469</v>
      </c>
      <c r="T565" s="221" t="s">
        <v>164</v>
      </c>
      <c r="U565" s="221" t="s">
        <v>1383</v>
      </c>
      <c r="V565" s="221" t="s">
        <v>222</v>
      </c>
      <c r="W565" s="221" t="s">
        <v>1394</v>
      </c>
      <c r="X565" s="221"/>
      <c r="Y565" s="221"/>
      <c r="Z565" s="221" t="s">
        <v>253</v>
      </c>
      <c r="AA565" s="222"/>
      <c r="AB565" s="221"/>
      <c r="AC565" s="63">
        <f t="shared" si="26"/>
        <v>0</v>
      </c>
      <c r="AD565" s="221"/>
      <c r="AE565" s="221" t="s">
        <v>217</v>
      </c>
      <c r="AF565" s="221" t="s">
        <v>225</v>
      </c>
      <c r="AG565" s="221"/>
      <c r="AH565" s="64"/>
      <c r="AI565" s="221"/>
      <c r="AJ565" s="221"/>
      <c r="AK565" s="145"/>
      <c r="AL565" s="221"/>
      <c r="AM565" s="221"/>
    </row>
    <row r="566" spans="1:39" ht="12.75" hidden="1" customHeight="1">
      <c r="A566" s="147">
        <v>565</v>
      </c>
      <c r="B566" s="223">
        <v>210579</v>
      </c>
      <c r="C566" s="221" t="s">
        <v>1130</v>
      </c>
      <c r="D566" s="57">
        <v>43048</v>
      </c>
      <c r="E566" s="160" t="s">
        <v>1503</v>
      </c>
      <c r="F566" s="222">
        <v>43059</v>
      </c>
      <c r="G566" s="221">
        <f t="shared" si="28"/>
        <v>11</v>
      </c>
      <c r="H566" s="221" t="s">
        <v>133</v>
      </c>
      <c r="I566" s="221"/>
      <c r="J566" s="221" t="s">
        <v>614</v>
      </c>
      <c r="K566" s="94">
        <v>1799</v>
      </c>
      <c r="L566" s="221"/>
      <c r="M566" s="221">
        <v>65</v>
      </c>
      <c r="N566" s="221">
        <v>75</v>
      </c>
      <c r="O566" s="93">
        <f t="shared" si="27"/>
        <v>1616.06</v>
      </c>
      <c r="P566" s="224" t="s">
        <v>261</v>
      </c>
      <c r="Q566" s="119" t="s">
        <v>1341</v>
      </c>
      <c r="R566" s="221" t="s">
        <v>237</v>
      </c>
      <c r="S566" s="62" t="s">
        <v>465</v>
      </c>
      <c r="T566" s="221" t="s">
        <v>1011</v>
      </c>
      <c r="U566" s="221" t="s">
        <v>1384</v>
      </c>
      <c r="V566" s="221" t="s">
        <v>1393</v>
      </c>
      <c r="W566" s="221"/>
      <c r="X566" s="221"/>
      <c r="Y566" s="221" t="s">
        <v>203</v>
      </c>
      <c r="Z566" s="221" t="s">
        <v>315</v>
      </c>
      <c r="AA566" s="222">
        <v>43052</v>
      </c>
      <c r="AB566" s="221" t="s">
        <v>591</v>
      </c>
      <c r="AC566" s="63">
        <f t="shared" si="26"/>
        <v>1</v>
      </c>
      <c r="AD566" s="221" t="s">
        <v>217</v>
      </c>
      <c r="AE566" s="221" t="s">
        <v>218</v>
      </c>
      <c r="AF566" s="221"/>
      <c r="AG566" s="221"/>
      <c r="AH566" s="64"/>
      <c r="AI566" s="221"/>
      <c r="AJ566" s="221"/>
      <c r="AK566" s="145"/>
      <c r="AL566" s="221"/>
      <c r="AM566" s="221"/>
    </row>
    <row r="567" spans="1:39" ht="12.75" hidden="1" customHeight="1">
      <c r="A567" s="147">
        <v>566</v>
      </c>
      <c r="B567" s="223">
        <v>209772</v>
      </c>
      <c r="C567" s="221" t="s">
        <v>121</v>
      </c>
      <c r="D567" s="57">
        <v>43048</v>
      </c>
      <c r="E567" s="160" t="s">
        <v>1503</v>
      </c>
      <c r="F567" s="222">
        <v>43050</v>
      </c>
      <c r="G567" s="221">
        <f t="shared" si="28"/>
        <v>2</v>
      </c>
      <c r="H567" s="221" t="s">
        <v>363</v>
      </c>
      <c r="I567" s="221"/>
      <c r="J567" s="221" t="s">
        <v>614</v>
      </c>
      <c r="K567" s="94"/>
      <c r="L567" s="221"/>
      <c r="M567" s="96">
        <v>0</v>
      </c>
      <c r="N567" s="221"/>
      <c r="O567" s="151">
        <f t="shared" si="27"/>
        <v>0</v>
      </c>
      <c r="P567" s="224" t="s">
        <v>264</v>
      </c>
      <c r="Q567" s="119" t="s">
        <v>1342</v>
      </c>
      <c r="R567" s="221" t="s">
        <v>143</v>
      </c>
      <c r="S567" s="62" t="s">
        <v>465</v>
      </c>
      <c r="T567" s="221" t="s">
        <v>164</v>
      </c>
      <c r="U567" s="221" t="s">
        <v>1391</v>
      </c>
      <c r="V567" s="221" t="s">
        <v>425</v>
      </c>
      <c r="W567" s="221" t="s">
        <v>1392</v>
      </c>
      <c r="X567" s="221"/>
      <c r="Y567" s="221"/>
      <c r="Z567" s="221" t="s">
        <v>202</v>
      </c>
      <c r="AA567" s="221"/>
      <c r="AB567" s="221"/>
      <c r="AC567" s="63">
        <f t="shared" si="26"/>
        <v>0</v>
      </c>
      <c r="AD567" s="221"/>
      <c r="AE567" s="221" t="s">
        <v>217</v>
      </c>
      <c r="AF567" s="148" t="s">
        <v>1625</v>
      </c>
      <c r="AG567" s="221"/>
      <c r="AH567" s="64"/>
      <c r="AI567" s="221"/>
      <c r="AJ567" s="221"/>
      <c r="AK567" s="145"/>
      <c r="AL567" s="221"/>
      <c r="AM567" s="146"/>
    </row>
    <row r="568" spans="1:39" ht="12.75" hidden="1" customHeight="1">
      <c r="A568" s="147">
        <v>567</v>
      </c>
      <c r="B568" s="223">
        <v>210918</v>
      </c>
      <c r="C568" s="221" t="s">
        <v>128</v>
      </c>
      <c r="D568" s="57">
        <v>43049</v>
      </c>
      <c r="E568" s="160" t="s">
        <v>1503</v>
      </c>
      <c r="F568" s="222">
        <v>43057</v>
      </c>
      <c r="G568" s="221">
        <f t="shared" si="28"/>
        <v>8</v>
      </c>
      <c r="H568" s="221" t="s">
        <v>133</v>
      </c>
      <c r="I568" s="221"/>
      <c r="J568" s="221" t="s">
        <v>614</v>
      </c>
      <c r="K568" s="94"/>
      <c r="L568" s="221"/>
      <c r="M568" s="221">
        <v>70</v>
      </c>
      <c r="N568" s="221"/>
      <c r="O568" s="151">
        <f t="shared" si="27"/>
        <v>0</v>
      </c>
      <c r="P568" s="224" t="s">
        <v>264</v>
      </c>
      <c r="Q568" s="119" t="s">
        <v>1342</v>
      </c>
      <c r="R568" s="221" t="s">
        <v>254</v>
      </c>
      <c r="S568" s="225" t="s">
        <v>466</v>
      </c>
      <c r="T568" s="148" t="s">
        <v>255</v>
      </c>
      <c r="U568" s="221" t="s">
        <v>1396</v>
      </c>
      <c r="V568" s="221" t="s">
        <v>222</v>
      </c>
      <c r="W568" s="221"/>
      <c r="X568" s="221"/>
      <c r="Y568" s="221" t="s">
        <v>978</v>
      </c>
      <c r="Z568" s="221" t="s">
        <v>304</v>
      </c>
      <c r="AA568" s="222"/>
      <c r="AB568" s="221"/>
      <c r="AC568" s="226">
        <f t="shared" si="26"/>
        <v>0</v>
      </c>
      <c r="AD568" s="221"/>
      <c r="AE568" s="221" t="s">
        <v>217</v>
      </c>
      <c r="AF568" s="148" t="s">
        <v>1625</v>
      </c>
      <c r="AG568" s="221"/>
      <c r="AH568" s="64"/>
      <c r="AI568" s="221" t="s">
        <v>184</v>
      </c>
      <c r="AJ568" s="222">
        <v>43061</v>
      </c>
      <c r="AK568" s="145" t="s">
        <v>1422</v>
      </c>
      <c r="AL568" s="221" t="s">
        <v>1423</v>
      </c>
      <c r="AM568" s="222">
        <v>43062</v>
      </c>
    </row>
    <row r="569" spans="1:39" ht="12.75" hidden="1" customHeight="1">
      <c r="A569" s="147">
        <v>568</v>
      </c>
      <c r="B569" s="223">
        <v>210481</v>
      </c>
      <c r="C569" s="146" t="s">
        <v>121</v>
      </c>
      <c r="D569" s="57">
        <v>43049</v>
      </c>
      <c r="E569" s="160" t="s">
        <v>1503</v>
      </c>
      <c r="F569" s="118">
        <v>43059</v>
      </c>
      <c r="G569" s="221">
        <f t="shared" si="28"/>
        <v>10</v>
      </c>
      <c r="H569" s="221" t="s">
        <v>133</v>
      </c>
      <c r="I569" s="222"/>
      <c r="J569" s="221" t="s">
        <v>614</v>
      </c>
      <c r="K569" s="94"/>
      <c r="L569" s="221"/>
      <c r="M569" s="221"/>
      <c r="N569" s="221"/>
      <c r="O569" s="151">
        <f t="shared" si="27"/>
        <v>0</v>
      </c>
      <c r="P569" s="119" t="s">
        <v>264</v>
      </c>
      <c r="Q569" s="119" t="s">
        <v>1342</v>
      </c>
      <c r="R569" s="146" t="s">
        <v>220</v>
      </c>
      <c r="S569" s="225" t="s">
        <v>469</v>
      </c>
      <c r="T569" s="221" t="s">
        <v>164</v>
      </c>
      <c r="U569" s="221" t="s">
        <v>1397</v>
      </c>
      <c r="V569" s="221" t="s">
        <v>1398</v>
      </c>
      <c r="W569" s="146"/>
      <c r="X569" s="146"/>
      <c r="Y569" s="221"/>
      <c r="Z569" s="146" t="s">
        <v>404</v>
      </c>
      <c r="AA569" s="221"/>
      <c r="AB569" s="146"/>
      <c r="AC569" s="63">
        <f t="shared" si="26"/>
        <v>0</v>
      </c>
      <c r="AD569" s="221"/>
      <c r="AE569" s="221" t="s">
        <v>217</v>
      </c>
      <c r="AF569" s="146" t="s">
        <v>225</v>
      </c>
      <c r="AG569" s="146"/>
      <c r="AH569" s="64"/>
      <c r="AI569" s="221"/>
      <c r="AJ569" s="221"/>
      <c r="AK569" s="145"/>
      <c r="AL569" s="221"/>
      <c r="AM569" s="221"/>
    </row>
    <row r="570" spans="1:39" ht="12.75" hidden="1" customHeight="1">
      <c r="A570" s="147">
        <v>569</v>
      </c>
      <c r="B570" s="223">
        <v>210650</v>
      </c>
      <c r="C570" s="146" t="s">
        <v>121</v>
      </c>
      <c r="D570" s="57">
        <v>43054</v>
      </c>
      <c r="E570" s="160" t="s">
        <v>1503</v>
      </c>
      <c r="F570" s="118">
        <v>43065</v>
      </c>
      <c r="G570" s="146">
        <f t="shared" si="28"/>
        <v>11</v>
      </c>
      <c r="H570" s="146" t="s">
        <v>133</v>
      </c>
      <c r="I570" s="222"/>
      <c r="J570" s="221" t="s">
        <v>614</v>
      </c>
      <c r="K570" s="94">
        <v>2999</v>
      </c>
      <c r="L570" s="221">
        <v>2999</v>
      </c>
      <c r="M570" s="221">
        <v>1417</v>
      </c>
      <c r="N570" s="146">
        <v>100</v>
      </c>
      <c r="O570" s="93">
        <f t="shared" si="27"/>
        <v>1402.06</v>
      </c>
      <c r="P570" s="119" t="s">
        <v>263</v>
      </c>
      <c r="Q570" s="119" t="s">
        <v>1341</v>
      </c>
      <c r="R570" s="146" t="s">
        <v>134</v>
      </c>
      <c r="S570" s="62" t="s">
        <v>465</v>
      </c>
      <c r="T570" s="221" t="s">
        <v>88</v>
      </c>
      <c r="U570" s="224" t="s">
        <v>482</v>
      </c>
      <c r="V570" s="221" t="s">
        <v>1472</v>
      </c>
      <c r="W570" s="146"/>
      <c r="X570" s="146"/>
      <c r="Y570" s="221" t="s">
        <v>1473</v>
      </c>
      <c r="Z570" s="146" t="s">
        <v>252</v>
      </c>
      <c r="AA570" s="222">
        <v>43056</v>
      </c>
      <c r="AB570" s="146" t="s">
        <v>1102</v>
      </c>
      <c r="AC570" s="63">
        <f t="shared" si="26"/>
        <v>1</v>
      </c>
      <c r="AD570" s="146" t="s">
        <v>217</v>
      </c>
      <c r="AE570" s="221" t="s">
        <v>218</v>
      </c>
      <c r="AF570" s="146"/>
      <c r="AG570" s="146"/>
      <c r="AH570" s="64"/>
      <c r="AI570" s="146" t="s">
        <v>184</v>
      </c>
      <c r="AJ570" s="222">
        <v>43070</v>
      </c>
      <c r="AK570" s="145" t="s">
        <v>1497</v>
      </c>
      <c r="AL570" s="146" t="s">
        <v>609</v>
      </c>
      <c r="AM570" s="222">
        <v>43074</v>
      </c>
    </row>
    <row r="571" spans="1:39" s="201" customFormat="1" ht="12.75" hidden="1" customHeight="1">
      <c r="A571" s="147">
        <v>570</v>
      </c>
      <c r="B571" s="223">
        <v>210904</v>
      </c>
      <c r="C571" s="146" t="s">
        <v>1130</v>
      </c>
      <c r="D571" s="57">
        <v>43054</v>
      </c>
      <c r="E571" s="160" t="s">
        <v>1503</v>
      </c>
      <c r="F571" s="118">
        <v>43068</v>
      </c>
      <c r="G571" s="146">
        <f t="shared" si="28"/>
        <v>14</v>
      </c>
      <c r="H571" s="146" t="s">
        <v>133</v>
      </c>
      <c r="I571" s="221"/>
      <c r="J571" s="221" t="s">
        <v>614</v>
      </c>
      <c r="K571" s="94"/>
      <c r="L571" s="221"/>
      <c r="M571" s="221"/>
      <c r="N571" s="146"/>
      <c r="O571" s="151">
        <f t="shared" si="27"/>
        <v>0</v>
      </c>
      <c r="P571" s="119" t="s">
        <v>261</v>
      </c>
      <c r="Q571" s="119" t="s">
        <v>1341</v>
      </c>
      <c r="R571" s="146" t="s">
        <v>143</v>
      </c>
      <c r="S571" s="62" t="s">
        <v>465</v>
      </c>
      <c r="T571" s="221" t="s">
        <v>88</v>
      </c>
      <c r="U571" s="146" t="s">
        <v>1283</v>
      </c>
      <c r="V571" s="221" t="s">
        <v>432</v>
      </c>
      <c r="W571" s="146"/>
      <c r="X571" s="146"/>
      <c r="Y571" s="146"/>
      <c r="Z571" s="146" t="s">
        <v>189</v>
      </c>
      <c r="AA571" s="221"/>
      <c r="AB571" s="146"/>
      <c r="AC571" s="63">
        <f t="shared" si="26"/>
        <v>0</v>
      </c>
      <c r="AD571" s="146"/>
      <c r="AE571" s="221" t="s">
        <v>217</v>
      </c>
      <c r="AF571" s="146" t="s">
        <v>225</v>
      </c>
      <c r="AG571" s="146"/>
      <c r="AH571" s="64"/>
      <c r="AI571" s="146"/>
      <c r="AJ571" s="221"/>
      <c r="AK571" s="145"/>
      <c r="AL571" s="146"/>
      <c r="AM571" s="221"/>
    </row>
    <row r="572" spans="1:39" ht="12.75" hidden="1" customHeight="1">
      <c r="A572" s="147">
        <v>571</v>
      </c>
      <c r="B572" s="223">
        <v>211021</v>
      </c>
      <c r="C572" s="146" t="s">
        <v>128</v>
      </c>
      <c r="D572" s="57">
        <v>43054</v>
      </c>
      <c r="E572" s="160" t="s">
        <v>1503</v>
      </c>
      <c r="F572" s="118">
        <v>43064</v>
      </c>
      <c r="G572" s="146">
        <f t="shared" si="28"/>
        <v>10</v>
      </c>
      <c r="H572" s="148" t="s">
        <v>133</v>
      </c>
      <c r="I572" s="146"/>
      <c r="J572" s="221" t="s">
        <v>614</v>
      </c>
      <c r="K572" s="94">
        <v>1099</v>
      </c>
      <c r="L572" s="221"/>
      <c r="M572" s="148">
        <v>420</v>
      </c>
      <c r="N572" s="146">
        <v>150</v>
      </c>
      <c r="O572" s="93">
        <f t="shared" si="27"/>
        <v>613.05999999999995</v>
      </c>
      <c r="P572" s="119" t="s">
        <v>264</v>
      </c>
      <c r="Q572" s="119" t="s">
        <v>1342</v>
      </c>
      <c r="R572" s="146" t="s">
        <v>210</v>
      </c>
      <c r="S572" s="225" t="s">
        <v>469</v>
      </c>
      <c r="T572" s="146" t="s">
        <v>380</v>
      </c>
      <c r="U572" s="221" t="s">
        <v>983</v>
      </c>
      <c r="V572" s="148" t="s">
        <v>1272</v>
      </c>
      <c r="W572" s="146"/>
      <c r="X572" s="146"/>
      <c r="Y572" s="148" t="s">
        <v>316</v>
      </c>
      <c r="Z572" s="146" t="s">
        <v>296</v>
      </c>
      <c r="AA572" s="222">
        <v>43059</v>
      </c>
      <c r="AB572" s="146" t="s">
        <v>872</v>
      </c>
      <c r="AC572" s="63">
        <f t="shared" si="26"/>
        <v>1</v>
      </c>
      <c r="AD572" s="146" t="s">
        <v>217</v>
      </c>
      <c r="AE572" s="221" t="s">
        <v>218</v>
      </c>
      <c r="AF572" s="146"/>
      <c r="AG572" s="146"/>
      <c r="AH572" s="64"/>
      <c r="AI572" s="148" t="s">
        <v>184</v>
      </c>
      <c r="AJ572" s="67">
        <v>43066</v>
      </c>
      <c r="AK572" s="148" t="s">
        <v>1450</v>
      </c>
      <c r="AL572" s="148" t="s">
        <v>1423</v>
      </c>
      <c r="AM572" s="67">
        <v>43074</v>
      </c>
    </row>
    <row r="573" spans="1:39" ht="12.75" hidden="1" customHeight="1">
      <c r="A573" s="147">
        <v>572</v>
      </c>
      <c r="B573" s="223">
        <v>211301</v>
      </c>
      <c r="C573" s="146" t="s">
        <v>128</v>
      </c>
      <c r="D573" s="57">
        <v>43055</v>
      </c>
      <c r="E573" s="160" t="s">
        <v>1503</v>
      </c>
      <c r="F573" s="118">
        <v>43068</v>
      </c>
      <c r="G573" s="146">
        <f t="shared" si="28"/>
        <v>13</v>
      </c>
      <c r="H573" s="146" t="s">
        <v>363</v>
      </c>
      <c r="I573" s="146"/>
      <c r="J573" s="221" t="s">
        <v>614</v>
      </c>
      <c r="K573" s="94"/>
      <c r="L573" s="221"/>
      <c r="M573" s="96">
        <v>0</v>
      </c>
      <c r="N573" s="146"/>
      <c r="O573" s="93">
        <f t="shared" si="27"/>
        <v>0</v>
      </c>
      <c r="P573" s="119" t="s">
        <v>264</v>
      </c>
      <c r="Q573" s="119" t="s">
        <v>1342</v>
      </c>
      <c r="R573" s="146" t="s">
        <v>210</v>
      </c>
      <c r="S573" s="225" t="s">
        <v>469</v>
      </c>
      <c r="T573" s="146" t="s">
        <v>376</v>
      </c>
      <c r="U573" s="146" t="s">
        <v>1411</v>
      </c>
      <c r="V573" s="221" t="s">
        <v>249</v>
      </c>
      <c r="W573" s="146"/>
      <c r="X573" s="146"/>
      <c r="Y573" s="146"/>
      <c r="Z573" s="146" t="s">
        <v>687</v>
      </c>
      <c r="AA573" s="221"/>
      <c r="AB573" s="146"/>
      <c r="AC573" s="63">
        <f t="shared" si="26"/>
        <v>0</v>
      </c>
      <c r="AD573" s="146"/>
      <c r="AE573" s="146"/>
      <c r="AF573" s="146"/>
      <c r="AG573" s="146"/>
      <c r="AH573" s="64" t="s">
        <v>1418</v>
      </c>
      <c r="AI573" s="146"/>
      <c r="AJ573" s="221"/>
      <c r="AK573" s="221"/>
      <c r="AL573" s="146"/>
      <c r="AM573" s="221"/>
    </row>
    <row r="574" spans="1:39" ht="12.75" hidden="1" customHeight="1">
      <c r="A574" s="147">
        <v>573</v>
      </c>
      <c r="B574" s="223">
        <v>210597</v>
      </c>
      <c r="C574" s="117" t="s">
        <v>121</v>
      </c>
      <c r="D574" s="57">
        <v>43055</v>
      </c>
      <c r="E574" s="160" t="s">
        <v>1503</v>
      </c>
      <c r="F574" s="118">
        <v>43062</v>
      </c>
      <c r="G574" s="146">
        <f t="shared" si="28"/>
        <v>7</v>
      </c>
      <c r="H574" s="146" t="s">
        <v>133</v>
      </c>
      <c r="I574" s="125"/>
      <c r="J574" s="221" t="s">
        <v>614</v>
      </c>
      <c r="K574" s="94"/>
      <c r="L574" s="221"/>
      <c r="M574" s="221"/>
      <c r="N574" s="146"/>
      <c r="O574" s="151">
        <f t="shared" si="27"/>
        <v>0</v>
      </c>
      <c r="P574" s="119" t="s">
        <v>264</v>
      </c>
      <c r="Q574" s="119" t="s">
        <v>1342</v>
      </c>
      <c r="R574" s="146" t="s">
        <v>1412</v>
      </c>
      <c r="S574" s="62" t="s">
        <v>465</v>
      </c>
      <c r="T574" s="221" t="s">
        <v>238</v>
      </c>
      <c r="U574" s="146" t="s">
        <v>1413</v>
      </c>
      <c r="V574" s="221" t="s">
        <v>745</v>
      </c>
      <c r="W574" s="117"/>
      <c r="X574" s="146"/>
      <c r="Y574" s="117"/>
      <c r="Z574" s="117" t="s">
        <v>434</v>
      </c>
      <c r="AA574" s="221"/>
      <c r="AB574" s="117"/>
      <c r="AC574" s="63">
        <f t="shared" si="26"/>
        <v>0</v>
      </c>
      <c r="AD574" s="146"/>
      <c r="AE574" s="221" t="s">
        <v>217</v>
      </c>
      <c r="AF574" s="117" t="s">
        <v>225</v>
      </c>
      <c r="AG574" s="117"/>
      <c r="AH574" s="64"/>
      <c r="AI574" s="117"/>
      <c r="AJ574" s="221"/>
      <c r="AK574" s="221"/>
      <c r="AL574" s="117"/>
      <c r="AM574" s="221"/>
    </row>
    <row r="575" spans="1:39" ht="12.75" hidden="1" customHeight="1">
      <c r="A575" s="147">
        <v>574</v>
      </c>
      <c r="B575" s="223">
        <v>210232</v>
      </c>
      <c r="C575" s="146" t="s">
        <v>121</v>
      </c>
      <c r="D575" s="57">
        <v>43055</v>
      </c>
      <c r="E575" s="160" t="s">
        <v>1503</v>
      </c>
      <c r="F575" s="118">
        <v>43059</v>
      </c>
      <c r="G575" s="146">
        <f t="shared" si="28"/>
        <v>4</v>
      </c>
      <c r="H575" s="146" t="s">
        <v>133</v>
      </c>
      <c r="I575" s="125"/>
      <c r="J575" s="221" t="s">
        <v>614</v>
      </c>
      <c r="K575" s="94"/>
      <c r="L575" s="221"/>
      <c r="M575" s="221"/>
      <c r="N575" s="146"/>
      <c r="O575" s="151">
        <f t="shared" si="27"/>
        <v>0</v>
      </c>
      <c r="P575" s="119" t="s">
        <v>263</v>
      </c>
      <c r="Q575" s="119" t="s">
        <v>1341</v>
      </c>
      <c r="R575" s="146" t="s">
        <v>237</v>
      </c>
      <c r="S575" s="62" t="s">
        <v>465</v>
      </c>
      <c r="T575" s="146" t="s">
        <v>144</v>
      </c>
      <c r="U575" s="146" t="s">
        <v>1414</v>
      </c>
      <c r="V575" s="146" t="s">
        <v>1415</v>
      </c>
      <c r="W575" s="146"/>
      <c r="X575" s="146"/>
      <c r="Y575" s="221"/>
      <c r="Z575" s="146" t="s">
        <v>124</v>
      </c>
      <c r="AA575" s="221"/>
      <c r="AB575" s="146"/>
      <c r="AC575" s="63">
        <f t="shared" si="26"/>
        <v>0</v>
      </c>
      <c r="AD575" s="146"/>
      <c r="AE575" s="221" t="s">
        <v>217</v>
      </c>
      <c r="AF575" s="146" t="s">
        <v>225</v>
      </c>
      <c r="AG575" s="146"/>
      <c r="AH575" s="64"/>
      <c r="AI575" s="146"/>
      <c r="AJ575" s="221"/>
      <c r="AK575" s="221"/>
      <c r="AL575" s="146"/>
      <c r="AM575" s="221"/>
    </row>
    <row r="576" spans="1:39" ht="12.75" hidden="1" customHeight="1">
      <c r="A576" s="147">
        <v>575</v>
      </c>
      <c r="B576" s="223">
        <v>210759</v>
      </c>
      <c r="C576" s="146" t="s">
        <v>128</v>
      </c>
      <c r="D576" s="57">
        <v>43055</v>
      </c>
      <c r="E576" s="160" t="s">
        <v>1503</v>
      </c>
      <c r="F576" s="118">
        <v>43069</v>
      </c>
      <c r="G576" s="146">
        <f t="shared" si="28"/>
        <v>14</v>
      </c>
      <c r="H576" s="146" t="s">
        <v>133</v>
      </c>
      <c r="I576" s="221"/>
      <c r="J576" s="221" t="s">
        <v>614</v>
      </c>
      <c r="K576" s="94">
        <v>1499</v>
      </c>
      <c r="L576" s="221">
        <v>1499</v>
      </c>
      <c r="M576" s="221">
        <v>480</v>
      </c>
      <c r="N576" s="146">
        <v>25</v>
      </c>
      <c r="O576" s="93">
        <f t="shared" si="27"/>
        <v>929.06</v>
      </c>
      <c r="P576" s="224" t="s">
        <v>261</v>
      </c>
      <c r="Q576" s="224" t="s">
        <v>1341</v>
      </c>
      <c r="R576" s="221" t="s">
        <v>143</v>
      </c>
      <c r="S576" s="62" t="s">
        <v>465</v>
      </c>
      <c r="T576" s="221" t="s">
        <v>88</v>
      </c>
      <c r="U576" s="221" t="s">
        <v>1416</v>
      </c>
      <c r="V576" s="146" t="s">
        <v>90</v>
      </c>
      <c r="W576" s="146"/>
      <c r="X576" s="146"/>
      <c r="Y576" s="146" t="s">
        <v>1228</v>
      </c>
      <c r="Z576" s="146" t="s">
        <v>1380</v>
      </c>
      <c r="AA576" s="222">
        <v>43059</v>
      </c>
      <c r="AB576" s="146" t="s">
        <v>195</v>
      </c>
      <c r="AC576" s="63">
        <f t="shared" si="26"/>
        <v>1</v>
      </c>
      <c r="AD576" s="146" t="s">
        <v>217</v>
      </c>
      <c r="AE576" s="221" t="s">
        <v>218</v>
      </c>
      <c r="AF576" s="146"/>
      <c r="AG576" s="146"/>
      <c r="AH576" s="64"/>
      <c r="AI576" s="146" t="s">
        <v>184</v>
      </c>
      <c r="AJ576" s="222">
        <v>43070</v>
      </c>
      <c r="AK576" s="221" t="s">
        <v>1496</v>
      </c>
      <c r="AL576" s="146" t="s">
        <v>609</v>
      </c>
      <c r="AM576" s="222">
        <v>43074</v>
      </c>
    </row>
    <row r="577" spans="1:39" ht="12.75" hidden="1" customHeight="1">
      <c r="A577" s="147">
        <v>576</v>
      </c>
      <c r="B577" s="223">
        <v>211375</v>
      </c>
      <c r="C577" s="146" t="s">
        <v>128</v>
      </c>
      <c r="D577" s="57">
        <v>43055</v>
      </c>
      <c r="E577" s="160" t="s">
        <v>1503</v>
      </c>
      <c r="F577" s="118">
        <v>43070</v>
      </c>
      <c r="G577" s="146">
        <f t="shared" si="28"/>
        <v>15</v>
      </c>
      <c r="H577" s="146" t="s">
        <v>133</v>
      </c>
      <c r="I577" s="146"/>
      <c r="J577" s="221" t="s">
        <v>614</v>
      </c>
      <c r="K577" s="94"/>
      <c r="L577" s="221"/>
      <c r="M577" s="146"/>
      <c r="N577" s="146"/>
      <c r="O577" s="151">
        <f t="shared" si="27"/>
        <v>0</v>
      </c>
      <c r="P577" s="119" t="s">
        <v>264</v>
      </c>
      <c r="Q577" s="119" t="s">
        <v>1342</v>
      </c>
      <c r="R577" s="146" t="s">
        <v>143</v>
      </c>
      <c r="S577" s="62" t="s">
        <v>465</v>
      </c>
      <c r="T577" s="146" t="s">
        <v>144</v>
      </c>
      <c r="U577" s="146" t="s">
        <v>1417</v>
      </c>
      <c r="V577" s="146" t="s">
        <v>309</v>
      </c>
      <c r="W577" s="146"/>
      <c r="X577" s="146"/>
      <c r="Y577" s="146"/>
      <c r="Z577" s="146" t="s">
        <v>137</v>
      </c>
      <c r="AA577" s="221"/>
      <c r="AB577" s="146"/>
      <c r="AC577" s="63">
        <f t="shared" si="26"/>
        <v>0</v>
      </c>
      <c r="AD577" s="146"/>
      <c r="AE577" s="221" t="s">
        <v>217</v>
      </c>
      <c r="AF577" s="146" t="s">
        <v>225</v>
      </c>
      <c r="AG577" s="146"/>
      <c r="AH577" s="64"/>
      <c r="AI577" s="146"/>
      <c r="AJ577" s="221"/>
      <c r="AK577" s="221"/>
      <c r="AL577" s="146"/>
      <c r="AM577" s="221"/>
    </row>
    <row r="578" spans="1:39" ht="12.75" hidden="1" customHeight="1">
      <c r="A578" s="147">
        <v>577</v>
      </c>
      <c r="B578" s="223">
        <v>210736</v>
      </c>
      <c r="C578" s="146" t="s">
        <v>1130</v>
      </c>
      <c r="D578" s="57">
        <v>43055</v>
      </c>
      <c r="E578" s="160" t="s">
        <v>1503</v>
      </c>
      <c r="F578" s="118">
        <v>43061</v>
      </c>
      <c r="G578" s="146">
        <f t="shared" si="28"/>
        <v>6</v>
      </c>
      <c r="H578" s="148" t="s">
        <v>133</v>
      </c>
      <c r="I578" s="146"/>
      <c r="J578" s="221" t="s">
        <v>614</v>
      </c>
      <c r="K578" s="94">
        <v>899</v>
      </c>
      <c r="L578" s="221">
        <v>899</v>
      </c>
      <c r="M578" s="148">
        <v>190</v>
      </c>
      <c r="N578" s="146">
        <v>400</v>
      </c>
      <c r="O578" s="93">
        <f t="shared" si="27"/>
        <v>445.05999999999995</v>
      </c>
      <c r="P578" s="119" t="s">
        <v>264</v>
      </c>
      <c r="Q578" s="119" t="s">
        <v>1342</v>
      </c>
      <c r="R578" s="146" t="s">
        <v>143</v>
      </c>
      <c r="S578" s="62" t="s">
        <v>465</v>
      </c>
      <c r="T578" s="221" t="s">
        <v>88</v>
      </c>
      <c r="U578" s="146" t="s">
        <v>952</v>
      </c>
      <c r="V578" s="148" t="s">
        <v>432</v>
      </c>
      <c r="W578" s="146"/>
      <c r="X578" s="222"/>
      <c r="Y578" s="148" t="s">
        <v>316</v>
      </c>
      <c r="Z578" s="146" t="s">
        <v>189</v>
      </c>
      <c r="AA578" s="118">
        <v>43060</v>
      </c>
      <c r="AB578" s="146" t="s">
        <v>872</v>
      </c>
      <c r="AC578" s="63">
        <f t="shared" ref="AC578:AC603" si="29">+IF(O578&gt;0,1,0)</f>
        <v>1</v>
      </c>
      <c r="AD578" s="146" t="s">
        <v>217</v>
      </c>
      <c r="AE578" s="221" t="s">
        <v>218</v>
      </c>
      <c r="AF578" s="146"/>
      <c r="AG578" s="146"/>
      <c r="AH578" s="64"/>
      <c r="AI578" s="148" t="s">
        <v>184</v>
      </c>
      <c r="AJ578" s="67">
        <v>43066</v>
      </c>
      <c r="AK578" s="148" t="s">
        <v>1449</v>
      </c>
      <c r="AL578" s="148" t="s">
        <v>1423</v>
      </c>
      <c r="AM578" s="67">
        <v>43074</v>
      </c>
    </row>
    <row r="579" spans="1:39" ht="12.75" hidden="1" customHeight="1">
      <c r="A579" s="147">
        <v>578</v>
      </c>
      <c r="B579" s="223">
        <v>210489</v>
      </c>
      <c r="C579" s="146" t="s">
        <v>121</v>
      </c>
      <c r="D579" s="57">
        <v>43059</v>
      </c>
      <c r="E579" s="160" t="s">
        <v>1503</v>
      </c>
      <c r="F579" s="118">
        <v>43061</v>
      </c>
      <c r="G579" s="146">
        <f t="shared" si="28"/>
        <v>2</v>
      </c>
      <c r="H579" s="146" t="s">
        <v>133</v>
      </c>
      <c r="I579" s="146"/>
      <c r="J579" s="221" t="s">
        <v>614</v>
      </c>
      <c r="K579" s="94"/>
      <c r="L579" s="221"/>
      <c r="M579" s="221"/>
      <c r="N579" s="146"/>
      <c r="O579" s="151">
        <f t="shared" si="27"/>
        <v>0</v>
      </c>
      <c r="P579" s="119" t="s">
        <v>264</v>
      </c>
      <c r="Q579" s="119" t="s">
        <v>1342</v>
      </c>
      <c r="R579" s="146" t="s">
        <v>122</v>
      </c>
      <c r="S579" s="225" t="s">
        <v>469</v>
      </c>
      <c r="T579" s="146" t="s">
        <v>164</v>
      </c>
      <c r="U579" s="146" t="s">
        <v>1386</v>
      </c>
      <c r="V579" s="222" t="s">
        <v>169</v>
      </c>
      <c r="W579" s="146"/>
      <c r="X579" s="146"/>
      <c r="Y579" s="221"/>
      <c r="Z579" s="146" t="s">
        <v>202</v>
      </c>
      <c r="AA579" s="221"/>
      <c r="AB579" s="146"/>
      <c r="AC579" s="63">
        <f t="shared" si="29"/>
        <v>0</v>
      </c>
      <c r="AD579" s="146"/>
      <c r="AE579" s="221" t="s">
        <v>217</v>
      </c>
      <c r="AF579" s="146" t="s">
        <v>225</v>
      </c>
      <c r="AG579" s="146"/>
      <c r="AH579" s="64"/>
      <c r="AI579" s="146"/>
      <c r="AJ579" s="221"/>
      <c r="AK579" s="146"/>
      <c r="AL579" s="146"/>
      <c r="AM579" s="221"/>
    </row>
    <row r="580" spans="1:39" ht="12.75" hidden="1" customHeight="1">
      <c r="A580" s="147">
        <v>579</v>
      </c>
      <c r="B580" s="223">
        <v>211167</v>
      </c>
      <c r="C580" s="146" t="s">
        <v>121</v>
      </c>
      <c r="D580" s="57">
        <v>43060</v>
      </c>
      <c r="E580" s="160" t="s">
        <v>1503</v>
      </c>
      <c r="F580" s="118">
        <v>43070</v>
      </c>
      <c r="G580" s="146">
        <f t="shared" si="28"/>
        <v>10</v>
      </c>
      <c r="H580" s="146" t="s">
        <v>363</v>
      </c>
      <c r="I580" s="221"/>
      <c r="J580" s="221" t="s">
        <v>614</v>
      </c>
      <c r="K580" s="94">
        <v>1899</v>
      </c>
      <c r="L580" s="221"/>
      <c r="M580" s="96">
        <v>0</v>
      </c>
      <c r="N580" s="146"/>
      <c r="O580" s="151">
        <f t="shared" si="27"/>
        <v>0</v>
      </c>
      <c r="P580" s="119" t="s">
        <v>264</v>
      </c>
      <c r="Q580" s="119" t="s">
        <v>1342</v>
      </c>
      <c r="R580" s="146" t="s">
        <v>143</v>
      </c>
      <c r="S580" s="62" t="s">
        <v>465</v>
      </c>
      <c r="T580" s="221" t="s">
        <v>88</v>
      </c>
      <c r="U580" s="146" t="s">
        <v>89</v>
      </c>
      <c r="V580" s="146" t="s">
        <v>90</v>
      </c>
      <c r="W580" s="146"/>
      <c r="X580" s="146"/>
      <c r="Y580" s="146"/>
      <c r="Z580" s="146" t="s">
        <v>434</v>
      </c>
      <c r="AA580" s="221"/>
      <c r="AB580" s="146"/>
      <c r="AC580" s="63">
        <f t="shared" si="29"/>
        <v>0</v>
      </c>
      <c r="AD580" s="146"/>
      <c r="AE580" s="221" t="s">
        <v>217</v>
      </c>
      <c r="AF580" s="148" t="s">
        <v>1625</v>
      </c>
      <c r="AG580" s="146"/>
      <c r="AH580" s="64"/>
      <c r="AI580" s="146"/>
      <c r="AJ580" s="146"/>
      <c r="AK580" s="146"/>
      <c r="AL580" s="146"/>
      <c r="AM580" s="146"/>
    </row>
    <row r="581" spans="1:39" ht="12.75" hidden="1" customHeight="1">
      <c r="A581" s="147">
        <v>580</v>
      </c>
      <c r="B581" s="223">
        <v>211236</v>
      </c>
      <c r="C581" s="221" t="s">
        <v>129</v>
      </c>
      <c r="D581" s="57">
        <v>43061</v>
      </c>
      <c r="E581" s="160" t="s">
        <v>1503</v>
      </c>
      <c r="F581" s="222">
        <v>43070</v>
      </c>
      <c r="G581" s="221">
        <f t="shared" si="28"/>
        <v>9</v>
      </c>
      <c r="H581" s="221" t="s">
        <v>133</v>
      </c>
      <c r="I581" s="221"/>
      <c r="J581" s="221" t="s">
        <v>614</v>
      </c>
      <c r="K581" s="94">
        <v>839</v>
      </c>
      <c r="L581" s="221"/>
      <c r="M581" s="221">
        <v>190</v>
      </c>
      <c r="N581" s="221"/>
      <c r="O581" s="227">
        <f t="shared" si="27"/>
        <v>598.66</v>
      </c>
      <c r="P581" s="224" t="s">
        <v>264</v>
      </c>
      <c r="Q581" s="119" t="s">
        <v>1342</v>
      </c>
      <c r="R581" s="221" t="s">
        <v>143</v>
      </c>
      <c r="S581" s="225" t="s">
        <v>465</v>
      </c>
      <c r="T581" s="221" t="s">
        <v>88</v>
      </c>
      <c r="U581" s="221" t="s">
        <v>1419</v>
      </c>
      <c r="V581" s="221" t="s">
        <v>432</v>
      </c>
      <c r="W581" s="221"/>
      <c r="X581" s="221"/>
      <c r="Y581" s="221" t="s">
        <v>316</v>
      </c>
      <c r="Z581" s="221" t="s">
        <v>189</v>
      </c>
      <c r="AA581" s="222">
        <v>43062</v>
      </c>
      <c r="AB581" s="221" t="s">
        <v>872</v>
      </c>
      <c r="AC581" s="63">
        <f t="shared" si="29"/>
        <v>1</v>
      </c>
      <c r="AD581" s="221" t="s">
        <v>217</v>
      </c>
      <c r="AE581" s="221" t="s">
        <v>218</v>
      </c>
      <c r="AF581" s="221"/>
      <c r="AG581" s="221"/>
      <c r="AH581" s="64"/>
      <c r="AI581" s="221" t="s">
        <v>184</v>
      </c>
      <c r="AJ581" s="222">
        <v>43066</v>
      </c>
      <c r="AK581" s="221" t="s">
        <v>1448</v>
      </c>
      <c r="AL581" s="221" t="s">
        <v>1423</v>
      </c>
      <c r="AM581" s="222">
        <v>43074</v>
      </c>
    </row>
    <row r="582" spans="1:39" ht="12.75" hidden="1" customHeight="1">
      <c r="A582" s="147">
        <v>581</v>
      </c>
      <c r="B582" s="223">
        <v>211317</v>
      </c>
      <c r="C582" s="146" t="s">
        <v>1130</v>
      </c>
      <c r="D582" s="57">
        <v>43061</v>
      </c>
      <c r="E582" s="160" t="s">
        <v>1503</v>
      </c>
      <c r="F582" s="118">
        <v>43068</v>
      </c>
      <c r="G582" s="146">
        <f t="shared" si="28"/>
        <v>7</v>
      </c>
      <c r="H582" s="146" t="s">
        <v>133</v>
      </c>
      <c r="I582" s="221"/>
      <c r="J582" s="221" t="s">
        <v>614</v>
      </c>
      <c r="K582" s="94">
        <v>2999</v>
      </c>
      <c r="L582" s="221"/>
      <c r="M582" s="146">
        <v>290</v>
      </c>
      <c r="N582" s="146">
        <v>120</v>
      </c>
      <c r="O582" s="93">
        <f t="shared" si="27"/>
        <v>2529.06</v>
      </c>
      <c r="P582" s="119" t="s">
        <v>264</v>
      </c>
      <c r="Q582" s="119" t="s">
        <v>1342</v>
      </c>
      <c r="R582" s="146" t="s">
        <v>134</v>
      </c>
      <c r="S582" s="62" t="s">
        <v>465</v>
      </c>
      <c r="T582" s="221" t="s">
        <v>88</v>
      </c>
      <c r="U582" s="146" t="s">
        <v>1460</v>
      </c>
      <c r="V582" s="146" t="s">
        <v>429</v>
      </c>
      <c r="W582" s="117"/>
      <c r="X582" s="117"/>
      <c r="Y582" s="146" t="s">
        <v>1172</v>
      </c>
      <c r="Z582" s="117" t="s">
        <v>189</v>
      </c>
      <c r="AA582" s="222">
        <v>43061</v>
      </c>
      <c r="AB582" s="117" t="s">
        <v>782</v>
      </c>
      <c r="AC582" s="63">
        <f t="shared" si="29"/>
        <v>1</v>
      </c>
      <c r="AD582" s="146" t="s">
        <v>217</v>
      </c>
      <c r="AE582" s="221" t="s">
        <v>218</v>
      </c>
      <c r="AF582" s="117"/>
      <c r="AG582" s="117"/>
      <c r="AH582" s="64"/>
      <c r="AI582" s="117"/>
      <c r="AJ582" s="221"/>
      <c r="AK582" s="117"/>
      <c r="AL582" s="117"/>
      <c r="AM582" s="221"/>
    </row>
    <row r="583" spans="1:39" ht="12.75" hidden="1" customHeight="1">
      <c r="A583" s="147">
        <v>582</v>
      </c>
      <c r="B583" s="223">
        <v>211395</v>
      </c>
      <c r="C583" s="146" t="s">
        <v>129</v>
      </c>
      <c r="D583" s="57">
        <v>43062</v>
      </c>
      <c r="E583" s="160" t="s">
        <v>1503</v>
      </c>
      <c r="F583" s="118">
        <v>43070</v>
      </c>
      <c r="G583" s="146">
        <f t="shared" si="28"/>
        <v>8</v>
      </c>
      <c r="H583" s="146" t="s">
        <v>133</v>
      </c>
      <c r="I583" s="146"/>
      <c r="J583" s="221" t="s">
        <v>614</v>
      </c>
      <c r="K583" s="94">
        <v>3149</v>
      </c>
      <c r="L583" s="221">
        <v>3149</v>
      </c>
      <c r="M583" s="146">
        <v>370</v>
      </c>
      <c r="N583" s="146">
        <v>120</v>
      </c>
      <c r="O583" s="151">
        <f t="shared" si="27"/>
        <v>0</v>
      </c>
      <c r="P583" s="119" t="s">
        <v>264</v>
      </c>
      <c r="Q583" s="119" t="s">
        <v>1342</v>
      </c>
      <c r="R583" s="146" t="s">
        <v>134</v>
      </c>
      <c r="S583" s="62" t="s">
        <v>465</v>
      </c>
      <c r="T583" s="221" t="s">
        <v>88</v>
      </c>
      <c r="U583" s="146" t="s">
        <v>1420</v>
      </c>
      <c r="V583" s="146" t="s">
        <v>90</v>
      </c>
      <c r="W583" s="146"/>
      <c r="X583" s="222"/>
      <c r="Y583" s="117" t="s">
        <v>316</v>
      </c>
      <c r="Z583" s="146" t="s">
        <v>189</v>
      </c>
      <c r="AA583" s="222">
        <v>43063</v>
      </c>
      <c r="AB583" s="146" t="s">
        <v>140</v>
      </c>
      <c r="AC583" s="63">
        <f t="shared" si="29"/>
        <v>0</v>
      </c>
      <c r="AD583" s="146"/>
      <c r="AE583" s="221" t="s">
        <v>217</v>
      </c>
      <c r="AF583" s="117" t="s">
        <v>737</v>
      </c>
      <c r="AG583" s="117"/>
      <c r="AH583" s="64" t="s">
        <v>1551</v>
      </c>
      <c r="AI583" s="117" t="s">
        <v>184</v>
      </c>
      <c r="AJ583" s="222">
        <v>43066</v>
      </c>
      <c r="AK583" s="117" t="s">
        <v>1453</v>
      </c>
      <c r="AL583" s="117" t="s">
        <v>1423</v>
      </c>
      <c r="AM583" s="222">
        <v>43074</v>
      </c>
    </row>
    <row r="584" spans="1:39" ht="12.75" hidden="1" customHeight="1">
      <c r="A584" s="147">
        <v>583</v>
      </c>
      <c r="B584" s="223">
        <v>211929</v>
      </c>
      <c r="C584" s="146" t="s">
        <v>129</v>
      </c>
      <c r="D584" s="57">
        <v>43062</v>
      </c>
      <c r="E584" s="160" t="s">
        <v>1503</v>
      </c>
      <c r="F584" s="118">
        <v>43071</v>
      </c>
      <c r="G584" s="146">
        <f t="shared" si="28"/>
        <v>9</v>
      </c>
      <c r="H584" s="221" t="s">
        <v>133</v>
      </c>
      <c r="I584" s="221"/>
      <c r="J584" s="221" t="s">
        <v>614</v>
      </c>
      <c r="K584" s="94"/>
      <c r="L584" s="221"/>
      <c r="M584" s="221"/>
      <c r="N584" s="146"/>
      <c r="O584" s="151">
        <f t="shared" si="27"/>
        <v>0</v>
      </c>
      <c r="P584" s="119" t="s">
        <v>264</v>
      </c>
      <c r="Q584" s="119" t="s">
        <v>1342</v>
      </c>
      <c r="R584" s="146" t="s">
        <v>122</v>
      </c>
      <c r="S584" s="225" t="s">
        <v>469</v>
      </c>
      <c r="T584" s="146" t="s">
        <v>114</v>
      </c>
      <c r="U584" s="146" t="s">
        <v>444</v>
      </c>
      <c r="V584" s="222" t="s">
        <v>169</v>
      </c>
      <c r="W584" s="146"/>
      <c r="X584" s="221"/>
      <c r="Y584" s="221"/>
      <c r="Z584" s="146" t="s">
        <v>170</v>
      </c>
      <c r="AA584" s="221"/>
      <c r="AB584" s="146"/>
      <c r="AC584" s="63">
        <f t="shared" si="29"/>
        <v>0</v>
      </c>
      <c r="AD584" s="146"/>
      <c r="AE584" s="221" t="s">
        <v>217</v>
      </c>
      <c r="AF584" s="117" t="s">
        <v>225</v>
      </c>
      <c r="AG584" s="117"/>
      <c r="AH584" s="64"/>
      <c r="AI584" s="221"/>
      <c r="AJ584" s="221"/>
      <c r="AK584" s="221"/>
      <c r="AL584" s="221"/>
      <c r="AM584" s="221"/>
    </row>
    <row r="585" spans="1:39" ht="12.75" hidden="1" customHeight="1">
      <c r="A585" s="147">
        <v>584</v>
      </c>
      <c r="B585" s="223">
        <v>210987</v>
      </c>
      <c r="C585" s="146" t="s">
        <v>121</v>
      </c>
      <c r="D585" s="57">
        <v>43062</v>
      </c>
      <c r="E585" s="160" t="s">
        <v>1503</v>
      </c>
      <c r="F585" s="118">
        <v>43065</v>
      </c>
      <c r="G585" s="146">
        <f t="shared" si="28"/>
        <v>3</v>
      </c>
      <c r="H585" s="146" t="s">
        <v>133</v>
      </c>
      <c r="I585" s="221"/>
      <c r="J585" s="221" t="s">
        <v>614</v>
      </c>
      <c r="K585" s="94">
        <v>2564</v>
      </c>
      <c r="L585" s="221"/>
      <c r="M585" s="221">
        <v>430</v>
      </c>
      <c r="N585" s="146"/>
      <c r="O585" s="93">
        <f t="shared" si="27"/>
        <v>1980.1599999999999</v>
      </c>
      <c r="P585" s="119" t="s">
        <v>264</v>
      </c>
      <c r="Q585" s="119" t="s">
        <v>1342</v>
      </c>
      <c r="R585" s="146" t="s">
        <v>210</v>
      </c>
      <c r="S585" s="225" t="s">
        <v>469</v>
      </c>
      <c r="T585" s="146" t="s">
        <v>1300</v>
      </c>
      <c r="U585" s="146" t="s">
        <v>1426</v>
      </c>
      <c r="V585" s="146" t="s">
        <v>1427</v>
      </c>
      <c r="W585" s="117"/>
      <c r="X585" s="117"/>
      <c r="Y585" s="146" t="s">
        <v>316</v>
      </c>
      <c r="Z585" s="146" t="s">
        <v>253</v>
      </c>
      <c r="AA585" s="222">
        <v>43062</v>
      </c>
      <c r="AB585" s="117" t="s">
        <v>872</v>
      </c>
      <c r="AC585" s="63">
        <f t="shared" si="29"/>
        <v>1</v>
      </c>
      <c r="AD585" s="146" t="s">
        <v>217</v>
      </c>
      <c r="AE585" s="221" t="s">
        <v>218</v>
      </c>
      <c r="AF585" s="117"/>
      <c r="AG585" s="117"/>
      <c r="AH585" s="64"/>
      <c r="AI585" s="117" t="s">
        <v>184</v>
      </c>
      <c r="AJ585" s="222">
        <v>43066</v>
      </c>
      <c r="AK585" s="117" t="s">
        <v>1451</v>
      </c>
      <c r="AL585" s="117" t="s">
        <v>1423</v>
      </c>
      <c r="AM585" s="222">
        <v>43074</v>
      </c>
    </row>
    <row r="586" spans="1:39" ht="12.75" hidden="1" customHeight="1">
      <c r="A586" s="147">
        <v>585</v>
      </c>
      <c r="B586" s="223">
        <v>211846</v>
      </c>
      <c r="C586" s="146" t="s">
        <v>128</v>
      </c>
      <c r="D586" s="57">
        <v>43063</v>
      </c>
      <c r="E586" s="160" t="s">
        <v>1503</v>
      </c>
      <c r="F586" s="118">
        <v>43070</v>
      </c>
      <c r="G586" s="146">
        <f t="shared" si="28"/>
        <v>7</v>
      </c>
      <c r="H586" s="221" t="s">
        <v>133</v>
      </c>
      <c r="I586" s="221"/>
      <c r="J586" s="221" t="s">
        <v>614</v>
      </c>
      <c r="K586" s="94"/>
      <c r="L586" s="221"/>
      <c r="M586" s="221"/>
      <c r="N586" s="146"/>
      <c r="O586" s="151">
        <f t="shared" si="27"/>
        <v>0</v>
      </c>
      <c r="P586" s="119" t="s">
        <v>264</v>
      </c>
      <c r="Q586" s="119" t="s">
        <v>1342</v>
      </c>
      <c r="R586" s="146" t="s">
        <v>254</v>
      </c>
      <c r="S586" s="225" t="s">
        <v>466</v>
      </c>
      <c r="T586" s="146" t="s">
        <v>313</v>
      </c>
      <c r="U586" s="221" t="s">
        <v>1445</v>
      </c>
      <c r="V586" s="221" t="s">
        <v>1446</v>
      </c>
      <c r="W586" s="146"/>
      <c r="X586" s="146"/>
      <c r="Y586" s="146"/>
      <c r="Z586" s="146" t="s">
        <v>304</v>
      </c>
      <c r="AA586" s="221"/>
      <c r="AB586" s="146"/>
      <c r="AC586" s="226">
        <f t="shared" si="29"/>
        <v>0</v>
      </c>
      <c r="AD586" s="146"/>
      <c r="AE586" s="221" t="s">
        <v>217</v>
      </c>
      <c r="AF586" s="146" t="s">
        <v>225</v>
      </c>
      <c r="AG586" s="146"/>
      <c r="AH586" s="64"/>
      <c r="AI586" s="146"/>
      <c r="AJ586" s="146"/>
      <c r="AK586" s="146"/>
      <c r="AL586" s="146"/>
      <c r="AM586" s="146"/>
    </row>
    <row r="587" spans="1:39" ht="12.75" hidden="1" customHeight="1">
      <c r="A587" s="147">
        <v>586</v>
      </c>
      <c r="B587" s="223">
        <v>211691</v>
      </c>
      <c r="C587" s="221" t="s">
        <v>1130</v>
      </c>
      <c r="D587" s="57">
        <v>43063</v>
      </c>
      <c r="E587" s="160" t="s">
        <v>1503</v>
      </c>
      <c r="F587" s="222">
        <v>43069</v>
      </c>
      <c r="G587" s="221">
        <f t="shared" si="28"/>
        <v>6</v>
      </c>
      <c r="H587" s="221" t="s">
        <v>133</v>
      </c>
      <c r="I587" s="221"/>
      <c r="J587" s="221" t="s">
        <v>614</v>
      </c>
      <c r="K587" s="94">
        <v>2899</v>
      </c>
      <c r="L587" s="221"/>
      <c r="M587" s="221">
        <v>290</v>
      </c>
      <c r="N587" s="221">
        <v>220</v>
      </c>
      <c r="O587" s="93">
        <f t="shared" si="27"/>
        <v>2435.06</v>
      </c>
      <c r="P587" s="224" t="s">
        <v>264</v>
      </c>
      <c r="Q587" s="119" t="s">
        <v>1342</v>
      </c>
      <c r="R587" s="221" t="s">
        <v>134</v>
      </c>
      <c r="S587" s="62" t="s">
        <v>465</v>
      </c>
      <c r="T587" s="221" t="s">
        <v>88</v>
      </c>
      <c r="U587" s="221" t="s">
        <v>1461</v>
      </c>
      <c r="V587" s="221" t="s">
        <v>429</v>
      </c>
      <c r="W587" s="221"/>
      <c r="X587" s="221"/>
      <c r="Y587" s="221" t="s">
        <v>1172</v>
      </c>
      <c r="Z587" s="221" t="s">
        <v>189</v>
      </c>
      <c r="AA587" s="222">
        <v>43069</v>
      </c>
      <c r="AB587" s="221" t="s">
        <v>782</v>
      </c>
      <c r="AC587" s="63">
        <f t="shared" si="29"/>
        <v>1</v>
      </c>
      <c r="AD587" s="221" t="s">
        <v>217</v>
      </c>
      <c r="AE587" s="221" t="s">
        <v>218</v>
      </c>
      <c r="AF587" s="117"/>
      <c r="AG587" s="221"/>
      <c r="AH587" s="64"/>
      <c r="AI587" s="221"/>
      <c r="AJ587" s="221"/>
      <c r="AK587" s="221"/>
      <c r="AL587" s="221"/>
      <c r="AM587" s="221"/>
    </row>
    <row r="588" spans="1:39" ht="12.75" hidden="1" customHeight="1">
      <c r="A588" s="147">
        <v>587</v>
      </c>
      <c r="B588" s="223">
        <v>211851</v>
      </c>
      <c r="C588" s="117" t="s">
        <v>128</v>
      </c>
      <c r="D588" s="57">
        <v>43066</v>
      </c>
      <c r="E588" s="160" t="s">
        <v>1503</v>
      </c>
      <c r="F588" s="118">
        <v>43075</v>
      </c>
      <c r="G588" s="146">
        <f t="shared" si="28"/>
        <v>9</v>
      </c>
      <c r="H588" s="146" t="s">
        <v>133</v>
      </c>
      <c r="I588" s="117"/>
      <c r="J588" s="221" t="s">
        <v>614</v>
      </c>
      <c r="K588" s="94">
        <v>1499</v>
      </c>
      <c r="L588" s="221">
        <v>1499</v>
      </c>
      <c r="M588" s="117">
        <v>745</v>
      </c>
      <c r="N588" s="117">
        <v>98</v>
      </c>
      <c r="O588" s="93">
        <f t="shared" si="27"/>
        <v>664.06</v>
      </c>
      <c r="P588" s="224" t="s">
        <v>263</v>
      </c>
      <c r="Q588" s="224" t="s">
        <v>1341</v>
      </c>
      <c r="R588" s="221" t="s">
        <v>254</v>
      </c>
      <c r="S588" s="225" t="s">
        <v>466</v>
      </c>
      <c r="T588" s="221" t="s">
        <v>405</v>
      </c>
      <c r="U588" s="146" t="s">
        <v>1447</v>
      </c>
      <c r="V588" s="146" t="s">
        <v>257</v>
      </c>
      <c r="W588" s="117"/>
      <c r="X588" s="222"/>
      <c r="Y588" s="117" t="s">
        <v>1459</v>
      </c>
      <c r="Z588" s="117" t="s">
        <v>1097</v>
      </c>
      <c r="AA588" s="118">
        <v>43067</v>
      </c>
      <c r="AB588" s="117" t="s">
        <v>1101</v>
      </c>
      <c r="AC588" s="226">
        <f t="shared" si="29"/>
        <v>1</v>
      </c>
      <c r="AD588" s="117" t="s">
        <v>217</v>
      </c>
      <c r="AE588" s="221" t="s">
        <v>218</v>
      </c>
      <c r="AF588" s="117"/>
      <c r="AG588" s="117"/>
      <c r="AH588" s="64" t="s">
        <v>1514</v>
      </c>
      <c r="AI588" s="117" t="s">
        <v>82</v>
      </c>
      <c r="AJ588" s="221"/>
      <c r="AK588" s="117"/>
      <c r="AL588" s="117" t="s">
        <v>645</v>
      </c>
      <c r="AM588" s="221"/>
    </row>
    <row r="589" spans="1:39" ht="12.75" hidden="1" customHeight="1">
      <c r="A589" s="147">
        <v>588</v>
      </c>
      <c r="B589" s="223">
        <v>211678</v>
      </c>
      <c r="C589" s="117" t="s">
        <v>128</v>
      </c>
      <c r="D589" s="57">
        <v>43066</v>
      </c>
      <c r="E589" s="160" t="s">
        <v>1503</v>
      </c>
      <c r="F589" s="118">
        <v>43080</v>
      </c>
      <c r="G589" s="146">
        <f t="shared" si="28"/>
        <v>14</v>
      </c>
      <c r="H589" s="146" t="s">
        <v>133</v>
      </c>
      <c r="I589" s="125"/>
      <c r="J589" s="221" t="s">
        <v>614</v>
      </c>
      <c r="K589" s="94">
        <v>999</v>
      </c>
      <c r="L589" s="221">
        <v>999</v>
      </c>
      <c r="M589" s="117">
        <v>300</v>
      </c>
      <c r="N589" s="117">
        <v>315</v>
      </c>
      <c r="O589" s="93">
        <f t="shared" si="27"/>
        <v>624.05999999999995</v>
      </c>
      <c r="P589" s="119" t="s">
        <v>264</v>
      </c>
      <c r="Q589" s="119" t="s">
        <v>1342</v>
      </c>
      <c r="R589" s="146" t="s">
        <v>143</v>
      </c>
      <c r="S589" s="62" t="s">
        <v>465</v>
      </c>
      <c r="T589" s="221" t="s">
        <v>88</v>
      </c>
      <c r="U589" s="117" t="s">
        <v>526</v>
      </c>
      <c r="V589" s="221" t="s">
        <v>425</v>
      </c>
      <c r="W589" s="117"/>
      <c r="X589" s="222"/>
      <c r="Y589" s="117" t="s">
        <v>316</v>
      </c>
      <c r="Z589" s="117" t="s">
        <v>1380</v>
      </c>
      <c r="AA589" s="118">
        <v>43067</v>
      </c>
      <c r="AB589" s="146" t="s">
        <v>195</v>
      </c>
      <c r="AC589" s="63">
        <f t="shared" si="29"/>
        <v>1</v>
      </c>
      <c r="AD589" s="117" t="s">
        <v>217</v>
      </c>
      <c r="AE589" s="221" t="s">
        <v>218</v>
      </c>
      <c r="AF589" s="117"/>
      <c r="AG589" s="117"/>
      <c r="AH589" s="64"/>
      <c r="AI589" s="117" t="s">
        <v>184</v>
      </c>
      <c r="AJ589" s="118">
        <v>43073</v>
      </c>
      <c r="AK589" s="117" t="s">
        <v>1512</v>
      </c>
      <c r="AL589" s="117" t="s">
        <v>609</v>
      </c>
      <c r="AM589" s="118">
        <v>43074</v>
      </c>
    </row>
    <row r="590" spans="1:39" ht="12.75" hidden="1" customHeight="1">
      <c r="A590" s="147">
        <v>589</v>
      </c>
      <c r="B590" s="223">
        <v>212037</v>
      </c>
      <c r="C590" s="117" t="s">
        <v>1130</v>
      </c>
      <c r="D590" s="57">
        <v>43066</v>
      </c>
      <c r="E590" s="160" t="s">
        <v>1503</v>
      </c>
      <c r="F590" s="118">
        <v>43066</v>
      </c>
      <c r="G590" s="146">
        <f t="shared" si="28"/>
        <v>0</v>
      </c>
      <c r="H590" s="146" t="s">
        <v>133</v>
      </c>
      <c r="I590" s="221"/>
      <c r="J590" s="221" t="s">
        <v>614</v>
      </c>
      <c r="K590" s="94">
        <v>2749</v>
      </c>
      <c r="L590" s="221"/>
      <c r="M590" s="117">
        <v>290</v>
      </c>
      <c r="N590" s="117">
        <v>120</v>
      </c>
      <c r="O590" s="93">
        <f t="shared" si="27"/>
        <v>2294.06</v>
      </c>
      <c r="P590" s="224" t="s">
        <v>264</v>
      </c>
      <c r="Q590" s="224" t="s">
        <v>1342</v>
      </c>
      <c r="R590" s="221" t="s">
        <v>134</v>
      </c>
      <c r="S590" s="62" t="s">
        <v>465</v>
      </c>
      <c r="T590" s="221" t="s">
        <v>88</v>
      </c>
      <c r="U590" s="117" t="s">
        <v>1461</v>
      </c>
      <c r="V590" s="146" t="s">
        <v>429</v>
      </c>
      <c r="W590" s="117"/>
      <c r="X590" s="117"/>
      <c r="Y590" s="117" t="s">
        <v>1172</v>
      </c>
      <c r="Z590" s="117" t="s">
        <v>189</v>
      </c>
      <c r="AA590" s="222">
        <v>43066</v>
      </c>
      <c r="AB590" s="117" t="s">
        <v>782</v>
      </c>
      <c r="AC590" s="63">
        <f t="shared" si="29"/>
        <v>1</v>
      </c>
      <c r="AD590" s="146" t="s">
        <v>217</v>
      </c>
      <c r="AE590" s="221" t="s">
        <v>218</v>
      </c>
      <c r="AF590" s="117"/>
      <c r="AG590" s="117"/>
      <c r="AH590" s="64"/>
      <c r="AI590" s="146"/>
      <c r="AJ590" s="221"/>
      <c r="AK590" s="146"/>
      <c r="AL590" s="146"/>
      <c r="AM590" s="221"/>
    </row>
    <row r="591" spans="1:39" s="217" customFormat="1" ht="12.75" hidden="1" customHeight="1">
      <c r="A591" s="147">
        <v>590</v>
      </c>
      <c r="B591" s="223">
        <v>211389</v>
      </c>
      <c r="C591" s="228" t="s">
        <v>1130</v>
      </c>
      <c r="D591" s="209">
        <v>43067</v>
      </c>
      <c r="E591" s="210" t="s">
        <v>1503</v>
      </c>
      <c r="F591" s="211">
        <v>43073</v>
      </c>
      <c r="G591" s="228">
        <f t="shared" si="28"/>
        <v>6</v>
      </c>
      <c r="H591" s="228" t="s">
        <v>133</v>
      </c>
      <c r="I591" s="212"/>
      <c r="J591" s="228" t="s">
        <v>614</v>
      </c>
      <c r="K591" s="94">
        <v>1299</v>
      </c>
      <c r="L591" s="228">
        <v>1299</v>
      </c>
      <c r="M591" s="228">
        <v>397</v>
      </c>
      <c r="N591" s="228">
        <v>120</v>
      </c>
      <c r="O591" s="213">
        <f t="shared" ref="O591:O654" si="30">IF(AE591="Reemplazo",0,K591-(K591*0.12*0.5)-(MAX(M591,N591)))</f>
        <v>824.06</v>
      </c>
      <c r="P591" s="230" t="s">
        <v>264</v>
      </c>
      <c r="Q591" s="230" t="s">
        <v>1342</v>
      </c>
      <c r="R591" s="228" t="s">
        <v>134</v>
      </c>
      <c r="S591" s="214" t="s">
        <v>465</v>
      </c>
      <c r="T591" s="221" t="s">
        <v>88</v>
      </c>
      <c r="U591" s="228" t="s">
        <v>1454</v>
      </c>
      <c r="V591" s="228" t="s">
        <v>1455</v>
      </c>
      <c r="W591" s="228"/>
      <c r="X591" s="211"/>
      <c r="Y591" s="228" t="s">
        <v>1228</v>
      </c>
      <c r="Z591" s="228" t="s">
        <v>189</v>
      </c>
      <c r="AA591" s="211">
        <v>43068</v>
      </c>
      <c r="AB591" s="228" t="s">
        <v>140</v>
      </c>
      <c r="AC591" s="215">
        <f t="shared" si="29"/>
        <v>1</v>
      </c>
      <c r="AD591" s="228" t="s">
        <v>217</v>
      </c>
      <c r="AE591" s="221" t="s">
        <v>218</v>
      </c>
      <c r="AF591" s="228"/>
      <c r="AG591" s="228"/>
      <c r="AH591" s="216" t="s">
        <v>1515</v>
      </c>
      <c r="AI591" s="228" t="s">
        <v>184</v>
      </c>
      <c r="AJ591" s="211">
        <v>43081</v>
      </c>
      <c r="AK591" s="228" t="s">
        <v>1568</v>
      </c>
      <c r="AL591" s="228" t="s">
        <v>609</v>
      </c>
      <c r="AM591" s="211">
        <v>43083</v>
      </c>
    </row>
    <row r="592" spans="1:39" ht="12.75" hidden="1" customHeight="1">
      <c r="A592" s="147">
        <v>591</v>
      </c>
      <c r="B592" s="223">
        <v>211507</v>
      </c>
      <c r="C592" s="117" t="s">
        <v>1130</v>
      </c>
      <c r="D592" s="57">
        <v>43067</v>
      </c>
      <c r="E592" s="160" t="s">
        <v>1503</v>
      </c>
      <c r="F592" s="118">
        <v>43073</v>
      </c>
      <c r="G592" s="146">
        <f t="shared" si="28"/>
        <v>6</v>
      </c>
      <c r="H592" s="146" t="s">
        <v>363</v>
      </c>
      <c r="I592" s="146"/>
      <c r="J592" s="221" t="s">
        <v>614</v>
      </c>
      <c r="K592" s="94"/>
      <c r="L592" s="221"/>
      <c r="M592" s="96">
        <v>0</v>
      </c>
      <c r="N592" s="117"/>
      <c r="O592" s="93">
        <f t="shared" si="30"/>
        <v>0</v>
      </c>
      <c r="P592" s="224" t="s">
        <v>263</v>
      </c>
      <c r="Q592" s="224" t="s">
        <v>1341</v>
      </c>
      <c r="R592" s="221" t="s">
        <v>143</v>
      </c>
      <c r="S592" s="62" t="s">
        <v>465</v>
      </c>
      <c r="T592" s="221" t="s">
        <v>88</v>
      </c>
      <c r="U592" s="146" t="s">
        <v>747</v>
      </c>
      <c r="V592" s="146" t="s">
        <v>1456</v>
      </c>
      <c r="W592" s="117"/>
      <c r="X592" s="117"/>
      <c r="Y592" s="117"/>
      <c r="Z592" s="117" t="s">
        <v>189</v>
      </c>
      <c r="AA592" s="221"/>
      <c r="AB592" s="117"/>
      <c r="AC592" s="63">
        <f t="shared" si="29"/>
        <v>0</v>
      </c>
      <c r="AD592" s="117"/>
      <c r="AE592" s="117"/>
      <c r="AF592" s="117"/>
      <c r="AG592" s="117"/>
      <c r="AH592" s="64" t="s">
        <v>1492</v>
      </c>
      <c r="AI592" s="117"/>
      <c r="AJ592" s="221"/>
      <c r="AK592" s="117"/>
      <c r="AL592" s="117"/>
      <c r="AM592" s="222"/>
    </row>
    <row r="593" spans="1:39" s="217" customFormat="1" ht="12.75" hidden="1" customHeight="1">
      <c r="A593" s="147">
        <v>592</v>
      </c>
      <c r="B593" s="223">
        <v>211552</v>
      </c>
      <c r="C593" s="228" t="s">
        <v>1130</v>
      </c>
      <c r="D593" s="209">
        <v>43067</v>
      </c>
      <c r="E593" s="210" t="s">
        <v>1503</v>
      </c>
      <c r="F593" s="211">
        <v>43074</v>
      </c>
      <c r="G593" s="228">
        <f t="shared" si="28"/>
        <v>7</v>
      </c>
      <c r="H593" s="228" t="s">
        <v>133</v>
      </c>
      <c r="I593" s="228"/>
      <c r="J593" s="228" t="s">
        <v>614</v>
      </c>
      <c r="K593" s="94">
        <v>4299</v>
      </c>
      <c r="L593" s="228">
        <v>4299</v>
      </c>
      <c r="M593" s="228">
        <v>320</v>
      </c>
      <c r="N593" s="228">
        <v>120</v>
      </c>
      <c r="O593" s="213">
        <f t="shared" si="30"/>
        <v>3721.06</v>
      </c>
      <c r="P593" s="230" t="s">
        <v>262</v>
      </c>
      <c r="Q593" s="230" t="s">
        <v>1342</v>
      </c>
      <c r="R593" s="228" t="s">
        <v>134</v>
      </c>
      <c r="S593" s="214" t="s">
        <v>465</v>
      </c>
      <c r="T593" s="221" t="s">
        <v>88</v>
      </c>
      <c r="U593" s="228" t="s">
        <v>1420</v>
      </c>
      <c r="V593" s="228" t="s">
        <v>1457</v>
      </c>
      <c r="W593" s="228"/>
      <c r="X593" s="211"/>
      <c r="Y593" s="228" t="s">
        <v>1228</v>
      </c>
      <c r="Z593" s="228" t="s">
        <v>189</v>
      </c>
      <c r="AA593" s="211">
        <v>43068</v>
      </c>
      <c r="AB593" s="228" t="s">
        <v>140</v>
      </c>
      <c r="AC593" s="215">
        <f t="shared" si="29"/>
        <v>1</v>
      </c>
      <c r="AD593" s="228" t="s">
        <v>217</v>
      </c>
      <c r="AE593" s="221" t="s">
        <v>218</v>
      </c>
      <c r="AF593" s="228"/>
      <c r="AG593" s="228"/>
      <c r="AH593" s="216" t="s">
        <v>1515</v>
      </c>
      <c r="AI593" s="228" t="s">
        <v>184</v>
      </c>
      <c r="AJ593" s="211">
        <v>43081</v>
      </c>
      <c r="AK593" s="228" t="s">
        <v>1567</v>
      </c>
      <c r="AL593" s="228" t="s">
        <v>609</v>
      </c>
      <c r="AM593" s="211">
        <v>43083</v>
      </c>
    </row>
    <row r="594" spans="1:39" s="217" customFormat="1" ht="12.75" hidden="1" customHeight="1">
      <c r="A594" s="147">
        <v>593</v>
      </c>
      <c r="B594" s="223">
        <v>211536</v>
      </c>
      <c r="C594" s="228" t="s">
        <v>1130</v>
      </c>
      <c r="D594" s="209">
        <v>43067</v>
      </c>
      <c r="E594" s="210" t="s">
        <v>1503</v>
      </c>
      <c r="F594" s="211">
        <v>43073</v>
      </c>
      <c r="G594" s="228">
        <f t="shared" si="28"/>
        <v>6</v>
      </c>
      <c r="H594" s="228" t="s">
        <v>133</v>
      </c>
      <c r="I594" s="228"/>
      <c r="J594" s="228" t="s">
        <v>614</v>
      </c>
      <c r="K594" s="94">
        <v>1599</v>
      </c>
      <c r="L594" s="228">
        <v>1599</v>
      </c>
      <c r="M594" s="228">
        <v>194.7</v>
      </c>
      <c r="N594" s="228">
        <v>80</v>
      </c>
      <c r="O594" s="213">
        <f t="shared" si="30"/>
        <v>1308.3599999999999</v>
      </c>
      <c r="P594" s="230" t="s">
        <v>264</v>
      </c>
      <c r="Q594" s="230" t="s">
        <v>1342</v>
      </c>
      <c r="R594" s="228" t="s">
        <v>134</v>
      </c>
      <c r="S594" s="214" t="s">
        <v>465</v>
      </c>
      <c r="T594" s="221" t="s">
        <v>88</v>
      </c>
      <c r="U594" s="228" t="s">
        <v>1166</v>
      </c>
      <c r="V594" s="228" t="s">
        <v>862</v>
      </c>
      <c r="W594" s="228"/>
      <c r="X594" s="228"/>
      <c r="Y594" s="228" t="s">
        <v>1228</v>
      </c>
      <c r="Z594" s="228" t="s">
        <v>189</v>
      </c>
      <c r="AA594" s="211">
        <v>43068</v>
      </c>
      <c r="AB594" s="228" t="s">
        <v>140</v>
      </c>
      <c r="AC594" s="215">
        <f t="shared" si="29"/>
        <v>1</v>
      </c>
      <c r="AD594" s="228" t="s">
        <v>217</v>
      </c>
      <c r="AE594" s="221" t="s">
        <v>218</v>
      </c>
      <c r="AF594" s="228"/>
      <c r="AG594" s="228"/>
      <c r="AH594" s="216" t="s">
        <v>1515</v>
      </c>
      <c r="AI594" s="228" t="s">
        <v>184</v>
      </c>
      <c r="AJ594" s="211">
        <v>43081</v>
      </c>
      <c r="AK594" s="228" t="s">
        <v>1568</v>
      </c>
      <c r="AL594" s="228" t="s">
        <v>609</v>
      </c>
      <c r="AM594" s="211">
        <v>43083</v>
      </c>
    </row>
    <row r="595" spans="1:39" ht="12.75" hidden="1" customHeight="1">
      <c r="A595" s="147">
        <v>594</v>
      </c>
      <c r="B595" s="223">
        <v>211642</v>
      </c>
      <c r="C595" s="146" t="s">
        <v>1130</v>
      </c>
      <c r="D595" s="57">
        <v>43067</v>
      </c>
      <c r="E595" s="160" t="s">
        <v>1503</v>
      </c>
      <c r="F595" s="118">
        <v>43077</v>
      </c>
      <c r="G595" s="146">
        <f t="shared" si="28"/>
        <v>10</v>
      </c>
      <c r="H595" s="146" t="s">
        <v>133</v>
      </c>
      <c r="I595" s="221"/>
      <c r="J595" s="221" t="s">
        <v>614</v>
      </c>
      <c r="K595" s="94">
        <v>799</v>
      </c>
      <c r="L595" s="221"/>
      <c r="M595" s="221">
        <v>190</v>
      </c>
      <c r="N595" s="221">
        <v>80</v>
      </c>
      <c r="O595" s="93">
        <f t="shared" si="30"/>
        <v>561.05999999999995</v>
      </c>
      <c r="P595" s="224" t="s">
        <v>264</v>
      </c>
      <c r="Q595" s="224" t="s">
        <v>1342</v>
      </c>
      <c r="R595" s="221" t="s">
        <v>143</v>
      </c>
      <c r="S595" s="62" t="s">
        <v>465</v>
      </c>
      <c r="T595" s="221" t="s">
        <v>88</v>
      </c>
      <c r="U595" s="146" t="s">
        <v>1285</v>
      </c>
      <c r="V595" s="228" t="s">
        <v>432</v>
      </c>
      <c r="W595" s="117"/>
      <c r="X595" s="221"/>
      <c r="Y595" s="117" t="s">
        <v>316</v>
      </c>
      <c r="Z595" s="146" t="s">
        <v>189</v>
      </c>
      <c r="AA595" s="222">
        <v>43067</v>
      </c>
      <c r="AB595" s="146" t="s">
        <v>872</v>
      </c>
      <c r="AC595" s="63">
        <f t="shared" si="29"/>
        <v>1</v>
      </c>
      <c r="AD595" s="117" t="s">
        <v>217</v>
      </c>
      <c r="AE595" s="221" t="s">
        <v>218</v>
      </c>
      <c r="AF595" s="117"/>
      <c r="AG595" s="117"/>
      <c r="AH595" s="64"/>
      <c r="AI595" s="117" t="s">
        <v>184</v>
      </c>
      <c r="AJ595" s="222">
        <v>43073</v>
      </c>
      <c r="AK595" s="146" t="s">
        <v>1513</v>
      </c>
      <c r="AL595" s="117" t="s">
        <v>609</v>
      </c>
      <c r="AM595" s="222">
        <v>43074</v>
      </c>
    </row>
    <row r="596" spans="1:39" ht="12.75" hidden="1" customHeight="1">
      <c r="A596" s="147">
        <v>595</v>
      </c>
      <c r="B596" s="223">
        <v>211674</v>
      </c>
      <c r="C596" s="146" t="s">
        <v>1130</v>
      </c>
      <c r="D596" s="57">
        <v>43067</v>
      </c>
      <c r="E596" s="160" t="s">
        <v>1503</v>
      </c>
      <c r="F596" s="118">
        <v>43078</v>
      </c>
      <c r="G596" s="146">
        <f t="shared" si="28"/>
        <v>11</v>
      </c>
      <c r="H596" s="146" t="s">
        <v>363</v>
      </c>
      <c r="I596" s="117"/>
      <c r="J596" s="221" t="s">
        <v>614</v>
      </c>
      <c r="K596" s="94"/>
      <c r="L596" s="221"/>
      <c r="M596" s="96">
        <v>0</v>
      </c>
      <c r="N596" s="117"/>
      <c r="O596" s="93">
        <f t="shared" si="30"/>
        <v>0</v>
      </c>
      <c r="P596" s="224" t="s">
        <v>264</v>
      </c>
      <c r="Q596" s="224" t="s">
        <v>1342</v>
      </c>
      <c r="R596" s="221" t="s">
        <v>134</v>
      </c>
      <c r="S596" s="62" t="s">
        <v>465</v>
      </c>
      <c r="T596" s="221" t="s">
        <v>88</v>
      </c>
      <c r="U596" s="146" t="s">
        <v>1286</v>
      </c>
      <c r="V596" s="228" t="s">
        <v>1458</v>
      </c>
      <c r="W596" s="117"/>
      <c r="X596" s="117"/>
      <c r="Y596" s="117"/>
      <c r="Z596" s="146" t="s">
        <v>189</v>
      </c>
      <c r="AA596" s="221"/>
      <c r="AB596" s="117"/>
      <c r="AC596" s="63">
        <f t="shared" si="29"/>
        <v>0</v>
      </c>
      <c r="AD596" s="117"/>
      <c r="AE596" s="117"/>
      <c r="AF596" s="117"/>
      <c r="AG596" s="117"/>
      <c r="AH596" s="64" t="s">
        <v>1462</v>
      </c>
      <c r="AI596" s="117"/>
      <c r="AJ596" s="146"/>
      <c r="AK596" s="146"/>
      <c r="AL596" s="117"/>
      <c r="AM596" s="222"/>
    </row>
    <row r="597" spans="1:39" ht="12.75" hidden="1" customHeight="1">
      <c r="A597" s="147">
        <v>596</v>
      </c>
      <c r="B597" s="223">
        <v>212154</v>
      </c>
      <c r="C597" s="221" t="s">
        <v>1130</v>
      </c>
      <c r="D597" s="57">
        <v>43067</v>
      </c>
      <c r="E597" s="160" t="s">
        <v>1503</v>
      </c>
      <c r="F597" s="222">
        <v>43067</v>
      </c>
      <c r="G597" s="221">
        <f t="shared" si="28"/>
        <v>0</v>
      </c>
      <c r="H597" s="221" t="s">
        <v>133</v>
      </c>
      <c r="I597" s="221"/>
      <c r="J597" s="221" t="s">
        <v>614</v>
      </c>
      <c r="K597" s="94">
        <v>2999</v>
      </c>
      <c r="L597" s="221"/>
      <c r="M597" s="221">
        <v>290</v>
      </c>
      <c r="N597" s="221">
        <v>220</v>
      </c>
      <c r="O597" s="227">
        <f t="shared" si="30"/>
        <v>2529.06</v>
      </c>
      <c r="P597" s="224" t="s">
        <v>264</v>
      </c>
      <c r="Q597" s="224" t="s">
        <v>1342</v>
      </c>
      <c r="R597" s="221" t="s">
        <v>134</v>
      </c>
      <c r="S597" s="225" t="s">
        <v>465</v>
      </c>
      <c r="T597" s="221" t="s">
        <v>88</v>
      </c>
      <c r="U597" s="221" t="s">
        <v>1461</v>
      </c>
      <c r="V597" s="228" t="s">
        <v>429</v>
      </c>
      <c r="W597" s="221"/>
      <c r="X597" s="221"/>
      <c r="Y597" s="221" t="s">
        <v>1172</v>
      </c>
      <c r="Z597" s="221" t="s">
        <v>189</v>
      </c>
      <c r="AA597" s="222">
        <v>43067</v>
      </c>
      <c r="AB597" s="221" t="s">
        <v>782</v>
      </c>
      <c r="AC597" s="226">
        <f t="shared" si="29"/>
        <v>1</v>
      </c>
      <c r="AD597" s="221" t="s">
        <v>217</v>
      </c>
      <c r="AE597" s="221" t="s">
        <v>218</v>
      </c>
      <c r="AF597" s="221"/>
      <c r="AG597" s="221"/>
      <c r="AH597" s="64"/>
      <c r="AI597" s="221"/>
      <c r="AJ597" s="221"/>
      <c r="AK597" s="221"/>
      <c r="AL597" s="221"/>
      <c r="AM597" s="222"/>
    </row>
    <row r="598" spans="1:39" ht="12.75" hidden="1" customHeight="1">
      <c r="A598" s="147">
        <v>597</v>
      </c>
      <c r="B598" s="223">
        <v>211787</v>
      </c>
      <c r="C598" s="117" t="s">
        <v>1130</v>
      </c>
      <c r="D598" s="57">
        <v>43068</v>
      </c>
      <c r="E598" s="160" t="s">
        <v>1503</v>
      </c>
      <c r="F598" s="118">
        <v>43078</v>
      </c>
      <c r="G598" s="146">
        <f t="shared" si="28"/>
        <v>10</v>
      </c>
      <c r="H598" s="146" t="s">
        <v>133</v>
      </c>
      <c r="I598" s="117"/>
      <c r="J598" s="221" t="s">
        <v>614</v>
      </c>
      <c r="K598" s="94">
        <v>1699</v>
      </c>
      <c r="L598" s="221"/>
      <c r="M598" s="221">
        <v>310</v>
      </c>
      <c r="N598" s="117">
        <v>230</v>
      </c>
      <c r="O598" s="227">
        <f t="shared" si="30"/>
        <v>1287.06</v>
      </c>
      <c r="P598" s="119" t="s">
        <v>264</v>
      </c>
      <c r="Q598" s="119" t="s">
        <v>1342</v>
      </c>
      <c r="R598" s="146" t="s">
        <v>122</v>
      </c>
      <c r="S598" s="225" t="s">
        <v>469</v>
      </c>
      <c r="T598" s="146" t="s">
        <v>164</v>
      </c>
      <c r="U598" s="146" t="s">
        <v>1463</v>
      </c>
      <c r="V598" s="222" t="s">
        <v>169</v>
      </c>
      <c r="W598" s="117"/>
      <c r="X598" s="117"/>
      <c r="Y598" s="146" t="s">
        <v>316</v>
      </c>
      <c r="Z598" s="146" t="s">
        <v>253</v>
      </c>
      <c r="AA598" s="222">
        <v>43069</v>
      </c>
      <c r="AB598" s="117" t="s">
        <v>140</v>
      </c>
      <c r="AC598" s="63">
        <f t="shared" si="29"/>
        <v>1</v>
      </c>
      <c r="AD598" s="117" t="s">
        <v>217</v>
      </c>
      <c r="AE598" s="221" t="s">
        <v>218</v>
      </c>
      <c r="AF598" s="117"/>
      <c r="AG598" s="117"/>
      <c r="AH598" s="64"/>
      <c r="AI598" s="146" t="s">
        <v>184</v>
      </c>
      <c r="AJ598" s="222">
        <v>43073</v>
      </c>
      <c r="AK598" s="146" t="s">
        <v>1511</v>
      </c>
      <c r="AL598" s="146" t="s">
        <v>609</v>
      </c>
      <c r="AM598" s="222">
        <v>43074</v>
      </c>
    </row>
    <row r="599" spans="1:39" ht="12.75" hidden="1" customHeight="1">
      <c r="A599" s="147">
        <v>598</v>
      </c>
      <c r="B599" s="223">
        <v>212271</v>
      </c>
      <c r="C599" s="221" t="s">
        <v>128</v>
      </c>
      <c r="D599" s="57">
        <v>43068</v>
      </c>
      <c r="E599" s="160" t="s">
        <v>1503</v>
      </c>
      <c r="F599" s="222">
        <v>43084</v>
      </c>
      <c r="G599" s="221">
        <f t="shared" si="28"/>
        <v>16</v>
      </c>
      <c r="H599" s="221" t="s">
        <v>363</v>
      </c>
      <c r="I599" s="125"/>
      <c r="J599" s="221" t="s">
        <v>614</v>
      </c>
      <c r="K599" s="94"/>
      <c r="L599" s="221"/>
      <c r="M599" s="96">
        <v>0</v>
      </c>
      <c r="N599" s="221"/>
      <c r="O599" s="227">
        <f t="shared" si="30"/>
        <v>0</v>
      </c>
      <c r="P599" s="224" t="s">
        <v>263</v>
      </c>
      <c r="Q599" s="224" t="s">
        <v>1341</v>
      </c>
      <c r="R599" s="221" t="s">
        <v>254</v>
      </c>
      <c r="S599" s="225" t="s">
        <v>466</v>
      </c>
      <c r="T599" s="221" t="s">
        <v>405</v>
      </c>
      <c r="U599" s="221" t="s">
        <v>499</v>
      </c>
      <c r="V599" s="228" t="s">
        <v>257</v>
      </c>
      <c r="W599" s="221"/>
      <c r="X599" s="221"/>
      <c r="Y599" s="221"/>
      <c r="Z599" s="221" t="s">
        <v>1189</v>
      </c>
      <c r="AA599" s="221"/>
      <c r="AB599" s="221"/>
      <c r="AC599" s="226">
        <f t="shared" si="29"/>
        <v>0</v>
      </c>
      <c r="AD599" s="221"/>
      <c r="AE599" s="117"/>
      <c r="AF599" s="221"/>
      <c r="AG599" s="221"/>
      <c r="AH599" s="64" t="s">
        <v>1491</v>
      </c>
      <c r="AI599" s="221"/>
      <c r="AJ599" s="221"/>
      <c r="AK599" s="221"/>
      <c r="AL599" s="221"/>
      <c r="AM599" s="222"/>
    </row>
    <row r="600" spans="1:39" s="217" customFormat="1" ht="12.75" hidden="1" customHeight="1">
      <c r="A600" s="147">
        <v>599</v>
      </c>
      <c r="B600" s="223">
        <v>211817</v>
      </c>
      <c r="C600" s="228" t="s">
        <v>1130</v>
      </c>
      <c r="D600" s="209">
        <v>43068</v>
      </c>
      <c r="E600" s="210" t="s">
        <v>1503</v>
      </c>
      <c r="F600" s="211">
        <v>43077</v>
      </c>
      <c r="G600" s="228">
        <f t="shared" si="28"/>
        <v>9</v>
      </c>
      <c r="H600" s="228" t="s">
        <v>133</v>
      </c>
      <c r="I600" s="212"/>
      <c r="J600" s="228" t="s">
        <v>614</v>
      </c>
      <c r="K600" s="94">
        <v>1799</v>
      </c>
      <c r="L600" s="228">
        <v>1799</v>
      </c>
      <c r="M600" s="228">
        <v>0</v>
      </c>
      <c r="N600" s="228">
        <v>0</v>
      </c>
      <c r="O600" s="227">
        <f t="shared" si="30"/>
        <v>0</v>
      </c>
      <c r="P600" s="230" t="s">
        <v>264</v>
      </c>
      <c r="Q600" s="230" t="s">
        <v>1342</v>
      </c>
      <c r="R600" s="228" t="s">
        <v>134</v>
      </c>
      <c r="S600" s="214" t="s">
        <v>465</v>
      </c>
      <c r="T600" s="228" t="s">
        <v>1011</v>
      </c>
      <c r="U600" s="228" t="s">
        <v>1464</v>
      </c>
      <c r="V600" s="228" t="s">
        <v>1299</v>
      </c>
      <c r="W600" s="228"/>
      <c r="X600" s="228"/>
      <c r="Y600" s="228" t="s">
        <v>203</v>
      </c>
      <c r="Z600" s="228" t="s">
        <v>315</v>
      </c>
      <c r="AA600" s="211">
        <v>43070</v>
      </c>
      <c r="AB600" s="228"/>
      <c r="AC600" s="226">
        <f t="shared" si="29"/>
        <v>0</v>
      </c>
      <c r="AD600" s="228" t="s">
        <v>217</v>
      </c>
      <c r="AE600" s="221" t="s">
        <v>217</v>
      </c>
      <c r="AF600" s="148" t="s">
        <v>1625</v>
      </c>
      <c r="AG600" s="228"/>
      <c r="AH600" s="216" t="s">
        <v>1465</v>
      </c>
      <c r="AI600" s="228"/>
      <c r="AJ600" s="228"/>
      <c r="AK600" s="228"/>
      <c r="AL600" s="228"/>
      <c r="AM600" s="222"/>
    </row>
    <row r="601" spans="1:39" ht="12.75" hidden="1" customHeight="1">
      <c r="A601" s="147">
        <v>600</v>
      </c>
      <c r="B601" s="223">
        <v>211696</v>
      </c>
      <c r="C601" s="117" t="s">
        <v>1130</v>
      </c>
      <c r="D601" s="57">
        <v>43068</v>
      </c>
      <c r="E601" s="160" t="s">
        <v>1503</v>
      </c>
      <c r="F601" s="118">
        <v>43074</v>
      </c>
      <c r="G601" s="146">
        <f t="shared" si="28"/>
        <v>6</v>
      </c>
      <c r="H601" s="146" t="s">
        <v>363</v>
      </c>
      <c r="I601" s="117"/>
      <c r="J601" s="221" t="s">
        <v>614</v>
      </c>
      <c r="K601" s="94"/>
      <c r="L601" s="221"/>
      <c r="M601" s="96">
        <v>0</v>
      </c>
      <c r="N601" s="117"/>
      <c r="O601" s="227">
        <f t="shared" si="30"/>
        <v>0</v>
      </c>
      <c r="P601" s="224" t="s">
        <v>264</v>
      </c>
      <c r="Q601" s="224" t="s">
        <v>1342</v>
      </c>
      <c r="R601" s="146" t="s">
        <v>134</v>
      </c>
      <c r="S601" s="62" t="s">
        <v>465</v>
      </c>
      <c r="T601" s="221" t="s">
        <v>88</v>
      </c>
      <c r="U601" s="221" t="s">
        <v>1466</v>
      </c>
      <c r="V601" s="228" t="s">
        <v>1468</v>
      </c>
      <c r="W601" s="146"/>
      <c r="X601" s="117"/>
      <c r="Y601" s="146"/>
      <c r="Z601" s="117" t="s">
        <v>189</v>
      </c>
      <c r="AA601" s="221"/>
      <c r="AB601" s="146"/>
      <c r="AC601" s="63">
        <f t="shared" si="29"/>
        <v>0</v>
      </c>
      <c r="AD601" s="117"/>
      <c r="AE601" s="117"/>
      <c r="AF601" s="117"/>
      <c r="AG601" s="117"/>
      <c r="AH601" s="64" t="s">
        <v>1494</v>
      </c>
      <c r="AI601" s="117"/>
      <c r="AJ601" s="221"/>
      <c r="AK601" s="146"/>
      <c r="AL601" s="117"/>
      <c r="AM601" s="222"/>
    </row>
    <row r="602" spans="1:39" ht="12.75" hidden="1" customHeight="1">
      <c r="A602" s="147">
        <v>601</v>
      </c>
      <c r="B602" s="223">
        <v>211753</v>
      </c>
      <c r="C602" s="117" t="s">
        <v>1130</v>
      </c>
      <c r="D602" s="57">
        <v>43068</v>
      </c>
      <c r="E602" s="160" t="s">
        <v>1503</v>
      </c>
      <c r="F602" s="118">
        <v>43074</v>
      </c>
      <c r="G602" s="146">
        <f t="shared" si="28"/>
        <v>6</v>
      </c>
      <c r="H602" s="146" t="s">
        <v>363</v>
      </c>
      <c r="I602" s="117"/>
      <c r="J602" s="221" t="s">
        <v>614</v>
      </c>
      <c r="K602" s="94"/>
      <c r="L602" s="221"/>
      <c r="M602" s="96">
        <v>0</v>
      </c>
      <c r="N602" s="117"/>
      <c r="O602" s="93">
        <f t="shared" si="30"/>
        <v>0</v>
      </c>
      <c r="P602" s="224" t="s">
        <v>264</v>
      </c>
      <c r="Q602" s="224" t="s">
        <v>1342</v>
      </c>
      <c r="R602" s="146" t="s">
        <v>87</v>
      </c>
      <c r="S602" s="62" t="s">
        <v>465</v>
      </c>
      <c r="T602" s="221" t="s">
        <v>88</v>
      </c>
      <c r="U602" s="146" t="s">
        <v>1467</v>
      </c>
      <c r="V602" s="228" t="s">
        <v>1469</v>
      </c>
      <c r="W602" s="117"/>
      <c r="X602" s="117"/>
      <c r="Y602" s="146"/>
      <c r="Z602" s="117" t="s">
        <v>189</v>
      </c>
      <c r="AA602" s="146"/>
      <c r="AB602" s="146"/>
      <c r="AC602" s="63">
        <f t="shared" si="29"/>
        <v>0</v>
      </c>
      <c r="AD602" s="117"/>
      <c r="AE602" s="117"/>
      <c r="AF602" s="117"/>
      <c r="AG602" s="117"/>
      <c r="AH602" s="64" t="s">
        <v>1495</v>
      </c>
      <c r="AI602" s="117"/>
      <c r="AJ602" s="146"/>
      <c r="AK602" s="146"/>
      <c r="AL602" s="117"/>
      <c r="AM602" s="222"/>
    </row>
    <row r="603" spans="1:39" ht="12.75" hidden="1" customHeight="1">
      <c r="A603" s="147">
        <v>602</v>
      </c>
      <c r="B603" s="223">
        <v>211899</v>
      </c>
      <c r="C603" s="117" t="s">
        <v>1130</v>
      </c>
      <c r="D603" s="57">
        <v>43068</v>
      </c>
      <c r="E603" s="160" t="s">
        <v>1503</v>
      </c>
      <c r="F603" s="118">
        <v>43074</v>
      </c>
      <c r="G603" s="146">
        <f t="shared" si="28"/>
        <v>6</v>
      </c>
      <c r="H603" s="146" t="s">
        <v>133</v>
      </c>
      <c r="I603" s="117"/>
      <c r="J603" s="221" t="s">
        <v>614</v>
      </c>
      <c r="K603" s="94">
        <v>1299</v>
      </c>
      <c r="L603" s="221"/>
      <c r="M603" s="146">
        <v>190</v>
      </c>
      <c r="N603" s="117">
        <v>80</v>
      </c>
      <c r="O603" s="93">
        <f t="shared" si="30"/>
        <v>1031.06</v>
      </c>
      <c r="P603" s="224" t="s">
        <v>262</v>
      </c>
      <c r="Q603" s="224" t="s">
        <v>1342</v>
      </c>
      <c r="R603" s="146" t="s">
        <v>143</v>
      </c>
      <c r="S603" s="62" t="s">
        <v>465</v>
      </c>
      <c r="T603" s="221" t="s">
        <v>88</v>
      </c>
      <c r="U603" s="146" t="s">
        <v>1227</v>
      </c>
      <c r="V603" s="228" t="s">
        <v>432</v>
      </c>
      <c r="W603" s="117"/>
      <c r="X603" s="117"/>
      <c r="Y603" s="146" t="s">
        <v>316</v>
      </c>
      <c r="Z603" s="117" t="s">
        <v>189</v>
      </c>
      <c r="AA603" s="222">
        <v>43069</v>
      </c>
      <c r="AB603" s="65" t="s">
        <v>872</v>
      </c>
      <c r="AC603" s="63">
        <f t="shared" si="29"/>
        <v>1</v>
      </c>
      <c r="AD603" s="117" t="s">
        <v>217</v>
      </c>
      <c r="AE603" s="221" t="s">
        <v>218</v>
      </c>
      <c r="AF603" s="117"/>
      <c r="AG603" s="117"/>
      <c r="AH603" s="64"/>
      <c r="AI603" s="117" t="s">
        <v>184</v>
      </c>
      <c r="AJ603" s="222">
        <v>43073</v>
      </c>
      <c r="AK603" s="146" t="s">
        <v>1510</v>
      </c>
      <c r="AL603" s="117" t="s">
        <v>609</v>
      </c>
      <c r="AM603" s="222">
        <v>43074</v>
      </c>
    </row>
    <row r="604" spans="1:39" ht="12.75" hidden="1" customHeight="1">
      <c r="A604" s="147">
        <v>603</v>
      </c>
      <c r="B604" s="223">
        <v>212074</v>
      </c>
      <c r="C604" s="117" t="s">
        <v>1130</v>
      </c>
      <c r="D604" s="57">
        <v>43068</v>
      </c>
      <c r="E604" s="160" t="s">
        <v>1503</v>
      </c>
      <c r="F604" s="118">
        <v>43079</v>
      </c>
      <c r="G604" s="146">
        <f t="shared" si="28"/>
        <v>11</v>
      </c>
      <c r="H604" s="146" t="s">
        <v>133</v>
      </c>
      <c r="I604" s="117"/>
      <c r="J604" s="221" t="s">
        <v>614</v>
      </c>
      <c r="K604" s="94">
        <v>2999</v>
      </c>
      <c r="L604" s="221">
        <v>2999</v>
      </c>
      <c r="M604" s="146">
        <v>330</v>
      </c>
      <c r="N604" s="117">
        <v>120</v>
      </c>
      <c r="O604" s="93">
        <f t="shared" si="30"/>
        <v>2489.06</v>
      </c>
      <c r="P604" s="224" t="s">
        <v>261</v>
      </c>
      <c r="Q604" s="224" t="s">
        <v>1341</v>
      </c>
      <c r="R604" s="146" t="s">
        <v>143</v>
      </c>
      <c r="S604" s="62" t="s">
        <v>465</v>
      </c>
      <c r="T604" s="221" t="s">
        <v>88</v>
      </c>
      <c r="U604" s="146" t="s">
        <v>741</v>
      </c>
      <c r="V604" s="228" t="s">
        <v>1019</v>
      </c>
      <c r="W604" s="117"/>
      <c r="X604" s="117"/>
      <c r="Y604" s="146" t="s">
        <v>1228</v>
      </c>
      <c r="Z604" s="146" t="s">
        <v>189</v>
      </c>
      <c r="AA604" s="222">
        <v>43070</v>
      </c>
      <c r="AB604" s="146" t="s">
        <v>195</v>
      </c>
      <c r="AC604" s="63">
        <v>1</v>
      </c>
      <c r="AD604" s="117" t="s">
        <v>217</v>
      </c>
      <c r="AE604" s="221" t="s">
        <v>218</v>
      </c>
      <c r="AF604" s="117"/>
      <c r="AG604" s="117"/>
      <c r="AH604" s="64"/>
      <c r="AI604" s="228" t="s">
        <v>184</v>
      </c>
      <c r="AJ604" s="211">
        <v>43075</v>
      </c>
      <c r="AK604" s="228" t="s">
        <v>1531</v>
      </c>
      <c r="AL604" s="228" t="s">
        <v>609</v>
      </c>
      <c r="AM604" s="211">
        <v>43075</v>
      </c>
    </row>
    <row r="605" spans="1:39" ht="12.75" hidden="1" customHeight="1">
      <c r="A605" s="147">
        <v>604</v>
      </c>
      <c r="B605" s="223">
        <v>212620</v>
      </c>
      <c r="C605" s="117" t="s">
        <v>128</v>
      </c>
      <c r="D605" s="57">
        <v>43068</v>
      </c>
      <c r="E605" s="160" t="s">
        <v>1503</v>
      </c>
      <c r="F605" s="118">
        <v>43084</v>
      </c>
      <c r="G605" s="146">
        <f t="shared" si="28"/>
        <v>16</v>
      </c>
      <c r="H605" s="146" t="s">
        <v>133</v>
      </c>
      <c r="I605" s="221"/>
      <c r="J605" s="221" t="s">
        <v>614</v>
      </c>
      <c r="K605" s="94">
        <v>799</v>
      </c>
      <c r="L605" s="221"/>
      <c r="M605" s="221">
        <v>318</v>
      </c>
      <c r="N605" s="117">
        <v>80</v>
      </c>
      <c r="O605" s="93">
        <f t="shared" si="30"/>
        <v>433.05999999999995</v>
      </c>
      <c r="P605" s="119" t="s">
        <v>264</v>
      </c>
      <c r="Q605" s="119" t="s">
        <v>1342</v>
      </c>
      <c r="R605" s="146" t="s">
        <v>210</v>
      </c>
      <c r="S605" s="225" t="s">
        <v>469</v>
      </c>
      <c r="T605" s="146" t="s">
        <v>1300</v>
      </c>
      <c r="U605" s="146" t="s">
        <v>1470</v>
      </c>
      <c r="V605" s="228" t="s">
        <v>382</v>
      </c>
      <c r="W605" s="117"/>
      <c r="X605" s="117"/>
      <c r="Y605" s="221" t="s">
        <v>1942</v>
      </c>
      <c r="Z605" s="117" t="s">
        <v>1471</v>
      </c>
      <c r="AA605" s="222">
        <v>43069</v>
      </c>
      <c r="AB605" s="146" t="s">
        <v>195</v>
      </c>
      <c r="AC605" s="63">
        <f t="shared" ref="AC605:AC668" si="31">+IF(O605&gt;0,1,0)</f>
        <v>1</v>
      </c>
      <c r="AD605" s="117" t="s">
        <v>217</v>
      </c>
      <c r="AE605" s="221" t="s">
        <v>218</v>
      </c>
      <c r="AF605" s="117"/>
      <c r="AG605" s="117"/>
      <c r="AH605" s="64"/>
      <c r="AI605" s="117" t="s">
        <v>184</v>
      </c>
      <c r="AJ605" s="222">
        <v>43073</v>
      </c>
      <c r="AK605" s="146" t="s">
        <v>1516</v>
      </c>
      <c r="AL605" s="117" t="s">
        <v>609</v>
      </c>
      <c r="AM605" s="222">
        <v>43074</v>
      </c>
    </row>
    <row r="606" spans="1:39" ht="12.75" hidden="1" customHeight="1">
      <c r="A606" s="147">
        <v>605</v>
      </c>
      <c r="B606" s="223">
        <v>212176</v>
      </c>
      <c r="C606" s="221" t="s">
        <v>1130</v>
      </c>
      <c r="D606" s="57">
        <v>43069</v>
      </c>
      <c r="E606" s="160" t="s">
        <v>1503</v>
      </c>
      <c r="F606" s="222">
        <v>43084</v>
      </c>
      <c r="G606" s="221">
        <f t="shared" si="28"/>
        <v>15</v>
      </c>
      <c r="H606" s="221" t="s">
        <v>133</v>
      </c>
      <c r="I606" s="221"/>
      <c r="J606" s="221" t="s">
        <v>614</v>
      </c>
      <c r="K606" s="94">
        <v>3299</v>
      </c>
      <c r="L606" s="221"/>
      <c r="M606" s="221">
        <v>290</v>
      </c>
      <c r="N606" s="221">
        <v>270</v>
      </c>
      <c r="O606" s="93">
        <f t="shared" si="30"/>
        <v>2811.06</v>
      </c>
      <c r="P606" s="224" t="s">
        <v>264</v>
      </c>
      <c r="Q606" s="224" t="s">
        <v>1342</v>
      </c>
      <c r="R606" s="221" t="s">
        <v>134</v>
      </c>
      <c r="S606" s="225" t="s">
        <v>465</v>
      </c>
      <c r="T606" s="221" t="s">
        <v>88</v>
      </c>
      <c r="U606" s="221" t="s">
        <v>482</v>
      </c>
      <c r="V606" s="228" t="s">
        <v>429</v>
      </c>
      <c r="W606" s="221"/>
      <c r="X606" s="221"/>
      <c r="Y606" s="221" t="s">
        <v>1172</v>
      </c>
      <c r="Z606" s="221" t="s">
        <v>189</v>
      </c>
      <c r="AA606" s="222">
        <v>43069</v>
      </c>
      <c r="AB606" s="221" t="s">
        <v>872</v>
      </c>
      <c r="AC606" s="63">
        <f t="shared" si="31"/>
        <v>1</v>
      </c>
      <c r="AD606" s="221" t="s">
        <v>217</v>
      </c>
      <c r="AE606" s="221" t="s">
        <v>218</v>
      </c>
      <c r="AF606" s="221"/>
      <c r="AG606" s="221"/>
      <c r="AH606" s="64"/>
      <c r="AI606" s="221"/>
      <c r="AJ606" s="221"/>
      <c r="AK606" s="221"/>
      <c r="AL606" s="221"/>
      <c r="AM606" s="222"/>
    </row>
    <row r="607" spans="1:39" ht="12.75" hidden="1" customHeight="1">
      <c r="A607" s="147">
        <v>606</v>
      </c>
      <c r="B607" s="223">
        <v>211861</v>
      </c>
      <c r="C607" s="117" t="s">
        <v>121</v>
      </c>
      <c r="D607" s="57">
        <v>43069</v>
      </c>
      <c r="E607" s="160" t="s">
        <v>1503</v>
      </c>
      <c r="F607" s="118">
        <v>43079</v>
      </c>
      <c r="G607" s="146">
        <f t="shared" si="28"/>
        <v>10</v>
      </c>
      <c r="H607" s="146" t="s">
        <v>363</v>
      </c>
      <c r="I607" s="117"/>
      <c r="J607" s="146" t="s">
        <v>614</v>
      </c>
      <c r="K607" s="94"/>
      <c r="L607" s="221"/>
      <c r="M607" s="96">
        <v>0</v>
      </c>
      <c r="N607" s="117"/>
      <c r="O607" s="93">
        <f t="shared" si="30"/>
        <v>0</v>
      </c>
      <c r="P607" s="119" t="s">
        <v>264</v>
      </c>
      <c r="Q607" s="119" t="s">
        <v>1342</v>
      </c>
      <c r="R607" s="146" t="s">
        <v>134</v>
      </c>
      <c r="S607" s="62" t="s">
        <v>465</v>
      </c>
      <c r="T607" s="117" t="s">
        <v>164</v>
      </c>
      <c r="U607" s="65" t="s">
        <v>1485</v>
      </c>
      <c r="V607" s="228" t="s">
        <v>1486</v>
      </c>
      <c r="W607" s="117"/>
      <c r="X607" s="117"/>
      <c r="Y607" s="117"/>
      <c r="Z607" s="117" t="s">
        <v>202</v>
      </c>
      <c r="AA607" s="146"/>
      <c r="AB607" s="117"/>
      <c r="AC607" s="63">
        <f t="shared" si="31"/>
        <v>0</v>
      </c>
      <c r="AD607" s="117"/>
      <c r="AE607" s="117"/>
      <c r="AF607" s="117"/>
      <c r="AG607" s="117"/>
      <c r="AH607" s="64"/>
      <c r="AI607" s="117"/>
      <c r="AJ607" s="146"/>
      <c r="AK607" s="146"/>
      <c r="AL607" s="117"/>
      <c r="AM607" s="222"/>
    </row>
    <row r="608" spans="1:39" ht="12.75" hidden="1" customHeight="1">
      <c r="A608" s="147">
        <v>607</v>
      </c>
      <c r="B608" s="223">
        <v>211991</v>
      </c>
      <c r="C608" s="117" t="s">
        <v>121</v>
      </c>
      <c r="D608" s="57">
        <v>43069</v>
      </c>
      <c r="E608" s="160" t="s">
        <v>1503</v>
      </c>
      <c r="F608" s="118">
        <v>43078</v>
      </c>
      <c r="G608" s="146">
        <f t="shared" si="28"/>
        <v>9</v>
      </c>
      <c r="H608" s="146" t="s">
        <v>133</v>
      </c>
      <c r="I608" s="117"/>
      <c r="J608" s="146" t="s">
        <v>614</v>
      </c>
      <c r="K608" s="94"/>
      <c r="L608" s="221"/>
      <c r="M608" s="221"/>
      <c r="N608" s="117"/>
      <c r="O608" s="151">
        <f t="shared" si="30"/>
        <v>0</v>
      </c>
      <c r="P608" s="119" t="s">
        <v>264</v>
      </c>
      <c r="Q608" s="224" t="s">
        <v>1342</v>
      </c>
      <c r="R608" s="221" t="s">
        <v>375</v>
      </c>
      <c r="S608" s="225" t="s">
        <v>469</v>
      </c>
      <c r="T608" s="117" t="s">
        <v>376</v>
      </c>
      <c r="U608" s="117" t="s">
        <v>1126</v>
      </c>
      <c r="V608" s="228" t="s">
        <v>90</v>
      </c>
      <c r="W608" s="117"/>
      <c r="X608" s="117"/>
      <c r="Y608" s="117"/>
      <c r="Z608" s="117" t="s">
        <v>367</v>
      </c>
      <c r="AA608" s="146"/>
      <c r="AB608" s="117"/>
      <c r="AC608" s="63">
        <f t="shared" si="31"/>
        <v>0</v>
      </c>
      <c r="AD608" s="117"/>
      <c r="AE608" s="221" t="s">
        <v>217</v>
      </c>
      <c r="AF608" s="117" t="s">
        <v>225</v>
      </c>
      <c r="AG608" s="117"/>
      <c r="AH608" s="64"/>
      <c r="AI608" s="117"/>
      <c r="AJ608" s="146"/>
      <c r="AK608" s="146"/>
      <c r="AL608" s="146"/>
      <c r="AM608" s="221"/>
    </row>
    <row r="609" spans="1:39" ht="12.75" hidden="1" customHeight="1">
      <c r="A609" s="147">
        <v>608</v>
      </c>
      <c r="B609" s="223">
        <v>211751</v>
      </c>
      <c r="C609" s="117" t="s">
        <v>128</v>
      </c>
      <c r="D609" s="57">
        <v>43069</v>
      </c>
      <c r="E609" s="160" t="s">
        <v>1503</v>
      </c>
      <c r="F609" s="118">
        <v>43078</v>
      </c>
      <c r="G609" s="146">
        <f t="shared" si="28"/>
        <v>9</v>
      </c>
      <c r="H609" s="146" t="s">
        <v>133</v>
      </c>
      <c r="I609" s="117"/>
      <c r="J609" s="146" t="s">
        <v>614</v>
      </c>
      <c r="K609" s="94"/>
      <c r="L609" s="221"/>
      <c r="M609" s="117"/>
      <c r="N609" s="117"/>
      <c r="O609" s="151">
        <f t="shared" si="30"/>
        <v>0</v>
      </c>
      <c r="P609" s="119" t="s">
        <v>264</v>
      </c>
      <c r="Q609" s="119" t="s">
        <v>1342</v>
      </c>
      <c r="R609" s="146" t="s">
        <v>134</v>
      </c>
      <c r="S609" s="62" t="s">
        <v>465</v>
      </c>
      <c r="T609" s="117" t="s">
        <v>144</v>
      </c>
      <c r="U609" s="117" t="s">
        <v>1487</v>
      </c>
      <c r="V609" s="228" t="s">
        <v>1488</v>
      </c>
      <c r="W609" s="117"/>
      <c r="X609" s="117"/>
      <c r="Y609" s="117"/>
      <c r="Z609" s="117" t="s">
        <v>137</v>
      </c>
      <c r="AA609" s="221"/>
      <c r="AB609" s="221"/>
      <c r="AC609" s="63">
        <f t="shared" si="31"/>
        <v>0</v>
      </c>
      <c r="AD609" s="117"/>
      <c r="AE609" s="221" t="s">
        <v>217</v>
      </c>
      <c r="AF609" s="117" t="s">
        <v>225</v>
      </c>
      <c r="AG609" s="117"/>
      <c r="AH609" s="64"/>
      <c r="AI609" s="117"/>
      <c r="AJ609" s="221"/>
      <c r="AK609" s="146"/>
      <c r="AL609" s="117"/>
      <c r="AM609" s="221"/>
    </row>
    <row r="610" spans="1:39" ht="12.75" hidden="1" customHeight="1">
      <c r="A610" s="147">
        <v>609</v>
      </c>
      <c r="B610" s="223">
        <v>212371</v>
      </c>
      <c r="C610" s="117" t="s">
        <v>1130</v>
      </c>
      <c r="D610" s="57">
        <v>43069</v>
      </c>
      <c r="E610" s="160" t="s">
        <v>1503</v>
      </c>
      <c r="F610" s="118">
        <v>43097</v>
      </c>
      <c r="G610" s="146">
        <f t="shared" si="28"/>
        <v>28</v>
      </c>
      <c r="H610" s="146" t="s">
        <v>133</v>
      </c>
      <c r="I610" s="117"/>
      <c r="J610" s="146" t="s">
        <v>614</v>
      </c>
      <c r="K610" s="94">
        <v>1099</v>
      </c>
      <c r="L610" s="221">
        <v>1099</v>
      </c>
      <c r="M610" s="117">
        <v>190</v>
      </c>
      <c r="N610" s="117">
        <v>80</v>
      </c>
      <c r="O610" s="93">
        <f t="shared" si="30"/>
        <v>843.06</v>
      </c>
      <c r="P610" s="224" t="s">
        <v>261</v>
      </c>
      <c r="Q610" s="224" t="s">
        <v>1341</v>
      </c>
      <c r="R610" s="221" t="s">
        <v>143</v>
      </c>
      <c r="S610" s="62" t="s">
        <v>465</v>
      </c>
      <c r="T610" s="221" t="s">
        <v>88</v>
      </c>
      <c r="U610" s="146" t="s">
        <v>1285</v>
      </c>
      <c r="V610" s="228" t="s">
        <v>432</v>
      </c>
      <c r="W610" s="117"/>
      <c r="X610" s="117"/>
      <c r="Y610" s="117" t="s">
        <v>316</v>
      </c>
      <c r="Z610" s="117" t="s">
        <v>189</v>
      </c>
      <c r="AA610" s="222">
        <v>43070</v>
      </c>
      <c r="AB610" s="117" t="s">
        <v>872</v>
      </c>
      <c r="AC610" s="63">
        <f t="shared" si="31"/>
        <v>1</v>
      </c>
      <c r="AD610" s="117" t="s">
        <v>217</v>
      </c>
      <c r="AE610" s="221" t="s">
        <v>218</v>
      </c>
      <c r="AF610" s="117"/>
      <c r="AG610" s="117"/>
      <c r="AH610" s="64"/>
      <c r="AI610" s="221" t="s">
        <v>184</v>
      </c>
      <c r="AJ610" s="222">
        <v>43073</v>
      </c>
      <c r="AK610" s="221" t="s">
        <v>1509</v>
      </c>
      <c r="AL610" s="221" t="s">
        <v>609</v>
      </c>
      <c r="AM610" s="222">
        <v>43074</v>
      </c>
    </row>
    <row r="611" spans="1:39" ht="12.75" hidden="1" customHeight="1">
      <c r="A611" s="147">
        <v>610</v>
      </c>
      <c r="B611" s="223">
        <v>212381</v>
      </c>
      <c r="C611" s="221" t="s">
        <v>1130</v>
      </c>
      <c r="D611" s="57">
        <v>43069</v>
      </c>
      <c r="E611" s="160" t="s">
        <v>1503</v>
      </c>
      <c r="F611" s="222">
        <v>43097</v>
      </c>
      <c r="G611" s="221">
        <f t="shared" si="28"/>
        <v>28</v>
      </c>
      <c r="H611" s="221" t="s">
        <v>133</v>
      </c>
      <c r="I611" s="222"/>
      <c r="J611" s="221" t="s">
        <v>614</v>
      </c>
      <c r="K611" s="94">
        <v>1899</v>
      </c>
      <c r="L611" s="221">
        <v>1899</v>
      </c>
      <c r="M611" s="221">
        <v>114</v>
      </c>
      <c r="N611" s="221">
        <v>80</v>
      </c>
      <c r="O611" s="227">
        <f t="shared" si="30"/>
        <v>1671.06</v>
      </c>
      <c r="P611" s="224" t="s">
        <v>261</v>
      </c>
      <c r="Q611" s="224" t="s">
        <v>1540</v>
      </c>
      <c r="R611" s="221" t="s">
        <v>134</v>
      </c>
      <c r="S611" s="62" t="s">
        <v>465</v>
      </c>
      <c r="T611" s="221" t="s">
        <v>88</v>
      </c>
      <c r="U611" s="221" t="s">
        <v>1489</v>
      </c>
      <c r="V611" s="228" t="s">
        <v>1490</v>
      </c>
      <c r="W611" s="221"/>
      <c r="X611" s="221"/>
      <c r="Y611" s="221" t="s">
        <v>1228</v>
      </c>
      <c r="Z611" s="221" t="s">
        <v>189</v>
      </c>
      <c r="AA611" s="222">
        <v>43073</v>
      </c>
      <c r="AB611" s="221" t="s">
        <v>140</v>
      </c>
      <c r="AC611" s="226">
        <f t="shared" si="31"/>
        <v>1</v>
      </c>
      <c r="AD611" s="221" t="s">
        <v>217</v>
      </c>
      <c r="AE611" s="221" t="s">
        <v>218</v>
      </c>
      <c r="AF611" s="221"/>
      <c r="AG611" s="221"/>
      <c r="AH611" s="64"/>
      <c r="AI611" s="221" t="s">
        <v>184</v>
      </c>
      <c r="AJ611" s="211">
        <v>43081</v>
      </c>
      <c r="AK611" s="228" t="s">
        <v>1566</v>
      </c>
      <c r="AL611" s="228" t="s">
        <v>609</v>
      </c>
      <c r="AM611" s="211">
        <v>43083</v>
      </c>
    </row>
    <row r="612" spans="1:39" ht="12.75" hidden="1" customHeight="1">
      <c r="A612" s="147">
        <v>611</v>
      </c>
      <c r="B612" s="223">
        <v>212690</v>
      </c>
      <c r="C612" s="117" t="s">
        <v>128</v>
      </c>
      <c r="D612" s="57">
        <v>43070</v>
      </c>
      <c r="E612" s="160" t="s">
        <v>1504</v>
      </c>
      <c r="F612" s="118">
        <v>43087</v>
      </c>
      <c r="G612" s="146">
        <f t="shared" si="28"/>
        <v>17</v>
      </c>
      <c r="H612" s="146" t="s">
        <v>133</v>
      </c>
      <c r="I612" s="222"/>
      <c r="J612" s="146" t="s">
        <v>614</v>
      </c>
      <c r="K612" s="94"/>
      <c r="L612" s="221"/>
      <c r="M612" s="96">
        <v>0</v>
      </c>
      <c r="N612" s="117"/>
      <c r="O612" s="151">
        <f t="shared" si="30"/>
        <v>0</v>
      </c>
      <c r="P612" s="224" t="s">
        <v>264</v>
      </c>
      <c r="Q612" s="224" t="s">
        <v>1342</v>
      </c>
      <c r="R612" s="221" t="s">
        <v>122</v>
      </c>
      <c r="S612" s="225" t="s">
        <v>469</v>
      </c>
      <c r="T612" s="146" t="s">
        <v>114</v>
      </c>
      <c r="U612" s="146" t="s">
        <v>1499</v>
      </c>
      <c r="V612" s="222" t="s">
        <v>169</v>
      </c>
      <c r="W612" s="117"/>
      <c r="X612" s="117"/>
      <c r="Y612" s="221"/>
      <c r="Z612" s="117" t="s">
        <v>687</v>
      </c>
      <c r="AA612" s="221"/>
      <c r="AB612" s="117"/>
      <c r="AC612" s="63">
        <f t="shared" si="31"/>
        <v>0</v>
      </c>
      <c r="AD612" s="117"/>
      <c r="AE612" s="221" t="s">
        <v>217</v>
      </c>
      <c r="AF612" s="117"/>
      <c r="AG612" s="117"/>
      <c r="AH612" s="64" t="s">
        <v>1522</v>
      </c>
      <c r="AI612" s="117"/>
      <c r="AJ612" s="221"/>
      <c r="AK612" s="146"/>
      <c r="AL612" s="117"/>
      <c r="AM612" s="221"/>
    </row>
    <row r="613" spans="1:39" ht="12.75" hidden="1" customHeight="1">
      <c r="A613" s="147">
        <v>612</v>
      </c>
      <c r="B613" s="223">
        <v>212398</v>
      </c>
      <c r="C613" s="146" t="s">
        <v>1130</v>
      </c>
      <c r="D613" s="57">
        <v>43070</v>
      </c>
      <c r="E613" s="160" t="s">
        <v>1504</v>
      </c>
      <c r="F613" s="118">
        <v>43088</v>
      </c>
      <c r="G613" s="146">
        <f t="shared" si="28"/>
        <v>18</v>
      </c>
      <c r="H613" s="146" t="s">
        <v>133</v>
      </c>
      <c r="I613" s="222"/>
      <c r="J613" s="146" t="s">
        <v>614</v>
      </c>
      <c r="K613" s="94">
        <v>930</v>
      </c>
      <c r="L613" s="221">
        <v>930</v>
      </c>
      <c r="M613" s="221">
        <v>190</v>
      </c>
      <c r="N613" s="117">
        <v>80</v>
      </c>
      <c r="O613" s="93">
        <f t="shared" si="30"/>
        <v>684.2</v>
      </c>
      <c r="P613" s="224" t="s">
        <v>263</v>
      </c>
      <c r="Q613" s="224" t="s">
        <v>1341</v>
      </c>
      <c r="R613" s="221" t="s">
        <v>143</v>
      </c>
      <c r="S613" s="62" t="s">
        <v>465</v>
      </c>
      <c r="T613" s="221" t="s">
        <v>88</v>
      </c>
      <c r="U613" s="221" t="s">
        <v>1505</v>
      </c>
      <c r="V613" s="228" t="s">
        <v>432</v>
      </c>
      <c r="W613" s="117"/>
      <c r="X613" s="117"/>
      <c r="Y613" s="117" t="s">
        <v>316</v>
      </c>
      <c r="Z613" s="146" t="s">
        <v>189</v>
      </c>
      <c r="AA613" s="222">
        <v>43073</v>
      </c>
      <c r="AB613" s="117" t="s">
        <v>140</v>
      </c>
      <c r="AC613" s="63">
        <f t="shared" si="31"/>
        <v>1</v>
      </c>
      <c r="AD613" s="117" t="s">
        <v>217</v>
      </c>
      <c r="AE613" s="221" t="s">
        <v>218</v>
      </c>
      <c r="AF613" s="117"/>
      <c r="AG613" s="117"/>
      <c r="AH613" s="64"/>
      <c r="AI613" s="117" t="s">
        <v>184</v>
      </c>
      <c r="AJ613" s="222">
        <v>43081</v>
      </c>
      <c r="AK613" s="146" t="s">
        <v>1564</v>
      </c>
      <c r="AL613" s="117" t="s">
        <v>609</v>
      </c>
      <c r="AM613" s="222">
        <v>43083</v>
      </c>
    </row>
    <row r="614" spans="1:39" ht="12.75" hidden="1" customHeight="1">
      <c r="A614" s="147">
        <v>613</v>
      </c>
      <c r="B614" s="223">
        <v>212535</v>
      </c>
      <c r="C614" s="146" t="s">
        <v>1130</v>
      </c>
      <c r="D614" s="57">
        <v>43070</v>
      </c>
      <c r="E614" s="160" t="s">
        <v>1504</v>
      </c>
      <c r="F614" s="118">
        <v>43086</v>
      </c>
      <c r="G614" s="146">
        <f t="shared" si="28"/>
        <v>16</v>
      </c>
      <c r="H614" s="221" t="s">
        <v>133</v>
      </c>
      <c r="I614" s="117"/>
      <c r="J614" s="221" t="s">
        <v>614</v>
      </c>
      <c r="K614" s="94">
        <v>1614</v>
      </c>
      <c r="L614" s="221">
        <v>1614</v>
      </c>
      <c r="M614" s="117">
        <v>580</v>
      </c>
      <c r="N614" s="117">
        <v>185</v>
      </c>
      <c r="O614" s="93">
        <f t="shared" si="30"/>
        <v>937.16000000000008</v>
      </c>
      <c r="P614" s="224" t="s">
        <v>264</v>
      </c>
      <c r="Q614" s="224" t="s">
        <v>1342</v>
      </c>
      <c r="R614" s="221" t="s">
        <v>143</v>
      </c>
      <c r="S614" s="62" t="s">
        <v>465</v>
      </c>
      <c r="T614" s="221" t="s">
        <v>88</v>
      </c>
      <c r="U614" s="146" t="s">
        <v>297</v>
      </c>
      <c r="V614" s="228" t="s">
        <v>90</v>
      </c>
      <c r="W614" s="221"/>
      <c r="X614" s="117"/>
      <c r="Y614" s="117" t="s">
        <v>1228</v>
      </c>
      <c r="Z614" s="146" t="s">
        <v>189</v>
      </c>
      <c r="AA614" s="222">
        <v>43073</v>
      </c>
      <c r="AB614" s="117" t="s">
        <v>195</v>
      </c>
      <c r="AC614" s="63">
        <f t="shared" si="31"/>
        <v>1</v>
      </c>
      <c r="AD614" s="221" t="s">
        <v>217</v>
      </c>
      <c r="AE614" s="221" t="s">
        <v>218</v>
      </c>
      <c r="AF614" s="117"/>
      <c r="AG614" s="117"/>
      <c r="AH614" s="64"/>
      <c r="AI614" s="117" t="s">
        <v>184</v>
      </c>
      <c r="AJ614" s="222">
        <v>43075</v>
      </c>
      <c r="AK614" s="146" t="s">
        <v>1530</v>
      </c>
      <c r="AL614" s="117" t="s">
        <v>609</v>
      </c>
      <c r="AM614" s="222">
        <v>43075</v>
      </c>
    </row>
    <row r="615" spans="1:39" ht="12.75" hidden="1" customHeight="1">
      <c r="A615" s="147">
        <v>614</v>
      </c>
      <c r="B615" s="223">
        <v>212525</v>
      </c>
      <c r="C615" s="146" t="s">
        <v>1130</v>
      </c>
      <c r="D615" s="57">
        <v>43070</v>
      </c>
      <c r="E615" s="160" t="s">
        <v>1504</v>
      </c>
      <c r="F615" s="118">
        <v>43086</v>
      </c>
      <c r="G615" s="146">
        <f t="shared" si="28"/>
        <v>16</v>
      </c>
      <c r="H615" s="221" t="s">
        <v>133</v>
      </c>
      <c r="I615" s="117"/>
      <c r="J615" s="221" t="s">
        <v>614</v>
      </c>
      <c r="K615" s="94">
        <v>939</v>
      </c>
      <c r="L615" s="221">
        <v>939</v>
      </c>
      <c r="M615" s="117">
        <v>190</v>
      </c>
      <c r="N615" s="117">
        <v>80</v>
      </c>
      <c r="O615" s="93">
        <f t="shared" si="30"/>
        <v>692.66</v>
      </c>
      <c r="P615" s="119" t="s">
        <v>264</v>
      </c>
      <c r="Q615" s="224" t="s">
        <v>1342</v>
      </c>
      <c r="R615" s="221" t="s">
        <v>143</v>
      </c>
      <c r="S615" s="62" t="s">
        <v>465</v>
      </c>
      <c r="T615" s="221" t="s">
        <v>88</v>
      </c>
      <c r="U615" s="146" t="s">
        <v>1285</v>
      </c>
      <c r="V615" s="228" t="s">
        <v>432</v>
      </c>
      <c r="W615" s="117"/>
      <c r="X615" s="117"/>
      <c r="Y615" s="117" t="s">
        <v>316</v>
      </c>
      <c r="Z615" s="146" t="s">
        <v>189</v>
      </c>
      <c r="AA615" s="222">
        <v>43073</v>
      </c>
      <c r="AB615" s="117" t="s">
        <v>140</v>
      </c>
      <c r="AC615" s="63">
        <f t="shared" si="31"/>
        <v>1</v>
      </c>
      <c r="AD615" s="221" t="s">
        <v>217</v>
      </c>
      <c r="AE615" s="221" t="s">
        <v>218</v>
      </c>
      <c r="AF615" s="117"/>
      <c r="AG615" s="117"/>
      <c r="AH615" s="64"/>
      <c r="AI615" s="117" t="s">
        <v>184</v>
      </c>
      <c r="AJ615" s="222">
        <v>43081</v>
      </c>
      <c r="AK615" s="146" t="s">
        <v>1562</v>
      </c>
      <c r="AL615" s="117" t="s">
        <v>609</v>
      </c>
      <c r="AM615" s="222">
        <v>43083</v>
      </c>
    </row>
    <row r="616" spans="1:39" ht="12.75" hidden="1" customHeight="1">
      <c r="A616" s="147">
        <v>615</v>
      </c>
      <c r="B616" s="223">
        <v>212676</v>
      </c>
      <c r="C616" s="146" t="s">
        <v>1130</v>
      </c>
      <c r="D616" s="57">
        <v>43070</v>
      </c>
      <c r="E616" s="160" t="s">
        <v>1504</v>
      </c>
      <c r="F616" s="118">
        <v>43084</v>
      </c>
      <c r="G616" s="146">
        <f t="shared" si="28"/>
        <v>14</v>
      </c>
      <c r="H616" s="221" t="s">
        <v>133</v>
      </c>
      <c r="I616" s="125"/>
      <c r="J616" s="146" t="s">
        <v>614</v>
      </c>
      <c r="K616" s="94">
        <v>1999</v>
      </c>
      <c r="L616" s="221">
        <v>1999</v>
      </c>
      <c r="M616" s="117">
        <v>390</v>
      </c>
      <c r="N616" s="117">
        <v>80</v>
      </c>
      <c r="O616" s="93">
        <f t="shared" si="30"/>
        <v>1489.06</v>
      </c>
      <c r="P616" s="119" t="s">
        <v>262</v>
      </c>
      <c r="Q616" s="224" t="s">
        <v>1342</v>
      </c>
      <c r="R616" s="221" t="s">
        <v>134</v>
      </c>
      <c r="S616" s="62" t="s">
        <v>465</v>
      </c>
      <c r="T616" s="221" t="s">
        <v>88</v>
      </c>
      <c r="U616" s="146" t="s">
        <v>1166</v>
      </c>
      <c r="V616" s="228" t="s">
        <v>136</v>
      </c>
      <c r="W616" s="117"/>
      <c r="X616" s="117"/>
      <c r="Y616" s="117" t="s">
        <v>1228</v>
      </c>
      <c r="Z616" s="146" t="s">
        <v>189</v>
      </c>
      <c r="AA616" s="222">
        <v>43073</v>
      </c>
      <c r="AB616" s="117" t="s">
        <v>236</v>
      </c>
      <c r="AC616" s="63">
        <f t="shared" si="31"/>
        <v>1</v>
      </c>
      <c r="AD616" s="221" t="s">
        <v>217</v>
      </c>
      <c r="AE616" s="221" t="s">
        <v>218</v>
      </c>
      <c r="AF616" s="117"/>
      <c r="AG616" s="117"/>
      <c r="AH616" s="64"/>
      <c r="AI616" s="117" t="s">
        <v>184</v>
      </c>
      <c r="AJ616" s="222">
        <v>43084</v>
      </c>
      <c r="AK616" s="146" t="s">
        <v>1577</v>
      </c>
      <c r="AL616" s="117" t="s">
        <v>609</v>
      </c>
      <c r="AM616" s="222">
        <v>43084</v>
      </c>
    </row>
    <row r="617" spans="1:39" ht="12.75" hidden="1" customHeight="1">
      <c r="A617" s="147">
        <v>616</v>
      </c>
      <c r="B617" s="223">
        <v>212081</v>
      </c>
      <c r="C617" s="117" t="s">
        <v>128</v>
      </c>
      <c r="D617" s="57">
        <v>43073</v>
      </c>
      <c r="E617" s="160" t="s">
        <v>1504</v>
      </c>
      <c r="F617" s="118">
        <v>43082</v>
      </c>
      <c r="G617" s="146">
        <f t="shared" si="28"/>
        <v>9</v>
      </c>
      <c r="H617" s="146" t="s">
        <v>133</v>
      </c>
      <c r="I617" s="125"/>
      <c r="J617" s="146" t="s">
        <v>614</v>
      </c>
      <c r="K617" s="94"/>
      <c r="L617" s="221"/>
      <c r="M617" s="96">
        <v>0</v>
      </c>
      <c r="N617" s="117"/>
      <c r="O617" s="93">
        <f t="shared" si="30"/>
        <v>0</v>
      </c>
      <c r="P617" s="224" t="s">
        <v>264</v>
      </c>
      <c r="Q617" s="224" t="s">
        <v>1342</v>
      </c>
      <c r="R617" s="221" t="s">
        <v>254</v>
      </c>
      <c r="S617" s="225" t="s">
        <v>466</v>
      </c>
      <c r="T617" s="221" t="s">
        <v>405</v>
      </c>
      <c r="U617" s="117" t="s">
        <v>1506</v>
      </c>
      <c r="V617" s="221" t="s">
        <v>222</v>
      </c>
      <c r="W617" s="117"/>
      <c r="X617" s="117"/>
      <c r="Y617" s="117"/>
      <c r="Z617" s="117" t="s">
        <v>510</v>
      </c>
      <c r="AA617" s="221"/>
      <c r="AB617" s="117"/>
      <c r="AC617" s="226">
        <f t="shared" si="31"/>
        <v>0</v>
      </c>
      <c r="AD617" s="117"/>
      <c r="AE617" s="117"/>
      <c r="AF617" s="117"/>
      <c r="AG617" s="117"/>
      <c r="AH617" s="64" t="s">
        <v>1507</v>
      </c>
      <c r="AI617" s="117"/>
      <c r="AJ617" s="221"/>
      <c r="AK617" s="221"/>
      <c r="AL617" s="221"/>
      <c r="AM617" s="221"/>
    </row>
    <row r="618" spans="1:39" ht="12.75" hidden="1" customHeight="1">
      <c r="A618" s="147">
        <v>617</v>
      </c>
      <c r="B618" s="223">
        <v>212449</v>
      </c>
      <c r="C618" s="117" t="s">
        <v>1130</v>
      </c>
      <c r="D618" s="57">
        <v>43073</v>
      </c>
      <c r="E618" s="160" t="s">
        <v>1504</v>
      </c>
      <c r="F618" s="118">
        <v>43086</v>
      </c>
      <c r="G618" s="146">
        <f t="shared" si="28"/>
        <v>13</v>
      </c>
      <c r="H618" s="221" t="s">
        <v>133</v>
      </c>
      <c r="I618" s="221"/>
      <c r="J618" s="146" t="s">
        <v>614</v>
      </c>
      <c r="K618" s="94">
        <v>2789</v>
      </c>
      <c r="L618" s="221"/>
      <c r="M618" s="221">
        <v>290</v>
      </c>
      <c r="N618" s="117">
        <v>220</v>
      </c>
      <c r="O618" s="93">
        <f t="shared" si="30"/>
        <v>2331.66</v>
      </c>
      <c r="P618" s="230" t="s">
        <v>264</v>
      </c>
      <c r="Q618" s="230" t="s">
        <v>1342</v>
      </c>
      <c r="R618" s="228" t="s">
        <v>134</v>
      </c>
      <c r="S618" s="62" t="s">
        <v>465</v>
      </c>
      <c r="T618" s="221" t="s">
        <v>88</v>
      </c>
      <c r="U618" s="117" t="s">
        <v>1461</v>
      </c>
      <c r="V618" s="221" t="s">
        <v>429</v>
      </c>
      <c r="W618" s="117"/>
      <c r="X618" s="117"/>
      <c r="Y618" s="117" t="s">
        <v>1172</v>
      </c>
      <c r="Z618" s="117" t="s">
        <v>189</v>
      </c>
      <c r="AA618" s="222">
        <v>43073</v>
      </c>
      <c r="AB618" s="117" t="s">
        <v>872</v>
      </c>
      <c r="AC618" s="63">
        <f t="shared" si="31"/>
        <v>1</v>
      </c>
      <c r="AD618" s="221" t="s">
        <v>217</v>
      </c>
      <c r="AE618" s="221" t="s">
        <v>218</v>
      </c>
      <c r="AF618" s="117"/>
      <c r="AG618" s="117"/>
      <c r="AH618" s="64"/>
      <c r="AI618" s="117"/>
      <c r="AJ618" s="146"/>
      <c r="AK618" s="146"/>
      <c r="AL618" s="117"/>
      <c r="AM618" s="146"/>
    </row>
    <row r="619" spans="1:39" ht="12.75" hidden="1" customHeight="1">
      <c r="A619" s="147">
        <v>618</v>
      </c>
      <c r="B619" s="223">
        <v>212469</v>
      </c>
      <c r="C619" s="117" t="s">
        <v>1130</v>
      </c>
      <c r="D619" s="57">
        <v>43073</v>
      </c>
      <c r="E619" s="160" t="s">
        <v>1504</v>
      </c>
      <c r="F619" s="118">
        <v>43087</v>
      </c>
      <c r="G619" s="146">
        <f t="shared" si="28"/>
        <v>14</v>
      </c>
      <c r="H619" s="221" t="s">
        <v>133</v>
      </c>
      <c r="I619" s="221"/>
      <c r="J619" s="146" t="s">
        <v>614</v>
      </c>
      <c r="K619" s="94">
        <v>1821</v>
      </c>
      <c r="L619" s="221">
        <v>1821</v>
      </c>
      <c r="M619" s="117">
        <v>185</v>
      </c>
      <c r="N619" s="117">
        <v>405</v>
      </c>
      <c r="O619" s="93">
        <f t="shared" si="30"/>
        <v>1306.74</v>
      </c>
      <c r="P619" s="119" t="s">
        <v>264</v>
      </c>
      <c r="Q619" s="224" t="s">
        <v>1342</v>
      </c>
      <c r="R619" s="221" t="s">
        <v>143</v>
      </c>
      <c r="S619" s="62" t="s">
        <v>465</v>
      </c>
      <c r="T619" s="221" t="s">
        <v>88</v>
      </c>
      <c r="U619" s="146" t="s">
        <v>297</v>
      </c>
      <c r="V619" s="221" t="s">
        <v>1469</v>
      </c>
      <c r="W619" s="117"/>
      <c r="X619" s="117"/>
      <c r="Y619" s="146" t="s">
        <v>1228</v>
      </c>
      <c r="Z619" s="117" t="s">
        <v>189</v>
      </c>
      <c r="AA619" s="118">
        <v>43074</v>
      </c>
      <c r="AB619" s="117" t="s">
        <v>1102</v>
      </c>
      <c r="AC619" s="63">
        <f t="shared" si="31"/>
        <v>1</v>
      </c>
      <c r="AD619" s="221" t="s">
        <v>217</v>
      </c>
      <c r="AE619" s="221" t="s">
        <v>218</v>
      </c>
      <c r="AF619" s="117"/>
      <c r="AG619" s="117"/>
      <c r="AH619" s="64"/>
      <c r="AI619" s="117" t="s">
        <v>184</v>
      </c>
      <c r="AJ619" s="222">
        <v>43081</v>
      </c>
      <c r="AK619" s="146" t="s">
        <v>1570</v>
      </c>
      <c r="AL619" s="117" t="s">
        <v>609</v>
      </c>
      <c r="AM619" s="222">
        <v>43083</v>
      </c>
    </row>
    <row r="620" spans="1:39" ht="12.75" hidden="1" customHeight="1">
      <c r="A620" s="147">
        <v>619</v>
      </c>
      <c r="B620" s="223">
        <v>212585</v>
      </c>
      <c r="C620" s="117" t="s">
        <v>1130</v>
      </c>
      <c r="D620" s="57">
        <v>43073</v>
      </c>
      <c r="E620" s="160" t="s">
        <v>1504</v>
      </c>
      <c r="F620" s="118">
        <v>43087</v>
      </c>
      <c r="G620" s="146">
        <f t="shared" si="28"/>
        <v>14</v>
      </c>
      <c r="H620" s="221" t="s">
        <v>133</v>
      </c>
      <c r="I620" s="117"/>
      <c r="J620" s="146" t="s">
        <v>614</v>
      </c>
      <c r="K620" s="94">
        <v>1199</v>
      </c>
      <c r="L620" s="221">
        <v>1199</v>
      </c>
      <c r="M620" s="117">
        <v>177</v>
      </c>
      <c r="N620" s="117">
        <v>80</v>
      </c>
      <c r="O620" s="93">
        <f t="shared" si="30"/>
        <v>950.06</v>
      </c>
      <c r="P620" s="119" t="s">
        <v>263</v>
      </c>
      <c r="Q620" s="119" t="s">
        <v>1341</v>
      </c>
      <c r="R620" s="146" t="s">
        <v>134</v>
      </c>
      <c r="S620" s="62" t="s">
        <v>465</v>
      </c>
      <c r="T620" s="221" t="s">
        <v>88</v>
      </c>
      <c r="U620" s="146" t="s">
        <v>1508</v>
      </c>
      <c r="V620" s="221" t="s">
        <v>1468</v>
      </c>
      <c r="W620" s="117"/>
      <c r="X620" s="117"/>
      <c r="Y620" s="117" t="s">
        <v>1228</v>
      </c>
      <c r="Z620" s="117" t="s">
        <v>189</v>
      </c>
      <c r="AA620" s="222">
        <v>43074</v>
      </c>
      <c r="AB620" s="117" t="s">
        <v>1102</v>
      </c>
      <c r="AC620" s="63">
        <f t="shared" si="31"/>
        <v>1</v>
      </c>
      <c r="AD620" s="221" t="s">
        <v>217</v>
      </c>
      <c r="AE620" s="221" t="s">
        <v>218</v>
      </c>
      <c r="AF620" s="117"/>
      <c r="AG620" s="117"/>
      <c r="AH620" s="64"/>
      <c r="AI620" s="117" t="s">
        <v>184</v>
      </c>
      <c r="AJ620" s="222">
        <v>43081</v>
      </c>
      <c r="AK620" s="146" t="s">
        <v>1569</v>
      </c>
      <c r="AL620" s="117" t="s">
        <v>609</v>
      </c>
      <c r="AM620" s="222">
        <v>43083</v>
      </c>
    </row>
    <row r="621" spans="1:39" ht="12.75" hidden="1" customHeight="1">
      <c r="A621" s="147">
        <v>620</v>
      </c>
      <c r="B621" s="223">
        <v>211487</v>
      </c>
      <c r="C621" s="117" t="s">
        <v>121</v>
      </c>
      <c r="D621" s="57">
        <v>43073</v>
      </c>
      <c r="E621" s="160" t="s">
        <v>1504</v>
      </c>
      <c r="F621" s="118">
        <v>43076</v>
      </c>
      <c r="G621" s="146">
        <f t="shared" si="28"/>
        <v>3</v>
      </c>
      <c r="H621" s="221" t="s">
        <v>133</v>
      </c>
      <c r="I621" s="117"/>
      <c r="J621" s="146" t="s">
        <v>614</v>
      </c>
      <c r="K621" s="94">
        <v>1699</v>
      </c>
      <c r="L621" s="221">
        <v>1699</v>
      </c>
      <c r="M621" s="117">
        <v>180</v>
      </c>
      <c r="N621" s="117">
        <v>80</v>
      </c>
      <c r="O621" s="93">
        <f t="shared" si="30"/>
        <v>1417.06</v>
      </c>
      <c r="P621" s="119" t="s">
        <v>264</v>
      </c>
      <c r="Q621" s="224" t="s">
        <v>1342</v>
      </c>
      <c r="R621" s="221" t="s">
        <v>134</v>
      </c>
      <c r="S621" s="62" t="s">
        <v>465</v>
      </c>
      <c r="T621" s="146" t="s">
        <v>164</v>
      </c>
      <c r="U621" s="146" t="s">
        <v>1518</v>
      </c>
      <c r="V621" s="228" t="s">
        <v>1299</v>
      </c>
      <c r="W621" s="117"/>
      <c r="X621" s="221"/>
      <c r="Y621" s="221" t="s">
        <v>1942</v>
      </c>
      <c r="Z621" s="117" t="s">
        <v>202</v>
      </c>
      <c r="AA621" s="222">
        <v>43080</v>
      </c>
      <c r="AB621" s="117" t="s">
        <v>236</v>
      </c>
      <c r="AC621" s="63">
        <f t="shared" si="31"/>
        <v>1</v>
      </c>
      <c r="AD621" s="221" t="s">
        <v>217</v>
      </c>
      <c r="AE621" s="221" t="s">
        <v>218</v>
      </c>
      <c r="AF621" s="117"/>
      <c r="AG621" s="117"/>
      <c r="AH621" s="64" t="s">
        <v>1519</v>
      </c>
      <c r="AI621" s="117" t="s">
        <v>184</v>
      </c>
      <c r="AJ621" s="222">
        <v>43087</v>
      </c>
      <c r="AK621" s="146" t="s">
        <v>1593</v>
      </c>
      <c r="AL621" s="117" t="s">
        <v>609</v>
      </c>
      <c r="AM621" s="222">
        <v>43088</v>
      </c>
    </row>
    <row r="622" spans="1:39" ht="12.75" hidden="1" customHeight="1">
      <c r="A622" s="147">
        <v>621</v>
      </c>
      <c r="B622" s="223">
        <v>212711</v>
      </c>
      <c r="C622" s="117" t="s">
        <v>128</v>
      </c>
      <c r="D622" s="57">
        <v>43074</v>
      </c>
      <c r="E622" s="160" t="s">
        <v>1504</v>
      </c>
      <c r="F622" s="118">
        <v>43089</v>
      </c>
      <c r="G622" s="146">
        <f t="shared" si="28"/>
        <v>15</v>
      </c>
      <c r="H622" s="221" t="s">
        <v>133</v>
      </c>
      <c r="I622" s="221"/>
      <c r="J622" s="146" t="s">
        <v>614</v>
      </c>
      <c r="K622" s="94">
        <v>4299</v>
      </c>
      <c r="L622" s="221">
        <v>4299</v>
      </c>
      <c r="M622" s="117">
        <v>180</v>
      </c>
      <c r="N622" s="117">
        <v>90</v>
      </c>
      <c r="O622" s="93">
        <f t="shared" si="30"/>
        <v>3861.06</v>
      </c>
      <c r="P622" s="119" t="s">
        <v>264</v>
      </c>
      <c r="Q622" s="119" t="s">
        <v>1342</v>
      </c>
      <c r="R622" s="146" t="s">
        <v>254</v>
      </c>
      <c r="S622" s="225" t="s">
        <v>466</v>
      </c>
      <c r="T622" s="117" t="s">
        <v>313</v>
      </c>
      <c r="U622" s="221" t="s">
        <v>1520</v>
      </c>
      <c r="V622" s="221" t="s">
        <v>559</v>
      </c>
      <c r="W622" s="117"/>
      <c r="X622" s="117"/>
      <c r="Y622" s="117" t="s">
        <v>1459</v>
      </c>
      <c r="Z622" s="117" t="s">
        <v>726</v>
      </c>
      <c r="AA622" s="222">
        <v>43074</v>
      </c>
      <c r="AB622" s="117" t="s">
        <v>140</v>
      </c>
      <c r="AC622" s="226">
        <f t="shared" si="31"/>
        <v>1</v>
      </c>
      <c r="AD622" s="221" t="s">
        <v>217</v>
      </c>
      <c r="AE622" s="221" t="s">
        <v>218</v>
      </c>
      <c r="AF622" s="117"/>
      <c r="AG622" s="117"/>
      <c r="AH622" s="64"/>
      <c r="AI622" s="117" t="s">
        <v>82</v>
      </c>
      <c r="AJ622" s="221"/>
      <c r="AK622" s="146"/>
      <c r="AL622" s="117" t="s">
        <v>645</v>
      </c>
      <c r="AM622" s="221"/>
    </row>
    <row r="623" spans="1:39" ht="12.75" hidden="1" customHeight="1">
      <c r="A623" s="147">
        <v>622</v>
      </c>
      <c r="B623" s="223">
        <v>212023</v>
      </c>
      <c r="C623" s="117" t="s">
        <v>128</v>
      </c>
      <c r="D623" s="57">
        <v>43074</v>
      </c>
      <c r="E623" s="160" t="s">
        <v>1504</v>
      </c>
      <c r="F623" s="118">
        <v>43092</v>
      </c>
      <c r="G623" s="146">
        <f t="shared" si="28"/>
        <v>18</v>
      </c>
      <c r="H623" s="146" t="s">
        <v>133</v>
      </c>
      <c r="I623" s="221"/>
      <c r="J623" s="146" t="s">
        <v>614</v>
      </c>
      <c r="K623" s="94"/>
      <c r="L623" s="221"/>
      <c r="M623" s="96">
        <v>0</v>
      </c>
      <c r="N623" s="117"/>
      <c r="O623" s="151">
        <f t="shared" si="30"/>
        <v>0</v>
      </c>
      <c r="P623" s="224" t="s">
        <v>261</v>
      </c>
      <c r="Q623" s="224" t="s">
        <v>1341</v>
      </c>
      <c r="R623" s="221" t="s">
        <v>143</v>
      </c>
      <c r="S623" s="62" t="s">
        <v>465</v>
      </c>
      <c r="T623" s="117" t="s">
        <v>120</v>
      </c>
      <c r="U623" s="221" t="s">
        <v>1521</v>
      </c>
      <c r="V623" s="146" t="s">
        <v>90</v>
      </c>
      <c r="W623" s="117"/>
      <c r="X623" s="117"/>
      <c r="Y623" s="117" t="s">
        <v>316</v>
      </c>
      <c r="Z623" s="117" t="s">
        <v>780</v>
      </c>
      <c r="AA623" s="221"/>
      <c r="AB623" s="117" t="s">
        <v>195</v>
      </c>
      <c r="AC623" s="63">
        <f t="shared" si="31"/>
        <v>0</v>
      </c>
      <c r="AD623" s="117"/>
      <c r="AE623" s="221" t="s">
        <v>217</v>
      </c>
      <c r="AF623" s="117" t="s">
        <v>1523</v>
      </c>
      <c r="AG623" s="117"/>
      <c r="AH623" s="64"/>
      <c r="AI623" s="117"/>
      <c r="AJ623" s="221"/>
      <c r="AK623" s="146"/>
      <c r="AL623" s="117"/>
      <c r="AM623" s="221"/>
    </row>
    <row r="624" spans="1:39" ht="12.75" hidden="1" customHeight="1">
      <c r="A624" s="147">
        <v>623</v>
      </c>
      <c r="B624" s="223">
        <v>212427</v>
      </c>
      <c r="C624" s="117" t="s">
        <v>121</v>
      </c>
      <c r="D624" s="57">
        <v>43074</v>
      </c>
      <c r="E624" s="160" t="s">
        <v>1504</v>
      </c>
      <c r="F624" s="118">
        <v>43083</v>
      </c>
      <c r="G624" s="146">
        <f t="shared" si="28"/>
        <v>9</v>
      </c>
      <c r="H624" s="146" t="s">
        <v>133</v>
      </c>
      <c r="I624" s="125"/>
      <c r="J624" s="146" t="s">
        <v>614</v>
      </c>
      <c r="K624" s="94"/>
      <c r="L624" s="221"/>
      <c r="M624" s="117"/>
      <c r="N624" s="117"/>
      <c r="O624" s="151">
        <f t="shared" si="30"/>
        <v>0</v>
      </c>
      <c r="P624" s="224" t="s">
        <v>264</v>
      </c>
      <c r="Q624" s="224" t="s">
        <v>1342</v>
      </c>
      <c r="R624" s="221" t="s">
        <v>460</v>
      </c>
      <c r="S624" s="225" t="s">
        <v>469</v>
      </c>
      <c r="T624" s="117" t="s">
        <v>376</v>
      </c>
      <c r="U624" s="117" t="s">
        <v>461</v>
      </c>
      <c r="V624" s="117" t="s">
        <v>1533</v>
      </c>
      <c r="W624" s="117"/>
      <c r="X624" s="117"/>
      <c r="Y624" s="146"/>
      <c r="Z624" s="117" t="s">
        <v>253</v>
      </c>
      <c r="AA624" s="221"/>
      <c r="AB624" s="117"/>
      <c r="AC624" s="63">
        <f t="shared" si="31"/>
        <v>0</v>
      </c>
      <c r="AD624" s="117"/>
      <c r="AE624" s="221" t="s">
        <v>217</v>
      </c>
      <c r="AF624" s="117" t="s">
        <v>225</v>
      </c>
      <c r="AG624" s="117"/>
      <c r="AH624" s="64"/>
      <c r="AI624" s="117"/>
      <c r="AJ624" s="117"/>
      <c r="AK624" s="146"/>
      <c r="AL624" s="117"/>
      <c r="AM624" s="117"/>
    </row>
    <row r="625" spans="1:39" ht="12.75" hidden="1" customHeight="1">
      <c r="A625" s="147">
        <v>624</v>
      </c>
      <c r="B625" s="223">
        <v>212724</v>
      </c>
      <c r="C625" s="117" t="s">
        <v>1130</v>
      </c>
      <c r="D625" s="57">
        <v>43075</v>
      </c>
      <c r="E625" s="160" t="s">
        <v>1504</v>
      </c>
      <c r="F625" s="118">
        <v>43096</v>
      </c>
      <c r="G625" s="146">
        <f t="shared" si="28"/>
        <v>21</v>
      </c>
      <c r="H625" s="221" t="s">
        <v>133</v>
      </c>
      <c r="I625" s="146"/>
      <c r="J625" s="221" t="s">
        <v>614</v>
      </c>
      <c r="K625" s="94">
        <v>1499</v>
      </c>
      <c r="L625" s="221">
        <v>1499</v>
      </c>
      <c r="M625" s="117">
        <v>190</v>
      </c>
      <c r="N625" s="117">
        <v>80</v>
      </c>
      <c r="O625" s="93">
        <f t="shared" si="30"/>
        <v>1219.06</v>
      </c>
      <c r="P625" s="119" t="s">
        <v>261</v>
      </c>
      <c r="Q625" s="119" t="s">
        <v>1341</v>
      </c>
      <c r="R625" s="117" t="s">
        <v>143</v>
      </c>
      <c r="S625" s="62" t="s">
        <v>465</v>
      </c>
      <c r="T625" s="221" t="s">
        <v>88</v>
      </c>
      <c r="U625" s="117" t="s">
        <v>1324</v>
      </c>
      <c r="V625" s="146" t="s">
        <v>432</v>
      </c>
      <c r="W625" s="117"/>
      <c r="X625" s="117"/>
      <c r="Y625" s="117" t="s">
        <v>316</v>
      </c>
      <c r="Z625" s="117" t="s">
        <v>189</v>
      </c>
      <c r="AA625" s="118">
        <v>43076</v>
      </c>
      <c r="AB625" s="117" t="s">
        <v>140</v>
      </c>
      <c r="AC625" s="63">
        <f t="shared" si="31"/>
        <v>1</v>
      </c>
      <c r="AD625" s="221" t="s">
        <v>217</v>
      </c>
      <c r="AE625" s="221" t="s">
        <v>218</v>
      </c>
      <c r="AF625" s="117"/>
      <c r="AG625" s="117"/>
      <c r="AH625" s="64"/>
      <c r="AI625" s="117" t="s">
        <v>184</v>
      </c>
      <c r="AJ625" s="222">
        <v>43081</v>
      </c>
      <c r="AK625" s="146" t="s">
        <v>1563</v>
      </c>
      <c r="AL625" s="117" t="s">
        <v>609</v>
      </c>
      <c r="AM625" s="222">
        <v>43083</v>
      </c>
    </row>
    <row r="626" spans="1:39" ht="12.75" hidden="1" customHeight="1">
      <c r="A626" s="147">
        <v>625</v>
      </c>
      <c r="B626" s="223">
        <v>212768</v>
      </c>
      <c r="C626" s="117" t="s">
        <v>1130</v>
      </c>
      <c r="D626" s="57">
        <v>43075</v>
      </c>
      <c r="E626" s="160" t="s">
        <v>1504</v>
      </c>
      <c r="F626" s="118">
        <v>43086</v>
      </c>
      <c r="G626" s="146">
        <f t="shared" ref="G626:G689" si="32">F626-D626</f>
        <v>11</v>
      </c>
      <c r="H626" s="146" t="s">
        <v>133</v>
      </c>
      <c r="I626" s="125"/>
      <c r="J626" s="146" t="s">
        <v>614</v>
      </c>
      <c r="K626" s="94"/>
      <c r="L626" s="221"/>
      <c r="M626" s="117"/>
      <c r="N626" s="117"/>
      <c r="O626" s="93">
        <f t="shared" si="30"/>
        <v>0</v>
      </c>
      <c r="P626" s="224" t="s">
        <v>264</v>
      </c>
      <c r="Q626" s="224" t="s">
        <v>1342</v>
      </c>
      <c r="R626" s="221" t="s">
        <v>210</v>
      </c>
      <c r="S626" s="225" t="s">
        <v>469</v>
      </c>
      <c r="T626" s="221" t="s">
        <v>114</v>
      </c>
      <c r="U626" s="117" t="s">
        <v>1532</v>
      </c>
      <c r="V626" s="117" t="s">
        <v>90</v>
      </c>
      <c r="W626" s="117"/>
      <c r="X626" s="117"/>
      <c r="Y626" s="117"/>
      <c r="Z626" s="117" t="s">
        <v>170</v>
      </c>
      <c r="AA626" s="221"/>
      <c r="AB626" s="117"/>
      <c r="AC626" s="63">
        <f t="shared" si="31"/>
        <v>0</v>
      </c>
      <c r="AD626" s="117"/>
      <c r="AE626" s="221" t="s">
        <v>217</v>
      </c>
      <c r="AF626" s="117" t="s">
        <v>225</v>
      </c>
      <c r="AG626" s="117"/>
      <c r="AH626" s="64"/>
      <c r="AI626" s="117"/>
      <c r="AJ626" s="221"/>
      <c r="AK626" s="146"/>
      <c r="AL626" s="117"/>
      <c r="AM626" s="221"/>
    </row>
    <row r="627" spans="1:39" ht="12.75" hidden="1" customHeight="1">
      <c r="A627" s="147">
        <v>626</v>
      </c>
      <c r="B627" s="223">
        <v>211616</v>
      </c>
      <c r="C627" s="117" t="s">
        <v>121</v>
      </c>
      <c r="D627" s="57">
        <v>43075</v>
      </c>
      <c r="E627" s="160" t="s">
        <v>1504</v>
      </c>
      <c r="F627" s="118">
        <v>43075</v>
      </c>
      <c r="G627" s="146">
        <f t="shared" si="32"/>
        <v>0</v>
      </c>
      <c r="H627" s="146" t="s">
        <v>133</v>
      </c>
      <c r="I627" s="222"/>
      <c r="J627" s="146" t="s">
        <v>614</v>
      </c>
      <c r="K627" s="94"/>
      <c r="L627" s="221"/>
      <c r="M627" s="96">
        <v>0</v>
      </c>
      <c r="N627" s="117"/>
      <c r="O627" s="93">
        <f t="shared" si="30"/>
        <v>0</v>
      </c>
      <c r="P627" s="119" t="s">
        <v>264</v>
      </c>
      <c r="Q627" s="119" t="s">
        <v>1342</v>
      </c>
      <c r="R627" s="117" t="s">
        <v>134</v>
      </c>
      <c r="S627" s="62" t="s">
        <v>465</v>
      </c>
      <c r="T627" s="117" t="s">
        <v>164</v>
      </c>
      <c r="U627" s="117" t="s">
        <v>865</v>
      </c>
      <c r="V627" s="221" t="s">
        <v>1486</v>
      </c>
      <c r="W627" s="117"/>
      <c r="X627" s="117"/>
      <c r="Y627" s="117"/>
      <c r="Z627" s="117" t="s">
        <v>202</v>
      </c>
      <c r="AA627" s="221"/>
      <c r="AB627" s="117"/>
      <c r="AC627" s="63">
        <f t="shared" si="31"/>
        <v>0</v>
      </c>
      <c r="AD627" s="117"/>
      <c r="AE627" s="117"/>
      <c r="AF627" s="117"/>
      <c r="AG627" s="117"/>
      <c r="AH627" s="64" t="s">
        <v>1535</v>
      </c>
      <c r="AI627" s="117"/>
      <c r="AJ627" s="221"/>
      <c r="AK627" s="146"/>
      <c r="AL627" s="117"/>
      <c r="AM627" s="221"/>
    </row>
    <row r="628" spans="1:39" ht="12.75" hidden="1" customHeight="1">
      <c r="A628" s="147">
        <v>627</v>
      </c>
      <c r="B628" s="223">
        <v>212634</v>
      </c>
      <c r="C628" s="146" t="s">
        <v>128</v>
      </c>
      <c r="D628" s="57">
        <v>43076</v>
      </c>
      <c r="E628" s="160" t="s">
        <v>1504</v>
      </c>
      <c r="F628" s="118">
        <v>43114</v>
      </c>
      <c r="G628" s="146">
        <f t="shared" si="32"/>
        <v>38</v>
      </c>
      <c r="H628" s="221" t="s">
        <v>133</v>
      </c>
      <c r="I628" s="125"/>
      <c r="J628" s="146" t="s">
        <v>614</v>
      </c>
      <c r="K628" s="94">
        <v>1799</v>
      </c>
      <c r="L628" s="221">
        <v>1799</v>
      </c>
      <c r="M628" s="146">
        <v>745</v>
      </c>
      <c r="N628" s="146">
        <v>110</v>
      </c>
      <c r="O628" s="93">
        <f t="shared" si="30"/>
        <v>0</v>
      </c>
      <c r="P628" s="224" t="s">
        <v>263</v>
      </c>
      <c r="Q628" s="224" t="s">
        <v>1341</v>
      </c>
      <c r="R628" s="221" t="s">
        <v>501</v>
      </c>
      <c r="S628" s="225" t="s">
        <v>466</v>
      </c>
      <c r="T628" s="221" t="s">
        <v>405</v>
      </c>
      <c r="U628" s="224" t="s">
        <v>502</v>
      </c>
      <c r="V628" s="221" t="s">
        <v>222</v>
      </c>
      <c r="W628" s="146"/>
      <c r="X628" s="221"/>
      <c r="Y628" s="146" t="s">
        <v>1459</v>
      </c>
      <c r="Z628" s="146" t="s">
        <v>1097</v>
      </c>
      <c r="AA628" s="222">
        <v>43083</v>
      </c>
      <c r="AB628" s="146" t="s">
        <v>1102</v>
      </c>
      <c r="AC628" s="226">
        <f t="shared" si="31"/>
        <v>0</v>
      </c>
      <c r="AD628" s="146"/>
      <c r="AE628" s="221" t="s">
        <v>217</v>
      </c>
      <c r="AF628" s="148" t="s">
        <v>1625</v>
      </c>
      <c r="AG628" s="146"/>
      <c r="AH628" s="64"/>
      <c r="AI628" s="146"/>
      <c r="AJ628" s="146"/>
      <c r="AK628" s="221"/>
      <c r="AL628" s="146"/>
      <c r="AM628" s="146"/>
    </row>
    <row r="629" spans="1:39" ht="12.75" hidden="1" customHeight="1">
      <c r="A629" s="147">
        <v>628</v>
      </c>
      <c r="B629" s="223">
        <v>212759</v>
      </c>
      <c r="C629" s="117" t="s">
        <v>1130</v>
      </c>
      <c r="D629" s="57">
        <v>43080</v>
      </c>
      <c r="E629" s="160" t="s">
        <v>1504</v>
      </c>
      <c r="F629" s="118">
        <v>43091</v>
      </c>
      <c r="G629" s="146">
        <f t="shared" si="32"/>
        <v>11</v>
      </c>
      <c r="H629" s="146" t="s">
        <v>133</v>
      </c>
      <c r="I629" s="222"/>
      <c r="J629" s="146" t="s">
        <v>614</v>
      </c>
      <c r="K629" s="94"/>
      <c r="L629" s="221"/>
      <c r="M629" s="221"/>
      <c r="N629" s="117"/>
      <c r="O629" s="93">
        <f t="shared" si="30"/>
        <v>0</v>
      </c>
      <c r="P629" s="224" t="s">
        <v>264</v>
      </c>
      <c r="Q629" s="224" t="s">
        <v>1342</v>
      </c>
      <c r="R629" s="221" t="s">
        <v>143</v>
      </c>
      <c r="S629" s="62" t="s">
        <v>465</v>
      </c>
      <c r="T629" s="221" t="s">
        <v>88</v>
      </c>
      <c r="U629" s="117" t="s">
        <v>1534</v>
      </c>
      <c r="V629" s="117" t="s">
        <v>90</v>
      </c>
      <c r="W629" s="146"/>
      <c r="X629" s="117"/>
      <c r="Y629" s="146"/>
      <c r="Z629" s="117" t="s">
        <v>189</v>
      </c>
      <c r="AA629" s="221"/>
      <c r="AB629" s="117"/>
      <c r="AC629" s="63">
        <f t="shared" si="31"/>
        <v>0</v>
      </c>
      <c r="AD629" s="117"/>
      <c r="AE629" s="221" t="s">
        <v>217</v>
      </c>
      <c r="AF629" s="117" t="s">
        <v>225</v>
      </c>
      <c r="AG629" s="117"/>
      <c r="AH629" s="64"/>
      <c r="AI629" s="117"/>
      <c r="AJ629" s="221"/>
      <c r="AK629" s="221"/>
      <c r="AL629" s="117"/>
      <c r="AM629" s="221"/>
    </row>
    <row r="630" spans="1:39" ht="12.75" hidden="1" customHeight="1">
      <c r="A630" s="147">
        <v>629</v>
      </c>
      <c r="B630" s="223">
        <v>212997</v>
      </c>
      <c r="C630" s="146" t="s">
        <v>1130</v>
      </c>
      <c r="D630" s="57">
        <v>43080</v>
      </c>
      <c r="E630" s="160" t="s">
        <v>1504</v>
      </c>
      <c r="F630" s="118">
        <v>43094</v>
      </c>
      <c r="G630" s="146">
        <f t="shared" si="32"/>
        <v>14</v>
      </c>
      <c r="H630" s="221" t="s">
        <v>133</v>
      </c>
      <c r="I630" s="221"/>
      <c r="J630" s="146" t="s">
        <v>614</v>
      </c>
      <c r="K630" s="94">
        <v>2999</v>
      </c>
      <c r="L630" s="221">
        <v>2999</v>
      </c>
      <c r="M630" s="117">
        <v>370</v>
      </c>
      <c r="N630" s="117">
        <v>120</v>
      </c>
      <c r="O630" s="93">
        <f t="shared" si="30"/>
        <v>2449.06</v>
      </c>
      <c r="P630" s="230" t="s">
        <v>264</v>
      </c>
      <c r="Q630" s="230" t="s">
        <v>1342</v>
      </c>
      <c r="R630" s="228" t="s">
        <v>134</v>
      </c>
      <c r="S630" s="62" t="s">
        <v>465</v>
      </c>
      <c r="T630" s="221" t="s">
        <v>88</v>
      </c>
      <c r="U630" s="117" t="s">
        <v>1460</v>
      </c>
      <c r="V630" s="117" t="s">
        <v>1537</v>
      </c>
      <c r="W630" s="117"/>
      <c r="X630" s="117"/>
      <c r="Y630" s="117" t="s">
        <v>1473</v>
      </c>
      <c r="Z630" s="146" t="s">
        <v>189</v>
      </c>
      <c r="AA630" s="222">
        <v>43082</v>
      </c>
      <c r="AB630" s="117" t="s">
        <v>195</v>
      </c>
      <c r="AC630" s="63">
        <f t="shared" si="31"/>
        <v>1</v>
      </c>
      <c r="AD630" s="221" t="s">
        <v>217</v>
      </c>
      <c r="AE630" s="221" t="s">
        <v>218</v>
      </c>
      <c r="AF630" s="117"/>
      <c r="AG630" s="117"/>
      <c r="AH630" s="64"/>
      <c r="AI630" s="117" t="s">
        <v>184</v>
      </c>
      <c r="AJ630" s="222">
        <v>43084</v>
      </c>
      <c r="AK630" s="221" t="s">
        <v>1576</v>
      </c>
      <c r="AL630" s="117" t="s">
        <v>609</v>
      </c>
      <c r="AM630" s="222">
        <v>43084</v>
      </c>
    </row>
    <row r="631" spans="1:39" ht="12.75" hidden="1" customHeight="1">
      <c r="A631" s="147">
        <v>630</v>
      </c>
      <c r="B631" s="223">
        <v>213035</v>
      </c>
      <c r="C631" s="146" t="s">
        <v>1130</v>
      </c>
      <c r="D631" s="57">
        <v>43080</v>
      </c>
      <c r="E631" s="160" t="s">
        <v>1504</v>
      </c>
      <c r="F631" s="118">
        <v>43106</v>
      </c>
      <c r="G631" s="146">
        <f t="shared" si="32"/>
        <v>26</v>
      </c>
      <c r="H631" s="221" t="s">
        <v>133</v>
      </c>
      <c r="I631" s="117"/>
      <c r="J631" s="146" t="s">
        <v>614</v>
      </c>
      <c r="K631" s="94">
        <v>2399</v>
      </c>
      <c r="L631" s="221">
        <v>2399</v>
      </c>
      <c r="M631" s="117">
        <v>360</v>
      </c>
      <c r="N631" s="117">
        <v>370</v>
      </c>
      <c r="O631" s="93">
        <f t="shared" si="30"/>
        <v>1885.06</v>
      </c>
      <c r="P631" s="119" t="s">
        <v>261</v>
      </c>
      <c r="Q631" s="224" t="s">
        <v>1341</v>
      </c>
      <c r="R631" s="221" t="s">
        <v>134</v>
      </c>
      <c r="S631" s="62" t="s">
        <v>465</v>
      </c>
      <c r="T631" s="221" t="s">
        <v>88</v>
      </c>
      <c r="U631" s="221" t="s">
        <v>1466</v>
      </c>
      <c r="V631" s="221" t="s">
        <v>139</v>
      </c>
      <c r="W631" s="117"/>
      <c r="X631" s="117"/>
      <c r="Y631" s="117" t="s">
        <v>316</v>
      </c>
      <c r="Z631" s="146" t="s">
        <v>189</v>
      </c>
      <c r="AA631" s="222">
        <v>43081</v>
      </c>
      <c r="AB631" s="117" t="s">
        <v>140</v>
      </c>
      <c r="AC631" s="63">
        <f t="shared" si="31"/>
        <v>1</v>
      </c>
      <c r="AD631" s="221" t="s">
        <v>217</v>
      </c>
      <c r="AE631" s="221" t="s">
        <v>218</v>
      </c>
      <c r="AF631" s="117"/>
      <c r="AG631" s="117"/>
      <c r="AH631" s="64"/>
      <c r="AI631" s="117" t="s">
        <v>184</v>
      </c>
      <c r="AJ631" s="222">
        <v>43087</v>
      </c>
      <c r="AK631" s="221" t="s">
        <v>1588</v>
      </c>
      <c r="AL631" s="117" t="s">
        <v>609</v>
      </c>
      <c r="AM631" s="222">
        <v>43088</v>
      </c>
    </row>
    <row r="632" spans="1:39" ht="12.75" hidden="1" customHeight="1">
      <c r="A632" s="147">
        <v>631</v>
      </c>
      <c r="B632" s="223">
        <v>213129</v>
      </c>
      <c r="C632" s="146" t="s">
        <v>1130</v>
      </c>
      <c r="D632" s="57">
        <v>43080</v>
      </c>
      <c r="E632" s="160" t="s">
        <v>1504</v>
      </c>
      <c r="F632" s="118">
        <v>43094</v>
      </c>
      <c r="G632" s="146">
        <f t="shared" si="32"/>
        <v>14</v>
      </c>
      <c r="H632" s="221" t="s">
        <v>133</v>
      </c>
      <c r="I632" s="125"/>
      <c r="J632" s="146" t="s">
        <v>614</v>
      </c>
      <c r="K632" s="94">
        <v>2849</v>
      </c>
      <c r="L632" s="221">
        <v>2849</v>
      </c>
      <c r="M632" s="221">
        <v>290</v>
      </c>
      <c r="N632" s="117">
        <v>120</v>
      </c>
      <c r="O632" s="93">
        <f t="shared" si="30"/>
        <v>2388.06</v>
      </c>
      <c r="P632" s="230" t="s">
        <v>264</v>
      </c>
      <c r="Q632" s="230" t="s">
        <v>1342</v>
      </c>
      <c r="R632" s="228" t="s">
        <v>134</v>
      </c>
      <c r="S632" s="62" t="s">
        <v>465</v>
      </c>
      <c r="T632" s="221" t="s">
        <v>88</v>
      </c>
      <c r="U632" s="117" t="s">
        <v>449</v>
      </c>
      <c r="V632" s="117" t="s">
        <v>429</v>
      </c>
      <c r="W632" s="117"/>
      <c r="X632" s="117"/>
      <c r="Y632" s="117" t="s">
        <v>1172</v>
      </c>
      <c r="Z632" s="146" t="s">
        <v>189</v>
      </c>
      <c r="AA632" s="222">
        <v>43082</v>
      </c>
      <c r="AB632" s="117" t="s">
        <v>571</v>
      </c>
      <c r="AC632" s="63">
        <f t="shared" si="31"/>
        <v>1</v>
      </c>
      <c r="AD632" s="221" t="s">
        <v>217</v>
      </c>
      <c r="AE632" s="221" t="s">
        <v>218</v>
      </c>
      <c r="AF632" s="117"/>
      <c r="AG632" s="117"/>
      <c r="AH632" s="64"/>
      <c r="AI632" s="117"/>
      <c r="AJ632" s="221"/>
      <c r="AK632" s="221"/>
      <c r="AL632" s="117"/>
      <c r="AM632" s="221"/>
    </row>
    <row r="633" spans="1:39" ht="12.75" hidden="1" customHeight="1">
      <c r="A633" s="147">
        <v>632</v>
      </c>
      <c r="B633" s="223">
        <v>213163</v>
      </c>
      <c r="C633" s="146" t="s">
        <v>1130</v>
      </c>
      <c r="D633" s="57">
        <v>43080</v>
      </c>
      <c r="E633" s="160" t="s">
        <v>1504</v>
      </c>
      <c r="F633" s="118">
        <v>43094</v>
      </c>
      <c r="G633" s="146">
        <f t="shared" si="32"/>
        <v>14</v>
      </c>
      <c r="H633" s="221" t="s">
        <v>133</v>
      </c>
      <c r="I633" s="125"/>
      <c r="J633" s="146" t="s">
        <v>614</v>
      </c>
      <c r="K633" s="94">
        <v>2959</v>
      </c>
      <c r="L633" s="221">
        <v>2959</v>
      </c>
      <c r="M633" s="221">
        <v>500</v>
      </c>
      <c r="N633" s="117">
        <v>120</v>
      </c>
      <c r="O633" s="93">
        <f t="shared" si="30"/>
        <v>2281.46</v>
      </c>
      <c r="P633" s="230" t="s">
        <v>264</v>
      </c>
      <c r="Q633" s="230" t="s">
        <v>1342</v>
      </c>
      <c r="R633" s="228" t="s">
        <v>134</v>
      </c>
      <c r="S633" s="62" t="s">
        <v>465</v>
      </c>
      <c r="T633" s="221" t="s">
        <v>88</v>
      </c>
      <c r="U633" s="146" t="s">
        <v>1460</v>
      </c>
      <c r="V633" s="117" t="s">
        <v>1538</v>
      </c>
      <c r="W633" s="117"/>
      <c r="X633" s="221"/>
      <c r="Y633" s="221" t="s">
        <v>1555</v>
      </c>
      <c r="Z633" s="221" t="s">
        <v>189</v>
      </c>
      <c r="AA633" s="222">
        <v>43081</v>
      </c>
      <c r="AB633" s="117" t="s">
        <v>872</v>
      </c>
      <c r="AC633" s="63">
        <f t="shared" si="31"/>
        <v>1</v>
      </c>
      <c r="AD633" s="221" t="s">
        <v>217</v>
      </c>
      <c r="AE633" s="221" t="s">
        <v>218</v>
      </c>
      <c r="AF633" s="117"/>
      <c r="AG633" s="117"/>
      <c r="AH633" s="64"/>
      <c r="AI633" s="221" t="s">
        <v>184</v>
      </c>
      <c r="AJ633" s="222">
        <v>43104</v>
      </c>
      <c r="AK633" s="221" t="s">
        <v>1646</v>
      </c>
      <c r="AL633" s="221" t="s">
        <v>609</v>
      </c>
      <c r="AM633" s="222">
        <v>43105</v>
      </c>
    </row>
    <row r="634" spans="1:39" ht="12.75" hidden="1" customHeight="1">
      <c r="A634" s="147">
        <v>633</v>
      </c>
      <c r="B634" s="223">
        <v>213110</v>
      </c>
      <c r="C634" s="146" t="s">
        <v>1130</v>
      </c>
      <c r="D634" s="57">
        <v>43080</v>
      </c>
      <c r="E634" s="160" t="s">
        <v>1504</v>
      </c>
      <c r="F634" s="118">
        <v>43093</v>
      </c>
      <c r="G634" s="146">
        <f t="shared" si="32"/>
        <v>13</v>
      </c>
      <c r="H634" s="146" t="s">
        <v>133</v>
      </c>
      <c r="I634" s="221"/>
      <c r="J634" s="221" t="s">
        <v>614</v>
      </c>
      <c r="K634" s="94">
        <v>999</v>
      </c>
      <c r="L634" s="221">
        <v>999</v>
      </c>
      <c r="M634" s="117">
        <v>190</v>
      </c>
      <c r="N634" s="117">
        <v>80</v>
      </c>
      <c r="O634" s="93">
        <f t="shared" si="30"/>
        <v>749.06</v>
      </c>
      <c r="P634" s="230" t="s">
        <v>264</v>
      </c>
      <c r="Q634" s="230" t="s">
        <v>1342</v>
      </c>
      <c r="R634" s="228" t="s">
        <v>143</v>
      </c>
      <c r="S634" s="62" t="s">
        <v>465</v>
      </c>
      <c r="T634" s="221" t="s">
        <v>88</v>
      </c>
      <c r="U634" s="221" t="s">
        <v>1285</v>
      </c>
      <c r="V634" s="117" t="s">
        <v>432</v>
      </c>
      <c r="W634" s="146"/>
      <c r="X634" s="117"/>
      <c r="Y634" s="117" t="s">
        <v>316</v>
      </c>
      <c r="Z634" s="146" t="s">
        <v>189</v>
      </c>
      <c r="AA634" s="222">
        <v>43081</v>
      </c>
      <c r="AB634" s="117" t="s">
        <v>872</v>
      </c>
      <c r="AC634" s="63">
        <f t="shared" si="31"/>
        <v>1</v>
      </c>
      <c r="AD634" s="117"/>
      <c r="AE634" s="117"/>
      <c r="AF634" s="117"/>
      <c r="AG634" s="117"/>
      <c r="AH634" s="64"/>
      <c r="AI634" s="117" t="s">
        <v>184</v>
      </c>
      <c r="AJ634" s="222">
        <v>43081</v>
      </c>
      <c r="AK634" s="221" t="s">
        <v>1565</v>
      </c>
      <c r="AL634" s="117" t="s">
        <v>609</v>
      </c>
      <c r="AM634" s="222">
        <v>43083</v>
      </c>
    </row>
    <row r="635" spans="1:39" ht="12.75" hidden="1" customHeight="1">
      <c r="A635" s="147">
        <v>634</v>
      </c>
      <c r="B635" s="223">
        <v>213206</v>
      </c>
      <c r="C635" s="146" t="s">
        <v>1130</v>
      </c>
      <c r="D635" s="57">
        <v>43080</v>
      </c>
      <c r="E635" s="160" t="s">
        <v>1504</v>
      </c>
      <c r="F635" s="118">
        <v>43094</v>
      </c>
      <c r="G635" s="146">
        <f t="shared" si="32"/>
        <v>14</v>
      </c>
      <c r="H635" s="221" t="s">
        <v>133</v>
      </c>
      <c r="I635" s="221"/>
      <c r="J635" s="146" t="s">
        <v>614</v>
      </c>
      <c r="K635" s="94">
        <v>2324</v>
      </c>
      <c r="L635" s="221">
        <v>2324</v>
      </c>
      <c r="M635" s="221">
        <v>570</v>
      </c>
      <c r="N635" s="117">
        <v>185</v>
      </c>
      <c r="O635" s="93">
        <f t="shared" si="30"/>
        <v>1614.56</v>
      </c>
      <c r="P635" s="230" t="s">
        <v>264</v>
      </c>
      <c r="Q635" s="230" t="s">
        <v>1342</v>
      </c>
      <c r="R635" s="228" t="s">
        <v>143</v>
      </c>
      <c r="S635" s="62" t="s">
        <v>465</v>
      </c>
      <c r="T635" s="221" t="s">
        <v>88</v>
      </c>
      <c r="U635" s="117" t="s">
        <v>372</v>
      </c>
      <c r="V635" s="117" t="s">
        <v>90</v>
      </c>
      <c r="W635" s="117"/>
      <c r="X635" s="117"/>
      <c r="Y635" s="117" t="s">
        <v>1228</v>
      </c>
      <c r="Z635" s="146" t="s">
        <v>189</v>
      </c>
      <c r="AA635" s="222">
        <v>43081</v>
      </c>
      <c r="AB635" s="117" t="s">
        <v>872</v>
      </c>
      <c r="AC635" s="63">
        <f t="shared" si="31"/>
        <v>1</v>
      </c>
      <c r="AD635" s="221" t="s">
        <v>217</v>
      </c>
      <c r="AE635" s="221" t="s">
        <v>218</v>
      </c>
      <c r="AF635" s="117"/>
      <c r="AG635" s="117"/>
      <c r="AH635" s="64"/>
      <c r="AI635" s="117" t="s">
        <v>184</v>
      </c>
      <c r="AJ635" s="222">
        <v>43084</v>
      </c>
      <c r="AK635" s="221" t="s">
        <v>1578</v>
      </c>
      <c r="AL635" s="117" t="s">
        <v>609</v>
      </c>
      <c r="AM635" s="222">
        <v>43084</v>
      </c>
    </row>
    <row r="636" spans="1:39" ht="12.75" hidden="1" customHeight="1">
      <c r="A636" s="147">
        <v>635</v>
      </c>
      <c r="B636" s="223">
        <v>213231</v>
      </c>
      <c r="C636" s="146" t="s">
        <v>1130</v>
      </c>
      <c r="D636" s="57">
        <v>43080</v>
      </c>
      <c r="E636" s="160" t="s">
        <v>1504</v>
      </c>
      <c r="F636" s="118">
        <v>43094</v>
      </c>
      <c r="G636" s="146">
        <f t="shared" si="32"/>
        <v>14</v>
      </c>
      <c r="H636" s="146" t="s">
        <v>133</v>
      </c>
      <c r="I636" s="146"/>
      <c r="J636" s="146" t="s">
        <v>614</v>
      </c>
      <c r="K636" s="94"/>
      <c r="L636" s="221"/>
      <c r="M636" s="96">
        <v>0</v>
      </c>
      <c r="N636" s="117"/>
      <c r="O636" s="93">
        <f t="shared" si="30"/>
        <v>0</v>
      </c>
      <c r="P636" s="230" t="s">
        <v>264</v>
      </c>
      <c r="Q636" s="230" t="s">
        <v>1342</v>
      </c>
      <c r="R636" s="228" t="s">
        <v>134</v>
      </c>
      <c r="S636" s="62" t="s">
        <v>465</v>
      </c>
      <c r="T636" s="221" t="s">
        <v>88</v>
      </c>
      <c r="U636" s="117" t="s">
        <v>1461</v>
      </c>
      <c r="V636" s="117" t="s">
        <v>1539</v>
      </c>
      <c r="W636" s="117"/>
      <c r="X636" s="117"/>
      <c r="Y636" s="117"/>
      <c r="Z636" s="146" t="s">
        <v>189</v>
      </c>
      <c r="AA636" s="221"/>
      <c r="AB636" s="117"/>
      <c r="AC636" s="63">
        <f t="shared" si="31"/>
        <v>0</v>
      </c>
      <c r="AD636" s="117"/>
      <c r="AE636" s="117"/>
      <c r="AF636" s="117"/>
      <c r="AG636" s="117"/>
      <c r="AH636" s="64" t="s">
        <v>1543</v>
      </c>
      <c r="AI636" s="117"/>
      <c r="AJ636" s="221"/>
      <c r="AK636" s="221"/>
      <c r="AL636" s="117"/>
      <c r="AM636" s="221"/>
    </row>
    <row r="637" spans="1:39" ht="12.75" hidden="1" customHeight="1">
      <c r="A637" s="147">
        <v>636</v>
      </c>
      <c r="B637" s="223">
        <v>213225</v>
      </c>
      <c r="C637" s="221" t="s">
        <v>1130</v>
      </c>
      <c r="D637" s="57">
        <v>43080</v>
      </c>
      <c r="E637" s="160" t="s">
        <v>1504</v>
      </c>
      <c r="F637" s="222">
        <v>43094</v>
      </c>
      <c r="G637" s="221">
        <f t="shared" si="32"/>
        <v>14</v>
      </c>
      <c r="H637" s="221" t="s">
        <v>133</v>
      </c>
      <c r="I637" s="146"/>
      <c r="J637" s="146" t="s">
        <v>614</v>
      </c>
      <c r="K637" s="94">
        <v>955</v>
      </c>
      <c r="L637" s="150">
        <v>955</v>
      </c>
      <c r="M637" s="150">
        <v>177</v>
      </c>
      <c r="N637" s="150">
        <v>300</v>
      </c>
      <c r="O637" s="93">
        <f t="shared" si="30"/>
        <v>597.70000000000005</v>
      </c>
      <c r="P637" s="230" t="s">
        <v>264</v>
      </c>
      <c r="Q637" s="230" t="s">
        <v>1342</v>
      </c>
      <c r="R637" s="228" t="s">
        <v>134</v>
      </c>
      <c r="S637" s="62" t="s">
        <v>465</v>
      </c>
      <c r="T637" s="221" t="s">
        <v>88</v>
      </c>
      <c r="U637" s="221" t="s">
        <v>1536</v>
      </c>
      <c r="V637" s="221" t="s">
        <v>1539</v>
      </c>
      <c r="W637" s="117"/>
      <c r="X637" s="117"/>
      <c r="Y637" s="221" t="s">
        <v>1228</v>
      </c>
      <c r="Z637" s="221" t="s">
        <v>189</v>
      </c>
      <c r="AA637" s="222">
        <v>43088</v>
      </c>
      <c r="AB637" s="221" t="s">
        <v>140</v>
      </c>
      <c r="AC637" s="226">
        <f t="shared" si="31"/>
        <v>1</v>
      </c>
      <c r="AD637" s="221" t="s">
        <v>217</v>
      </c>
      <c r="AE637" s="221" t="s">
        <v>218</v>
      </c>
      <c r="AF637" s="221"/>
      <c r="AG637" s="221"/>
      <c r="AH637" s="64"/>
      <c r="AI637" s="221"/>
      <c r="AJ637" s="221"/>
      <c r="AK637" s="221"/>
      <c r="AL637" s="221"/>
      <c r="AM637" s="221"/>
    </row>
    <row r="638" spans="1:39" ht="12.75" hidden="1" customHeight="1">
      <c r="A638" s="147">
        <v>637</v>
      </c>
      <c r="B638" s="223">
        <v>213069</v>
      </c>
      <c r="C638" s="117" t="s">
        <v>121</v>
      </c>
      <c r="D638" s="57">
        <v>43080</v>
      </c>
      <c r="E638" s="160" t="s">
        <v>1504</v>
      </c>
      <c r="F638" s="118">
        <v>43091</v>
      </c>
      <c r="G638" s="146">
        <f t="shared" si="32"/>
        <v>11</v>
      </c>
      <c r="H638" s="146" t="s">
        <v>133</v>
      </c>
      <c r="I638" s="221"/>
      <c r="J638" s="146" t="s">
        <v>614</v>
      </c>
      <c r="K638" s="94"/>
      <c r="L638" s="221"/>
      <c r="M638" s="117"/>
      <c r="N638" s="117"/>
      <c r="O638" s="93">
        <f t="shared" si="30"/>
        <v>0</v>
      </c>
      <c r="P638" s="230" t="s">
        <v>264</v>
      </c>
      <c r="Q638" s="230" t="s">
        <v>1342</v>
      </c>
      <c r="R638" s="228" t="s">
        <v>134</v>
      </c>
      <c r="S638" s="225" t="s">
        <v>465</v>
      </c>
      <c r="T638" s="117" t="s">
        <v>114</v>
      </c>
      <c r="U638" s="117" t="s">
        <v>1546</v>
      </c>
      <c r="V638" s="117" t="s">
        <v>90</v>
      </c>
      <c r="W638" s="117"/>
      <c r="X638" s="117"/>
      <c r="Y638" s="117"/>
      <c r="Z638" s="117" t="s">
        <v>124</v>
      </c>
      <c r="AA638" s="221"/>
      <c r="AB638" s="117"/>
      <c r="AC638" s="63">
        <f t="shared" si="31"/>
        <v>0</v>
      </c>
      <c r="AD638" s="117"/>
      <c r="AE638" s="221" t="s">
        <v>217</v>
      </c>
      <c r="AF638" s="117" t="s">
        <v>225</v>
      </c>
      <c r="AG638" s="117"/>
      <c r="AH638" s="64"/>
      <c r="AI638" s="117"/>
      <c r="AJ638" s="221"/>
      <c r="AK638" s="221"/>
      <c r="AL638" s="117"/>
      <c r="AM638" s="221"/>
    </row>
    <row r="639" spans="1:39" ht="12.75" hidden="1" customHeight="1">
      <c r="A639" s="147">
        <v>638</v>
      </c>
      <c r="B639" s="229">
        <v>213295</v>
      </c>
      <c r="C639" s="117" t="s">
        <v>128</v>
      </c>
      <c r="D639" s="57">
        <v>43080</v>
      </c>
      <c r="E639" s="160" t="s">
        <v>1504</v>
      </c>
      <c r="F639" s="118">
        <v>43094</v>
      </c>
      <c r="G639" s="146">
        <f t="shared" si="32"/>
        <v>14</v>
      </c>
      <c r="H639" s="146" t="s">
        <v>133</v>
      </c>
      <c r="I639" s="221"/>
      <c r="J639" s="146" t="s">
        <v>614</v>
      </c>
      <c r="K639" s="94"/>
      <c r="L639" s="221"/>
      <c r="M639" s="221"/>
      <c r="N639" s="117"/>
      <c r="O639" s="93">
        <f t="shared" si="30"/>
        <v>0</v>
      </c>
      <c r="P639" s="230" t="s">
        <v>264</v>
      </c>
      <c r="Q639" s="230" t="s">
        <v>1342</v>
      </c>
      <c r="R639" s="221" t="s">
        <v>122</v>
      </c>
      <c r="S639" s="225" t="s">
        <v>469</v>
      </c>
      <c r="T639" s="117" t="s">
        <v>164</v>
      </c>
      <c r="U639" s="117" t="s">
        <v>1556</v>
      </c>
      <c r="V639" s="221" t="s">
        <v>222</v>
      </c>
      <c r="W639" s="117"/>
      <c r="X639" s="117"/>
      <c r="Y639" s="117"/>
      <c r="Z639" s="117" t="s">
        <v>235</v>
      </c>
      <c r="AA639" s="221"/>
      <c r="AB639" s="117"/>
      <c r="AC639" s="63">
        <f t="shared" si="31"/>
        <v>0</v>
      </c>
      <c r="AD639" s="117"/>
      <c r="AE639" s="221" t="s">
        <v>217</v>
      </c>
      <c r="AF639" s="117" t="s">
        <v>225</v>
      </c>
      <c r="AG639" s="117"/>
      <c r="AH639" s="64"/>
      <c r="AI639" s="117"/>
      <c r="AJ639" s="221"/>
      <c r="AK639" s="221"/>
      <c r="AL639" s="117"/>
      <c r="AM639" s="221"/>
    </row>
    <row r="640" spans="1:39" ht="12.75" hidden="1" customHeight="1">
      <c r="A640" s="147">
        <v>639</v>
      </c>
      <c r="B640" s="223">
        <v>212841</v>
      </c>
      <c r="C640" s="148" t="s">
        <v>121</v>
      </c>
      <c r="D640" s="222">
        <v>43080</v>
      </c>
      <c r="E640" s="160" t="s">
        <v>1504</v>
      </c>
      <c r="F640" s="118">
        <v>43084</v>
      </c>
      <c r="G640" s="146">
        <f t="shared" si="32"/>
        <v>4</v>
      </c>
      <c r="H640" s="221" t="s">
        <v>133</v>
      </c>
      <c r="I640" s="146"/>
      <c r="J640" s="146" t="s">
        <v>614</v>
      </c>
      <c r="K640" s="94">
        <v>3654</v>
      </c>
      <c r="L640" s="221"/>
      <c r="M640" s="117">
        <v>290</v>
      </c>
      <c r="N640" s="117">
        <v>88</v>
      </c>
      <c r="O640" s="93">
        <f t="shared" si="30"/>
        <v>3144.76</v>
      </c>
      <c r="P640" s="224"/>
      <c r="Q640" s="224"/>
      <c r="R640" s="221" t="s">
        <v>134</v>
      </c>
      <c r="S640" s="225" t="s">
        <v>465</v>
      </c>
      <c r="T640" s="117" t="s">
        <v>88</v>
      </c>
      <c r="U640" s="117" t="s">
        <v>1460</v>
      </c>
      <c r="V640" s="221" t="s">
        <v>429</v>
      </c>
      <c r="W640" s="117"/>
      <c r="X640" s="221"/>
      <c r="Y640" s="117" t="s">
        <v>1172</v>
      </c>
      <c r="Z640" s="117" t="s">
        <v>124</v>
      </c>
      <c r="AA640" s="221"/>
      <c r="AB640" s="117"/>
      <c r="AC640" s="63">
        <f t="shared" si="31"/>
        <v>1</v>
      </c>
      <c r="AD640" s="221" t="s">
        <v>217</v>
      </c>
      <c r="AE640" s="221" t="s">
        <v>218</v>
      </c>
      <c r="AF640" s="117"/>
      <c r="AG640" s="117"/>
      <c r="AH640" s="64"/>
      <c r="AI640" s="117"/>
      <c r="AJ640" s="221"/>
      <c r="AK640" s="221"/>
      <c r="AL640" s="117"/>
      <c r="AM640" s="221"/>
    </row>
    <row r="641" spans="1:39" ht="12.75" hidden="1" customHeight="1">
      <c r="A641" s="147">
        <v>640</v>
      </c>
      <c r="B641" s="223">
        <v>212309</v>
      </c>
      <c r="C641" s="117" t="s">
        <v>128</v>
      </c>
      <c r="D641" s="57">
        <v>43081</v>
      </c>
      <c r="E641" s="160" t="s">
        <v>1504</v>
      </c>
      <c r="F641" s="118">
        <v>43094</v>
      </c>
      <c r="G641" s="146">
        <f t="shared" si="32"/>
        <v>13</v>
      </c>
      <c r="H641" s="146" t="s">
        <v>133</v>
      </c>
      <c r="I641" s="117"/>
      <c r="J641" s="146" t="s">
        <v>614</v>
      </c>
      <c r="K641" s="94"/>
      <c r="L641" s="221"/>
      <c r="M641" s="117"/>
      <c r="N641" s="117"/>
      <c r="O641" s="93">
        <f t="shared" si="30"/>
        <v>0</v>
      </c>
      <c r="P641" s="224" t="s">
        <v>263</v>
      </c>
      <c r="Q641" s="224" t="s">
        <v>1341</v>
      </c>
      <c r="R641" s="221" t="s">
        <v>122</v>
      </c>
      <c r="S641" s="225" t="s">
        <v>469</v>
      </c>
      <c r="T641" s="221" t="s">
        <v>1541</v>
      </c>
      <c r="U641" s="117" t="s">
        <v>1542</v>
      </c>
      <c r="V641" s="221" t="s">
        <v>249</v>
      </c>
      <c r="W641" s="117"/>
      <c r="X641" s="117"/>
      <c r="Y641" s="117"/>
      <c r="Z641" s="117"/>
      <c r="AA641" s="222"/>
      <c r="AB641" s="117"/>
      <c r="AC641" s="63">
        <f t="shared" si="31"/>
        <v>0</v>
      </c>
      <c r="AD641" s="117"/>
      <c r="AE641" s="221"/>
      <c r="AF641" s="117"/>
      <c r="AG641" s="117"/>
      <c r="AH641" s="64" t="s">
        <v>1609</v>
      </c>
      <c r="AI641" s="117"/>
      <c r="AJ641" s="221"/>
      <c r="AK641" s="221"/>
      <c r="AL641" s="117"/>
      <c r="AM641" s="221"/>
    </row>
    <row r="642" spans="1:39" ht="12.75" hidden="1" customHeight="1">
      <c r="A642" s="147">
        <v>641</v>
      </c>
      <c r="B642" s="223">
        <v>213222</v>
      </c>
      <c r="C642" s="221" t="s">
        <v>128</v>
      </c>
      <c r="D642" s="57">
        <v>43081</v>
      </c>
      <c r="E642" s="160" t="s">
        <v>1504</v>
      </c>
      <c r="F642" s="222">
        <v>43092</v>
      </c>
      <c r="G642" s="146">
        <f t="shared" si="32"/>
        <v>11</v>
      </c>
      <c r="H642" s="221" t="s">
        <v>133</v>
      </c>
      <c r="I642" s="117"/>
      <c r="J642" s="146" t="s">
        <v>614</v>
      </c>
      <c r="K642" s="94">
        <v>2108</v>
      </c>
      <c r="L642" s="221">
        <v>2108</v>
      </c>
      <c r="M642" s="221">
        <v>405</v>
      </c>
      <c r="N642" s="117">
        <v>390</v>
      </c>
      <c r="O642" s="93">
        <f t="shared" si="30"/>
        <v>1576.52</v>
      </c>
      <c r="P642" s="224" t="s">
        <v>263</v>
      </c>
      <c r="Q642" s="224" t="s">
        <v>1341</v>
      </c>
      <c r="R642" s="221" t="s">
        <v>122</v>
      </c>
      <c r="S642" s="225" t="s">
        <v>469</v>
      </c>
      <c r="T642" s="221" t="s">
        <v>114</v>
      </c>
      <c r="U642" s="117" t="s">
        <v>1544</v>
      </c>
      <c r="V642" s="117" t="s">
        <v>90</v>
      </c>
      <c r="W642" s="117"/>
      <c r="X642" s="117"/>
      <c r="Y642" s="117" t="s">
        <v>316</v>
      </c>
      <c r="Z642" s="117" t="s">
        <v>1097</v>
      </c>
      <c r="AA642" s="222">
        <v>43082</v>
      </c>
      <c r="AB642" s="117" t="s">
        <v>1102</v>
      </c>
      <c r="AC642" s="63">
        <f t="shared" si="31"/>
        <v>1</v>
      </c>
      <c r="AD642" s="221" t="s">
        <v>217</v>
      </c>
      <c r="AE642" s="221" t="s">
        <v>218</v>
      </c>
      <c r="AF642" s="117"/>
      <c r="AG642" s="117"/>
      <c r="AH642" s="64"/>
      <c r="AI642" s="117" t="s">
        <v>184</v>
      </c>
      <c r="AJ642" s="222">
        <v>43087</v>
      </c>
      <c r="AK642" s="221" t="s">
        <v>1590</v>
      </c>
      <c r="AL642" s="117" t="s">
        <v>609</v>
      </c>
      <c r="AM642" s="222">
        <v>43088</v>
      </c>
    </row>
    <row r="643" spans="1:39" ht="12.75" hidden="1" customHeight="1">
      <c r="A643" s="147">
        <v>642</v>
      </c>
      <c r="B643" s="223">
        <v>212941</v>
      </c>
      <c r="C643" s="117" t="s">
        <v>128</v>
      </c>
      <c r="D643" s="57">
        <v>43081</v>
      </c>
      <c r="E643" s="160" t="s">
        <v>1504</v>
      </c>
      <c r="F643" s="222">
        <v>43091</v>
      </c>
      <c r="G643" s="146">
        <f t="shared" si="32"/>
        <v>10</v>
      </c>
      <c r="H643" s="221" t="s">
        <v>133</v>
      </c>
      <c r="I643" s="146"/>
      <c r="J643" s="221" t="s">
        <v>614</v>
      </c>
      <c r="K643" s="94">
        <v>1099</v>
      </c>
      <c r="L643" s="221">
        <v>1099</v>
      </c>
      <c r="M643" s="221">
        <v>310</v>
      </c>
      <c r="N643" s="221">
        <v>160</v>
      </c>
      <c r="O643" s="227">
        <f t="shared" si="30"/>
        <v>723.06</v>
      </c>
      <c r="P643" s="230" t="s">
        <v>264</v>
      </c>
      <c r="Q643" s="230" t="s">
        <v>1342</v>
      </c>
      <c r="R643" s="221" t="s">
        <v>122</v>
      </c>
      <c r="S643" s="225" t="s">
        <v>469</v>
      </c>
      <c r="T643" s="117" t="s">
        <v>88</v>
      </c>
      <c r="U643" s="221" t="s">
        <v>1545</v>
      </c>
      <c r="V643" s="221" t="s">
        <v>90</v>
      </c>
      <c r="W643" s="117"/>
      <c r="X643" s="117"/>
      <c r="Y643" s="117" t="s">
        <v>316</v>
      </c>
      <c r="Z643" s="117" t="s">
        <v>269</v>
      </c>
      <c r="AA643" s="222">
        <v>43082</v>
      </c>
      <c r="AB643" s="117" t="s">
        <v>1102</v>
      </c>
      <c r="AC643" s="226">
        <f t="shared" si="31"/>
        <v>1</v>
      </c>
      <c r="AD643" s="221" t="s">
        <v>217</v>
      </c>
      <c r="AE643" s="221" t="s">
        <v>218</v>
      </c>
      <c r="AF643" s="117"/>
      <c r="AG643" s="117"/>
      <c r="AH643" s="64"/>
      <c r="AI643" s="117" t="s">
        <v>184</v>
      </c>
      <c r="AJ643" s="222">
        <v>43087</v>
      </c>
      <c r="AK643" s="221" t="s">
        <v>1589</v>
      </c>
      <c r="AL643" s="117" t="s">
        <v>609</v>
      </c>
      <c r="AM643" s="222">
        <v>43088</v>
      </c>
    </row>
    <row r="644" spans="1:39" ht="12.75" hidden="1" customHeight="1">
      <c r="A644" s="147">
        <v>643</v>
      </c>
      <c r="B644" s="223">
        <v>212886</v>
      </c>
      <c r="C644" s="221" t="s">
        <v>121</v>
      </c>
      <c r="D644" s="57">
        <v>43081</v>
      </c>
      <c r="E644" s="160" t="s">
        <v>1504</v>
      </c>
      <c r="F644" s="222">
        <v>43091</v>
      </c>
      <c r="G644" s="146">
        <f t="shared" si="32"/>
        <v>10</v>
      </c>
      <c r="H644" s="221" t="s">
        <v>133</v>
      </c>
      <c r="I644" s="146"/>
      <c r="J644" s="221" t="s">
        <v>614</v>
      </c>
      <c r="K644" s="94">
        <v>1299</v>
      </c>
      <c r="L644" s="146"/>
      <c r="M644" s="117"/>
      <c r="N644" s="117"/>
      <c r="O644" s="93">
        <f t="shared" si="30"/>
        <v>0</v>
      </c>
      <c r="P644" s="230" t="s">
        <v>264</v>
      </c>
      <c r="Q644" s="230" t="s">
        <v>1342</v>
      </c>
      <c r="R644" s="221" t="s">
        <v>122</v>
      </c>
      <c r="S644" s="225" t="s">
        <v>469</v>
      </c>
      <c r="T644" s="117" t="s">
        <v>376</v>
      </c>
      <c r="U644" s="221" t="s">
        <v>1557</v>
      </c>
      <c r="V644" s="221" t="s">
        <v>222</v>
      </c>
      <c r="W644" s="117"/>
      <c r="X644" s="117"/>
      <c r="Y644" s="117"/>
      <c r="Z644" s="117" t="s">
        <v>253</v>
      </c>
      <c r="AA644" s="221"/>
      <c r="AB644" s="117"/>
      <c r="AC644" s="63">
        <f t="shared" si="31"/>
        <v>0</v>
      </c>
      <c r="AD644" s="117"/>
      <c r="AE644" s="221" t="s">
        <v>217</v>
      </c>
      <c r="AF644" s="221" t="s">
        <v>225</v>
      </c>
      <c r="AG644" s="117"/>
      <c r="AH644" s="64"/>
      <c r="AI644" s="117"/>
      <c r="AJ644" s="117"/>
      <c r="AK644" s="221"/>
      <c r="AL644" s="117"/>
      <c r="AM644" s="117"/>
    </row>
    <row r="645" spans="1:39" ht="12.75" hidden="1" customHeight="1">
      <c r="A645" s="147">
        <v>644</v>
      </c>
      <c r="B645" s="223">
        <v>212806</v>
      </c>
      <c r="C645" s="221" t="s">
        <v>1130</v>
      </c>
      <c r="D645" s="57">
        <v>43081</v>
      </c>
      <c r="E645" s="160" t="s">
        <v>1504</v>
      </c>
      <c r="F645" s="222">
        <v>43091</v>
      </c>
      <c r="G645" s="146">
        <f t="shared" si="32"/>
        <v>10</v>
      </c>
      <c r="H645" s="221" t="s">
        <v>133</v>
      </c>
      <c r="I645" s="146"/>
      <c r="J645" s="146" t="s">
        <v>614</v>
      </c>
      <c r="K645" s="94">
        <v>12999</v>
      </c>
      <c r="L645" s="221"/>
      <c r="M645" s="221"/>
      <c r="N645" s="117"/>
      <c r="O645" s="93">
        <f t="shared" si="30"/>
        <v>0</v>
      </c>
      <c r="P645" s="230" t="s">
        <v>264</v>
      </c>
      <c r="Q645" s="230" t="s">
        <v>1342</v>
      </c>
      <c r="R645" s="221" t="s">
        <v>122</v>
      </c>
      <c r="S645" s="225" t="s">
        <v>469</v>
      </c>
      <c r="T645" s="117" t="s">
        <v>376</v>
      </c>
      <c r="U645" s="221" t="s">
        <v>1558</v>
      </c>
      <c r="V645" s="221" t="s">
        <v>222</v>
      </c>
      <c r="W645" s="117"/>
      <c r="X645" s="117"/>
      <c r="Y645" s="117"/>
      <c r="Z645" s="117" t="s">
        <v>170</v>
      </c>
      <c r="AA645" s="146"/>
      <c r="AB645" s="117"/>
      <c r="AC645" s="63">
        <f t="shared" si="31"/>
        <v>0</v>
      </c>
      <c r="AD645" s="117"/>
      <c r="AE645" s="221" t="s">
        <v>217</v>
      </c>
      <c r="AF645" s="221" t="s">
        <v>225</v>
      </c>
      <c r="AG645" s="117"/>
      <c r="AH645" s="64"/>
      <c r="AI645" s="117"/>
      <c r="AJ645" s="146"/>
      <c r="AK645" s="221"/>
      <c r="AL645" s="117"/>
      <c r="AM645" s="146"/>
    </row>
    <row r="646" spans="1:39" ht="12.75" hidden="1" customHeight="1">
      <c r="A646" s="147">
        <v>645</v>
      </c>
      <c r="B646" s="223">
        <v>213204</v>
      </c>
      <c r="C646" s="117" t="s">
        <v>1130</v>
      </c>
      <c r="D646" s="57">
        <v>43081</v>
      </c>
      <c r="E646" s="160" t="s">
        <v>1504</v>
      </c>
      <c r="F646" s="118">
        <v>43096</v>
      </c>
      <c r="G646" s="146">
        <f t="shared" si="32"/>
        <v>15</v>
      </c>
      <c r="H646" s="221" t="s">
        <v>133</v>
      </c>
      <c r="I646" s="221"/>
      <c r="J646" s="146" t="s">
        <v>614</v>
      </c>
      <c r="K646" s="94">
        <v>3299</v>
      </c>
      <c r="L646" s="221"/>
      <c r="M646" s="221"/>
      <c r="N646" s="117"/>
      <c r="O646" s="93">
        <f t="shared" si="30"/>
        <v>0</v>
      </c>
      <c r="P646" s="230" t="s">
        <v>262</v>
      </c>
      <c r="Q646" s="230" t="s">
        <v>1342</v>
      </c>
      <c r="R646" s="221" t="s">
        <v>122</v>
      </c>
      <c r="S646" s="225" t="s">
        <v>469</v>
      </c>
      <c r="T646" s="221" t="s">
        <v>114</v>
      </c>
      <c r="U646" s="117" t="s">
        <v>1559</v>
      </c>
      <c r="V646" s="221" t="s">
        <v>222</v>
      </c>
      <c r="W646" s="117"/>
      <c r="X646" s="117"/>
      <c r="Y646" s="146"/>
      <c r="Z646" s="117" t="s">
        <v>170</v>
      </c>
      <c r="AA646" s="221"/>
      <c r="AB646" s="117"/>
      <c r="AC646" s="63">
        <f t="shared" si="31"/>
        <v>0</v>
      </c>
      <c r="AD646" s="117"/>
      <c r="AE646" s="221" t="s">
        <v>217</v>
      </c>
      <c r="AF646" s="221" t="s">
        <v>225</v>
      </c>
      <c r="AG646" s="117"/>
      <c r="AH646" s="64"/>
      <c r="AI646" s="146"/>
      <c r="AJ646" s="146"/>
      <c r="AK646" s="221"/>
      <c r="AL646" s="146"/>
      <c r="AM646" s="146"/>
    </row>
    <row r="647" spans="1:39" ht="12.75" hidden="1" customHeight="1">
      <c r="A647" s="147">
        <v>646</v>
      </c>
      <c r="B647" s="223">
        <v>213168</v>
      </c>
      <c r="C647" s="117" t="s">
        <v>121</v>
      </c>
      <c r="D647" s="57">
        <v>43082</v>
      </c>
      <c r="E647" s="160" t="s">
        <v>1504</v>
      </c>
      <c r="F647" s="118">
        <v>43092</v>
      </c>
      <c r="G647" s="146">
        <f t="shared" si="32"/>
        <v>10</v>
      </c>
      <c r="H647" s="146" t="s">
        <v>133</v>
      </c>
      <c r="I647" s="221"/>
      <c r="J647" s="146" t="s">
        <v>614</v>
      </c>
      <c r="K647" s="94">
        <v>1099</v>
      </c>
      <c r="L647" s="221"/>
      <c r="M647" s="221"/>
      <c r="N647" s="117"/>
      <c r="O647" s="93">
        <f t="shared" si="30"/>
        <v>0</v>
      </c>
      <c r="P647" s="230" t="s">
        <v>264</v>
      </c>
      <c r="Q647" s="230" t="s">
        <v>1342</v>
      </c>
      <c r="R647" s="221" t="s">
        <v>122</v>
      </c>
      <c r="S647" s="225" t="s">
        <v>469</v>
      </c>
      <c r="T647" s="117" t="s">
        <v>114</v>
      </c>
      <c r="U647" s="221" t="s">
        <v>1560</v>
      </c>
      <c r="V647" s="117" t="s">
        <v>222</v>
      </c>
      <c r="W647" s="117"/>
      <c r="X647" s="117"/>
      <c r="Y647" s="117"/>
      <c r="Z647" s="117" t="s">
        <v>367</v>
      </c>
      <c r="AA647" s="221"/>
      <c r="AB647" s="117"/>
      <c r="AC647" s="63">
        <f t="shared" si="31"/>
        <v>0</v>
      </c>
      <c r="AD647" s="117"/>
      <c r="AE647" s="221" t="s">
        <v>217</v>
      </c>
      <c r="AF647" s="117" t="s">
        <v>225</v>
      </c>
      <c r="AG647" s="117"/>
      <c r="AH647" s="64"/>
      <c r="AI647" s="117"/>
      <c r="AJ647" s="221"/>
      <c r="AK647" s="221"/>
      <c r="AL647" s="117"/>
      <c r="AM647" s="221"/>
    </row>
    <row r="648" spans="1:39" ht="12.75" hidden="1" customHeight="1">
      <c r="A648" s="147">
        <v>647</v>
      </c>
      <c r="B648" s="223">
        <v>213437</v>
      </c>
      <c r="C648" s="117" t="s">
        <v>128</v>
      </c>
      <c r="D648" s="57">
        <v>43082</v>
      </c>
      <c r="E648" s="160" t="s">
        <v>1504</v>
      </c>
      <c r="F648" s="118">
        <v>43097</v>
      </c>
      <c r="G648" s="146">
        <f t="shared" si="32"/>
        <v>15</v>
      </c>
      <c r="H648" s="221" t="s">
        <v>133</v>
      </c>
      <c r="I648" s="146"/>
      <c r="J648" s="221" t="s">
        <v>614</v>
      </c>
      <c r="K648" s="94">
        <v>999</v>
      </c>
      <c r="L648" s="221">
        <v>999</v>
      </c>
      <c r="M648" s="221"/>
      <c r="N648" s="117"/>
      <c r="O648" s="93">
        <f t="shared" si="30"/>
        <v>0</v>
      </c>
      <c r="P648" s="224" t="s">
        <v>264</v>
      </c>
      <c r="Q648" s="224" t="s">
        <v>1342</v>
      </c>
      <c r="R648" s="221" t="s">
        <v>254</v>
      </c>
      <c r="S648" s="225" t="s">
        <v>466</v>
      </c>
      <c r="T648" s="221" t="s">
        <v>313</v>
      </c>
      <c r="U648" s="117" t="s">
        <v>1561</v>
      </c>
      <c r="V648" s="221" t="s">
        <v>257</v>
      </c>
      <c r="W648" s="117"/>
      <c r="X648" s="117"/>
      <c r="Y648" s="221"/>
      <c r="Z648" s="117" t="s">
        <v>1146</v>
      </c>
      <c r="AA648" s="221"/>
      <c r="AB648" s="117" t="s">
        <v>195</v>
      </c>
      <c r="AC648" s="226">
        <f t="shared" si="31"/>
        <v>0</v>
      </c>
      <c r="AD648" s="117"/>
      <c r="AE648" s="221" t="s">
        <v>217</v>
      </c>
      <c r="AF648" s="117" t="s">
        <v>1523</v>
      </c>
      <c r="AG648" s="117"/>
      <c r="AH648" s="64"/>
      <c r="AI648" s="221"/>
      <c r="AJ648" s="221"/>
      <c r="AK648" s="221"/>
      <c r="AL648" s="221"/>
      <c r="AM648" s="221"/>
    </row>
    <row r="649" spans="1:39" ht="12.75" hidden="1" customHeight="1">
      <c r="A649" s="147">
        <v>648</v>
      </c>
      <c r="B649" s="223">
        <v>213327</v>
      </c>
      <c r="C649" s="117" t="s">
        <v>1130</v>
      </c>
      <c r="D649" s="57">
        <v>43082</v>
      </c>
      <c r="E649" s="160" t="s">
        <v>1504</v>
      </c>
      <c r="F649" s="118">
        <v>43099</v>
      </c>
      <c r="G649" s="146">
        <f t="shared" si="32"/>
        <v>17</v>
      </c>
      <c r="H649" s="221" t="s">
        <v>133</v>
      </c>
      <c r="I649" s="146"/>
      <c r="J649" s="221" t="s">
        <v>614</v>
      </c>
      <c r="K649" s="94">
        <v>1299</v>
      </c>
      <c r="L649" s="221">
        <v>1299</v>
      </c>
      <c r="M649" s="221">
        <v>190</v>
      </c>
      <c r="N649" s="117">
        <v>80</v>
      </c>
      <c r="O649" s="93">
        <f t="shared" si="30"/>
        <v>1031.06</v>
      </c>
      <c r="P649" s="224" t="s">
        <v>262</v>
      </c>
      <c r="Q649" s="230" t="s">
        <v>1342</v>
      </c>
      <c r="R649" s="228" t="s">
        <v>143</v>
      </c>
      <c r="S649" s="225" t="s">
        <v>465</v>
      </c>
      <c r="T649" s="117" t="s">
        <v>88</v>
      </c>
      <c r="U649" s="146" t="s">
        <v>963</v>
      </c>
      <c r="V649" s="221" t="s">
        <v>432</v>
      </c>
      <c r="W649" s="117"/>
      <c r="X649" s="117"/>
      <c r="Y649" s="221" t="s">
        <v>316</v>
      </c>
      <c r="Z649" s="117" t="s">
        <v>189</v>
      </c>
      <c r="AA649" s="222">
        <v>43083</v>
      </c>
      <c r="AB649" s="117" t="s">
        <v>872</v>
      </c>
      <c r="AC649" s="63">
        <f t="shared" si="31"/>
        <v>1</v>
      </c>
      <c r="AD649" s="221" t="s">
        <v>217</v>
      </c>
      <c r="AE649" s="221" t="s">
        <v>218</v>
      </c>
      <c r="AF649" s="117"/>
      <c r="AG649" s="117"/>
      <c r="AH649" s="64"/>
      <c r="AI649" s="221" t="s">
        <v>184</v>
      </c>
      <c r="AJ649" s="222">
        <v>43088</v>
      </c>
      <c r="AK649" s="221" t="s">
        <v>1591</v>
      </c>
      <c r="AL649" s="221" t="s">
        <v>609</v>
      </c>
      <c r="AM649" s="222">
        <v>43088</v>
      </c>
    </row>
    <row r="650" spans="1:39" ht="12.75" hidden="1" customHeight="1">
      <c r="A650" s="147">
        <v>649</v>
      </c>
      <c r="B650" s="223">
        <v>212493</v>
      </c>
      <c r="C650" s="117" t="s">
        <v>121</v>
      </c>
      <c r="D650" s="57">
        <v>43082</v>
      </c>
      <c r="E650" s="160" t="s">
        <v>1504</v>
      </c>
      <c r="F650" s="118">
        <v>43087</v>
      </c>
      <c r="G650" s="146">
        <f t="shared" si="32"/>
        <v>5</v>
      </c>
      <c r="H650" s="146" t="s">
        <v>133</v>
      </c>
      <c r="I650" s="146"/>
      <c r="J650" s="221" t="s">
        <v>614</v>
      </c>
      <c r="K650" s="94"/>
      <c r="L650" s="221"/>
      <c r="M650" s="117"/>
      <c r="N650" s="117"/>
      <c r="O650" s="93">
        <f t="shared" si="30"/>
        <v>0</v>
      </c>
      <c r="P650" s="224" t="s">
        <v>263</v>
      </c>
      <c r="Q650" s="224" t="s">
        <v>1341</v>
      </c>
      <c r="R650" s="221" t="s">
        <v>237</v>
      </c>
      <c r="S650" s="225" t="s">
        <v>465</v>
      </c>
      <c r="T650" s="117" t="s">
        <v>120</v>
      </c>
      <c r="U650" s="117" t="s">
        <v>1571</v>
      </c>
      <c r="V650" s="117" t="s">
        <v>1572</v>
      </c>
      <c r="W650" s="117"/>
      <c r="X650" s="117"/>
      <c r="Y650" s="117"/>
      <c r="Z650" s="117" t="s">
        <v>124</v>
      </c>
      <c r="AA650" s="221"/>
      <c r="AB650" s="117"/>
      <c r="AC650" s="63">
        <f t="shared" si="31"/>
        <v>0</v>
      </c>
      <c r="AD650" s="117"/>
      <c r="AE650" s="117"/>
      <c r="AF650" s="117"/>
      <c r="AG650" s="117"/>
      <c r="AH650" s="64" t="s">
        <v>1605</v>
      </c>
      <c r="AI650" s="117"/>
      <c r="AJ650" s="146"/>
      <c r="AK650" s="221"/>
      <c r="AL650" s="117"/>
      <c r="AM650" s="146"/>
    </row>
    <row r="651" spans="1:39" s="86" customFormat="1" ht="12.75" hidden="1" customHeight="1">
      <c r="A651" s="147">
        <v>650</v>
      </c>
      <c r="B651" s="223">
        <v>212861</v>
      </c>
      <c r="C651" s="221" t="s">
        <v>121</v>
      </c>
      <c r="D651" s="57">
        <v>43083</v>
      </c>
      <c r="E651" s="160" t="s">
        <v>1504</v>
      </c>
      <c r="F651" s="222">
        <v>43092</v>
      </c>
      <c r="G651" s="221">
        <f t="shared" si="32"/>
        <v>9</v>
      </c>
      <c r="H651" s="221" t="s">
        <v>133</v>
      </c>
      <c r="I651" s="221"/>
      <c r="J651" s="221" t="s">
        <v>614</v>
      </c>
      <c r="K651" s="94"/>
      <c r="L651" s="221"/>
      <c r="M651" s="221"/>
      <c r="N651" s="221"/>
      <c r="O651" s="227">
        <f t="shared" si="30"/>
        <v>0</v>
      </c>
      <c r="P651" s="224" t="s">
        <v>262</v>
      </c>
      <c r="Q651" s="230" t="s">
        <v>1342</v>
      </c>
      <c r="R651" s="228" t="s">
        <v>143</v>
      </c>
      <c r="S651" s="225" t="s">
        <v>465</v>
      </c>
      <c r="T651" s="221" t="s">
        <v>114</v>
      </c>
      <c r="U651" s="221" t="s">
        <v>1054</v>
      </c>
      <c r="V651" s="221" t="s">
        <v>1573</v>
      </c>
      <c r="W651" s="221"/>
      <c r="X651" s="221"/>
      <c r="Y651" s="221"/>
      <c r="Z651" s="221" t="s">
        <v>367</v>
      </c>
      <c r="AA651" s="221"/>
      <c r="AB651" s="221"/>
      <c r="AC651" s="226">
        <f t="shared" si="31"/>
        <v>0</v>
      </c>
      <c r="AD651" s="221"/>
      <c r="AE651" s="221"/>
      <c r="AF651" s="221"/>
      <c r="AG651" s="221"/>
      <c r="AH651" s="64" t="s">
        <v>1579</v>
      </c>
      <c r="AI651" s="221"/>
      <c r="AJ651" s="221"/>
      <c r="AK651" s="221"/>
      <c r="AL651" s="221"/>
      <c r="AM651" s="221"/>
    </row>
    <row r="652" spans="1:39" ht="12.75" hidden="1" customHeight="1">
      <c r="A652" s="147">
        <v>651</v>
      </c>
      <c r="B652" s="223">
        <v>212603</v>
      </c>
      <c r="C652" s="117" t="s">
        <v>1130</v>
      </c>
      <c r="D652" s="57">
        <v>43083</v>
      </c>
      <c r="E652" s="160" t="s">
        <v>1504</v>
      </c>
      <c r="F652" s="118">
        <v>43096</v>
      </c>
      <c r="G652" s="146">
        <f t="shared" si="32"/>
        <v>13</v>
      </c>
      <c r="H652" s="221" t="s">
        <v>133</v>
      </c>
      <c r="I652" s="117"/>
      <c r="J652" s="221" t="s">
        <v>614</v>
      </c>
      <c r="K652" s="94">
        <v>1999</v>
      </c>
      <c r="L652" s="221">
        <v>1999</v>
      </c>
      <c r="M652" s="221">
        <v>290</v>
      </c>
      <c r="N652" s="117">
        <v>120</v>
      </c>
      <c r="O652" s="93">
        <f t="shared" si="30"/>
        <v>1589.06</v>
      </c>
      <c r="P652" s="224" t="s">
        <v>263</v>
      </c>
      <c r="Q652" s="224" t="s">
        <v>1341</v>
      </c>
      <c r="R652" s="221" t="s">
        <v>134</v>
      </c>
      <c r="S652" s="225" t="s">
        <v>465</v>
      </c>
      <c r="T652" s="117" t="s">
        <v>88</v>
      </c>
      <c r="U652" s="117" t="s">
        <v>1597</v>
      </c>
      <c r="V652" s="117" t="s">
        <v>429</v>
      </c>
      <c r="W652" s="117"/>
      <c r="X652" s="117"/>
      <c r="Y652" s="117" t="s">
        <v>1172</v>
      </c>
      <c r="Z652" s="117" t="s">
        <v>189</v>
      </c>
      <c r="AA652" s="222">
        <v>43083</v>
      </c>
      <c r="AB652" s="117" t="s">
        <v>782</v>
      </c>
      <c r="AC652" s="63">
        <f t="shared" si="31"/>
        <v>1</v>
      </c>
      <c r="AD652" s="221" t="s">
        <v>217</v>
      </c>
      <c r="AE652" s="221" t="s">
        <v>218</v>
      </c>
      <c r="AF652" s="117"/>
      <c r="AG652" s="117"/>
      <c r="AH652" s="64"/>
      <c r="AI652" s="117"/>
      <c r="AJ652" s="221"/>
      <c r="AK652" s="221"/>
      <c r="AL652" s="117"/>
      <c r="AM652" s="221"/>
    </row>
    <row r="653" spans="1:39" ht="12.75" hidden="1" customHeight="1">
      <c r="A653" s="147">
        <v>652</v>
      </c>
      <c r="B653" s="223">
        <v>213528</v>
      </c>
      <c r="C653" s="221" t="s">
        <v>128</v>
      </c>
      <c r="D653" s="57">
        <v>43083</v>
      </c>
      <c r="E653" s="160" t="s">
        <v>1504</v>
      </c>
      <c r="F653" s="222">
        <v>43104</v>
      </c>
      <c r="G653" s="221">
        <f t="shared" si="32"/>
        <v>21</v>
      </c>
      <c r="H653" s="221" t="s">
        <v>133</v>
      </c>
      <c r="I653" s="221"/>
      <c r="J653" s="221" t="s">
        <v>614</v>
      </c>
      <c r="K653" s="94">
        <v>1499</v>
      </c>
      <c r="L653" s="221">
        <v>1499</v>
      </c>
      <c r="M653" s="221">
        <v>210</v>
      </c>
      <c r="N653" s="221">
        <v>95</v>
      </c>
      <c r="O653" s="227">
        <f t="shared" si="30"/>
        <v>1199.06</v>
      </c>
      <c r="P653" s="82" t="s">
        <v>261</v>
      </c>
      <c r="Q653" s="82" t="s">
        <v>1341</v>
      </c>
      <c r="R653" s="147" t="s">
        <v>134</v>
      </c>
      <c r="S653" s="225" t="s">
        <v>465</v>
      </c>
      <c r="T653" s="221" t="s">
        <v>162</v>
      </c>
      <c r="U653" s="221" t="s">
        <v>1595</v>
      </c>
      <c r="V653" s="221" t="s">
        <v>1596</v>
      </c>
      <c r="W653" s="221"/>
      <c r="X653" s="221"/>
      <c r="Y653" s="221" t="s">
        <v>1599</v>
      </c>
      <c r="Z653" s="221" t="s">
        <v>510</v>
      </c>
      <c r="AA653" s="222">
        <v>43089</v>
      </c>
      <c r="AB653" s="221" t="s">
        <v>1102</v>
      </c>
      <c r="AC653" s="226">
        <f t="shared" si="31"/>
        <v>1</v>
      </c>
      <c r="AD653" s="221" t="s">
        <v>217</v>
      </c>
      <c r="AE653" s="221" t="s">
        <v>218</v>
      </c>
      <c r="AF653" s="221"/>
      <c r="AG653" s="221"/>
      <c r="AH653" s="64"/>
      <c r="AI653" s="221"/>
      <c r="AJ653" s="221"/>
      <c r="AK653" s="221"/>
      <c r="AL653" s="221"/>
      <c r="AM653" s="221"/>
    </row>
    <row r="654" spans="1:39" ht="12.75" hidden="1" customHeight="1">
      <c r="A654" s="147">
        <v>653</v>
      </c>
      <c r="B654" s="223">
        <v>213511</v>
      </c>
      <c r="C654" s="147" t="s">
        <v>128</v>
      </c>
      <c r="D654" s="79">
        <v>43084</v>
      </c>
      <c r="E654" s="236" t="s">
        <v>1504</v>
      </c>
      <c r="F654" s="81">
        <v>43112</v>
      </c>
      <c r="G654" s="147">
        <f t="shared" si="32"/>
        <v>28</v>
      </c>
      <c r="H654" s="147" t="s">
        <v>133</v>
      </c>
      <c r="I654" s="147"/>
      <c r="J654" s="147" t="s">
        <v>614</v>
      </c>
      <c r="K654" s="94">
        <v>1099</v>
      </c>
      <c r="L654" s="147"/>
      <c r="M654" s="147"/>
      <c r="N654" s="147"/>
      <c r="O654" s="152">
        <f t="shared" si="30"/>
        <v>0</v>
      </c>
      <c r="P654" s="82" t="s">
        <v>261</v>
      </c>
      <c r="Q654" s="82" t="s">
        <v>1341</v>
      </c>
      <c r="R654" s="147" t="s">
        <v>143</v>
      </c>
      <c r="S654" s="225" t="s">
        <v>465</v>
      </c>
      <c r="T654" s="147" t="s">
        <v>120</v>
      </c>
      <c r="U654" s="147" t="s">
        <v>1521</v>
      </c>
      <c r="V654" s="147" t="s">
        <v>90</v>
      </c>
      <c r="W654" s="147"/>
      <c r="X654" s="147"/>
      <c r="Y654" s="147"/>
      <c r="Z654" s="147" t="s">
        <v>137</v>
      </c>
      <c r="AA654" s="147"/>
      <c r="AB654" s="147"/>
      <c r="AC654" s="84">
        <f t="shared" si="31"/>
        <v>0</v>
      </c>
      <c r="AD654" s="147"/>
      <c r="AE654" s="221" t="s">
        <v>217</v>
      </c>
      <c r="AF654" s="147" t="s">
        <v>1021</v>
      </c>
      <c r="AG654" s="147"/>
      <c r="AH654" s="85"/>
      <c r="AI654" s="147"/>
      <c r="AJ654" s="147"/>
      <c r="AK654" s="147"/>
      <c r="AL654" s="147"/>
      <c r="AM654" s="147"/>
    </row>
    <row r="655" spans="1:39" ht="12.75" hidden="1" customHeight="1">
      <c r="A655" s="147">
        <v>654</v>
      </c>
      <c r="B655" s="223">
        <v>213261</v>
      </c>
      <c r="C655" s="117" t="s">
        <v>121</v>
      </c>
      <c r="D655" s="79">
        <v>43084</v>
      </c>
      <c r="E655" s="160" t="s">
        <v>1504</v>
      </c>
      <c r="F655" s="118">
        <v>43096</v>
      </c>
      <c r="G655" s="146">
        <f t="shared" si="32"/>
        <v>12</v>
      </c>
      <c r="H655" s="221" t="s">
        <v>133</v>
      </c>
      <c r="I655" s="117"/>
      <c r="J655" s="221" t="s">
        <v>614</v>
      </c>
      <c r="K655" s="94">
        <v>2599</v>
      </c>
      <c r="L655" s="221">
        <v>2599</v>
      </c>
      <c r="M655" s="221">
        <v>340</v>
      </c>
      <c r="N655" s="117">
        <v>670</v>
      </c>
      <c r="O655" s="93">
        <f t="shared" ref="O655:O686" si="33">IF(AE655="Reemplazo",0,K655-(K655*0.12*0.5)-(MAX(M655,N655)))</f>
        <v>1773.06</v>
      </c>
      <c r="P655" s="230" t="s">
        <v>264</v>
      </c>
      <c r="Q655" s="230" t="s">
        <v>1342</v>
      </c>
      <c r="R655" s="228" t="s">
        <v>134</v>
      </c>
      <c r="S655" s="225" t="s">
        <v>465</v>
      </c>
      <c r="T655" s="221" t="s">
        <v>164</v>
      </c>
      <c r="U655" s="117" t="s">
        <v>961</v>
      </c>
      <c r="V655" s="117" t="s">
        <v>519</v>
      </c>
      <c r="W655" s="117"/>
      <c r="X655" s="117"/>
      <c r="Y655" s="221" t="s">
        <v>1942</v>
      </c>
      <c r="Z655" s="117" t="s">
        <v>202</v>
      </c>
      <c r="AA655" s="222">
        <v>43084</v>
      </c>
      <c r="AB655" s="117" t="s">
        <v>140</v>
      </c>
      <c r="AC655" s="63">
        <f t="shared" si="31"/>
        <v>1</v>
      </c>
      <c r="AD655" s="221" t="s">
        <v>217</v>
      </c>
      <c r="AE655" s="221" t="s">
        <v>218</v>
      </c>
      <c r="AF655" s="117"/>
      <c r="AG655" s="117"/>
      <c r="AH655" s="64"/>
      <c r="AI655" s="117" t="s">
        <v>184</v>
      </c>
      <c r="AJ655" s="222">
        <v>43087</v>
      </c>
      <c r="AK655" s="221" t="s">
        <v>1592</v>
      </c>
      <c r="AL655" s="117" t="s">
        <v>609</v>
      </c>
      <c r="AM655" s="222">
        <v>43088</v>
      </c>
    </row>
    <row r="656" spans="1:39" ht="12.75" hidden="1" customHeight="1">
      <c r="A656" s="147">
        <v>655</v>
      </c>
      <c r="B656" s="223">
        <v>213543</v>
      </c>
      <c r="C656" s="117" t="s">
        <v>1130</v>
      </c>
      <c r="D656" s="79">
        <v>43084</v>
      </c>
      <c r="E656" s="160" t="s">
        <v>1504</v>
      </c>
      <c r="F656" s="118">
        <v>43096</v>
      </c>
      <c r="G656" s="146">
        <f t="shared" si="32"/>
        <v>12</v>
      </c>
      <c r="H656" s="221" t="s">
        <v>133</v>
      </c>
      <c r="I656" s="117"/>
      <c r="J656" s="221" t="s">
        <v>614</v>
      </c>
      <c r="K656" s="94"/>
      <c r="L656" s="221"/>
      <c r="M656" s="221"/>
      <c r="N656" s="117"/>
      <c r="O656" s="93">
        <f t="shared" si="33"/>
        <v>0</v>
      </c>
      <c r="P656" s="82" t="s">
        <v>261</v>
      </c>
      <c r="Q656" s="82" t="s">
        <v>1341</v>
      </c>
      <c r="R656" s="147" t="s">
        <v>143</v>
      </c>
      <c r="S656" s="225" t="s">
        <v>465</v>
      </c>
      <c r="T656" s="117" t="s">
        <v>88</v>
      </c>
      <c r="U656" s="117" t="s">
        <v>695</v>
      </c>
      <c r="V656" s="221" t="s">
        <v>425</v>
      </c>
      <c r="W656" s="117"/>
      <c r="X656" s="117"/>
      <c r="Y656" s="221"/>
      <c r="Z656" s="117" t="s">
        <v>315</v>
      </c>
      <c r="AA656" s="221"/>
      <c r="AB656" s="117"/>
      <c r="AC656" s="63">
        <f t="shared" si="31"/>
        <v>0</v>
      </c>
      <c r="AD656" s="117"/>
      <c r="AE656" s="221"/>
      <c r="AF656" s="117"/>
      <c r="AG656" s="117"/>
      <c r="AH656" s="64" t="s">
        <v>1594</v>
      </c>
      <c r="AI656" s="221"/>
      <c r="AJ656" s="221"/>
      <c r="AK656" s="221"/>
      <c r="AL656" s="221"/>
      <c r="AM656" s="221"/>
    </row>
    <row r="657" spans="1:39" ht="12.75" hidden="1" customHeight="1">
      <c r="A657" s="147">
        <v>656</v>
      </c>
      <c r="B657" s="223">
        <v>213661</v>
      </c>
      <c r="C657" s="117" t="s">
        <v>1130</v>
      </c>
      <c r="D657" s="57">
        <v>43087</v>
      </c>
      <c r="E657" s="160" t="s">
        <v>1504</v>
      </c>
      <c r="F657" s="118">
        <v>43113</v>
      </c>
      <c r="G657" s="117">
        <f t="shared" si="32"/>
        <v>26</v>
      </c>
      <c r="H657" s="221" t="s">
        <v>133</v>
      </c>
      <c r="I657" s="117"/>
      <c r="J657" s="221" t="s">
        <v>614</v>
      </c>
      <c r="K657" s="94">
        <v>1699</v>
      </c>
      <c r="L657" s="221">
        <v>1699</v>
      </c>
      <c r="M657" s="117">
        <v>570</v>
      </c>
      <c r="N657" s="117">
        <v>195</v>
      </c>
      <c r="O657" s="227">
        <f t="shared" si="33"/>
        <v>1027.06</v>
      </c>
      <c r="P657" s="82" t="s">
        <v>261</v>
      </c>
      <c r="Q657" s="82" t="s">
        <v>1341</v>
      </c>
      <c r="R657" s="147" t="s">
        <v>143</v>
      </c>
      <c r="S657" s="225" t="s">
        <v>465</v>
      </c>
      <c r="T657" s="221" t="s">
        <v>88</v>
      </c>
      <c r="U657" s="221" t="s">
        <v>89</v>
      </c>
      <c r="V657" s="117" t="s">
        <v>90</v>
      </c>
      <c r="W657" s="117"/>
      <c r="X657" s="117"/>
      <c r="Y657" s="117" t="s">
        <v>1228</v>
      </c>
      <c r="Z657" s="117" t="s">
        <v>189</v>
      </c>
      <c r="AA657" s="222">
        <v>43088</v>
      </c>
      <c r="AB657" s="117" t="s">
        <v>140</v>
      </c>
      <c r="AC657" s="63">
        <f t="shared" si="31"/>
        <v>1</v>
      </c>
      <c r="AD657" s="221" t="s">
        <v>217</v>
      </c>
      <c r="AE657" s="221" t="s">
        <v>218</v>
      </c>
      <c r="AF657" s="117"/>
      <c r="AG657" s="117"/>
      <c r="AH657" s="64"/>
      <c r="AI657" s="117"/>
      <c r="AJ657" s="221"/>
      <c r="AK657" s="221"/>
      <c r="AL657" s="117"/>
      <c r="AM657" s="221"/>
    </row>
    <row r="658" spans="1:39" ht="12.75" hidden="1" customHeight="1">
      <c r="A658" s="147">
        <v>657</v>
      </c>
      <c r="B658" s="223">
        <v>212801</v>
      </c>
      <c r="C658" s="117" t="s">
        <v>1130</v>
      </c>
      <c r="D658" s="57">
        <v>43087</v>
      </c>
      <c r="E658" s="160" t="s">
        <v>1504</v>
      </c>
      <c r="F658" s="118">
        <v>43092</v>
      </c>
      <c r="G658" s="117">
        <f t="shared" si="32"/>
        <v>5</v>
      </c>
      <c r="H658" s="146" t="s">
        <v>133</v>
      </c>
      <c r="I658" s="117"/>
      <c r="J658" s="146" t="s">
        <v>614</v>
      </c>
      <c r="K658" s="94"/>
      <c r="L658" s="221"/>
      <c r="M658" s="117"/>
      <c r="N658" s="117"/>
      <c r="O658" s="227">
        <f t="shared" si="33"/>
        <v>0</v>
      </c>
      <c r="P658" s="224" t="s">
        <v>262</v>
      </c>
      <c r="Q658" s="230" t="s">
        <v>1342</v>
      </c>
      <c r="R658" s="228" t="s">
        <v>134</v>
      </c>
      <c r="S658" s="225" t="s">
        <v>465</v>
      </c>
      <c r="T658" s="117" t="s">
        <v>88</v>
      </c>
      <c r="U658" s="221" t="s">
        <v>1153</v>
      </c>
      <c r="V658" s="117" t="s">
        <v>584</v>
      </c>
      <c r="W658" s="117"/>
      <c r="X658" s="117"/>
      <c r="Y658" s="117"/>
      <c r="Z658" s="117" t="s">
        <v>189</v>
      </c>
      <c r="AA658" s="221"/>
      <c r="AB658" s="117"/>
      <c r="AC658" s="63">
        <f t="shared" si="31"/>
        <v>0</v>
      </c>
      <c r="AD658" s="117" t="s">
        <v>225</v>
      </c>
      <c r="AE658" s="221" t="s">
        <v>217</v>
      </c>
      <c r="AF658" s="117"/>
      <c r="AG658" s="117"/>
      <c r="AH658" s="64"/>
      <c r="AI658" s="117"/>
      <c r="AJ658" s="221"/>
      <c r="AK658" s="221"/>
      <c r="AL658" s="117"/>
      <c r="AM658" s="221"/>
    </row>
    <row r="659" spans="1:39" ht="12.75" hidden="1" customHeight="1">
      <c r="A659" s="147">
        <v>658</v>
      </c>
      <c r="B659" s="223">
        <v>213583</v>
      </c>
      <c r="C659" s="221" t="s">
        <v>128</v>
      </c>
      <c r="D659" s="57">
        <v>43087</v>
      </c>
      <c r="E659" s="160" t="s">
        <v>1504</v>
      </c>
      <c r="F659" s="222">
        <v>43104</v>
      </c>
      <c r="G659" s="221">
        <f t="shared" si="32"/>
        <v>17</v>
      </c>
      <c r="H659" s="221" t="s">
        <v>133</v>
      </c>
      <c r="I659" s="221"/>
      <c r="J659" s="221" t="s">
        <v>614</v>
      </c>
      <c r="K659" s="94"/>
      <c r="L659" s="221"/>
      <c r="M659" s="221"/>
      <c r="N659" s="221"/>
      <c r="O659" s="227">
        <f t="shared" si="33"/>
        <v>0</v>
      </c>
      <c r="P659" s="224" t="s">
        <v>263</v>
      </c>
      <c r="Q659" s="224" t="s">
        <v>1341</v>
      </c>
      <c r="R659" s="221" t="s">
        <v>122</v>
      </c>
      <c r="S659" s="225" t="s">
        <v>469</v>
      </c>
      <c r="T659" s="221" t="s">
        <v>1541</v>
      </c>
      <c r="U659" s="221" t="s">
        <v>1542</v>
      </c>
      <c r="V659" s="221" t="s">
        <v>249</v>
      </c>
      <c r="W659" s="221"/>
      <c r="X659" s="221"/>
      <c r="Y659" s="221"/>
      <c r="Z659" s="221" t="s">
        <v>296</v>
      </c>
      <c r="AA659" s="221"/>
      <c r="AB659" s="221"/>
      <c r="AC659" s="226">
        <f t="shared" si="31"/>
        <v>0</v>
      </c>
      <c r="AD659" s="221"/>
      <c r="AE659" s="117"/>
      <c r="AF659" s="221"/>
      <c r="AG659" s="221"/>
      <c r="AH659" s="64" t="s">
        <v>1611</v>
      </c>
      <c r="AI659" s="221"/>
      <c r="AJ659" s="221"/>
      <c r="AK659" s="221"/>
      <c r="AL659" s="221"/>
      <c r="AM659" s="221"/>
    </row>
    <row r="660" spans="1:39" ht="12.75" hidden="1" customHeight="1">
      <c r="A660" s="147">
        <v>659</v>
      </c>
      <c r="B660" s="223">
        <v>213111</v>
      </c>
      <c r="C660" s="221" t="s">
        <v>128</v>
      </c>
      <c r="D660" s="57">
        <v>43087</v>
      </c>
      <c r="E660" s="160" t="s">
        <v>1504</v>
      </c>
      <c r="F660" s="118">
        <v>43110</v>
      </c>
      <c r="G660" s="117">
        <f t="shared" si="32"/>
        <v>23</v>
      </c>
      <c r="H660" s="146" t="s">
        <v>133</v>
      </c>
      <c r="I660" s="221"/>
      <c r="J660" s="221" t="s">
        <v>614</v>
      </c>
      <c r="K660" s="94">
        <v>1099</v>
      </c>
      <c r="L660" s="221">
        <v>1099</v>
      </c>
      <c r="M660" s="221"/>
      <c r="N660" s="117"/>
      <c r="O660" s="227">
        <f t="shared" si="33"/>
        <v>0</v>
      </c>
      <c r="P660" s="82" t="s">
        <v>261</v>
      </c>
      <c r="Q660" s="82" t="s">
        <v>1341</v>
      </c>
      <c r="R660" s="147" t="s">
        <v>143</v>
      </c>
      <c r="S660" s="225" t="s">
        <v>465</v>
      </c>
      <c r="T660" s="147" t="s">
        <v>120</v>
      </c>
      <c r="U660" s="221" t="s">
        <v>1613</v>
      </c>
      <c r="V660" s="117" t="s">
        <v>1614</v>
      </c>
      <c r="W660" s="117"/>
      <c r="X660" s="117"/>
      <c r="Y660" s="117"/>
      <c r="Z660" s="117" t="s">
        <v>137</v>
      </c>
      <c r="AA660" s="222"/>
      <c r="AB660" s="117"/>
      <c r="AC660" s="63">
        <f t="shared" si="31"/>
        <v>0</v>
      </c>
      <c r="AD660" s="117"/>
      <c r="AE660" s="221" t="s">
        <v>217</v>
      </c>
      <c r="AF660" s="117" t="s">
        <v>225</v>
      </c>
      <c r="AG660" s="117"/>
      <c r="AH660" s="64"/>
      <c r="AI660" s="117"/>
      <c r="AJ660" s="221"/>
      <c r="AK660" s="221"/>
      <c r="AL660" s="117"/>
      <c r="AM660" s="221"/>
    </row>
    <row r="661" spans="1:39" ht="12.75" hidden="1" customHeight="1">
      <c r="A661" s="147">
        <v>660</v>
      </c>
      <c r="B661" s="223">
        <v>213375</v>
      </c>
      <c r="C661" s="221" t="s">
        <v>1130</v>
      </c>
      <c r="D661" s="57">
        <v>43088</v>
      </c>
      <c r="E661" s="160" t="s">
        <v>1504</v>
      </c>
      <c r="F661" s="118">
        <v>43102</v>
      </c>
      <c r="G661" s="221">
        <f t="shared" si="32"/>
        <v>14</v>
      </c>
      <c r="H661" s="221" t="s">
        <v>133</v>
      </c>
      <c r="I661" s="221"/>
      <c r="J661" s="221" t="s">
        <v>614</v>
      </c>
      <c r="K661" s="94">
        <v>1031</v>
      </c>
      <c r="L661" s="221">
        <v>1031</v>
      </c>
      <c r="M661" s="117">
        <v>190</v>
      </c>
      <c r="N661" s="117">
        <v>80</v>
      </c>
      <c r="O661" s="227">
        <f t="shared" si="33"/>
        <v>779.14</v>
      </c>
      <c r="P661" s="224" t="s">
        <v>264</v>
      </c>
      <c r="Q661" s="230" t="s">
        <v>1342</v>
      </c>
      <c r="R661" s="228" t="s">
        <v>143</v>
      </c>
      <c r="S661" s="225" t="s">
        <v>465</v>
      </c>
      <c r="T661" s="221" t="s">
        <v>88</v>
      </c>
      <c r="U661" s="221" t="s">
        <v>1598</v>
      </c>
      <c r="V661" s="117" t="s">
        <v>432</v>
      </c>
      <c r="W661" s="117"/>
      <c r="X661" s="117"/>
      <c r="Y661" s="117" t="s">
        <v>316</v>
      </c>
      <c r="Z661" s="117" t="s">
        <v>189</v>
      </c>
      <c r="AA661" s="222">
        <v>43089</v>
      </c>
      <c r="AB661" s="117" t="s">
        <v>140</v>
      </c>
      <c r="AC661" s="63">
        <f t="shared" si="31"/>
        <v>1</v>
      </c>
      <c r="AD661" s="221" t="s">
        <v>217</v>
      </c>
      <c r="AE661" s="221" t="s">
        <v>218</v>
      </c>
      <c r="AF661" s="117"/>
      <c r="AG661" s="117"/>
      <c r="AH661" s="64"/>
      <c r="AI661" s="117" t="s">
        <v>184</v>
      </c>
      <c r="AJ661" s="222">
        <v>43104</v>
      </c>
      <c r="AK661" s="221" t="s">
        <v>1645</v>
      </c>
      <c r="AL661" s="117" t="s">
        <v>609</v>
      </c>
      <c r="AM661" s="222">
        <v>43105</v>
      </c>
    </row>
    <row r="662" spans="1:39" ht="12.75" hidden="1" customHeight="1">
      <c r="A662" s="147">
        <v>661</v>
      </c>
      <c r="B662" s="223">
        <v>213661</v>
      </c>
      <c r="C662" s="221" t="s">
        <v>1130</v>
      </c>
      <c r="D662" s="57">
        <v>43088</v>
      </c>
      <c r="E662" s="160" t="s">
        <v>1504</v>
      </c>
      <c r="F662" s="118">
        <v>43113</v>
      </c>
      <c r="G662" s="221">
        <f t="shared" si="32"/>
        <v>25</v>
      </c>
      <c r="H662" s="146" t="s">
        <v>133</v>
      </c>
      <c r="I662" s="117"/>
      <c r="J662" s="146" t="s">
        <v>614</v>
      </c>
      <c r="K662" s="94"/>
      <c r="L662" s="221"/>
      <c r="M662" s="221"/>
      <c r="N662" s="117"/>
      <c r="O662" s="227">
        <f t="shared" si="33"/>
        <v>0</v>
      </c>
      <c r="P662" s="82" t="s">
        <v>261</v>
      </c>
      <c r="Q662" s="82" t="s">
        <v>1341</v>
      </c>
      <c r="R662" s="147" t="s">
        <v>143</v>
      </c>
      <c r="S662" s="225" t="s">
        <v>465</v>
      </c>
      <c r="T662" s="221" t="s">
        <v>88</v>
      </c>
      <c r="U662" s="117" t="s">
        <v>89</v>
      </c>
      <c r="V662" s="117" t="s">
        <v>90</v>
      </c>
      <c r="W662" s="117"/>
      <c r="X662" s="117"/>
      <c r="Y662" s="117"/>
      <c r="Z662" s="117" t="s">
        <v>189</v>
      </c>
      <c r="AA662" s="221"/>
      <c r="AB662" s="117"/>
      <c r="AC662" s="63">
        <f t="shared" si="31"/>
        <v>0</v>
      </c>
      <c r="AD662" s="117"/>
      <c r="AE662" s="221"/>
      <c r="AF662" s="117"/>
      <c r="AG662" s="117"/>
      <c r="AH662" s="64" t="s">
        <v>1600</v>
      </c>
      <c r="AI662" s="117"/>
      <c r="AJ662" s="117"/>
      <c r="AK662" s="221"/>
      <c r="AL662" s="117"/>
      <c r="AM662" s="117"/>
    </row>
    <row r="663" spans="1:39" ht="12.75" hidden="1" customHeight="1">
      <c r="A663" s="147">
        <v>662</v>
      </c>
      <c r="B663" s="223">
        <v>213808</v>
      </c>
      <c r="C663" s="221" t="s">
        <v>1130</v>
      </c>
      <c r="D663" s="57">
        <v>43088</v>
      </c>
      <c r="E663" s="160" t="s">
        <v>1504</v>
      </c>
      <c r="F663" s="222">
        <v>43105</v>
      </c>
      <c r="G663" s="221">
        <f t="shared" si="32"/>
        <v>17</v>
      </c>
      <c r="H663" s="221" t="s">
        <v>133</v>
      </c>
      <c r="I663" s="117"/>
      <c r="J663" s="221" t="s">
        <v>614</v>
      </c>
      <c r="K663" s="94">
        <v>1899</v>
      </c>
      <c r="L663" s="221">
        <v>1899</v>
      </c>
      <c r="M663" s="221">
        <v>570</v>
      </c>
      <c r="N663" s="117">
        <v>195</v>
      </c>
      <c r="O663" s="227">
        <f t="shared" si="33"/>
        <v>1215.06</v>
      </c>
      <c r="P663" s="224" t="s">
        <v>264</v>
      </c>
      <c r="Q663" s="230" t="s">
        <v>1342</v>
      </c>
      <c r="R663" s="147" t="s">
        <v>143</v>
      </c>
      <c r="S663" s="225" t="s">
        <v>465</v>
      </c>
      <c r="T663" s="221" t="s">
        <v>88</v>
      </c>
      <c r="U663" s="221" t="s">
        <v>89</v>
      </c>
      <c r="V663" s="117" t="s">
        <v>90</v>
      </c>
      <c r="W663" s="117"/>
      <c r="X663" s="117"/>
      <c r="Y663" s="221" t="s">
        <v>1228</v>
      </c>
      <c r="Z663" s="117" t="s">
        <v>189</v>
      </c>
      <c r="AA663" s="222">
        <v>43089</v>
      </c>
      <c r="AB663" s="117" t="s">
        <v>140</v>
      </c>
      <c r="AC663" s="63">
        <f t="shared" si="31"/>
        <v>1</v>
      </c>
      <c r="AD663" s="221" t="s">
        <v>217</v>
      </c>
      <c r="AE663" s="221" t="s">
        <v>218</v>
      </c>
      <c r="AF663" s="117"/>
      <c r="AG663" s="117"/>
      <c r="AH663" s="64"/>
      <c r="AI663" s="117"/>
      <c r="AJ663" s="221"/>
      <c r="AK663" s="221"/>
      <c r="AL663" s="117"/>
      <c r="AM663" s="221"/>
    </row>
    <row r="664" spans="1:39" ht="12.75" hidden="1" customHeight="1">
      <c r="A664" s="147">
        <v>663</v>
      </c>
      <c r="B664" s="223">
        <v>213963</v>
      </c>
      <c r="C664" s="221" t="s">
        <v>128</v>
      </c>
      <c r="D664" s="57">
        <v>43089</v>
      </c>
      <c r="E664" s="160" t="s">
        <v>1504</v>
      </c>
      <c r="F664" s="222">
        <v>43105</v>
      </c>
      <c r="G664" s="221">
        <f t="shared" si="32"/>
        <v>16</v>
      </c>
      <c r="H664" s="221" t="s">
        <v>133</v>
      </c>
      <c r="I664" s="117"/>
      <c r="J664" s="146" t="s">
        <v>614</v>
      </c>
      <c r="K664" s="94">
        <v>1299</v>
      </c>
      <c r="L664" s="146">
        <v>1299</v>
      </c>
      <c r="M664" s="117">
        <v>130</v>
      </c>
      <c r="N664" s="117">
        <v>100</v>
      </c>
      <c r="O664" s="227">
        <f t="shared" si="33"/>
        <v>1091.06</v>
      </c>
      <c r="P664" s="224" t="s">
        <v>264</v>
      </c>
      <c r="Q664" s="230" t="s">
        <v>1342</v>
      </c>
      <c r="R664" s="147" t="s">
        <v>143</v>
      </c>
      <c r="S664" s="225" t="s">
        <v>465</v>
      </c>
      <c r="T664" s="221" t="s">
        <v>88</v>
      </c>
      <c r="U664" s="221" t="s">
        <v>695</v>
      </c>
      <c r="V664" s="221" t="s">
        <v>1601</v>
      </c>
      <c r="W664" s="117"/>
      <c r="X664" s="117"/>
      <c r="Y664" s="117" t="s">
        <v>189</v>
      </c>
      <c r="Z664" s="117" t="s">
        <v>235</v>
      </c>
      <c r="AA664" s="222">
        <v>43089</v>
      </c>
      <c r="AB664" s="117" t="s">
        <v>195</v>
      </c>
      <c r="AC664" s="63">
        <f t="shared" si="31"/>
        <v>1</v>
      </c>
      <c r="AD664" s="221" t="s">
        <v>217</v>
      </c>
      <c r="AE664" s="221" t="s">
        <v>218</v>
      </c>
      <c r="AF664" s="117"/>
      <c r="AG664" s="117"/>
      <c r="AH664" s="64"/>
      <c r="AI664" s="117"/>
      <c r="AJ664" s="221"/>
      <c r="AK664" s="221"/>
      <c r="AL664" s="117"/>
      <c r="AM664" s="221"/>
    </row>
    <row r="665" spans="1:39" ht="12.75" hidden="1" customHeight="1">
      <c r="A665" s="147">
        <v>664</v>
      </c>
      <c r="B665" s="223">
        <v>213778</v>
      </c>
      <c r="C665" s="117" t="s">
        <v>128</v>
      </c>
      <c r="D665" s="57">
        <v>43089</v>
      </c>
      <c r="E665" s="160" t="s">
        <v>1504</v>
      </c>
      <c r="F665" s="222">
        <v>43106</v>
      </c>
      <c r="G665" s="221">
        <f t="shared" si="32"/>
        <v>17</v>
      </c>
      <c r="H665" s="221" t="s">
        <v>133</v>
      </c>
      <c r="I665" s="221"/>
      <c r="J665" s="221" t="s">
        <v>614</v>
      </c>
      <c r="K665" s="94"/>
      <c r="L665" s="221"/>
      <c r="M665" s="117"/>
      <c r="N665" s="117"/>
      <c r="O665" s="227">
        <f t="shared" si="33"/>
        <v>0</v>
      </c>
      <c r="P665" s="224" t="s">
        <v>264</v>
      </c>
      <c r="Q665" s="224" t="s">
        <v>1342</v>
      </c>
      <c r="R665" s="221" t="s">
        <v>501</v>
      </c>
      <c r="S665" s="225" t="s">
        <v>466</v>
      </c>
      <c r="T665" s="117" t="s">
        <v>405</v>
      </c>
      <c r="U665" s="221" t="s">
        <v>1277</v>
      </c>
      <c r="V665" s="117" t="s">
        <v>1092</v>
      </c>
      <c r="W665" s="117"/>
      <c r="X665" s="117"/>
      <c r="Y665" s="117"/>
      <c r="Z665" s="117" t="s">
        <v>259</v>
      </c>
      <c r="AA665" s="221"/>
      <c r="AB665" s="117"/>
      <c r="AC665" s="226">
        <f t="shared" si="31"/>
        <v>0</v>
      </c>
      <c r="AD665" s="117"/>
      <c r="AE665" s="221" t="s">
        <v>217</v>
      </c>
      <c r="AF665" s="117" t="s">
        <v>225</v>
      </c>
      <c r="AG665" s="117"/>
      <c r="AH665" s="64" t="s">
        <v>1602</v>
      </c>
      <c r="AI665" s="117"/>
      <c r="AJ665" s="221"/>
      <c r="AK665" s="221"/>
      <c r="AL665" s="117"/>
      <c r="AM665" s="221"/>
    </row>
    <row r="666" spans="1:39" ht="12.75" hidden="1" customHeight="1">
      <c r="A666" s="147">
        <v>665</v>
      </c>
      <c r="B666" s="223">
        <v>213723</v>
      </c>
      <c r="C666" s="117" t="s">
        <v>121</v>
      </c>
      <c r="D666" s="57">
        <v>43089</v>
      </c>
      <c r="E666" s="160" t="s">
        <v>1504</v>
      </c>
      <c r="F666" s="222">
        <v>43101</v>
      </c>
      <c r="G666" s="221">
        <f t="shared" si="32"/>
        <v>12</v>
      </c>
      <c r="H666" s="221" t="s">
        <v>133</v>
      </c>
      <c r="I666" s="221"/>
      <c r="J666" s="221" t="s">
        <v>614</v>
      </c>
      <c r="K666" s="94">
        <v>2299</v>
      </c>
      <c r="L666" s="221">
        <v>2299</v>
      </c>
      <c r="M666" s="117">
        <v>111</v>
      </c>
      <c r="N666" s="117">
        <v>298</v>
      </c>
      <c r="O666" s="227">
        <f t="shared" si="33"/>
        <v>1863.06</v>
      </c>
      <c r="P666" s="224" t="s">
        <v>264</v>
      </c>
      <c r="Q666" s="230" t="s">
        <v>1342</v>
      </c>
      <c r="R666" s="147" t="s">
        <v>143</v>
      </c>
      <c r="S666" s="225" t="s">
        <v>465</v>
      </c>
      <c r="T666" s="117" t="s">
        <v>114</v>
      </c>
      <c r="U666" s="221" t="s">
        <v>1603</v>
      </c>
      <c r="V666" s="117" t="s">
        <v>1604</v>
      </c>
      <c r="W666" s="117"/>
      <c r="X666" s="117"/>
      <c r="Y666" s="221" t="s">
        <v>1942</v>
      </c>
      <c r="Z666" s="117" t="s">
        <v>367</v>
      </c>
      <c r="AA666" s="222">
        <v>43090</v>
      </c>
      <c r="AB666" s="117" t="s">
        <v>195</v>
      </c>
      <c r="AC666" s="63">
        <f t="shared" si="31"/>
        <v>1</v>
      </c>
      <c r="AD666" s="221" t="s">
        <v>217</v>
      </c>
      <c r="AE666" s="221" t="s">
        <v>218</v>
      </c>
      <c r="AF666" s="117"/>
      <c r="AG666" s="117"/>
      <c r="AH666" s="64"/>
      <c r="AI666" s="117" t="s">
        <v>184</v>
      </c>
      <c r="AJ666" s="222">
        <v>43095</v>
      </c>
      <c r="AK666" s="221" t="s">
        <v>1615</v>
      </c>
      <c r="AL666" s="117" t="s">
        <v>609</v>
      </c>
      <c r="AM666" s="222">
        <v>43095</v>
      </c>
    </row>
    <row r="667" spans="1:39" ht="12.75" hidden="1" customHeight="1">
      <c r="A667" s="147">
        <v>666</v>
      </c>
      <c r="B667" s="223">
        <v>213775</v>
      </c>
      <c r="C667" s="117" t="s">
        <v>1130</v>
      </c>
      <c r="D667" s="57">
        <v>43089</v>
      </c>
      <c r="E667" s="160" t="s">
        <v>1504</v>
      </c>
      <c r="F667" s="222">
        <v>43105</v>
      </c>
      <c r="G667" s="221">
        <f t="shared" si="32"/>
        <v>16</v>
      </c>
      <c r="H667" s="221" t="s">
        <v>133</v>
      </c>
      <c r="I667" s="117"/>
      <c r="J667" s="221" t="s">
        <v>614</v>
      </c>
      <c r="K667" s="94">
        <v>1499</v>
      </c>
      <c r="L667" s="221">
        <v>1499</v>
      </c>
      <c r="M667" s="221">
        <v>190</v>
      </c>
      <c r="N667" s="117">
        <v>120</v>
      </c>
      <c r="O667" s="227">
        <f t="shared" si="33"/>
        <v>1219.06</v>
      </c>
      <c r="P667" s="82" t="s">
        <v>261</v>
      </c>
      <c r="Q667" s="82" t="s">
        <v>1341</v>
      </c>
      <c r="R667" s="147" t="s">
        <v>143</v>
      </c>
      <c r="S667" s="225" t="s">
        <v>465</v>
      </c>
      <c r="T667" s="221" t="s">
        <v>88</v>
      </c>
      <c r="U667" s="117" t="s">
        <v>1606</v>
      </c>
      <c r="V667" s="117" t="s">
        <v>432</v>
      </c>
      <c r="W667" s="117"/>
      <c r="X667" s="117"/>
      <c r="Y667" s="117" t="s">
        <v>1228</v>
      </c>
      <c r="Z667" s="117" t="s">
        <v>189</v>
      </c>
      <c r="AA667" s="222">
        <v>43097</v>
      </c>
      <c r="AB667" s="117" t="s">
        <v>872</v>
      </c>
      <c r="AC667" s="63">
        <f t="shared" si="31"/>
        <v>1</v>
      </c>
      <c r="AD667" s="221" t="s">
        <v>217</v>
      </c>
      <c r="AE667" s="221" t="s">
        <v>218</v>
      </c>
      <c r="AF667" s="117"/>
      <c r="AG667" s="117"/>
      <c r="AH667" s="64"/>
      <c r="AI667" s="117" t="s">
        <v>184</v>
      </c>
      <c r="AJ667" s="222">
        <v>42740</v>
      </c>
      <c r="AK667" s="221" t="s">
        <v>1650</v>
      </c>
      <c r="AL667" s="117" t="s">
        <v>609</v>
      </c>
      <c r="AM667" s="222">
        <v>43105</v>
      </c>
    </row>
    <row r="668" spans="1:39" ht="12.75" hidden="1" customHeight="1">
      <c r="A668" s="147">
        <v>667</v>
      </c>
      <c r="B668" s="60">
        <v>213791</v>
      </c>
      <c r="C668" s="117" t="s">
        <v>1130</v>
      </c>
      <c r="D668" s="57">
        <v>43089</v>
      </c>
      <c r="E668" s="160" t="s">
        <v>1504</v>
      </c>
      <c r="F668" s="222">
        <v>43100</v>
      </c>
      <c r="G668" s="221">
        <f t="shared" si="32"/>
        <v>11</v>
      </c>
      <c r="H668" s="221" t="s">
        <v>133</v>
      </c>
      <c r="I668" s="117" t="s">
        <v>84</v>
      </c>
      <c r="J668" s="221" t="s">
        <v>614</v>
      </c>
      <c r="K668" s="94"/>
      <c r="L668" s="221"/>
      <c r="M668" s="221"/>
      <c r="N668" s="117"/>
      <c r="O668" s="227">
        <f t="shared" si="33"/>
        <v>0</v>
      </c>
      <c r="P668" s="224" t="s">
        <v>264</v>
      </c>
      <c r="Q668" s="230" t="s">
        <v>1342</v>
      </c>
      <c r="R668" s="228" t="s">
        <v>134</v>
      </c>
      <c r="S668" s="225" t="s">
        <v>465</v>
      </c>
      <c r="T668" s="221" t="s">
        <v>1011</v>
      </c>
      <c r="U668" s="221" t="s">
        <v>1607</v>
      </c>
      <c r="V668" s="221" t="s">
        <v>1608</v>
      </c>
      <c r="W668" s="117"/>
      <c r="X668" s="117"/>
      <c r="Y668" s="221"/>
      <c r="Z668" s="117" t="s">
        <v>315</v>
      </c>
      <c r="AA668" s="221"/>
      <c r="AB668" s="117"/>
      <c r="AC668" s="63">
        <f t="shared" si="31"/>
        <v>0</v>
      </c>
      <c r="AD668" s="117"/>
      <c r="AE668" s="221"/>
      <c r="AF668" s="117"/>
      <c r="AG668" s="117"/>
      <c r="AH668" s="126" t="s">
        <v>1610</v>
      </c>
      <c r="AI668" s="221"/>
      <c r="AJ668" s="221"/>
      <c r="AK668" s="221"/>
      <c r="AL668" s="221"/>
      <c r="AM668" s="221"/>
    </row>
    <row r="669" spans="1:39" ht="12.75" hidden="1" customHeight="1">
      <c r="A669" s="147">
        <v>668</v>
      </c>
      <c r="B669" s="223">
        <v>214302</v>
      </c>
      <c r="C669" s="117" t="s">
        <v>128</v>
      </c>
      <c r="D669" s="57">
        <v>43095</v>
      </c>
      <c r="E669" s="160" t="s">
        <v>1504</v>
      </c>
      <c r="F669" s="222">
        <v>43110</v>
      </c>
      <c r="G669" s="221">
        <f t="shared" si="32"/>
        <v>15</v>
      </c>
      <c r="H669" s="221" t="s">
        <v>133</v>
      </c>
      <c r="I669" s="117"/>
      <c r="J669" s="221" t="s">
        <v>614</v>
      </c>
      <c r="K669" s="94">
        <v>3999</v>
      </c>
      <c r="L669" s="221">
        <v>3999</v>
      </c>
      <c r="M669" s="221">
        <v>570</v>
      </c>
      <c r="N669" s="117">
        <v>107.4</v>
      </c>
      <c r="O669" s="227">
        <f t="shared" si="33"/>
        <v>3189.06</v>
      </c>
      <c r="P669" s="224" t="s">
        <v>264</v>
      </c>
      <c r="Q669" s="224" t="s">
        <v>1342</v>
      </c>
      <c r="R669" s="221" t="s">
        <v>254</v>
      </c>
      <c r="S669" s="225" t="s">
        <v>466</v>
      </c>
      <c r="T669" s="117" t="s">
        <v>313</v>
      </c>
      <c r="U669" s="221" t="s">
        <v>1612</v>
      </c>
      <c r="V669" s="117" t="s">
        <v>257</v>
      </c>
      <c r="W669" s="117"/>
      <c r="X669" s="117"/>
      <c r="Y669" s="117" t="s">
        <v>316</v>
      </c>
      <c r="Z669" s="117" t="s">
        <v>259</v>
      </c>
      <c r="AA669" s="222">
        <v>43095</v>
      </c>
      <c r="AB669" s="117" t="s">
        <v>140</v>
      </c>
      <c r="AC669" s="226">
        <f>+IF(O669&gt;0,1,0)</f>
        <v>1</v>
      </c>
      <c r="AD669" s="221" t="s">
        <v>217</v>
      </c>
      <c r="AE669" s="221" t="s">
        <v>218</v>
      </c>
      <c r="AF669" s="117"/>
      <c r="AG669" s="117"/>
      <c r="AH669" s="64"/>
      <c r="AI669" s="117" t="s">
        <v>184</v>
      </c>
      <c r="AJ669" s="222">
        <v>43115</v>
      </c>
      <c r="AK669" s="221" t="s">
        <v>1786</v>
      </c>
      <c r="AL669" s="117" t="s">
        <v>609</v>
      </c>
      <c r="AM669" s="222">
        <v>43118</v>
      </c>
    </row>
    <row r="670" spans="1:39" ht="12.75" hidden="1" customHeight="1">
      <c r="A670" s="147">
        <v>669</v>
      </c>
      <c r="B670" s="223">
        <v>214117</v>
      </c>
      <c r="C670" s="117" t="s">
        <v>121</v>
      </c>
      <c r="D670" s="57">
        <v>43095</v>
      </c>
      <c r="E670" s="160" t="s">
        <v>1504</v>
      </c>
      <c r="F670" s="222">
        <v>43105</v>
      </c>
      <c r="G670" s="221">
        <f t="shared" si="32"/>
        <v>10</v>
      </c>
      <c r="H670" s="146" t="s">
        <v>133</v>
      </c>
      <c r="I670" s="221"/>
      <c r="J670" s="221" t="s">
        <v>614</v>
      </c>
      <c r="K670" s="94"/>
      <c r="L670" s="221"/>
      <c r="M670" s="221"/>
      <c r="N670" s="117"/>
      <c r="O670" s="227">
        <f t="shared" si="33"/>
        <v>0</v>
      </c>
      <c r="P670" s="224" t="s">
        <v>264</v>
      </c>
      <c r="Q670" s="224" t="s">
        <v>1342</v>
      </c>
      <c r="R670" s="221" t="s">
        <v>210</v>
      </c>
      <c r="S670" s="225" t="s">
        <v>469</v>
      </c>
      <c r="T670" s="221" t="s">
        <v>376</v>
      </c>
      <c r="U670" s="221" t="s">
        <v>1330</v>
      </c>
      <c r="V670" s="117" t="s">
        <v>840</v>
      </c>
      <c r="W670" s="117"/>
      <c r="X670" s="117"/>
      <c r="Y670" s="117"/>
      <c r="Z670" s="117" t="s">
        <v>367</v>
      </c>
      <c r="AA670" s="221"/>
      <c r="AB670" s="117"/>
      <c r="AC670" s="63">
        <f t="shared" ref="AC670:AC732" si="34">+IF(O670&gt;0,1,0)</f>
        <v>0</v>
      </c>
      <c r="AD670" s="117"/>
      <c r="AE670" s="221" t="s">
        <v>217</v>
      </c>
      <c r="AF670" s="117" t="s">
        <v>225</v>
      </c>
      <c r="AG670" s="117"/>
      <c r="AH670" s="64"/>
      <c r="AI670" s="117"/>
      <c r="AJ670" s="117"/>
      <c r="AK670" s="221"/>
      <c r="AL670" s="117"/>
      <c r="AM670" s="117"/>
    </row>
    <row r="671" spans="1:39" ht="12.75" hidden="1" customHeight="1">
      <c r="A671" s="147">
        <v>670</v>
      </c>
      <c r="B671" s="223">
        <v>214003</v>
      </c>
      <c r="C671" s="221" t="s">
        <v>128</v>
      </c>
      <c r="D671" s="57">
        <v>43095</v>
      </c>
      <c r="E671" s="160" t="s">
        <v>1504</v>
      </c>
      <c r="F671" s="222">
        <v>43109</v>
      </c>
      <c r="G671" s="221">
        <f t="shared" si="32"/>
        <v>14</v>
      </c>
      <c r="H671" s="221" t="s">
        <v>133</v>
      </c>
      <c r="I671" s="221"/>
      <c r="J671" s="221" t="s">
        <v>614</v>
      </c>
      <c r="K671" s="94">
        <v>1299</v>
      </c>
      <c r="L671" s="221">
        <v>1299</v>
      </c>
      <c r="M671" s="221">
        <v>168</v>
      </c>
      <c r="N671" s="117">
        <v>105</v>
      </c>
      <c r="O671" s="227">
        <f t="shared" si="33"/>
        <v>1053.06</v>
      </c>
      <c r="P671" s="82" t="s">
        <v>261</v>
      </c>
      <c r="Q671" s="82" t="s">
        <v>1341</v>
      </c>
      <c r="R671" s="147" t="s">
        <v>143</v>
      </c>
      <c r="S671" s="225" t="s">
        <v>465</v>
      </c>
      <c r="T671" s="221" t="s">
        <v>120</v>
      </c>
      <c r="U671" s="221" t="s">
        <v>722</v>
      </c>
      <c r="V671" s="117" t="s">
        <v>519</v>
      </c>
      <c r="W671" s="117"/>
      <c r="X671" s="221"/>
      <c r="Y671" s="117" t="s">
        <v>1616</v>
      </c>
      <c r="Z671" s="221" t="s">
        <v>137</v>
      </c>
      <c r="AA671" s="222">
        <v>43095</v>
      </c>
      <c r="AB671" s="117" t="s">
        <v>1102</v>
      </c>
      <c r="AC671" s="63">
        <f t="shared" si="34"/>
        <v>1</v>
      </c>
      <c r="AD671" s="221" t="s">
        <v>217</v>
      </c>
      <c r="AE671" s="221" t="s">
        <v>218</v>
      </c>
      <c r="AF671" s="117"/>
      <c r="AG671" s="117"/>
      <c r="AH671" s="64"/>
      <c r="AI671" s="117"/>
      <c r="AJ671" s="221"/>
      <c r="AK671" s="221"/>
      <c r="AL671" s="117"/>
      <c r="AM671" s="221"/>
    </row>
    <row r="672" spans="1:39" ht="12.75" hidden="1" customHeight="1">
      <c r="A672" s="147">
        <v>671</v>
      </c>
      <c r="B672" s="223">
        <v>213452</v>
      </c>
      <c r="C672" s="221" t="s">
        <v>1130</v>
      </c>
      <c r="D672" s="57">
        <v>43095</v>
      </c>
      <c r="E672" s="160" t="s">
        <v>1504</v>
      </c>
      <c r="F672" s="222">
        <v>43107</v>
      </c>
      <c r="G672" s="221">
        <f t="shared" si="32"/>
        <v>12</v>
      </c>
      <c r="H672" s="221" t="s">
        <v>133</v>
      </c>
      <c r="I672" s="221"/>
      <c r="J672" s="221" t="s">
        <v>614</v>
      </c>
      <c r="K672" s="94">
        <v>2499</v>
      </c>
      <c r="L672" s="221">
        <v>2499</v>
      </c>
      <c r="M672" s="221">
        <v>360</v>
      </c>
      <c r="N672" s="117">
        <v>370</v>
      </c>
      <c r="O672" s="227">
        <f t="shared" si="33"/>
        <v>1979.06</v>
      </c>
      <c r="P672" s="82" t="s">
        <v>261</v>
      </c>
      <c r="Q672" s="82" t="s">
        <v>1341</v>
      </c>
      <c r="R672" s="147" t="s">
        <v>143</v>
      </c>
      <c r="S672" s="225" t="s">
        <v>465</v>
      </c>
      <c r="T672" s="221" t="s">
        <v>88</v>
      </c>
      <c r="U672" s="221" t="s">
        <v>1466</v>
      </c>
      <c r="V672" s="117" t="s">
        <v>139</v>
      </c>
      <c r="W672" s="117"/>
      <c r="X672" s="117"/>
      <c r="Y672" s="117" t="s">
        <v>316</v>
      </c>
      <c r="Z672" s="221" t="s">
        <v>189</v>
      </c>
      <c r="AA672" s="222">
        <v>43096</v>
      </c>
      <c r="AB672" s="117" t="s">
        <v>872</v>
      </c>
      <c r="AC672" s="63">
        <f t="shared" si="34"/>
        <v>1</v>
      </c>
      <c r="AD672" s="221" t="s">
        <v>217</v>
      </c>
      <c r="AE672" s="221" t="s">
        <v>218</v>
      </c>
      <c r="AF672" s="117"/>
      <c r="AG672" s="117"/>
      <c r="AH672" s="64"/>
      <c r="AI672" s="117" t="s">
        <v>184</v>
      </c>
      <c r="AJ672" s="222">
        <v>43118</v>
      </c>
      <c r="AK672" s="221" t="s">
        <v>1810</v>
      </c>
      <c r="AL672" s="117" t="s">
        <v>609</v>
      </c>
      <c r="AM672" s="222">
        <v>43118</v>
      </c>
    </row>
    <row r="673" spans="1:39" ht="12.75" hidden="1" customHeight="1">
      <c r="A673" s="147">
        <v>672</v>
      </c>
      <c r="B673" s="223">
        <v>214127</v>
      </c>
      <c r="C673" s="221" t="s">
        <v>1130</v>
      </c>
      <c r="D673" s="57">
        <v>43095</v>
      </c>
      <c r="E673" s="160" t="s">
        <v>1504</v>
      </c>
      <c r="F673" s="222">
        <v>43106</v>
      </c>
      <c r="G673" s="221">
        <f t="shared" si="32"/>
        <v>11</v>
      </c>
      <c r="H673" s="221" t="s">
        <v>133</v>
      </c>
      <c r="I673" s="221"/>
      <c r="J673" s="146" t="s">
        <v>614</v>
      </c>
      <c r="K673" s="94">
        <v>1899</v>
      </c>
      <c r="L673" s="221">
        <v>1899</v>
      </c>
      <c r="M673" s="221">
        <v>570</v>
      </c>
      <c r="N673" s="117">
        <v>155</v>
      </c>
      <c r="O673" s="227">
        <f t="shared" si="33"/>
        <v>1215.06</v>
      </c>
      <c r="P673" s="224" t="s">
        <v>264</v>
      </c>
      <c r="Q673" s="230" t="s">
        <v>1342</v>
      </c>
      <c r="R673" s="147" t="s">
        <v>143</v>
      </c>
      <c r="S673" s="225" t="s">
        <v>465</v>
      </c>
      <c r="T673" s="221" t="s">
        <v>88</v>
      </c>
      <c r="U673" s="221" t="s">
        <v>297</v>
      </c>
      <c r="V673" s="117" t="s">
        <v>90</v>
      </c>
      <c r="W673" s="117"/>
      <c r="X673" s="117"/>
      <c r="Y673" s="117" t="s">
        <v>1228</v>
      </c>
      <c r="Z673" s="221" t="s">
        <v>189</v>
      </c>
      <c r="AA673" s="222">
        <v>43096</v>
      </c>
      <c r="AB673" s="117" t="s">
        <v>140</v>
      </c>
      <c r="AC673" s="63">
        <f t="shared" si="34"/>
        <v>1</v>
      </c>
      <c r="AD673" s="221" t="s">
        <v>217</v>
      </c>
      <c r="AE673" s="221" t="s">
        <v>218</v>
      </c>
      <c r="AF673" s="117"/>
      <c r="AG673" s="117"/>
      <c r="AH673" s="64"/>
      <c r="AI673" s="117" t="s">
        <v>184</v>
      </c>
      <c r="AJ673" s="222">
        <v>43105</v>
      </c>
      <c r="AK673" s="221" t="s">
        <v>1654</v>
      </c>
      <c r="AL673" s="117" t="s">
        <v>609</v>
      </c>
      <c r="AM673" s="222">
        <v>43105</v>
      </c>
    </row>
    <row r="674" spans="1:39" ht="12.75" hidden="1" customHeight="1">
      <c r="A674" s="147">
        <v>673</v>
      </c>
      <c r="B674" s="223">
        <v>214247</v>
      </c>
      <c r="C674" s="221" t="s">
        <v>1130</v>
      </c>
      <c r="D674" s="57">
        <v>43095</v>
      </c>
      <c r="E674" s="160" t="s">
        <v>1504</v>
      </c>
      <c r="F674" s="222">
        <v>43107</v>
      </c>
      <c r="G674" s="221">
        <f t="shared" si="32"/>
        <v>12</v>
      </c>
      <c r="H674" s="221" t="s">
        <v>133</v>
      </c>
      <c r="I674" s="117"/>
      <c r="J674" s="146" t="s">
        <v>614</v>
      </c>
      <c r="K674" s="94">
        <v>3788</v>
      </c>
      <c r="L674" s="221">
        <v>3788</v>
      </c>
      <c r="M674" s="221">
        <v>330</v>
      </c>
      <c r="N674" s="117">
        <v>120</v>
      </c>
      <c r="O674" s="227">
        <f t="shared" si="33"/>
        <v>3230.72</v>
      </c>
      <c r="P674" s="224" t="s">
        <v>264</v>
      </c>
      <c r="Q674" s="230" t="s">
        <v>1342</v>
      </c>
      <c r="R674" s="147" t="s">
        <v>143</v>
      </c>
      <c r="S674" s="225" t="s">
        <v>465</v>
      </c>
      <c r="T674" s="221" t="s">
        <v>88</v>
      </c>
      <c r="U674" s="221" t="s">
        <v>1617</v>
      </c>
      <c r="V674" s="221" t="s">
        <v>1019</v>
      </c>
      <c r="W674" s="117"/>
      <c r="X674" s="221"/>
      <c r="Y674" s="221" t="s">
        <v>1228</v>
      </c>
      <c r="Z674" s="221" t="s">
        <v>189</v>
      </c>
      <c r="AA674" s="222">
        <v>43096</v>
      </c>
      <c r="AB674" s="117" t="s">
        <v>140</v>
      </c>
      <c r="AC674" s="63">
        <f t="shared" si="34"/>
        <v>1</v>
      </c>
      <c r="AD674" s="221" t="s">
        <v>217</v>
      </c>
      <c r="AE674" s="221" t="s">
        <v>218</v>
      </c>
      <c r="AF674" s="117"/>
      <c r="AG674" s="117"/>
      <c r="AH674" s="64"/>
      <c r="AI674" s="221" t="s">
        <v>184</v>
      </c>
      <c r="AJ674" s="222">
        <v>43105</v>
      </c>
      <c r="AK674" s="221" t="s">
        <v>1651</v>
      </c>
      <c r="AL674" s="221" t="s">
        <v>609</v>
      </c>
      <c r="AM674" s="222">
        <v>43105</v>
      </c>
    </row>
    <row r="675" spans="1:39" ht="12.75" hidden="1" customHeight="1">
      <c r="A675" s="147">
        <v>674</v>
      </c>
      <c r="B675" s="223">
        <v>214180</v>
      </c>
      <c r="C675" s="221" t="s">
        <v>1130</v>
      </c>
      <c r="D675" s="57">
        <v>43095</v>
      </c>
      <c r="E675" s="160" t="s">
        <v>1504</v>
      </c>
      <c r="F675" s="222">
        <v>43106</v>
      </c>
      <c r="G675" s="221">
        <f t="shared" si="32"/>
        <v>11</v>
      </c>
      <c r="H675" s="221" t="s">
        <v>133</v>
      </c>
      <c r="I675" s="117"/>
      <c r="J675" s="146" t="s">
        <v>614</v>
      </c>
      <c r="K675" s="94">
        <v>999</v>
      </c>
      <c r="L675" s="221">
        <v>999</v>
      </c>
      <c r="M675" s="117">
        <v>190</v>
      </c>
      <c r="N675" s="117">
        <v>80</v>
      </c>
      <c r="O675" s="227">
        <f t="shared" si="33"/>
        <v>749.06</v>
      </c>
      <c r="P675" s="224" t="s">
        <v>264</v>
      </c>
      <c r="Q675" s="230" t="s">
        <v>1342</v>
      </c>
      <c r="R675" s="147" t="s">
        <v>143</v>
      </c>
      <c r="S675" s="225" t="s">
        <v>465</v>
      </c>
      <c r="T675" s="221" t="s">
        <v>88</v>
      </c>
      <c r="U675" s="221" t="s">
        <v>1618</v>
      </c>
      <c r="V675" s="117" t="s">
        <v>432</v>
      </c>
      <c r="W675" s="117"/>
      <c r="X675" s="117"/>
      <c r="Y675" s="221" t="s">
        <v>316</v>
      </c>
      <c r="Z675" s="221" t="s">
        <v>189</v>
      </c>
      <c r="AA675" s="222">
        <v>43096</v>
      </c>
      <c r="AB675" s="117" t="s">
        <v>872</v>
      </c>
      <c r="AC675" s="63">
        <f t="shared" si="34"/>
        <v>1</v>
      </c>
      <c r="AD675" s="221" t="s">
        <v>217</v>
      </c>
      <c r="AE675" s="221" t="s">
        <v>218</v>
      </c>
      <c r="AF675" s="117"/>
      <c r="AG675" s="117"/>
      <c r="AH675" s="64"/>
      <c r="AI675" s="117" t="s">
        <v>184</v>
      </c>
      <c r="AJ675" s="222">
        <v>43104</v>
      </c>
      <c r="AK675" s="221" t="s">
        <v>1647</v>
      </c>
      <c r="AL675" s="117" t="s">
        <v>609</v>
      </c>
      <c r="AM675" s="222">
        <v>43105</v>
      </c>
    </row>
    <row r="676" spans="1:39" ht="12.75" hidden="1" customHeight="1">
      <c r="A676" s="147">
        <v>675</v>
      </c>
      <c r="B676" s="223">
        <v>214164</v>
      </c>
      <c r="C676" s="221" t="s">
        <v>1130</v>
      </c>
      <c r="D676" s="57">
        <v>43095</v>
      </c>
      <c r="E676" s="160" t="s">
        <v>1504</v>
      </c>
      <c r="F676" s="222">
        <v>43106</v>
      </c>
      <c r="G676" s="221">
        <f t="shared" si="32"/>
        <v>11</v>
      </c>
      <c r="H676" s="221" t="s">
        <v>133</v>
      </c>
      <c r="I676" s="117"/>
      <c r="J676" s="146" t="s">
        <v>614</v>
      </c>
      <c r="K676" s="94">
        <v>1499</v>
      </c>
      <c r="L676" s="221">
        <v>1499</v>
      </c>
      <c r="M676" s="221">
        <v>190</v>
      </c>
      <c r="N676" s="117">
        <v>80</v>
      </c>
      <c r="O676" s="227">
        <f t="shared" si="33"/>
        <v>1219.06</v>
      </c>
      <c r="P676" s="224" t="s">
        <v>262</v>
      </c>
      <c r="Q676" s="230" t="s">
        <v>1342</v>
      </c>
      <c r="R676" s="228" t="s">
        <v>143</v>
      </c>
      <c r="S676" s="225" t="s">
        <v>465</v>
      </c>
      <c r="T676" s="221" t="s">
        <v>88</v>
      </c>
      <c r="U676" s="221" t="s">
        <v>963</v>
      </c>
      <c r="V676" s="117" t="s">
        <v>432</v>
      </c>
      <c r="W676" s="117"/>
      <c r="X676" s="117"/>
      <c r="Y676" s="117" t="s">
        <v>316</v>
      </c>
      <c r="Z676" s="221" t="s">
        <v>189</v>
      </c>
      <c r="AA676" s="222">
        <v>43096</v>
      </c>
      <c r="AB676" s="117" t="s">
        <v>872</v>
      </c>
      <c r="AC676" s="63">
        <f t="shared" si="34"/>
        <v>1</v>
      </c>
      <c r="AD676" s="221" t="s">
        <v>217</v>
      </c>
      <c r="AE676" s="221" t="s">
        <v>218</v>
      </c>
      <c r="AF676" s="117"/>
      <c r="AG676" s="117"/>
      <c r="AH676" s="64"/>
      <c r="AI676" s="117" t="s">
        <v>184</v>
      </c>
      <c r="AJ676" s="222">
        <v>43104</v>
      </c>
      <c r="AK676" s="221" t="s">
        <v>1648</v>
      </c>
      <c r="AL676" s="117" t="s">
        <v>609</v>
      </c>
      <c r="AM676" s="222">
        <v>43105</v>
      </c>
    </row>
    <row r="677" spans="1:39" ht="12.75" hidden="1" customHeight="1">
      <c r="A677" s="147">
        <v>676</v>
      </c>
      <c r="B677" s="223">
        <v>214298</v>
      </c>
      <c r="C677" s="117" t="s">
        <v>1130</v>
      </c>
      <c r="D677" s="57">
        <v>43095</v>
      </c>
      <c r="E677" s="160" t="s">
        <v>1504</v>
      </c>
      <c r="F677" s="222">
        <v>43108</v>
      </c>
      <c r="G677" s="221">
        <f t="shared" si="32"/>
        <v>13</v>
      </c>
      <c r="H677" s="221" t="s">
        <v>133</v>
      </c>
      <c r="I677" s="117"/>
      <c r="J677" s="146" t="s">
        <v>614</v>
      </c>
      <c r="K677" s="94">
        <v>1611</v>
      </c>
      <c r="L677" s="221">
        <v>1611</v>
      </c>
      <c r="M677" s="117">
        <v>270</v>
      </c>
      <c r="N677" s="117">
        <v>295</v>
      </c>
      <c r="O677" s="227">
        <f t="shared" si="33"/>
        <v>1219.3399999999999</v>
      </c>
      <c r="P677" s="224" t="s">
        <v>264</v>
      </c>
      <c r="Q677" s="230" t="s">
        <v>1342</v>
      </c>
      <c r="R677" s="147" t="s">
        <v>143</v>
      </c>
      <c r="S677" s="225" t="s">
        <v>465</v>
      </c>
      <c r="T677" s="117" t="s">
        <v>88</v>
      </c>
      <c r="U677" s="221" t="s">
        <v>352</v>
      </c>
      <c r="V677" s="117" t="s">
        <v>136</v>
      </c>
      <c r="W677" s="117"/>
      <c r="X677" s="117"/>
      <c r="Y677" s="117" t="s">
        <v>1228</v>
      </c>
      <c r="Z677" s="117" t="s">
        <v>189</v>
      </c>
      <c r="AA677" s="222">
        <v>43097</v>
      </c>
      <c r="AB677" s="117" t="s">
        <v>872</v>
      </c>
      <c r="AC677" s="63">
        <f t="shared" si="34"/>
        <v>1</v>
      </c>
      <c r="AD677" s="221" t="s">
        <v>217</v>
      </c>
      <c r="AE677" s="221" t="s">
        <v>218</v>
      </c>
      <c r="AF677" s="117"/>
      <c r="AG677" s="117"/>
      <c r="AH677" s="64"/>
      <c r="AI677" s="117" t="s">
        <v>184</v>
      </c>
      <c r="AJ677" s="222">
        <v>43105</v>
      </c>
      <c r="AK677" s="221" t="s">
        <v>1653</v>
      </c>
      <c r="AL677" s="117" t="s">
        <v>609</v>
      </c>
      <c r="AM677" s="222">
        <v>43105</v>
      </c>
    </row>
    <row r="678" spans="1:39" ht="12.75" hidden="1" customHeight="1">
      <c r="A678" s="147">
        <v>677</v>
      </c>
      <c r="B678" s="223">
        <v>214299</v>
      </c>
      <c r="C678" s="117" t="s">
        <v>1130</v>
      </c>
      <c r="D678" s="222">
        <v>43095</v>
      </c>
      <c r="E678" s="160" t="s">
        <v>1504</v>
      </c>
      <c r="F678" s="222">
        <v>43097</v>
      </c>
      <c r="G678" s="221">
        <f t="shared" si="32"/>
        <v>2</v>
      </c>
      <c r="H678" s="221" t="s">
        <v>133</v>
      </c>
      <c r="I678" s="117"/>
      <c r="J678" s="146"/>
      <c r="K678" s="94">
        <v>3799</v>
      </c>
      <c r="L678" s="221"/>
      <c r="M678" s="117">
        <v>290</v>
      </c>
      <c r="N678" s="117">
        <v>220</v>
      </c>
      <c r="O678" s="227">
        <f t="shared" si="33"/>
        <v>3281.06</v>
      </c>
      <c r="P678" s="224" t="s">
        <v>264</v>
      </c>
      <c r="Q678" s="224" t="s">
        <v>1342</v>
      </c>
      <c r="R678" s="221" t="s">
        <v>134</v>
      </c>
      <c r="S678" s="225" t="s">
        <v>465</v>
      </c>
      <c r="T678" s="221" t="s">
        <v>88</v>
      </c>
      <c r="U678" s="221" t="s">
        <v>1460</v>
      </c>
      <c r="V678" s="117" t="s">
        <v>429</v>
      </c>
      <c r="W678" s="117"/>
      <c r="X678" s="117"/>
      <c r="Y678" s="117" t="s">
        <v>1172</v>
      </c>
      <c r="Z678" s="117" t="s">
        <v>189</v>
      </c>
      <c r="AA678" s="221"/>
      <c r="AB678" s="117"/>
      <c r="AC678" s="63">
        <f t="shared" si="34"/>
        <v>1</v>
      </c>
      <c r="AD678" s="221" t="s">
        <v>217</v>
      </c>
      <c r="AE678" s="221" t="s">
        <v>218</v>
      </c>
      <c r="AF678" s="117"/>
      <c r="AG678" s="117"/>
      <c r="AH678" s="64"/>
      <c r="AI678" s="117"/>
      <c r="AJ678" s="221"/>
      <c r="AK678" s="221"/>
      <c r="AL678" s="117"/>
      <c r="AM678" s="221"/>
    </row>
    <row r="679" spans="1:39" s="183" customFormat="1" ht="12.75" hidden="1" customHeight="1">
      <c r="A679" s="147">
        <v>678</v>
      </c>
      <c r="B679" s="223">
        <v>213676</v>
      </c>
      <c r="C679" s="221" t="s">
        <v>128</v>
      </c>
      <c r="D679" s="57">
        <v>43096</v>
      </c>
      <c r="E679" s="160" t="s">
        <v>1504</v>
      </c>
      <c r="F679" s="222">
        <v>43130</v>
      </c>
      <c r="G679" s="221">
        <f t="shared" si="32"/>
        <v>34</v>
      </c>
      <c r="H679" s="221" t="s">
        <v>133</v>
      </c>
      <c r="I679" s="117"/>
      <c r="J679" s="146" t="s">
        <v>614</v>
      </c>
      <c r="K679" s="94">
        <v>2199</v>
      </c>
      <c r="L679" s="221">
        <v>2199</v>
      </c>
      <c r="M679" s="221">
        <v>260</v>
      </c>
      <c r="N679" s="221"/>
      <c r="O679" s="227">
        <f t="shared" si="33"/>
        <v>1807.06</v>
      </c>
      <c r="P679" s="224" t="s">
        <v>263</v>
      </c>
      <c r="Q679" s="224" t="s">
        <v>1341</v>
      </c>
      <c r="R679" s="221" t="s">
        <v>254</v>
      </c>
      <c r="S679" s="225" t="s">
        <v>466</v>
      </c>
      <c r="T679" s="221" t="s">
        <v>255</v>
      </c>
      <c r="U679" s="221" t="s">
        <v>1619</v>
      </c>
      <c r="V679" s="221" t="s">
        <v>257</v>
      </c>
      <c r="W679" s="117"/>
      <c r="X679" s="221"/>
      <c r="Y679" s="221" t="s">
        <v>1459</v>
      </c>
      <c r="Z679" s="221" t="s">
        <v>1160</v>
      </c>
      <c r="AA679" s="222">
        <v>43118</v>
      </c>
      <c r="AB679" s="221" t="s">
        <v>872</v>
      </c>
      <c r="AC679" s="226">
        <f t="shared" si="34"/>
        <v>1</v>
      </c>
      <c r="AD679" s="221" t="s">
        <v>217</v>
      </c>
      <c r="AE679" s="221" t="s">
        <v>218</v>
      </c>
      <c r="AF679" s="221"/>
      <c r="AG679" s="221"/>
      <c r="AH679" s="64"/>
      <c r="AI679" s="221"/>
      <c r="AJ679" s="221"/>
      <c r="AK679" s="221"/>
      <c r="AL679" s="221"/>
      <c r="AM679" s="221"/>
    </row>
    <row r="680" spans="1:39" ht="12.75" hidden="1" customHeight="1">
      <c r="A680" s="147">
        <v>679</v>
      </c>
      <c r="B680" s="223">
        <v>213653</v>
      </c>
      <c r="C680" s="221" t="s">
        <v>1130</v>
      </c>
      <c r="D680" s="57">
        <v>43096</v>
      </c>
      <c r="E680" s="160" t="s">
        <v>1504</v>
      </c>
      <c r="F680" s="222">
        <v>43105</v>
      </c>
      <c r="G680" s="221">
        <f t="shared" si="32"/>
        <v>9</v>
      </c>
      <c r="H680" s="221" t="s">
        <v>133</v>
      </c>
      <c r="I680" s="221"/>
      <c r="J680" s="146" t="s">
        <v>614</v>
      </c>
      <c r="K680" s="94">
        <v>2899</v>
      </c>
      <c r="L680" s="221">
        <v>2899</v>
      </c>
      <c r="M680" s="117">
        <v>70</v>
      </c>
      <c r="N680" s="117">
        <v>110</v>
      </c>
      <c r="O680" s="227">
        <f t="shared" si="33"/>
        <v>2615.06</v>
      </c>
      <c r="P680" s="224" t="s">
        <v>263</v>
      </c>
      <c r="Q680" s="224" t="s">
        <v>1341</v>
      </c>
      <c r="R680" s="221" t="s">
        <v>237</v>
      </c>
      <c r="S680" s="225" t="s">
        <v>465</v>
      </c>
      <c r="T680" s="221" t="s">
        <v>1011</v>
      </c>
      <c r="U680" s="221" t="s">
        <v>1620</v>
      </c>
      <c r="V680" s="221" t="s">
        <v>1621</v>
      </c>
      <c r="W680" s="117"/>
      <c r="X680" s="117"/>
      <c r="Y680" s="117" t="s">
        <v>203</v>
      </c>
      <c r="Z680" s="221" t="s">
        <v>315</v>
      </c>
      <c r="AA680" s="222">
        <v>43097</v>
      </c>
      <c r="AB680" s="117" t="s">
        <v>1102</v>
      </c>
      <c r="AC680" s="63">
        <f t="shared" si="34"/>
        <v>1</v>
      </c>
      <c r="AD680" s="221" t="s">
        <v>217</v>
      </c>
      <c r="AE680" s="221" t="s">
        <v>218</v>
      </c>
      <c r="AF680" s="117"/>
      <c r="AG680" s="117"/>
      <c r="AH680" s="64"/>
      <c r="AI680" s="117"/>
      <c r="AJ680" s="221"/>
      <c r="AK680" s="221"/>
      <c r="AL680" s="117"/>
      <c r="AM680" s="221"/>
    </row>
    <row r="681" spans="1:39" ht="12.75" hidden="1" customHeight="1">
      <c r="A681" s="147">
        <v>680</v>
      </c>
      <c r="B681" s="138">
        <v>213504</v>
      </c>
      <c r="C681" s="225" t="s">
        <v>128</v>
      </c>
      <c r="D681" s="77">
        <v>43097</v>
      </c>
      <c r="E681" s="258" t="s">
        <v>1504</v>
      </c>
      <c r="F681" s="77">
        <v>43111</v>
      </c>
      <c r="G681" s="225">
        <f t="shared" si="32"/>
        <v>14</v>
      </c>
      <c r="H681" s="221" t="s">
        <v>133</v>
      </c>
      <c r="I681" s="221"/>
      <c r="J681" s="146" t="s">
        <v>614</v>
      </c>
      <c r="K681" s="259">
        <v>1799</v>
      </c>
      <c r="L681" s="225">
        <v>1799</v>
      </c>
      <c r="M681" s="225">
        <v>320</v>
      </c>
      <c r="N681" s="225">
        <v>230</v>
      </c>
      <c r="O681" s="227">
        <f t="shared" si="33"/>
        <v>1371.06</v>
      </c>
      <c r="P681" s="260" t="s">
        <v>261</v>
      </c>
      <c r="Q681" s="260" t="s">
        <v>1341</v>
      </c>
      <c r="R681" s="225" t="s">
        <v>122</v>
      </c>
      <c r="S681" s="225" t="s">
        <v>469</v>
      </c>
      <c r="T681" s="225" t="s">
        <v>829</v>
      </c>
      <c r="U681" s="225" t="s">
        <v>1622</v>
      </c>
      <c r="V681" s="225" t="s">
        <v>90</v>
      </c>
      <c r="W681" s="117"/>
      <c r="X681" s="117"/>
      <c r="Y681" s="225" t="s">
        <v>1623</v>
      </c>
      <c r="Z681" s="225" t="s">
        <v>296</v>
      </c>
      <c r="AA681" s="77">
        <v>43097</v>
      </c>
      <c r="AB681" s="225" t="s">
        <v>140</v>
      </c>
      <c r="AC681" s="261">
        <f t="shared" si="34"/>
        <v>1</v>
      </c>
      <c r="AD681" s="221" t="s">
        <v>217</v>
      </c>
      <c r="AE681" s="221" t="s">
        <v>218</v>
      </c>
      <c r="AF681" s="225"/>
      <c r="AG681" s="225"/>
      <c r="AH681" s="140"/>
      <c r="AI681" s="225" t="s">
        <v>184</v>
      </c>
      <c r="AJ681" s="77">
        <v>43104</v>
      </c>
      <c r="AK681" s="225" t="s">
        <v>1655</v>
      </c>
      <c r="AL681" s="225" t="s">
        <v>1423</v>
      </c>
      <c r="AM681" s="77">
        <v>43105</v>
      </c>
    </row>
    <row r="682" spans="1:39" ht="12.75" hidden="1" customHeight="1">
      <c r="A682" s="147">
        <v>681</v>
      </c>
      <c r="B682" s="223">
        <v>214183</v>
      </c>
      <c r="C682" s="117" t="s">
        <v>1130</v>
      </c>
      <c r="D682" s="57">
        <v>43097</v>
      </c>
      <c r="E682" s="160" t="s">
        <v>1504</v>
      </c>
      <c r="F682" s="222">
        <v>43107</v>
      </c>
      <c r="G682" s="221">
        <f t="shared" si="32"/>
        <v>10</v>
      </c>
      <c r="H682" s="221" t="s">
        <v>133</v>
      </c>
      <c r="I682" s="117"/>
      <c r="J682" s="146" t="s">
        <v>614</v>
      </c>
      <c r="K682" s="94">
        <v>1899</v>
      </c>
      <c r="L682" s="146">
        <v>1899</v>
      </c>
      <c r="M682" s="117">
        <v>570</v>
      </c>
      <c r="N682" s="117">
        <v>185</v>
      </c>
      <c r="O682" s="227">
        <f t="shared" si="33"/>
        <v>1215.06</v>
      </c>
      <c r="P682" s="224" t="s">
        <v>263</v>
      </c>
      <c r="Q682" s="224" t="s">
        <v>1341</v>
      </c>
      <c r="R682" s="221" t="s">
        <v>143</v>
      </c>
      <c r="S682" s="225" t="s">
        <v>465</v>
      </c>
      <c r="T682" s="117" t="s">
        <v>88</v>
      </c>
      <c r="U682" s="117" t="s">
        <v>297</v>
      </c>
      <c r="V682" s="117" t="s">
        <v>90</v>
      </c>
      <c r="W682" s="117"/>
      <c r="X682" s="117"/>
      <c r="Y682" s="117" t="s">
        <v>1228</v>
      </c>
      <c r="Z682" s="117" t="s">
        <v>189</v>
      </c>
      <c r="AA682" s="222">
        <v>43097</v>
      </c>
      <c r="AB682" s="117" t="s">
        <v>872</v>
      </c>
      <c r="AC682" s="63">
        <f t="shared" si="34"/>
        <v>1</v>
      </c>
      <c r="AD682" s="221" t="s">
        <v>217</v>
      </c>
      <c r="AE682" s="221" t="s">
        <v>218</v>
      </c>
      <c r="AF682" s="117"/>
      <c r="AG682" s="117"/>
      <c r="AH682" s="64"/>
      <c r="AI682" s="117" t="s">
        <v>184</v>
      </c>
      <c r="AJ682" s="222">
        <v>43105</v>
      </c>
      <c r="AK682" s="117" t="s">
        <v>1652</v>
      </c>
      <c r="AL682" s="117" t="s">
        <v>1423</v>
      </c>
      <c r="AM682" s="222">
        <v>43105</v>
      </c>
    </row>
    <row r="683" spans="1:39" ht="12.75" hidden="1" customHeight="1">
      <c r="A683" s="147">
        <v>682</v>
      </c>
      <c r="B683" s="223">
        <v>214445</v>
      </c>
      <c r="C683" s="221" t="s">
        <v>1130</v>
      </c>
      <c r="D683" s="57">
        <v>43097</v>
      </c>
      <c r="E683" s="160" t="s">
        <v>1504</v>
      </c>
      <c r="F683" s="222">
        <v>43107</v>
      </c>
      <c r="G683" s="221">
        <f t="shared" si="32"/>
        <v>10</v>
      </c>
      <c r="H683" s="221" t="s">
        <v>133</v>
      </c>
      <c r="I683" s="221"/>
      <c r="J683" s="221" t="s">
        <v>614</v>
      </c>
      <c r="K683" s="94">
        <v>1299</v>
      </c>
      <c r="L683" s="221">
        <v>1299</v>
      </c>
      <c r="M683" s="221">
        <v>190</v>
      </c>
      <c r="N683" s="221">
        <v>80</v>
      </c>
      <c r="O683" s="227">
        <f t="shared" si="33"/>
        <v>1031.06</v>
      </c>
      <c r="P683" s="224" t="s">
        <v>264</v>
      </c>
      <c r="Q683" s="230" t="s">
        <v>1342</v>
      </c>
      <c r="R683" s="221" t="s">
        <v>143</v>
      </c>
      <c r="S683" s="225" t="s">
        <v>465</v>
      </c>
      <c r="T683" s="221" t="s">
        <v>88</v>
      </c>
      <c r="U683" s="221" t="s">
        <v>1227</v>
      </c>
      <c r="V683" s="221" t="s">
        <v>432</v>
      </c>
      <c r="W683" s="221"/>
      <c r="X683" s="221"/>
      <c r="Y683" s="221" t="s">
        <v>316</v>
      </c>
      <c r="Z683" s="221" t="s">
        <v>189</v>
      </c>
      <c r="AA683" s="222">
        <v>43097</v>
      </c>
      <c r="AB683" s="221" t="s">
        <v>872</v>
      </c>
      <c r="AC683" s="226">
        <f t="shared" si="34"/>
        <v>1</v>
      </c>
      <c r="AD683" s="221" t="s">
        <v>217</v>
      </c>
      <c r="AE683" s="221" t="s">
        <v>218</v>
      </c>
      <c r="AF683" s="221"/>
      <c r="AG683" s="221"/>
      <c r="AH683" s="64"/>
      <c r="AI683" s="221" t="s">
        <v>184</v>
      </c>
      <c r="AJ683" s="222">
        <v>43104</v>
      </c>
      <c r="AK683" s="221" t="s">
        <v>1649</v>
      </c>
      <c r="AL683" s="221" t="s">
        <v>1423</v>
      </c>
      <c r="AM683" s="222">
        <v>43105</v>
      </c>
    </row>
    <row r="684" spans="1:39" ht="12.75" hidden="1" customHeight="1">
      <c r="A684" s="147">
        <v>683</v>
      </c>
      <c r="B684" s="223">
        <v>214153</v>
      </c>
      <c r="C684" s="117" t="s">
        <v>128</v>
      </c>
      <c r="D684" s="57">
        <v>43097</v>
      </c>
      <c r="E684" s="160" t="s">
        <v>1504</v>
      </c>
      <c r="F684" s="222">
        <v>43110</v>
      </c>
      <c r="G684" s="221">
        <f t="shared" si="32"/>
        <v>13</v>
      </c>
      <c r="H684" s="221" t="s">
        <v>133</v>
      </c>
      <c r="I684" s="117"/>
      <c r="J684" s="146" t="s">
        <v>614</v>
      </c>
      <c r="K684" s="94">
        <v>1499</v>
      </c>
      <c r="L684" s="221">
        <v>1499</v>
      </c>
      <c r="M684" s="117">
        <v>567.1</v>
      </c>
      <c r="N684" s="117">
        <v>150</v>
      </c>
      <c r="O684" s="227">
        <f t="shared" si="33"/>
        <v>841.95999999999992</v>
      </c>
      <c r="P684" s="224" t="s">
        <v>263</v>
      </c>
      <c r="Q684" s="224" t="s">
        <v>1341</v>
      </c>
      <c r="R684" s="221" t="s">
        <v>210</v>
      </c>
      <c r="S684" s="225" t="s">
        <v>469</v>
      </c>
      <c r="T684" s="117" t="s">
        <v>114</v>
      </c>
      <c r="U684" s="221" t="s">
        <v>1624</v>
      </c>
      <c r="V684" s="117" t="s">
        <v>1627</v>
      </c>
      <c r="W684" s="117"/>
      <c r="X684" s="221"/>
      <c r="Y684" s="221" t="s">
        <v>91</v>
      </c>
      <c r="Z684" s="117" t="s">
        <v>147</v>
      </c>
      <c r="AA684" s="222">
        <v>43109</v>
      </c>
      <c r="AB684" s="117" t="s">
        <v>1687</v>
      </c>
      <c r="AC684" s="63">
        <f t="shared" si="34"/>
        <v>1</v>
      </c>
      <c r="AD684" s="117" t="s">
        <v>217</v>
      </c>
      <c r="AE684" s="117" t="s">
        <v>218</v>
      </c>
      <c r="AF684" s="117"/>
      <c r="AG684" s="117"/>
      <c r="AH684" s="64"/>
      <c r="AI684" s="117"/>
      <c r="AJ684" s="221"/>
      <c r="AK684" s="221"/>
      <c r="AL684" s="117"/>
      <c r="AM684" s="221"/>
    </row>
    <row r="685" spans="1:39" ht="12.75" hidden="1" customHeight="1">
      <c r="A685" s="147">
        <v>684</v>
      </c>
      <c r="B685" s="223">
        <v>214682</v>
      </c>
      <c r="C685" s="221" t="s">
        <v>128</v>
      </c>
      <c r="D685" s="57">
        <v>43102</v>
      </c>
      <c r="E685" s="160" t="s">
        <v>1629</v>
      </c>
      <c r="F685" s="222">
        <v>43113</v>
      </c>
      <c r="G685" s="221">
        <f t="shared" si="32"/>
        <v>11</v>
      </c>
      <c r="H685" s="221" t="s">
        <v>133</v>
      </c>
      <c r="I685" s="221"/>
      <c r="J685" s="146" t="s">
        <v>614</v>
      </c>
      <c r="K685" s="94">
        <v>4299</v>
      </c>
      <c r="L685" s="146">
        <v>4299</v>
      </c>
      <c r="M685" s="117"/>
      <c r="N685" s="117"/>
      <c r="O685" s="227">
        <f t="shared" si="33"/>
        <v>0</v>
      </c>
      <c r="P685" s="224" t="s">
        <v>262</v>
      </c>
      <c r="Q685" s="230" t="s">
        <v>1342</v>
      </c>
      <c r="R685" s="147" t="s">
        <v>237</v>
      </c>
      <c r="S685" s="225" t="s">
        <v>465</v>
      </c>
      <c r="T685" s="221" t="s">
        <v>144</v>
      </c>
      <c r="U685" s="221" t="s">
        <v>1634</v>
      </c>
      <c r="V685" s="221" t="s">
        <v>1635</v>
      </c>
      <c r="W685" s="117"/>
      <c r="X685" s="221"/>
      <c r="Y685" s="117"/>
      <c r="Z685" s="221" t="s">
        <v>137</v>
      </c>
      <c r="AA685" s="221"/>
      <c r="AB685" s="117"/>
      <c r="AC685" s="63">
        <f t="shared" si="34"/>
        <v>0</v>
      </c>
      <c r="AD685" s="117"/>
      <c r="AE685" s="221" t="s">
        <v>217</v>
      </c>
      <c r="AF685" s="117" t="s">
        <v>225</v>
      </c>
      <c r="AG685" s="117"/>
      <c r="AH685" s="64"/>
      <c r="AI685" s="117"/>
      <c r="AJ685" s="221"/>
      <c r="AK685" s="117"/>
      <c r="AL685" s="117"/>
      <c r="AM685" s="221"/>
    </row>
    <row r="686" spans="1:39" ht="12.75" hidden="1" customHeight="1">
      <c r="A686" s="147">
        <v>685</v>
      </c>
      <c r="B686" s="223">
        <v>214715</v>
      </c>
      <c r="C686" s="221" t="s">
        <v>1628</v>
      </c>
      <c r="D686" s="57">
        <v>43103</v>
      </c>
      <c r="E686" s="160" t="s">
        <v>1629</v>
      </c>
      <c r="F686" s="222">
        <v>43114</v>
      </c>
      <c r="G686" s="221">
        <f t="shared" si="32"/>
        <v>11</v>
      </c>
      <c r="H686" s="221" t="s">
        <v>133</v>
      </c>
      <c r="I686" s="117"/>
      <c r="J686" s="146" t="s">
        <v>614</v>
      </c>
      <c r="K686" s="94">
        <v>5975</v>
      </c>
      <c r="L686" s="146">
        <v>5975</v>
      </c>
      <c r="M686" s="117">
        <v>787</v>
      </c>
      <c r="N686" s="117">
        <v>514</v>
      </c>
      <c r="O686" s="227">
        <f t="shared" si="33"/>
        <v>0</v>
      </c>
      <c r="P686" s="224" t="s">
        <v>264</v>
      </c>
      <c r="Q686" s="230" t="s">
        <v>1342</v>
      </c>
      <c r="R686" s="147" t="s">
        <v>134</v>
      </c>
      <c r="S686" s="225" t="s">
        <v>465</v>
      </c>
      <c r="T686" s="221" t="s">
        <v>164</v>
      </c>
      <c r="U686" s="221" t="s">
        <v>1630</v>
      </c>
      <c r="V686" s="117" t="s">
        <v>1700</v>
      </c>
      <c r="W686" s="117"/>
      <c r="X686" s="117"/>
      <c r="Y686" s="221" t="s">
        <v>1942</v>
      </c>
      <c r="Z686" s="221" t="s">
        <v>202</v>
      </c>
      <c r="AA686" s="222">
        <v>43110</v>
      </c>
      <c r="AB686" s="117" t="s">
        <v>140</v>
      </c>
      <c r="AC686" s="63">
        <f t="shared" si="34"/>
        <v>0</v>
      </c>
      <c r="AD686" s="117"/>
      <c r="AE686" s="221" t="s">
        <v>217</v>
      </c>
      <c r="AF686" s="148" t="s">
        <v>1625</v>
      </c>
      <c r="AG686" s="117"/>
      <c r="AH686" s="64" t="s">
        <v>1812</v>
      </c>
      <c r="AI686" s="117" t="s">
        <v>184</v>
      </c>
      <c r="AJ686" s="222">
        <v>43108</v>
      </c>
      <c r="AK686" s="117" t="s">
        <v>1659</v>
      </c>
      <c r="AL686" s="117" t="s">
        <v>609</v>
      </c>
      <c r="AM686" s="222">
        <v>43108</v>
      </c>
    </row>
    <row r="687" spans="1:39" ht="12.75" hidden="1" customHeight="1">
      <c r="A687" s="147">
        <v>686</v>
      </c>
      <c r="B687" s="223">
        <v>214568</v>
      </c>
      <c r="C687" s="221" t="s">
        <v>1628</v>
      </c>
      <c r="D687" s="57">
        <v>43103</v>
      </c>
      <c r="E687" s="160" t="s">
        <v>1629</v>
      </c>
      <c r="F687" s="222">
        <v>43113</v>
      </c>
      <c r="G687" s="221">
        <f t="shared" si="32"/>
        <v>10</v>
      </c>
      <c r="H687" s="221" t="s">
        <v>363</v>
      </c>
      <c r="I687" s="221"/>
      <c r="J687" s="221" t="s">
        <v>614</v>
      </c>
      <c r="K687" s="94">
        <v>1599</v>
      </c>
      <c r="L687" s="221">
        <v>1599</v>
      </c>
      <c r="M687" s="221"/>
      <c r="N687" s="221"/>
      <c r="O687" s="227">
        <v>0</v>
      </c>
      <c r="P687" s="224" t="s">
        <v>262</v>
      </c>
      <c r="Q687" s="230" t="s">
        <v>1342</v>
      </c>
      <c r="R687" s="147" t="s">
        <v>143</v>
      </c>
      <c r="S687" s="225" t="s">
        <v>465</v>
      </c>
      <c r="T687" s="221" t="s">
        <v>164</v>
      </c>
      <c r="U687" s="221" t="s">
        <v>1631</v>
      </c>
      <c r="V687" s="221" t="s">
        <v>425</v>
      </c>
      <c r="W687" s="221"/>
      <c r="X687" s="221"/>
      <c r="Y687" s="221"/>
      <c r="Z687" s="221" t="s">
        <v>202</v>
      </c>
      <c r="AA687" s="221"/>
      <c r="AB687" s="221" t="s">
        <v>872</v>
      </c>
      <c r="AC687" s="226">
        <f t="shared" si="34"/>
        <v>0</v>
      </c>
      <c r="AD687" s="221" t="s">
        <v>217</v>
      </c>
      <c r="AE687" s="117" t="s">
        <v>218</v>
      </c>
      <c r="AF687" s="221"/>
      <c r="AG687" s="221"/>
      <c r="AH687" s="64" t="s">
        <v>1802</v>
      </c>
      <c r="AI687" s="221"/>
      <c r="AJ687" s="221"/>
      <c r="AK687" s="221"/>
      <c r="AL687" s="221"/>
      <c r="AM687" s="221"/>
    </row>
    <row r="688" spans="1:39" ht="12.75" hidden="1" customHeight="1">
      <c r="A688" s="147">
        <v>687</v>
      </c>
      <c r="B688" s="223">
        <v>214554</v>
      </c>
      <c r="C688" s="117" t="s">
        <v>1628</v>
      </c>
      <c r="D688" s="57">
        <v>43103</v>
      </c>
      <c r="E688" s="160" t="s">
        <v>1629</v>
      </c>
      <c r="F688" s="222">
        <v>43113</v>
      </c>
      <c r="G688" s="221">
        <f t="shared" si="32"/>
        <v>10</v>
      </c>
      <c r="H688" s="146" t="s">
        <v>133</v>
      </c>
      <c r="I688" s="117"/>
      <c r="J688" s="146" t="s">
        <v>614</v>
      </c>
      <c r="K688" s="94">
        <v>1399</v>
      </c>
      <c r="L688" s="146">
        <v>1399</v>
      </c>
      <c r="M688" s="221">
        <v>592</v>
      </c>
      <c r="N688" s="117">
        <v>80</v>
      </c>
      <c r="O688" s="227">
        <f>IF(AE688="Reemplazo",0,K688-(K688*0.12*0.5)-(MAX(M688,N688)))</f>
        <v>723.06</v>
      </c>
      <c r="P688" s="224" t="s">
        <v>264</v>
      </c>
      <c r="Q688" s="230" t="s">
        <v>1342</v>
      </c>
      <c r="R688" s="147" t="s">
        <v>143</v>
      </c>
      <c r="S688" s="225" t="s">
        <v>465</v>
      </c>
      <c r="T688" s="221" t="s">
        <v>164</v>
      </c>
      <c r="U688" s="221" t="s">
        <v>1631</v>
      </c>
      <c r="V688" s="117" t="s">
        <v>1698</v>
      </c>
      <c r="W688" s="221"/>
      <c r="X688" s="117"/>
      <c r="Y688" s="221" t="s">
        <v>1942</v>
      </c>
      <c r="Z688" s="117" t="s">
        <v>202</v>
      </c>
      <c r="AA688" s="222">
        <v>43110</v>
      </c>
      <c r="AB688" s="117" t="s">
        <v>140</v>
      </c>
      <c r="AC688" s="63">
        <f t="shared" si="34"/>
        <v>1</v>
      </c>
      <c r="AD688" s="117" t="s">
        <v>217</v>
      </c>
      <c r="AE688" s="117" t="s">
        <v>218</v>
      </c>
      <c r="AF688" s="117"/>
      <c r="AG688" s="117"/>
      <c r="AH688" s="64"/>
      <c r="AI688" s="117" t="s">
        <v>184</v>
      </c>
      <c r="AJ688" s="222">
        <v>43115</v>
      </c>
      <c r="AK688" s="117" t="s">
        <v>1801</v>
      </c>
      <c r="AL688" s="117" t="s">
        <v>609</v>
      </c>
      <c r="AM688" s="222">
        <v>43115</v>
      </c>
    </row>
    <row r="689" spans="1:39" ht="12.75" hidden="1" customHeight="1">
      <c r="A689" s="147">
        <v>688</v>
      </c>
      <c r="B689" s="138">
        <v>214542</v>
      </c>
      <c r="C689" s="221" t="s">
        <v>1628</v>
      </c>
      <c r="D689" s="57">
        <v>43103</v>
      </c>
      <c r="E689" s="160" t="s">
        <v>1629</v>
      </c>
      <c r="F689" s="222">
        <v>43113</v>
      </c>
      <c r="G689" s="221">
        <f t="shared" si="32"/>
        <v>10</v>
      </c>
      <c r="H689" s="221" t="s">
        <v>133</v>
      </c>
      <c r="I689" s="221"/>
      <c r="J689" s="221" t="s">
        <v>614</v>
      </c>
      <c r="K689" s="94">
        <v>1839</v>
      </c>
      <c r="L689" s="221">
        <v>1839</v>
      </c>
      <c r="M689" s="221">
        <v>668</v>
      </c>
      <c r="N689" s="221">
        <v>80</v>
      </c>
      <c r="O689" s="227">
        <f>IF(AE689="Reemplazo",0,K689-(K689*0.12*0.5)-(MAX(M689,N689)))</f>
        <v>1060.6600000000001</v>
      </c>
      <c r="P689" s="224" t="s">
        <v>264</v>
      </c>
      <c r="Q689" s="230" t="s">
        <v>1342</v>
      </c>
      <c r="R689" s="147" t="s">
        <v>143</v>
      </c>
      <c r="S689" s="225" t="s">
        <v>465</v>
      </c>
      <c r="T689" s="117" t="s">
        <v>164</v>
      </c>
      <c r="U689" s="221" t="s">
        <v>1072</v>
      </c>
      <c r="V689" s="221" t="s">
        <v>1632</v>
      </c>
      <c r="W689" s="221"/>
      <c r="X689" s="221"/>
      <c r="Y689" s="221" t="s">
        <v>1942</v>
      </c>
      <c r="Z689" s="221" t="s">
        <v>202</v>
      </c>
      <c r="AA689" s="222">
        <v>43105</v>
      </c>
      <c r="AB689" s="221" t="s">
        <v>140</v>
      </c>
      <c r="AC689" s="226">
        <f t="shared" si="34"/>
        <v>1</v>
      </c>
      <c r="AD689" s="221" t="s">
        <v>217</v>
      </c>
      <c r="AE689" s="117" t="s">
        <v>218</v>
      </c>
      <c r="AF689" s="221"/>
      <c r="AG689" s="221"/>
      <c r="AH689" s="64"/>
      <c r="AI689" s="221" t="s">
        <v>184</v>
      </c>
      <c r="AJ689" s="222">
        <v>43108</v>
      </c>
      <c r="AK689" s="221" t="s">
        <v>1658</v>
      </c>
      <c r="AL689" s="221" t="s">
        <v>609</v>
      </c>
      <c r="AM689" s="222">
        <v>43108</v>
      </c>
    </row>
    <row r="690" spans="1:39" ht="12.75" hidden="1" customHeight="1">
      <c r="A690" s="147">
        <v>689</v>
      </c>
      <c r="B690" s="138">
        <v>214615</v>
      </c>
      <c r="C690" s="221" t="s">
        <v>1628</v>
      </c>
      <c r="D690" s="57">
        <v>43103</v>
      </c>
      <c r="E690" s="160" t="s">
        <v>1629</v>
      </c>
      <c r="F690" s="222">
        <v>43113</v>
      </c>
      <c r="G690" s="221">
        <f t="shared" ref="G690:G753" si="35">F690-D690</f>
        <v>10</v>
      </c>
      <c r="H690" s="221" t="s">
        <v>133</v>
      </c>
      <c r="I690" s="221"/>
      <c r="J690" s="221" t="s">
        <v>614</v>
      </c>
      <c r="K690" s="94">
        <v>999</v>
      </c>
      <c r="L690" s="221">
        <v>999</v>
      </c>
      <c r="M690" s="221">
        <v>420</v>
      </c>
      <c r="N690" s="221">
        <v>195</v>
      </c>
      <c r="O690" s="227">
        <f>IF(AE690="Reemplazo",0,K690-(K690*0.12*0.5)-(MAX(M690,N690)))</f>
        <v>519.05999999999995</v>
      </c>
      <c r="P690" s="224" t="s">
        <v>264</v>
      </c>
      <c r="Q690" s="230" t="s">
        <v>1342</v>
      </c>
      <c r="R690" s="147" t="s">
        <v>143</v>
      </c>
      <c r="S690" s="225" t="s">
        <v>465</v>
      </c>
      <c r="T690" s="221" t="s">
        <v>164</v>
      </c>
      <c r="U690" s="221" t="s">
        <v>1633</v>
      </c>
      <c r="V690" s="221" t="s">
        <v>90</v>
      </c>
      <c r="W690" s="221"/>
      <c r="X690" s="221"/>
      <c r="Y690" s="221" t="s">
        <v>1942</v>
      </c>
      <c r="Z690" s="221" t="s">
        <v>202</v>
      </c>
      <c r="AA690" s="222">
        <v>43105</v>
      </c>
      <c r="AB690" s="221" t="s">
        <v>195</v>
      </c>
      <c r="AC690" s="226">
        <f t="shared" si="34"/>
        <v>1</v>
      </c>
      <c r="AD690" s="221" t="s">
        <v>217</v>
      </c>
      <c r="AE690" s="221" t="s">
        <v>218</v>
      </c>
      <c r="AF690" s="221"/>
      <c r="AG690" s="221"/>
      <c r="AH690" s="64"/>
      <c r="AI690" s="221" t="s">
        <v>184</v>
      </c>
      <c r="AJ690" s="222">
        <v>43115</v>
      </c>
      <c r="AK690" s="221" t="s">
        <v>1797</v>
      </c>
      <c r="AL690" s="221" t="s">
        <v>609</v>
      </c>
      <c r="AM690" s="222">
        <v>42750</v>
      </c>
    </row>
    <row r="691" spans="1:39" ht="12.75" hidden="1" customHeight="1">
      <c r="A691" s="147">
        <v>690</v>
      </c>
      <c r="B691" s="223">
        <v>214597</v>
      </c>
      <c r="C691" s="221" t="s">
        <v>1130</v>
      </c>
      <c r="D691" s="57">
        <v>43103</v>
      </c>
      <c r="E691" s="160" t="s">
        <v>1629</v>
      </c>
      <c r="F691" s="222">
        <v>43115</v>
      </c>
      <c r="G691" s="221">
        <f t="shared" si="35"/>
        <v>12</v>
      </c>
      <c r="H691" s="221" t="s">
        <v>133</v>
      </c>
      <c r="I691" s="117"/>
      <c r="J691" s="146" t="s">
        <v>614</v>
      </c>
      <c r="K691" s="94">
        <v>899</v>
      </c>
      <c r="L691" s="146">
        <v>899</v>
      </c>
      <c r="M691" s="117">
        <v>190</v>
      </c>
      <c r="N691" s="117">
        <v>80</v>
      </c>
      <c r="O691" s="227">
        <f>IF(AE691="Reemplazo",0,K691-(K691*0.12*0.5)-(MAX(M691,N691)))</f>
        <v>0</v>
      </c>
      <c r="P691" s="224" t="s">
        <v>261</v>
      </c>
      <c r="Q691" s="224" t="s">
        <v>1341</v>
      </c>
      <c r="R691" s="221" t="s">
        <v>143</v>
      </c>
      <c r="S691" s="225" t="s">
        <v>465</v>
      </c>
      <c r="T691" s="221" t="s">
        <v>88</v>
      </c>
      <c r="U691" s="221" t="s">
        <v>548</v>
      </c>
      <c r="V691" s="221" t="s">
        <v>432</v>
      </c>
      <c r="W691" s="221"/>
      <c r="X691" s="117"/>
      <c r="Y691" s="221" t="s">
        <v>316</v>
      </c>
      <c r="Z691" s="221" t="s">
        <v>189</v>
      </c>
      <c r="AA691" s="222">
        <v>43110</v>
      </c>
      <c r="AB691" s="117" t="s">
        <v>872</v>
      </c>
      <c r="AC691" s="63">
        <f t="shared" si="34"/>
        <v>0</v>
      </c>
      <c r="AD691" s="117" t="s">
        <v>217</v>
      </c>
      <c r="AE691" s="221" t="s">
        <v>217</v>
      </c>
      <c r="AF691" s="117"/>
      <c r="AG691" s="117"/>
      <c r="AH691" s="64"/>
      <c r="AI691" s="117" t="s">
        <v>184</v>
      </c>
      <c r="AJ691" s="222">
        <v>43115</v>
      </c>
      <c r="AK691" s="117" t="s">
        <v>1791</v>
      </c>
      <c r="AL691" s="117" t="s">
        <v>609</v>
      </c>
      <c r="AM691" s="222">
        <v>43118</v>
      </c>
    </row>
    <row r="692" spans="1:39" ht="12.75" hidden="1" customHeight="1">
      <c r="A692" s="147">
        <v>691</v>
      </c>
      <c r="B692" s="221">
        <v>213820</v>
      </c>
      <c r="C692" s="221" t="s">
        <v>1628</v>
      </c>
      <c r="D692" s="57">
        <v>43103</v>
      </c>
      <c r="E692" s="160" t="s">
        <v>1629</v>
      </c>
      <c r="F692" s="118">
        <v>43108</v>
      </c>
      <c r="G692" s="221">
        <f t="shared" si="35"/>
        <v>5</v>
      </c>
      <c r="H692" s="221" t="s">
        <v>363</v>
      </c>
      <c r="I692" s="117"/>
      <c r="J692" s="146" t="s">
        <v>614</v>
      </c>
      <c r="K692" s="94">
        <v>3499</v>
      </c>
      <c r="L692" s="146">
        <v>3499</v>
      </c>
      <c r="M692" s="221"/>
      <c r="N692" s="117"/>
      <c r="O692" s="227">
        <v>0</v>
      </c>
      <c r="P692" s="224" t="s">
        <v>264</v>
      </c>
      <c r="Q692" s="230" t="s">
        <v>1342</v>
      </c>
      <c r="R692" s="147" t="s">
        <v>134</v>
      </c>
      <c r="S692" s="225" t="s">
        <v>465</v>
      </c>
      <c r="T692" s="221" t="s">
        <v>164</v>
      </c>
      <c r="U692" s="221" t="s">
        <v>479</v>
      </c>
      <c r="V692" s="221" t="s">
        <v>1636</v>
      </c>
      <c r="W692" s="221" t="s">
        <v>1637</v>
      </c>
      <c r="X692" s="117"/>
      <c r="Y692" s="221" t="s">
        <v>1942</v>
      </c>
      <c r="Z692" s="221" t="s">
        <v>202</v>
      </c>
      <c r="AA692" s="221"/>
      <c r="AB692" s="117" t="s">
        <v>195</v>
      </c>
      <c r="AC692" s="63">
        <f t="shared" si="34"/>
        <v>0</v>
      </c>
      <c r="AD692" s="117" t="s">
        <v>217</v>
      </c>
      <c r="AE692" s="221" t="s">
        <v>218</v>
      </c>
      <c r="AF692" s="117"/>
      <c r="AG692" s="117"/>
      <c r="AH692" s="64"/>
      <c r="AI692" s="117"/>
      <c r="AJ692" s="221"/>
      <c r="AK692" s="117"/>
      <c r="AL692" s="117"/>
      <c r="AM692" s="221"/>
    </row>
    <row r="693" spans="1:39" ht="12.75" hidden="1" customHeight="1">
      <c r="A693" s="147">
        <v>692</v>
      </c>
      <c r="B693" s="221">
        <v>213852</v>
      </c>
      <c r="C693" s="221" t="s">
        <v>1628</v>
      </c>
      <c r="D693" s="57">
        <v>43103</v>
      </c>
      <c r="E693" s="160" t="s">
        <v>1629</v>
      </c>
      <c r="F693" s="118">
        <v>43110</v>
      </c>
      <c r="G693" s="221">
        <f t="shared" si="35"/>
        <v>7</v>
      </c>
      <c r="H693" s="221" t="s">
        <v>363</v>
      </c>
      <c r="I693" s="117"/>
      <c r="J693" s="146" t="s">
        <v>614</v>
      </c>
      <c r="K693" s="94">
        <v>1999</v>
      </c>
      <c r="L693" s="146">
        <v>1999</v>
      </c>
      <c r="M693" s="117"/>
      <c r="N693" s="117"/>
      <c r="O693" s="227">
        <v>0</v>
      </c>
      <c r="P693" s="224" t="s">
        <v>263</v>
      </c>
      <c r="Q693" s="224" t="s">
        <v>1341</v>
      </c>
      <c r="R693" s="221" t="s">
        <v>143</v>
      </c>
      <c r="S693" s="225" t="s">
        <v>465</v>
      </c>
      <c r="T693" s="221" t="s">
        <v>164</v>
      </c>
      <c r="U693" s="221" t="s">
        <v>797</v>
      </c>
      <c r="V693" s="221" t="s">
        <v>90</v>
      </c>
      <c r="W693" s="221" t="s">
        <v>798</v>
      </c>
      <c r="X693" s="117"/>
      <c r="Y693" s="221"/>
      <c r="Z693" s="221" t="s">
        <v>202</v>
      </c>
      <c r="AA693" s="221"/>
      <c r="AB693" s="117" t="s">
        <v>872</v>
      </c>
      <c r="AC693" s="63">
        <f t="shared" si="34"/>
        <v>0</v>
      </c>
      <c r="AD693" s="117" t="s">
        <v>217</v>
      </c>
      <c r="AE693" s="221" t="s">
        <v>218</v>
      </c>
      <c r="AF693" s="117"/>
      <c r="AG693" s="117"/>
      <c r="AH693" s="64"/>
      <c r="AI693" s="117"/>
      <c r="AJ693" s="117"/>
      <c r="AK693" s="117"/>
      <c r="AL693" s="117"/>
      <c r="AM693" s="221"/>
    </row>
    <row r="694" spans="1:39" ht="12.75" hidden="1" customHeight="1">
      <c r="A694" s="147">
        <v>693</v>
      </c>
      <c r="B694" s="221">
        <v>213764</v>
      </c>
      <c r="C694" s="117" t="s">
        <v>1628</v>
      </c>
      <c r="D694" s="57">
        <v>43103</v>
      </c>
      <c r="E694" s="160" t="s">
        <v>1629</v>
      </c>
      <c r="F694" s="118">
        <v>43107</v>
      </c>
      <c r="G694" s="221">
        <f t="shared" si="35"/>
        <v>4</v>
      </c>
      <c r="H694" s="146" t="s">
        <v>363</v>
      </c>
      <c r="I694" s="117"/>
      <c r="J694" s="146" t="s">
        <v>614</v>
      </c>
      <c r="K694" s="94">
        <v>1899</v>
      </c>
      <c r="L694" s="146">
        <v>1899</v>
      </c>
      <c r="M694" s="117"/>
      <c r="N694" s="117"/>
      <c r="O694" s="227">
        <v>0</v>
      </c>
      <c r="P694" s="224" t="s">
        <v>264</v>
      </c>
      <c r="Q694" s="230" t="s">
        <v>1342</v>
      </c>
      <c r="R694" s="221" t="s">
        <v>143</v>
      </c>
      <c r="S694" s="225" t="s">
        <v>465</v>
      </c>
      <c r="T694" s="117" t="s">
        <v>164</v>
      </c>
      <c r="U694" s="117" t="s">
        <v>475</v>
      </c>
      <c r="V694" s="221" t="s">
        <v>1272</v>
      </c>
      <c r="W694" s="117" t="s">
        <v>1638</v>
      </c>
      <c r="X694" s="117"/>
      <c r="Y694" s="221" t="s">
        <v>1942</v>
      </c>
      <c r="Z694" s="117" t="s">
        <v>202</v>
      </c>
      <c r="AA694" s="221"/>
      <c r="AB694" s="117" t="s">
        <v>1641</v>
      </c>
      <c r="AC694" s="63">
        <f t="shared" si="34"/>
        <v>0</v>
      </c>
      <c r="AD694" s="117" t="s">
        <v>217</v>
      </c>
      <c r="AE694" s="221" t="s">
        <v>218</v>
      </c>
      <c r="AF694" s="117"/>
      <c r="AG694" s="117"/>
      <c r="AH694" s="64"/>
      <c r="AI694" s="117"/>
      <c r="AJ694" s="221"/>
      <c r="AK694" s="117"/>
      <c r="AL694" s="117"/>
      <c r="AM694" s="221"/>
    </row>
    <row r="695" spans="1:39" ht="12.75" hidden="1" customHeight="1">
      <c r="A695" s="147">
        <v>694</v>
      </c>
      <c r="B695" s="221">
        <v>214303</v>
      </c>
      <c r="C695" s="117" t="s">
        <v>1628</v>
      </c>
      <c r="D695" s="57">
        <v>43103</v>
      </c>
      <c r="E695" s="160" t="s">
        <v>1629</v>
      </c>
      <c r="F695" s="118">
        <v>43112</v>
      </c>
      <c r="G695" s="221">
        <f t="shared" si="35"/>
        <v>9</v>
      </c>
      <c r="H695" s="146" t="s">
        <v>363</v>
      </c>
      <c r="I695" s="221"/>
      <c r="J695" s="146" t="s">
        <v>614</v>
      </c>
      <c r="K695" s="94">
        <v>1199</v>
      </c>
      <c r="L695" s="146">
        <v>1199</v>
      </c>
      <c r="M695" s="221"/>
      <c r="N695" s="117"/>
      <c r="O695" s="227">
        <v>0</v>
      </c>
      <c r="P695" s="224" t="s">
        <v>264</v>
      </c>
      <c r="Q695" s="230" t="s">
        <v>1342</v>
      </c>
      <c r="R695" s="221" t="s">
        <v>143</v>
      </c>
      <c r="S695" s="225" t="s">
        <v>465</v>
      </c>
      <c r="T695" s="117" t="s">
        <v>164</v>
      </c>
      <c r="U695" s="117" t="s">
        <v>1639</v>
      </c>
      <c r="V695" s="221" t="s">
        <v>1640</v>
      </c>
      <c r="W695" s="117"/>
      <c r="X695" s="117"/>
      <c r="Y695" s="221" t="s">
        <v>1942</v>
      </c>
      <c r="Z695" s="117" t="s">
        <v>202</v>
      </c>
      <c r="AA695" s="221"/>
      <c r="AB695" s="117" t="s">
        <v>140</v>
      </c>
      <c r="AC695" s="63">
        <f t="shared" si="34"/>
        <v>0</v>
      </c>
      <c r="AD695" s="117" t="s">
        <v>217</v>
      </c>
      <c r="AE695" s="117" t="s">
        <v>218</v>
      </c>
      <c r="AF695" s="117"/>
      <c r="AG695" s="117"/>
      <c r="AH695" s="64"/>
      <c r="AI695" s="117"/>
      <c r="AJ695" s="221"/>
      <c r="AK695" s="117"/>
      <c r="AL695" s="117"/>
      <c r="AM695" s="221"/>
    </row>
    <row r="696" spans="1:39" ht="12.75" hidden="1" customHeight="1">
      <c r="A696" s="147">
        <v>695</v>
      </c>
      <c r="B696" s="223">
        <v>214744</v>
      </c>
      <c r="C696" s="221" t="s">
        <v>128</v>
      </c>
      <c r="D696" s="57">
        <v>43103</v>
      </c>
      <c r="E696" s="160" t="s">
        <v>1629</v>
      </c>
      <c r="F696" s="222">
        <v>43113</v>
      </c>
      <c r="G696" s="221">
        <f t="shared" si="35"/>
        <v>10</v>
      </c>
      <c r="H696" s="221" t="s">
        <v>133</v>
      </c>
      <c r="I696" s="221"/>
      <c r="J696" s="221" t="s">
        <v>614</v>
      </c>
      <c r="K696" s="94">
        <v>1265</v>
      </c>
      <c r="L696" s="221">
        <v>1265</v>
      </c>
      <c r="M696" s="221"/>
      <c r="N696" s="221"/>
      <c r="O696" s="227">
        <f t="shared" ref="O696:O714" si="36">IF(AE696="Reemplazo",0,K696-(K696*0.12*0.5)-(MAX(M696,N696)))</f>
        <v>0</v>
      </c>
      <c r="P696" s="224" t="s">
        <v>264</v>
      </c>
      <c r="Q696" s="230" t="s">
        <v>1342</v>
      </c>
      <c r="R696" s="221" t="s">
        <v>143</v>
      </c>
      <c r="S696" s="225" t="s">
        <v>465</v>
      </c>
      <c r="T696" s="221" t="s">
        <v>144</v>
      </c>
      <c r="U696" s="221" t="s">
        <v>1663</v>
      </c>
      <c r="V696" s="221" t="s">
        <v>425</v>
      </c>
      <c r="W696" s="221"/>
      <c r="X696" s="221"/>
      <c r="Y696" s="221"/>
      <c r="Z696" s="221" t="s">
        <v>137</v>
      </c>
      <c r="AA696" s="221"/>
      <c r="AB696" s="221"/>
      <c r="AC696" s="63">
        <f t="shared" si="34"/>
        <v>0</v>
      </c>
      <c r="AD696" s="221"/>
      <c r="AE696" s="221" t="s">
        <v>217</v>
      </c>
      <c r="AF696" s="221" t="s">
        <v>225</v>
      </c>
      <c r="AG696" s="221"/>
      <c r="AH696" s="64"/>
      <c r="AI696" s="221"/>
      <c r="AJ696" s="221"/>
      <c r="AK696" s="221"/>
      <c r="AL696" s="221"/>
      <c r="AM696" s="221"/>
    </row>
    <row r="697" spans="1:39" ht="12.75" hidden="1" customHeight="1">
      <c r="A697" s="147">
        <v>696</v>
      </c>
      <c r="B697" s="223">
        <v>214227</v>
      </c>
      <c r="C697" s="117" t="s">
        <v>129</v>
      </c>
      <c r="D697" s="57">
        <v>43104</v>
      </c>
      <c r="E697" s="160" t="s">
        <v>1629</v>
      </c>
      <c r="F697" s="118">
        <v>43110</v>
      </c>
      <c r="G697" s="221">
        <f t="shared" si="35"/>
        <v>6</v>
      </c>
      <c r="H697" s="146" t="s">
        <v>133</v>
      </c>
      <c r="I697" s="117"/>
      <c r="J697" s="146" t="s">
        <v>614</v>
      </c>
      <c r="K697" s="94">
        <v>1120</v>
      </c>
      <c r="L697" s="146">
        <v>1120</v>
      </c>
      <c r="M697" s="221"/>
      <c r="N697" s="117"/>
      <c r="O697" s="227">
        <f t="shared" si="36"/>
        <v>0</v>
      </c>
      <c r="P697" s="224" t="s">
        <v>264</v>
      </c>
      <c r="Q697" s="230" t="s">
        <v>1342</v>
      </c>
      <c r="R697" s="221" t="s">
        <v>237</v>
      </c>
      <c r="S697" s="225" t="s">
        <v>465</v>
      </c>
      <c r="T697" s="221" t="s">
        <v>120</v>
      </c>
      <c r="U697" s="221" t="s">
        <v>1642</v>
      </c>
      <c r="V697" s="221" t="s">
        <v>1643</v>
      </c>
      <c r="W697" s="117"/>
      <c r="X697" s="117"/>
      <c r="Y697" s="117"/>
      <c r="Z697" s="117" t="s">
        <v>434</v>
      </c>
      <c r="AA697" s="117"/>
      <c r="AB697" s="117"/>
      <c r="AC697" s="63">
        <f t="shared" si="34"/>
        <v>0</v>
      </c>
      <c r="AD697" s="117"/>
      <c r="AE697" s="221" t="s">
        <v>217</v>
      </c>
      <c r="AF697" s="148" t="s">
        <v>1625</v>
      </c>
      <c r="AG697" s="117"/>
      <c r="AH697" s="64"/>
      <c r="AI697" s="117"/>
      <c r="AJ697" s="117"/>
      <c r="AK697" s="117"/>
      <c r="AL697" s="117"/>
      <c r="AM697" s="221"/>
    </row>
    <row r="698" spans="1:39" ht="12.75" hidden="1" customHeight="1">
      <c r="A698" s="147">
        <v>697</v>
      </c>
      <c r="B698" s="138">
        <v>214186</v>
      </c>
      <c r="C698" s="117" t="s">
        <v>1628</v>
      </c>
      <c r="D698" s="57">
        <v>43104</v>
      </c>
      <c r="E698" s="160" t="s">
        <v>1629</v>
      </c>
      <c r="F698" s="118">
        <v>43116</v>
      </c>
      <c r="G698" s="221">
        <f t="shared" si="35"/>
        <v>12</v>
      </c>
      <c r="H698" s="146" t="s">
        <v>133</v>
      </c>
      <c r="I698" s="117"/>
      <c r="J698" s="146" t="s">
        <v>614</v>
      </c>
      <c r="K698" s="94">
        <v>5999</v>
      </c>
      <c r="L698" s="146">
        <v>5999</v>
      </c>
      <c r="M698" s="221">
        <v>315</v>
      </c>
      <c r="N698" s="117">
        <v>35</v>
      </c>
      <c r="O698" s="227">
        <f t="shared" si="36"/>
        <v>5324.06</v>
      </c>
      <c r="P698" s="82" t="s">
        <v>264</v>
      </c>
      <c r="Q698" s="82" t="s">
        <v>1342</v>
      </c>
      <c r="R698" s="221" t="s">
        <v>122</v>
      </c>
      <c r="S698" s="225" t="s">
        <v>469</v>
      </c>
      <c r="T698" s="221" t="s">
        <v>376</v>
      </c>
      <c r="U698" s="221" t="s">
        <v>351</v>
      </c>
      <c r="V698" s="221" t="s">
        <v>293</v>
      </c>
      <c r="W698" s="117"/>
      <c r="X698" s="117"/>
      <c r="Y698" s="221" t="s">
        <v>1942</v>
      </c>
      <c r="Z698" s="117" t="s">
        <v>253</v>
      </c>
      <c r="AA698" s="222">
        <v>43110</v>
      </c>
      <c r="AB698" s="117" t="s">
        <v>140</v>
      </c>
      <c r="AC698" s="63">
        <f t="shared" si="34"/>
        <v>1</v>
      </c>
      <c r="AD698" s="117" t="s">
        <v>32</v>
      </c>
      <c r="AE698" s="117" t="s">
        <v>218</v>
      </c>
      <c r="AF698" s="117"/>
      <c r="AG698" s="117"/>
      <c r="AH698" s="64"/>
      <c r="AI698" s="117" t="s">
        <v>184</v>
      </c>
      <c r="AJ698" s="222">
        <v>43115</v>
      </c>
      <c r="AK698" s="117" t="s">
        <v>1800</v>
      </c>
      <c r="AL698" s="117" t="s">
        <v>609</v>
      </c>
      <c r="AM698" s="222">
        <v>43115</v>
      </c>
    </row>
    <row r="699" spans="1:39" ht="12.75" hidden="1" customHeight="1">
      <c r="A699" s="147">
        <v>698</v>
      </c>
      <c r="B699" s="60">
        <v>214980</v>
      </c>
      <c r="C699" s="117" t="s">
        <v>128</v>
      </c>
      <c r="D699" s="57">
        <v>43104</v>
      </c>
      <c r="E699" s="160" t="s">
        <v>1629</v>
      </c>
      <c r="F699" s="118">
        <v>43145</v>
      </c>
      <c r="G699" s="221">
        <f t="shared" si="35"/>
        <v>41</v>
      </c>
      <c r="H699" s="221" t="s">
        <v>133</v>
      </c>
      <c r="I699" s="117"/>
      <c r="J699" s="146" t="s">
        <v>614</v>
      </c>
      <c r="K699" s="94"/>
      <c r="L699" s="146"/>
      <c r="M699" s="117"/>
      <c r="N699" s="117"/>
      <c r="O699" s="227">
        <f t="shared" si="36"/>
        <v>0</v>
      </c>
      <c r="P699" s="224" t="s">
        <v>263</v>
      </c>
      <c r="Q699" s="224" t="s">
        <v>1341</v>
      </c>
      <c r="R699" s="221" t="s">
        <v>254</v>
      </c>
      <c r="S699" s="225" t="s">
        <v>466</v>
      </c>
      <c r="T699" s="221" t="s">
        <v>255</v>
      </c>
      <c r="U699" s="221" t="s">
        <v>1644</v>
      </c>
      <c r="V699" s="221" t="s">
        <v>257</v>
      </c>
      <c r="W699" s="117"/>
      <c r="X699" s="117"/>
      <c r="Y699" s="117"/>
      <c r="Z699" s="117" t="s">
        <v>726</v>
      </c>
      <c r="AA699" s="221"/>
      <c r="AB699" s="117"/>
      <c r="AC699" s="226">
        <f t="shared" si="34"/>
        <v>0</v>
      </c>
      <c r="AD699" s="117"/>
      <c r="AE699" s="221" t="s">
        <v>217</v>
      </c>
      <c r="AF699" s="117" t="s">
        <v>225</v>
      </c>
      <c r="AG699" s="117"/>
      <c r="AH699" s="64"/>
      <c r="AI699" s="117"/>
      <c r="AJ699" s="221"/>
      <c r="AK699" s="117"/>
      <c r="AL699" s="117"/>
      <c r="AM699" s="221"/>
    </row>
    <row r="700" spans="1:39" ht="12.75" hidden="1" customHeight="1">
      <c r="A700" s="147">
        <v>699</v>
      </c>
      <c r="B700" s="60">
        <v>213166</v>
      </c>
      <c r="C700" s="117" t="s">
        <v>128</v>
      </c>
      <c r="D700" s="57">
        <v>43104</v>
      </c>
      <c r="E700" s="160" t="s">
        <v>1629</v>
      </c>
      <c r="F700" s="118">
        <v>43145</v>
      </c>
      <c r="G700" s="221">
        <f t="shared" si="35"/>
        <v>41</v>
      </c>
      <c r="H700" s="221" t="s">
        <v>133</v>
      </c>
      <c r="I700" s="117"/>
      <c r="J700" s="146" t="s">
        <v>614</v>
      </c>
      <c r="K700" s="94"/>
      <c r="L700" s="146"/>
      <c r="M700" s="221"/>
      <c r="N700" s="117"/>
      <c r="O700" s="227">
        <f t="shared" si="36"/>
        <v>0</v>
      </c>
      <c r="P700" s="224" t="s">
        <v>263</v>
      </c>
      <c r="Q700" s="224" t="s">
        <v>1341</v>
      </c>
      <c r="R700" s="221" t="s">
        <v>254</v>
      </c>
      <c r="S700" s="225" t="s">
        <v>466</v>
      </c>
      <c r="T700" s="221" t="s">
        <v>255</v>
      </c>
      <c r="U700" s="221" t="s">
        <v>1644</v>
      </c>
      <c r="V700" s="221" t="s">
        <v>257</v>
      </c>
      <c r="W700" s="117"/>
      <c r="X700" s="117"/>
      <c r="Y700" s="117"/>
      <c r="Z700" s="117" t="s">
        <v>269</v>
      </c>
      <c r="AA700" s="221"/>
      <c r="AB700" s="117"/>
      <c r="AC700" s="226">
        <f t="shared" si="34"/>
        <v>0</v>
      </c>
      <c r="AD700" s="117"/>
      <c r="AE700" s="221" t="s">
        <v>217</v>
      </c>
      <c r="AF700" s="117" t="s">
        <v>225</v>
      </c>
      <c r="AG700" s="117"/>
      <c r="AH700" s="64"/>
      <c r="AI700" s="221"/>
      <c r="AJ700" s="221"/>
      <c r="AK700" s="221"/>
      <c r="AL700" s="221"/>
      <c r="AM700" s="221"/>
    </row>
    <row r="701" spans="1:39" ht="12.75" hidden="1" customHeight="1">
      <c r="A701" s="147">
        <v>700</v>
      </c>
      <c r="B701" s="223">
        <v>214546</v>
      </c>
      <c r="C701" s="117" t="s">
        <v>1628</v>
      </c>
      <c r="D701" s="57">
        <v>43105</v>
      </c>
      <c r="E701" s="160" t="s">
        <v>1629</v>
      </c>
      <c r="F701" s="118">
        <v>43116</v>
      </c>
      <c r="G701" s="221">
        <f t="shared" si="35"/>
        <v>11</v>
      </c>
      <c r="H701" s="146" t="s">
        <v>133</v>
      </c>
      <c r="I701" s="117"/>
      <c r="J701" s="146" t="s">
        <v>614</v>
      </c>
      <c r="K701" s="94">
        <v>2510</v>
      </c>
      <c r="L701" s="146">
        <v>2510</v>
      </c>
      <c r="M701" s="221">
        <v>75</v>
      </c>
      <c r="N701" s="117">
        <v>70</v>
      </c>
      <c r="O701" s="227">
        <f t="shared" si="36"/>
        <v>2284.4</v>
      </c>
      <c r="P701" s="224" t="s">
        <v>264</v>
      </c>
      <c r="Q701" s="230" t="s">
        <v>1342</v>
      </c>
      <c r="R701" s="147" t="s">
        <v>237</v>
      </c>
      <c r="S701" s="225" t="s">
        <v>465</v>
      </c>
      <c r="T701" s="221" t="s">
        <v>1011</v>
      </c>
      <c r="U701" s="221" t="s">
        <v>1620</v>
      </c>
      <c r="V701" s="221" t="s">
        <v>1656</v>
      </c>
      <c r="W701" s="117"/>
      <c r="X701" s="117"/>
      <c r="Y701" s="221" t="s">
        <v>203</v>
      </c>
      <c r="Z701" s="117" t="s">
        <v>434</v>
      </c>
      <c r="AA701" s="222">
        <v>43110</v>
      </c>
      <c r="AB701" s="117" t="s">
        <v>1102</v>
      </c>
      <c r="AC701" s="63">
        <f t="shared" si="34"/>
        <v>1</v>
      </c>
      <c r="AD701" s="117" t="s">
        <v>217</v>
      </c>
      <c r="AE701" s="117" t="s">
        <v>218</v>
      </c>
      <c r="AF701" s="117"/>
      <c r="AG701" s="117"/>
      <c r="AH701" s="64"/>
      <c r="AI701" s="117"/>
      <c r="AJ701" s="221"/>
      <c r="AK701" s="117"/>
      <c r="AL701" s="117"/>
      <c r="AM701" s="221"/>
    </row>
    <row r="702" spans="1:39" ht="12.75" hidden="1" customHeight="1">
      <c r="A702" s="147">
        <v>701</v>
      </c>
      <c r="B702" s="223">
        <v>214573</v>
      </c>
      <c r="C702" s="117" t="s">
        <v>1130</v>
      </c>
      <c r="D702" s="57">
        <v>43105</v>
      </c>
      <c r="E702" s="160" t="s">
        <v>1629</v>
      </c>
      <c r="F702" s="118">
        <v>43113</v>
      </c>
      <c r="G702" s="221">
        <f t="shared" si="35"/>
        <v>8</v>
      </c>
      <c r="H702" s="146" t="s">
        <v>363</v>
      </c>
      <c r="I702" s="117"/>
      <c r="J702" s="146" t="s">
        <v>614</v>
      </c>
      <c r="K702" s="94"/>
      <c r="L702" s="146"/>
      <c r="M702" s="117"/>
      <c r="N702" s="117"/>
      <c r="O702" s="227">
        <f t="shared" si="36"/>
        <v>0</v>
      </c>
      <c r="P702" s="224" t="s">
        <v>261</v>
      </c>
      <c r="Q702" s="224" t="s">
        <v>1341</v>
      </c>
      <c r="R702" s="221" t="s">
        <v>134</v>
      </c>
      <c r="S702" s="225" t="s">
        <v>465</v>
      </c>
      <c r="T702" s="221" t="s">
        <v>88</v>
      </c>
      <c r="U702" s="221" t="s">
        <v>1466</v>
      </c>
      <c r="V702" s="221" t="s">
        <v>139</v>
      </c>
      <c r="W702" s="117"/>
      <c r="X702" s="117"/>
      <c r="Y702" s="117"/>
      <c r="Z702" s="117" t="s">
        <v>189</v>
      </c>
      <c r="AA702" s="221"/>
      <c r="AB702" s="117"/>
      <c r="AC702" s="63">
        <f t="shared" si="34"/>
        <v>0</v>
      </c>
      <c r="AD702" s="117"/>
      <c r="AE702" s="117"/>
      <c r="AF702" s="117"/>
      <c r="AG702" s="117"/>
      <c r="AH702" s="64" t="s">
        <v>1660</v>
      </c>
      <c r="AI702" s="117"/>
      <c r="AJ702" s="117"/>
      <c r="AK702" s="117"/>
      <c r="AL702" s="117"/>
      <c r="AM702" s="221"/>
    </row>
    <row r="703" spans="1:39" ht="12.75" hidden="1" customHeight="1">
      <c r="A703" s="147">
        <v>702</v>
      </c>
      <c r="B703" s="223">
        <v>215150</v>
      </c>
      <c r="C703" s="117" t="s">
        <v>128</v>
      </c>
      <c r="D703" s="57">
        <v>43108</v>
      </c>
      <c r="E703" s="160" t="s">
        <v>1629</v>
      </c>
      <c r="F703" s="118">
        <v>43121</v>
      </c>
      <c r="G703" s="221">
        <f t="shared" si="35"/>
        <v>13</v>
      </c>
      <c r="H703" s="146" t="s">
        <v>133</v>
      </c>
      <c r="I703" s="117"/>
      <c r="J703" s="146" t="s">
        <v>614</v>
      </c>
      <c r="K703" s="94"/>
      <c r="L703" s="146"/>
      <c r="M703" s="125"/>
      <c r="N703" s="117"/>
      <c r="O703" s="227">
        <f t="shared" si="36"/>
        <v>0</v>
      </c>
      <c r="P703" s="224" t="s">
        <v>263</v>
      </c>
      <c r="Q703" s="224" t="s">
        <v>1341</v>
      </c>
      <c r="R703" s="221" t="s">
        <v>122</v>
      </c>
      <c r="S703" s="225" t="s">
        <v>469</v>
      </c>
      <c r="T703" s="221" t="s">
        <v>164</v>
      </c>
      <c r="U703" s="221" t="s">
        <v>1661</v>
      </c>
      <c r="V703" s="221" t="s">
        <v>222</v>
      </c>
      <c r="W703" s="117"/>
      <c r="X703" s="117"/>
      <c r="Y703" s="117"/>
      <c r="Z703" s="117" t="s">
        <v>565</v>
      </c>
      <c r="AA703" s="117"/>
      <c r="AB703" s="117"/>
      <c r="AC703" s="63">
        <f t="shared" si="34"/>
        <v>0</v>
      </c>
      <c r="AD703" s="117"/>
      <c r="AE703" s="221" t="s">
        <v>217</v>
      </c>
      <c r="AF703" s="117" t="s">
        <v>225</v>
      </c>
      <c r="AG703" s="117"/>
      <c r="AH703" s="64"/>
      <c r="AI703" s="117"/>
      <c r="AJ703" s="117"/>
      <c r="AK703" s="117"/>
      <c r="AL703" s="117"/>
      <c r="AM703" s="221"/>
    </row>
    <row r="704" spans="1:39" ht="12.75" hidden="1" customHeight="1">
      <c r="A704" s="147">
        <v>703</v>
      </c>
      <c r="B704" s="299">
        <v>214144</v>
      </c>
      <c r="C704" s="117" t="s">
        <v>1628</v>
      </c>
      <c r="D704" s="57">
        <v>43108</v>
      </c>
      <c r="E704" s="160" t="s">
        <v>1629</v>
      </c>
      <c r="F704" s="118">
        <v>43119</v>
      </c>
      <c r="G704" s="221">
        <f t="shared" si="35"/>
        <v>11</v>
      </c>
      <c r="H704" s="146" t="s">
        <v>133</v>
      </c>
      <c r="I704" s="117"/>
      <c r="J704" s="146" t="s">
        <v>614</v>
      </c>
      <c r="K704" s="94">
        <v>1199</v>
      </c>
      <c r="L704" s="221">
        <v>1199</v>
      </c>
      <c r="M704" s="117">
        <v>168</v>
      </c>
      <c r="N704" s="117">
        <v>80</v>
      </c>
      <c r="O704" s="227">
        <f t="shared" si="36"/>
        <v>959.06</v>
      </c>
      <c r="P704" s="224" t="s">
        <v>261</v>
      </c>
      <c r="Q704" s="224" t="s">
        <v>1341</v>
      </c>
      <c r="R704" s="221" t="s">
        <v>143</v>
      </c>
      <c r="S704" s="225" t="s">
        <v>465</v>
      </c>
      <c r="T704" s="117" t="s">
        <v>164</v>
      </c>
      <c r="U704" s="221" t="s">
        <v>1639</v>
      </c>
      <c r="V704" s="221" t="s">
        <v>453</v>
      </c>
      <c r="W704" s="117"/>
      <c r="X704" s="117"/>
      <c r="Y704" s="221" t="s">
        <v>1942</v>
      </c>
      <c r="Z704" s="117" t="s">
        <v>404</v>
      </c>
      <c r="AA704" s="222">
        <v>43109</v>
      </c>
      <c r="AB704" s="117" t="s">
        <v>140</v>
      </c>
      <c r="AC704" s="63">
        <f t="shared" si="34"/>
        <v>1</v>
      </c>
      <c r="AD704" s="117" t="s">
        <v>217</v>
      </c>
      <c r="AE704" s="117" t="s">
        <v>218</v>
      </c>
      <c r="AF704" s="117"/>
      <c r="AG704" s="117"/>
      <c r="AH704" s="64"/>
      <c r="AI704" s="117" t="s">
        <v>184</v>
      </c>
      <c r="AJ704" s="222">
        <v>43115</v>
      </c>
      <c r="AK704" s="117" t="s">
        <v>1798</v>
      </c>
      <c r="AL704" s="117" t="s">
        <v>609</v>
      </c>
      <c r="AM704" s="222">
        <v>43115</v>
      </c>
    </row>
    <row r="705" spans="1:39" ht="12.75" hidden="1" customHeight="1">
      <c r="A705" s="147">
        <v>704</v>
      </c>
      <c r="B705" s="223">
        <v>214165</v>
      </c>
      <c r="C705" s="221" t="s">
        <v>1628</v>
      </c>
      <c r="D705" s="57">
        <v>43108</v>
      </c>
      <c r="E705" s="160" t="s">
        <v>1629</v>
      </c>
      <c r="F705" s="118">
        <v>43114</v>
      </c>
      <c r="G705" s="221">
        <f t="shared" si="35"/>
        <v>6</v>
      </c>
      <c r="H705" s="221" t="s">
        <v>133</v>
      </c>
      <c r="I705" s="117"/>
      <c r="J705" s="146" t="s">
        <v>614</v>
      </c>
      <c r="K705" s="94"/>
      <c r="L705" s="221"/>
      <c r="M705" s="221"/>
      <c r="N705" s="117"/>
      <c r="O705" s="227">
        <f t="shared" si="36"/>
        <v>0</v>
      </c>
      <c r="P705" s="224" t="s">
        <v>264</v>
      </c>
      <c r="Q705" s="230" t="s">
        <v>1342</v>
      </c>
      <c r="R705" s="147" t="s">
        <v>134</v>
      </c>
      <c r="S705" s="225" t="s">
        <v>465</v>
      </c>
      <c r="T705" s="221" t="s">
        <v>164</v>
      </c>
      <c r="U705" s="221" t="s">
        <v>1485</v>
      </c>
      <c r="V705" s="221" t="s">
        <v>1662</v>
      </c>
      <c r="W705" s="117"/>
      <c r="X705" s="117"/>
      <c r="Y705" s="117"/>
      <c r="Z705" s="221" t="s">
        <v>202</v>
      </c>
      <c r="AA705" s="117"/>
      <c r="AB705" s="117"/>
      <c r="AC705" s="63">
        <f t="shared" si="34"/>
        <v>0</v>
      </c>
      <c r="AD705" s="117" t="s">
        <v>225</v>
      </c>
      <c r="AE705" s="221" t="s">
        <v>217</v>
      </c>
      <c r="AF705" s="117"/>
      <c r="AG705" s="117"/>
      <c r="AH705" s="64"/>
      <c r="AI705" s="117"/>
      <c r="AJ705" s="117"/>
      <c r="AK705" s="117"/>
      <c r="AL705" s="117"/>
      <c r="AM705" s="117"/>
    </row>
    <row r="706" spans="1:39" ht="12.75" hidden="1" customHeight="1">
      <c r="A706" s="147">
        <v>705</v>
      </c>
      <c r="B706" s="138">
        <v>214390</v>
      </c>
      <c r="C706" s="221" t="s">
        <v>1628</v>
      </c>
      <c r="D706" s="57">
        <v>43108</v>
      </c>
      <c r="E706" s="160" t="s">
        <v>1629</v>
      </c>
      <c r="F706" s="118">
        <v>43113</v>
      </c>
      <c r="G706" s="221">
        <f t="shared" si="35"/>
        <v>5</v>
      </c>
      <c r="H706" s="221" t="s">
        <v>133</v>
      </c>
      <c r="I706" s="117"/>
      <c r="J706" s="146" t="s">
        <v>614</v>
      </c>
      <c r="K706" s="94">
        <v>2060</v>
      </c>
      <c r="L706" s="221">
        <v>2060</v>
      </c>
      <c r="M706" s="221">
        <v>770</v>
      </c>
      <c r="N706" s="117">
        <v>172</v>
      </c>
      <c r="O706" s="227">
        <f t="shared" si="36"/>
        <v>1166.4000000000001</v>
      </c>
      <c r="P706" s="82" t="s">
        <v>264</v>
      </c>
      <c r="Q706" s="82" t="s">
        <v>1342</v>
      </c>
      <c r="R706" s="221" t="s">
        <v>122</v>
      </c>
      <c r="S706" s="225" t="s">
        <v>469</v>
      </c>
      <c r="T706" s="221" t="s">
        <v>114</v>
      </c>
      <c r="U706" s="221" t="s">
        <v>1669</v>
      </c>
      <c r="V706" s="221" t="s">
        <v>90</v>
      </c>
      <c r="W706" s="221"/>
      <c r="X706" s="117"/>
      <c r="Y706" s="221" t="s">
        <v>1942</v>
      </c>
      <c r="Z706" s="221" t="s">
        <v>203</v>
      </c>
      <c r="AA706" s="222">
        <v>43110</v>
      </c>
      <c r="AB706" s="117" t="s">
        <v>195</v>
      </c>
      <c r="AC706" s="63">
        <f t="shared" si="34"/>
        <v>1</v>
      </c>
      <c r="AD706" s="117" t="s">
        <v>217</v>
      </c>
      <c r="AE706" s="221" t="s">
        <v>218</v>
      </c>
      <c r="AF706" s="117"/>
      <c r="AG706" s="117"/>
      <c r="AH706" s="64"/>
      <c r="AI706" s="117" t="s">
        <v>184</v>
      </c>
      <c r="AJ706" s="222">
        <v>43115</v>
      </c>
      <c r="AK706" s="117" t="s">
        <v>1799</v>
      </c>
      <c r="AL706" s="117" t="s">
        <v>609</v>
      </c>
      <c r="AM706" s="222">
        <v>43115</v>
      </c>
    </row>
    <row r="707" spans="1:39" ht="12.75" hidden="1" customHeight="1">
      <c r="A707" s="147">
        <v>706</v>
      </c>
      <c r="B707" s="223">
        <v>214026</v>
      </c>
      <c r="C707" s="221" t="s">
        <v>1628</v>
      </c>
      <c r="D707" s="57">
        <v>43108</v>
      </c>
      <c r="E707" s="160" t="s">
        <v>1629</v>
      </c>
      <c r="F707" s="118">
        <v>43109</v>
      </c>
      <c r="G707" s="221">
        <f t="shared" si="35"/>
        <v>1</v>
      </c>
      <c r="H707" s="221" t="s">
        <v>363</v>
      </c>
      <c r="I707" s="221"/>
      <c r="J707" s="146" t="s">
        <v>614</v>
      </c>
      <c r="K707" s="94"/>
      <c r="L707" s="221"/>
      <c r="M707" s="117"/>
      <c r="N707" s="117"/>
      <c r="O707" s="227">
        <f t="shared" si="36"/>
        <v>0</v>
      </c>
      <c r="P707" s="224" t="s">
        <v>264</v>
      </c>
      <c r="Q707" s="230" t="s">
        <v>1342</v>
      </c>
      <c r="R707" s="147" t="s">
        <v>134</v>
      </c>
      <c r="S707" s="225" t="s">
        <v>465</v>
      </c>
      <c r="T707" s="221" t="s">
        <v>164</v>
      </c>
      <c r="U707" s="221" t="s">
        <v>1674</v>
      </c>
      <c r="V707" s="222" t="s">
        <v>169</v>
      </c>
      <c r="W707" s="117"/>
      <c r="X707" s="117"/>
      <c r="Y707" s="221"/>
      <c r="Z707" s="221" t="s">
        <v>202</v>
      </c>
      <c r="AA707" s="221"/>
      <c r="AB707" s="117"/>
      <c r="AC707" s="63">
        <f t="shared" si="34"/>
        <v>0</v>
      </c>
      <c r="AD707" s="117"/>
      <c r="AE707" s="117"/>
      <c r="AF707" s="117"/>
      <c r="AG707" s="117"/>
      <c r="AH707" s="126" t="s">
        <v>1684</v>
      </c>
      <c r="AI707" s="117"/>
      <c r="AJ707" s="221"/>
      <c r="AK707" s="221"/>
      <c r="AL707" s="221"/>
      <c r="AM707" s="221"/>
    </row>
    <row r="708" spans="1:39" ht="12.75" hidden="1" customHeight="1">
      <c r="A708" s="147">
        <v>707</v>
      </c>
      <c r="B708" s="223">
        <v>214056</v>
      </c>
      <c r="C708" s="221" t="s">
        <v>1628</v>
      </c>
      <c r="D708" s="57">
        <v>43108</v>
      </c>
      <c r="E708" s="160" t="s">
        <v>1629</v>
      </c>
      <c r="F708" s="118">
        <v>43109</v>
      </c>
      <c r="G708" s="221">
        <f t="shared" si="35"/>
        <v>1</v>
      </c>
      <c r="H708" s="221" t="s">
        <v>363</v>
      </c>
      <c r="I708" s="117"/>
      <c r="J708" s="146" t="s">
        <v>614</v>
      </c>
      <c r="K708" s="94">
        <v>1699</v>
      </c>
      <c r="L708" s="221">
        <v>1699</v>
      </c>
      <c r="M708" s="117">
        <v>260</v>
      </c>
      <c r="N708" s="117">
        <v>115</v>
      </c>
      <c r="O708" s="227">
        <f t="shared" si="36"/>
        <v>0</v>
      </c>
      <c r="P708" s="119" t="s">
        <v>264</v>
      </c>
      <c r="Q708" s="230" t="s">
        <v>1342</v>
      </c>
      <c r="R708" s="147" t="s">
        <v>134</v>
      </c>
      <c r="S708" s="225" t="s">
        <v>465</v>
      </c>
      <c r="T708" s="221" t="s">
        <v>164</v>
      </c>
      <c r="U708" s="221" t="s">
        <v>797</v>
      </c>
      <c r="V708" s="117" t="s">
        <v>90</v>
      </c>
      <c r="W708" s="117"/>
      <c r="X708" s="117"/>
      <c r="Y708" s="117"/>
      <c r="Z708" s="221" t="s">
        <v>202</v>
      </c>
      <c r="AA708" s="221"/>
      <c r="AB708" s="117"/>
      <c r="AC708" s="63">
        <f t="shared" si="34"/>
        <v>0</v>
      </c>
      <c r="AD708" s="117"/>
      <c r="AE708" s="221" t="s">
        <v>217</v>
      </c>
      <c r="AF708" s="148" t="s">
        <v>1625</v>
      </c>
      <c r="AG708" s="117"/>
      <c r="AH708" s="64" t="s">
        <v>1685</v>
      </c>
      <c r="AI708" s="117"/>
      <c r="AJ708" s="221"/>
      <c r="AK708" s="221"/>
      <c r="AL708" s="117"/>
      <c r="AM708" s="221"/>
    </row>
    <row r="709" spans="1:39" ht="12.75" hidden="1" customHeight="1">
      <c r="A709" s="147">
        <v>708</v>
      </c>
      <c r="B709" s="223">
        <v>214308</v>
      </c>
      <c r="C709" s="221" t="s">
        <v>1628</v>
      </c>
      <c r="D709" s="57">
        <v>43108</v>
      </c>
      <c r="E709" s="160" t="s">
        <v>1629</v>
      </c>
      <c r="F709" s="118">
        <v>43121</v>
      </c>
      <c r="G709" s="221">
        <f t="shared" si="35"/>
        <v>13</v>
      </c>
      <c r="H709" s="221" t="s">
        <v>133</v>
      </c>
      <c r="I709" s="117"/>
      <c r="J709" s="146" t="s">
        <v>614</v>
      </c>
      <c r="K709" s="94">
        <v>3324</v>
      </c>
      <c r="L709" s="221">
        <v>3324</v>
      </c>
      <c r="M709" s="117">
        <v>688</v>
      </c>
      <c r="N709" s="117">
        <v>120</v>
      </c>
      <c r="O709" s="227">
        <f t="shared" si="36"/>
        <v>0</v>
      </c>
      <c r="P709" s="224" t="s">
        <v>264</v>
      </c>
      <c r="Q709" s="230" t="s">
        <v>1342</v>
      </c>
      <c r="R709" s="147" t="s">
        <v>134</v>
      </c>
      <c r="S709" s="225" t="s">
        <v>465</v>
      </c>
      <c r="T709" s="221" t="s">
        <v>164</v>
      </c>
      <c r="U709" s="221" t="s">
        <v>479</v>
      </c>
      <c r="V709" s="117" t="s">
        <v>1675</v>
      </c>
      <c r="W709" s="117"/>
      <c r="X709" s="117"/>
      <c r="Y709" s="221" t="s">
        <v>1942</v>
      </c>
      <c r="Z709" s="221" t="s">
        <v>202</v>
      </c>
      <c r="AA709" s="221"/>
      <c r="AB709" s="117" t="s">
        <v>872</v>
      </c>
      <c r="AC709" s="63">
        <f t="shared" si="34"/>
        <v>0</v>
      </c>
      <c r="AD709" s="117"/>
      <c r="AE709" s="221" t="s">
        <v>217</v>
      </c>
      <c r="AF709" s="148" t="s">
        <v>1625</v>
      </c>
      <c r="AG709" s="117"/>
      <c r="AH709" s="64"/>
      <c r="AI709" s="117"/>
      <c r="AJ709" s="117"/>
      <c r="AK709" s="221"/>
      <c r="AL709" s="117"/>
      <c r="AM709" s="117"/>
    </row>
    <row r="710" spans="1:39" s="306" customFormat="1" ht="12.75" hidden="1" customHeight="1">
      <c r="A710" s="147">
        <v>709</v>
      </c>
      <c r="B710" s="178">
        <v>214381</v>
      </c>
      <c r="C710" s="301" t="s">
        <v>1628</v>
      </c>
      <c r="D710" s="57">
        <v>43108</v>
      </c>
      <c r="E710" s="160" t="s">
        <v>1629</v>
      </c>
      <c r="F710" s="302">
        <v>43113</v>
      </c>
      <c r="G710" s="301">
        <f t="shared" si="35"/>
        <v>5</v>
      </c>
      <c r="H710" s="301" t="s">
        <v>133</v>
      </c>
      <c r="I710" s="301"/>
      <c r="J710" s="301" t="s">
        <v>614</v>
      </c>
      <c r="K710" s="303">
        <v>2699</v>
      </c>
      <c r="L710" s="301">
        <v>2699</v>
      </c>
      <c r="M710" s="301">
        <v>360</v>
      </c>
      <c r="N710" s="301">
        <v>160</v>
      </c>
      <c r="O710" s="303">
        <f t="shared" si="36"/>
        <v>2177.06</v>
      </c>
      <c r="P710" s="304" t="s">
        <v>264</v>
      </c>
      <c r="Q710" s="304" t="s">
        <v>1342</v>
      </c>
      <c r="R710" s="301" t="s">
        <v>122</v>
      </c>
      <c r="S710" s="225" t="s">
        <v>465</v>
      </c>
      <c r="T710" s="301" t="s">
        <v>164</v>
      </c>
      <c r="U710" s="301" t="s">
        <v>1670</v>
      </c>
      <c r="V710" s="301" t="s">
        <v>249</v>
      </c>
      <c r="W710" s="301"/>
      <c r="X710" s="301"/>
      <c r="Y710" s="301" t="s">
        <v>316</v>
      </c>
      <c r="Z710" s="301" t="s">
        <v>202</v>
      </c>
      <c r="AA710" s="302">
        <v>43109</v>
      </c>
      <c r="AB710" s="301" t="s">
        <v>195</v>
      </c>
      <c r="AC710" s="301">
        <f t="shared" si="34"/>
        <v>1</v>
      </c>
      <c r="AD710" s="301" t="s">
        <v>217</v>
      </c>
      <c r="AE710" s="301" t="s">
        <v>218</v>
      </c>
      <c r="AF710" s="301"/>
      <c r="AG710" s="301"/>
      <c r="AH710" s="305"/>
      <c r="AI710" s="301" t="s">
        <v>184</v>
      </c>
      <c r="AJ710" s="302">
        <v>43131</v>
      </c>
      <c r="AK710" s="301" t="s">
        <v>2161</v>
      </c>
      <c r="AL710" s="301" t="s">
        <v>609</v>
      </c>
      <c r="AM710" s="302">
        <v>43131</v>
      </c>
    </row>
    <row r="711" spans="1:39" ht="12.75" hidden="1" customHeight="1">
      <c r="A711" s="147">
        <v>710</v>
      </c>
      <c r="B711" s="223">
        <v>214844</v>
      </c>
      <c r="C711" s="221" t="s">
        <v>1628</v>
      </c>
      <c r="D711" s="57">
        <v>43108</v>
      </c>
      <c r="E711" s="160" t="s">
        <v>1629</v>
      </c>
      <c r="F711" s="222">
        <v>43116</v>
      </c>
      <c r="G711" s="221">
        <f t="shared" si="35"/>
        <v>8</v>
      </c>
      <c r="H711" s="221" t="s">
        <v>133</v>
      </c>
      <c r="I711" s="221"/>
      <c r="J711" s="221" t="s">
        <v>614</v>
      </c>
      <c r="K711" s="94"/>
      <c r="L711" s="221"/>
      <c r="M711" s="117"/>
      <c r="N711" s="117"/>
      <c r="O711" s="227">
        <f t="shared" si="36"/>
        <v>0</v>
      </c>
      <c r="P711" s="224" t="s">
        <v>264</v>
      </c>
      <c r="Q711" s="230" t="s">
        <v>1342</v>
      </c>
      <c r="R711" s="147" t="s">
        <v>143</v>
      </c>
      <c r="S711" s="225" t="s">
        <v>465</v>
      </c>
      <c r="T711" s="221" t="s">
        <v>164</v>
      </c>
      <c r="U711" s="221" t="s">
        <v>447</v>
      </c>
      <c r="V711" s="221" t="s">
        <v>1671</v>
      </c>
      <c r="W711" s="221"/>
      <c r="X711" s="221"/>
      <c r="Y711" s="221"/>
      <c r="Z711" s="221" t="s">
        <v>202</v>
      </c>
      <c r="AA711" s="222"/>
      <c r="AB711" s="117"/>
      <c r="AC711" s="63">
        <f t="shared" si="34"/>
        <v>0</v>
      </c>
      <c r="AD711" s="117"/>
      <c r="AE711" s="117"/>
      <c r="AF711" s="117"/>
      <c r="AG711" s="117"/>
      <c r="AH711" s="64" t="s">
        <v>1690</v>
      </c>
      <c r="AI711" s="117"/>
      <c r="AJ711" s="221"/>
      <c r="AK711" s="301"/>
      <c r="AL711" s="117"/>
      <c r="AM711" s="221"/>
    </row>
    <row r="712" spans="1:39" ht="12.75" hidden="1" customHeight="1">
      <c r="A712" s="147">
        <v>711</v>
      </c>
      <c r="B712" s="223">
        <v>214928</v>
      </c>
      <c r="C712" s="117" t="s">
        <v>1628</v>
      </c>
      <c r="D712" s="57">
        <v>43108</v>
      </c>
      <c r="E712" s="160" t="s">
        <v>1629</v>
      </c>
      <c r="F712" s="118">
        <v>43113</v>
      </c>
      <c r="G712" s="221">
        <f t="shared" si="35"/>
        <v>5</v>
      </c>
      <c r="H712" s="146" t="s">
        <v>133</v>
      </c>
      <c r="I712" s="117"/>
      <c r="J712" s="146" t="s">
        <v>614</v>
      </c>
      <c r="K712" s="94"/>
      <c r="L712" s="221"/>
      <c r="M712" s="117"/>
      <c r="N712" s="117"/>
      <c r="O712" s="227">
        <f t="shared" si="36"/>
        <v>0</v>
      </c>
      <c r="P712" s="224" t="s">
        <v>264</v>
      </c>
      <c r="Q712" s="230" t="s">
        <v>1342</v>
      </c>
      <c r="R712" s="147" t="s">
        <v>134</v>
      </c>
      <c r="S712" s="225" t="s">
        <v>465</v>
      </c>
      <c r="T712" s="221" t="s">
        <v>164</v>
      </c>
      <c r="U712" s="221" t="s">
        <v>1672</v>
      </c>
      <c r="V712" s="221" t="s">
        <v>1673</v>
      </c>
      <c r="W712" s="221"/>
      <c r="X712" s="221"/>
      <c r="Y712" s="221" t="s">
        <v>1942</v>
      </c>
      <c r="Z712" s="65" t="s">
        <v>202</v>
      </c>
      <c r="AA712" s="221"/>
      <c r="AB712" s="117" t="s">
        <v>140</v>
      </c>
      <c r="AC712" s="63">
        <f t="shared" si="34"/>
        <v>0</v>
      </c>
      <c r="AD712" s="117"/>
      <c r="AE712" s="117" t="s">
        <v>218</v>
      </c>
      <c r="AF712" s="117"/>
      <c r="AG712" s="117"/>
      <c r="AH712" s="64" t="s">
        <v>1783</v>
      </c>
      <c r="AI712" s="117"/>
      <c r="AJ712" s="221"/>
      <c r="AK712" s="301"/>
      <c r="AL712" s="117"/>
      <c r="AM712" s="221"/>
    </row>
    <row r="713" spans="1:39" ht="12.75" hidden="1" customHeight="1">
      <c r="A713" s="147">
        <v>712</v>
      </c>
      <c r="B713" s="223">
        <v>214626</v>
      </c>
      <c r="C713" s="117" t="s">
        <v>1628</v>
      </c>
      <c r="D713" s="57">
        <v>43108</v>
      </c>
      <c r="E713" s="160" t="s">
        <v>1629</v>
      </c>
      <c r="F713" s="118">
        <v>43115</v>
      </c>
      <c r="G713" s="221">
        <f t="shared" si="35"/>
        <v>7</v>
      </c>
      <c r="H713" s="146" t="s">
        <v>133</v>
      </c>
      <c r="I713" s="117"/>
      <c r="J713" s="146" t="s">
        <v>614</v>
      </c>
      <c r="K713" s="94"/>
      <c r="L713" s="221"/>
      <c r="M713" s="117"/>
      <c r="N713" s="117"/>
      <c r="O713" s="227">
        <f t="shared" si="36"/>
        <v>0</v>
      </c>
      <c r="P713" s="82" t="s">
        <v>264</v>
      </c>
      <c r="Q713" s="82" t="s">
        <v>1342</v>
      </c>
      <c r="R713" s="221" t="s">
        <v>210</v>
      </c>
      <c r="S713" s="225" t="s">
        <v>469</v>
      </c>
      <c r="T713" s="221" t="s">
        <v>114</v>
      </c>
      <c r="U713" s="221" t="s">
        <v>1688</v>
      </c>
      <c r="V713" s="221" t="s">
        <v>90</v>
      </c>
      <c r="W713" s="221"/>
      <c r="X713" s="221"/>
      <c r="Y713" s="221"/>
      <c r="Z713" s="221" t="s">
        <v>124</v>
      </c>
      <c r="AA713" s="221"/>
      <c r="AB713" s="117"/>
      <c r="AC713" s="63">
        <f t="shared" si="34"/>
        <v>0</v>
      </c>
      <c r="AD713" s="117"/>
      <c r="AE713" s="221" t="s">
        <v>217</v>
      </c>
      <c r="AF713" s="117" t="s">
        <v>225</v>
      </c>
      <c r="AG713" s="117"/>
      <c r="AH713" s="64"/>
      <c r="AI713" s="117"/>
      <c r="AJ713" s="221"/>
      <c r="AK713" s="301"/>
      <c r="AL713" s="117"/>
      <c r="AM713" s="221"/>
    </row>
    <row r="714" spans="1:39" ht="12.75" hidden="1" customHeight="1">
      <c r="A714" s="147">
        <v>713</v>
      </c>
      <c r="B714" s="223">
        <v>214785</v>
      </c>
      <c r="C714" s="117" t="s">
        <v>1628</v>
      </c>
      <c r="D714" s="57">
        <v>43108</v>
      </c>
      <c r="E714" s="160" t="s">
        <v>1629</v>
      </c>
      <c r="F714" s="118">
        <v>43120</v>
      </c>
      <c r="G714" s="221">
        <f t="shared" si="35"/>
        <v>12</v>
      </c>
      <c r="H714" s="146" t="s">
        <v>133</v>
      </c>
      <c r="I714" s="117"/>
      <c r="J714" s="146" t="s">
        <v>614</v>
      </c>
      <c r="K714" s="94"/>
      <c r="L714" s="221"/>
      <c r="M714" s="117"/>
      <c r="N714" s="117"/>
      <c r="O714" s="227">
        <f t="shared" si="36"/>
        <v>0</v>
      </c>
      <c r="P714" s="224" t="s">
        <v>264</v>
      </c>
      <c r="Q714" s="224" t="s">
        <v>1342</v>
      </c>
      <c r="R714" s="221" t="s">
        <v>210</v>
      </c>
      <c r="S714" s="225" t="s">
        <v>469</v>
      </c>
      <c r="T714" s="221" t="s">
        <v>114</v>
      </c>
      <c r="U714" s="221" t="s">
        <v>1743</v>
      </c>
      <c r="V714" s="221" t="s">
        <v>1533</v>
      </c>
      <c r="W714" s="117"/>
      <c r="X714" s="117"/>
      <c r="Y714" s="117"/>
      <c r="Z714" s="117" t="s">
        <v>203</v>
      </c>
      <c r="AA714" s="221"/>
      <c r="AB714" s="117"/>
      <c r="AC714" s="63">
        <f t="shared" si="34"/>
        <v>0</v>
      </c>
      <c r="AD714" s="117"/>
      <c r="AE714" s="117"/>
      <c r="AF714" s="117"/>
      <c r="AG714" s="117"/>
      <c r="AH714" s="64" t="s">
        <v>1784</v>
      </c>
      <c r="AI714" s="117"/>
      <c r="AJ714" s="221"/>
      <c r="AK714" s="301"/>
      <c r="AL714" s="117"/>
      <c r="AM714" s="221"/>
    </row>
    <row r="715" spans="1:39" ht="12.75" hidden="1" customHeight="1">
      <c r="A715" s="147">
        <v>714</v>
      </c>
      <c r="B715" s="223">
        <v>214286</v>
      </c>
      <c r="C715" s="117" t="s">
        <v>1628</v>
      </c>
      <c r="D715" s="57">
        <v>43109</v>
      </c>
      <c r="E715" s="160" t="s">
        <v>1629</v>
      </c>
      <c r="F715" s="118">
        <v>43109</v>
      </c>
      <c r="G715" s="221">
        <f t="shared" si="35"/>
        <v>0</v>
      </c>
      <c r="H715" s="146" t="s">
        <v>133</v>
      </c>
      <c r="I715" s="117"/>
      <c r="J715" s="146"/>
      <c r="K715" s="94"/>
      <c r="L715" s="221"/>
      <c r="M715" s="221"/>
      <c r="N715" s="117"/>
      <c r="O715" s="227">
        <f>IF(AE715="Reemplazo",0,K714-(K714*0.12*0.5)-(MAX(M715,N715)))</f>
        <v>0</v>
      </c>
      <c r="P715" s="224" t="s">
        <v>264</v>
      </c>
      <c r="Q715" s="230" t="s">
        <v>1342</v>
      </c>
      <c r="R715" s="147" t="s">
        <v>134</v>
      </c>
      <c r="S715" s="225" t="s">
        <v>465</v>
      </c>
      <c r="T715" s="117" t="s">
        <v>358</v>
      </c>
      <c r="U715" s="221" t="s">
        <v>1676</v>
      </c>
      <c r="V715" s="224" t="s">
        <v>1677</v>
      </c>
      <c r="W715" s="117"/>
      <c r="X715" s="117"/>
      <c r="Y715" s="117"/>
      <c r="Z715" s="221" t="s">
        <v>124</v>
      </c>
      <c r="AA715" s="221"/>
      <c r="AB715" s="117"/>
      <c r="AC715" s="63">
        <f t="shared" si="34"/>
        <v>0</v>
      </c>
      <c r="AD715" s="117"/>
      <c r="AE715" s="117"/>
      <c r="AF715" s="117"/>
      <c r="AG715" s="117"/>
      <c r="AH715" s="64" t="s">
        <v>1689</v>
      </c>
      <c r="AI715" s="117"/>
      <c r="AJ715" s="221"/>
      <c r="AK715" s="301"/>
      <c r="AL715" s="117"/>
      <c r="AM715" s="221"/>
    </row>
    <row r="716" spans="1:39" ht="12.75" hidden="1" customHeight="1">
      <c r="A716" s="147">
        <v>715</v>
      </c>
      <c r="B716" s="223">
        <v>215197</v>
      </c>
      <c r="C716" s="117" t="s">
        <v>1628</v>
      </c>
      <c r="D716" s="57">
        <v>43109</v>
      </c>
      <c r="E716" s="160" t="s">
        <v>1629</v>
      </c>
      <c r="F716" s="118">
        <v>43109</v>
      </c>
      <c r="G716" s="221">
        <f t="shared" si="35"/>
        <v>0</v>
      </c>
      <c r="H716" s="146" t="s">
        <v>133</v>
      </c>
      <c r="I716" s="117"/>
      <c r="J716" s="146" t="s">
        <v>614</v>
      </c>
      <c r="K716" s="94">
        <v>1689</v>
      </c>
      <c r="L716" s="221">
        <v>1689</v>
      </c>
      <c r="M716" s="117">
        <v>400</v>
      </c>
      <c r="N716" s="117">
        <v>250</v>
      </c>
      <c r="O716" s="227">
        <f t="shared" ref="O716:O754" si="37">IF(AE716="Reemplazo",0,K716-(K716*0.12*0.5)-(MAX(M716,N716)))</f>
        <v>1187.6600000000001</v>
      </c>
      <c r="P716" s="224" t="s">
        <v>263</v>
      </c>
      <c r="Q716" s="224" t="s">
        <v>1341</v>
      </c>
      <c r="R716" s="147" t="s">
        <v>134</v>
      </c>
      <c r="S716" s="225" t="s">
        <v>465</v>
      </c>
      <c r="T716" s="117" t="s">
        <v>88</v>
      </c>
      <c r="U716" s="221" t="s">
        <v>756</v>
      </c>
      <c r="V716" s="117" t="s">
        <v>139</v>
      </c>
      <c r="W716" s="117"/>
      <c r="X716" s="117"/>
      <c r="Y716" s="117" t="s">
        <v>316</v>
      </c>
      <c r="Z716" s="117" t="s">
        <v>1118</v>
      </c>
      <c r="AA716" s="222">
        <v>43110</v>
      </c>
      <c r="AB716" s="117" t="s">
        <v>195</v>
      </c>
      <c r="AC716" s="63">
        <f t="shared" si="34"/>
        <v>1</v>
      </c>
      <c r="AD716" s="117" t="s">
        <v>217</v>
      </c>
      <c r="AE716" s="117" t="s">
        <v>218</v>
      </c>
      <c r="AF716" s="117"/>
      <c r="AG716" s="117"/>
      <c r="AH716" s="64"/>
      <c r="AI716" s="117" t="s">
        <v>184</v>
      </c>
      <c r="AJ716" s="222">
        <v>43115</v>
      </c>
      <c r="AK716" s="301" t="s">
        <v>1792</v>
      </c>
      <c r="AL716" s="117" t="s">
        <v>609</v>
      </c>
      <c r="AM716" s="222">
        <v>43118</v>
      </c>
    </row>
    <row r="717" spans="1:39" ht="12.75" hidden="1" customHeight="1">
      <c r="A717" s="147">
        <v>716</v>
      </c>
      <c r="B717" s="60">
        <v>213728</v>
      </c>
      <c r="C717" s="117" t="s">
        <v>1628</v>
      </c>
      <c r="D717" s="57">
        <v>43109</v>
      </c>
      <c r="E717" s="160" t="s">
        <v>1629</v>
      </c>
      <c r="F717" s="118">
        <v>43102</v>
      </c>
      <c r="G717" s="221">
        <f t="shared" si="35"/>
        <v>-7</v>
      </c>
      <c r="H717" s="146" t="s">
        <v>363</v>
      </c>
      <c r="I717" s="117"/>
      <c r="J717" s="146" t="s">
        <v>614</v>
      </c>
      <c r="K717" s="94"/>
      <c r="L717" s="221"/>
      <c r="M717" s="221"/>
      <c r="N717" s="117"/>
      <c r="O717" s="227">
        <f t="shared" si="37"/>
        <v>0</v>
      </c>
      <c r="P717" s="224" t="s">
        <v>264</v>
      </c>
      <c r="Q717" s="224" t="s">
        <v>1342</v>
      </c>
      <c r="R717" s="221" t="s">
        <v>122</v>
      </c>
      <c r="S717" s="225" t="s">
        <v>469</v>
      </c>
      <c r="T717" s="117" t="s">
        <v>164</v>
      </c>
      <c r="U717" s="221" t="s">
        <v>1686</v>
      </c>
      <c r="V717" s="117" t="s">
        <v>249</v>
      </c>
      <c r="W717" s="221"/>
      <c r="X717" s="117"/>
      <c r="Y717" s="221"/>
      <c r="Z717" s="117" t="s">
        <v>202</v>
      </c>
      <c r="AA717" s="221"/>
      <c r="AB717" s="117"/>
      <c r="AC717" s="63">
        <f t="shared" si="34"/>
        <v>0</v>
      </c>
      <c r="AD717" s="117"/>
      <c r="AE717" s="117"/>
      <c r="AF717" s="117"/>
      <c r="AG717" s="117"/>
      <c r="AH717" s="64" t="s">
        <v>1699</v>
      </c>
      <c r="AI717" s="117"/>
      <c r="AJ717" s="221"/>
      <c r="AK717" s="301"/>
      <c r="AL717" s="117"/>
      <c r="AM717" s="221"/>
    </row>
    <row r="718" spans="1:39" ht="12.75" hidden="1" customHeight="1">
      <c r="A718" s="147">
        <v>717</v>
      </c>
      <c r="B718" s="60">
        <v>215273</v>
      </c>
      <c r="C718" s="117" t="s">
        <v>1130</v>
      </c>
      <c r="D718" s="57">
        <v>43109</v>
      </c>
      <c r="E718" s="160" t="s">
        <v>1629</v>
      </c>
      <c r="F718" s="222">
        <v>43116</v>
      </c>
      <c r="G718" s="221">
        <f t="shared" si="35"/>
        <v>7</v>
      </c>
      <c r="H718" s="146" t="s">
        <v>363</v>
      </c>
      <c r="I718" s="117"/>
      <c r="J718" s="146" t="s">
        <v>614</v>
      </c>
      <c r="K718" s="94"/>
      <c r="L718" s="221"/>
      <c r="M718" s="221"/>
      <c r="N718" s="117"/>
      <c r="O718" s="227">
        <f t="shared" si="37"/>
        <v>0</v>
      </c>
      <c r="P718" s="224" t="s">
        <v>264</v>
      </c>
      <c r="Q718" s="230" t="s">
        <v>1342</v>
      </c>
      <c r="R718" s="221" t="s">
        <v>143</v>
      </c>
      <c r="S718" s="225" t="s">
        <v>465</v>
      </c>
      <c r="T718" s="117" t="s">
        <v>88</v>
      </c>
      <c r="U718" s="221" t="s">
        <v>297</v>
      </c>
      <c r="V718" s="221" t="s">
        <v>90</v>
      </c>
      <c r="W718" s="117"/>
      <c r="X718" s="117"/>
      <c r="Y718" s="117"/>
      <c r="Z718" s="117" t="s">
        <v>189</v>
      </c>
      <c r="AA718" s="221"/>
      <c r="AB718" s="117"/>
      <c r="AC718" s="63">
        <f t="shared" si="34"/>
        <v>0</v>
      </c>
      <c r="AD718" s="117"/>
      <c r="AE718" s="117"/>
      <c r="AF718" s="117"/>
      <c r="AG718" s="117"/>
      <c r="AH718" s="64" t="s">
        <v>1693</v>
      </c>
      <c r="AI718" s="117"/>
      <c r="AJ718" s="221"/>
      <c r="AK718" s="301"/>
      <c r="AL718" s="221"/>
      <c r="AM718" s="221"/>
    </row>
    <row r="719" spans="1:39" ht="12.75" hidden="1" customHeight="1">
      <c r="A719" s="147">
        <v>718</v>
      </c>
      <c r="B719" s="223">
        <v>214931</v>
      </c>
      <c r="C719" s="117" t="s">
        <v>1130</v>
      </c>
      <c r="D719" s="57">
        <v>43109</v>
      </c>
      <c r="E719" s="160" t="s">
        <v>1629</v>
      </c>
      <c r="F719" s="118">
        <v>43116</v>
      </c>
      <c r="G719" s="221">
        <f t="shared" si="35"/>
        <v>7</v>
      </c>
      <c r="H719" s="146" t="s">
        <v>133</v>
      </c>
      <c r="I719" s="117"/>
      <c r="J719" s="146" t="s">
        <v>614</v>
      </c>
      <c r="K719" s="94">
        <v>899</v>
      </c>
      <c r="L719" s="221">
        <v>899</v>
      </c>
      <c r="M719" s="221">
        <v>190</v>
      </c>
      <c r="N719" s="117">
        <v>80</v>
      </c>
      <c r="O719" s="227">
        <f t="shared" si="37"/>
        <v>655.05999999999995</v>
      </c>
      <c r="P719" s="224" t="s">
        <v>262</v>
      </c>
      <c r="Q719" s="230" t="s">
        <v>1342</v>
      </c>
      <c r="R719" s="221" t="s">
        <v>87</v>
      </c>
      <c r="S719" s="225" t="s">
        <v>465</v>
      </c>
      <c r="T719" s="117" t="s">
        <v>88</v>
      </c>
      <c r="U719" s="221" t="s">
        <v>431</v>
      </c>
      <c r="V719" s="117" t="s">
        <v>432</v>
      </c>
      <c r="W719" s="117"/>
      <c r="X719" s="117"/>
      <c r="Y719" s="117" t="s">
        <v>316</v>
      </c>
      <c r="Z719" s="117" t="s">
        <v>189</v>
      </c>
      <c r="AA719" s="222">
        <v>43110</v>
      </c>
      <c r="AB719" s="117" t="s">
        <v>872</v>
      </c>
      <c r="AC719" s="63">
        <f t="shared" si="34"/>
        <v>1</v>
      </c>
      <c r="AD719" s="117" t="s">
        <v>217</v>
      </c>
      <c r="AE719" s="117" t="s">
        <v>218</v>
      </c>
      <c r="AF719" s="117"/>
      <c r="AG719" s="117"/>
      <c r="AH719" s="64"/>
      <c r="AI719" s="117" t="s">
        <v>184</v>
      </c>
      <c r="AJ719" s="222">
        <v>43115</v>
      </c>
      <c r="AK719" s="301" t="s">
        <v>1785</v>
      </c>
      <c r="AL719" s="117" t="s">
        <v>609</v>
      </c>
      <c r="AM719" s="222">
        <v>43118</v>
      </c>
    </row>
    <row r="720" spans="1:39" ht="12.75" hidden="1" customHeight="1">
      <c r="A720" s="147">
        <v>719</v>
      </c>
      <c r="B720" s="223">
        <v>215279</v>
      </c>
      <c r="C720" s="117" t="s">
        <v>128</v>
      </c>
      <c r="D720" s="57">
        <v>43109</v>
      </c>
      <c r="E720" s="160" t="s">
        <v>1629</v>
      </c>
      <c r="F720" s="118">
        <v>43151</v>
      </c>
      <c r="G720" s="221">
        <f t="shared" si="35"/>
        <v>42</v>
      </c>
      <c r="H720" s="221" t="s">
        <v>133</v>
      </c>
      <c r="I720" s="117"/>
      <c r="J720" s="146" t="s">
        <v>614</v>
      </c>
      <c r="K720" s="94">
        <v>1919</v>
      </c>
      <c r="L720" s="221">
        <v>1919</v>
      </c>
      <c r="M720" s="221">
        <v>570</v>
      </c>
      <c r="N720" s="117">
        <v>320</v>
      </c>
      <c r="O720" s="227">
        <f t="shared" si="37"/>
        <v>1233.8599999999999</v>
      </c>
      <c r="P720" s="224" t="s">
        <v>263</v>
      </c>
      <c r="Q720" s="224" t="s">
        <v>1341</v>
      </c>
      <c r="R720" s="221" t="s">
        <v>254</v>
      </c>
      <c r="S720" s="225" t="s">
        <v>466</v>
      </c>
      <c r="T720" s="221" t="s">
        <v>313</v>
      </c>
      <c r="U720" s="221" t="s">
        <v>1692</v>
      </c>
      <c r="V720" s="117" t="s">
        <v>1691</v>
      </c>
      <c r="W720" s="117"/>
      <c r="X720" s="117"/>
      <c r="Y720" s="117" t="s">
        <v>316</v>
      </c>
      <c r="Z720" s="117" t="s">
        <v>726</v>
      </c>
      <c r="AA720" s="222">
        <v>43111</v>
      </c>
      <c r="AB720" s="117" t="s">
        <v>140</v>
      </c>
      <c r="AC720" s="226">
        <f t="shared" si="34"/>
        <v>1</v>
      </c>
      <c r="AD720" s="117" t="s">
        <v>217</v>
      </c>
      <c r="AE720" s="117" t="s">
        <v>218</v>
      </c>
      <c r="AF720" s="117"/>
      <c r="AG720" s="117"/>
      <c r="AH720" s="64"/>
      <c r="AI720" s="117" t="s">
        <v>184</v>
      </c>
      <c r="AJ720" s="221"/>
      <c r="AK720" s="301"/>
      <c r="AL720" s="117"/>
      <c r="AM720" s="221"/>
    </row>
    <row r="721" spans="1:39" ht="12.75" hidden="1" customHeight="1">
      <c r="A721" s="147">
        <v>720</v>
      </c>
      <c r="B721" s="223">
        <v>214343</v>
      </c>
      <c r="C721" s="117" t="s">
        <v>1130</v>
      </c>
      <c r="D721" s="57">
        <v>43109</v>
      </c>
      <c r="E721" s="160" t="s">
        <v>1629</v>
      </c>
      <c r="F721" s="118">
        <v>43116</v>
      </c>
      <c r="G721" s="221">
        <f t="shared" si="35"/>
        <v>7</v>
      </c>
      <c r="H721" s="146" t="s">
        <v>363</v>
      </c>
      <c r="I721" s="117"/>
      <c r="J721" s="146" t="s">
        <v>614</v>
      </c>
      <c r="K721" s="94"/>
      <c r="L721" s="221"/>
      <c r="M721" s="221"/>
      <c r="N721" s="117"/>
      <c r="O721" s="227">
        <f t="shared" si="37"/>
        <v>0</v>
      </c>
      <c r="P721" s="224" t="s">
        <v>264</v>
      </c>
      <c r="Q721" s="224" t="s">
        <v>1342</v>
      </c>
      <c r="R721" s="221" t="s">
        <v>1374</v>
      </c>
      <c r="S721" s="225" t="s">
        <v>469</v>
      </c>
      <c r="T721" s="117" t="s">
        <v>1694</v>
      </c>
      <c r="U721" s="221" t="s">
        <v>1695</v>
      </c>
      <c r="V721" s="117" t="s">
        <v>90</v>
      </c>
      <c r="W721" s="117"/>
      <c r="X721" s="117"/>
      <c r="Y721" s="117"/>
      <c r="Z721" s="117" t="s">
        <v>170</v>
      </c>
      <c r="AA721" s="221"/>
      <c r="AB721" s="117"/>
      <c r="AC721" s="63">
        <f t="shared" si="34"/>
        <v>0</v>
      </c>
      <c r="AD721" s="117"/>
      <c r="AE721" s="117"/>
      <c r="AF721" s="221"/>
      <c r="AG721" s="117"/>
      <c r="AH721" s="64" t="s">
        <v>1696</v>
      </c>
      <c r="AI721" s="117"/>
      <c r="AJ721" s="117"/>
      <c r="AK721" s="301"/>
      <c r="AL721" s="117"/>
      <c r="AM721" s="117"/>
    </row>
    <row r="722" spans="1:39" ht="12.75" hidden="1" customHeight="1">
      <c r="A722" s="147">
        <v>721</v>
      </c>
      <c r="B722" s="223">
        <v>215098</v>
      </c>
      <c r="C722" s="117" t="s">
        <v>128</v>
      </c>
      <c r="D722" s="57">
        <v>43109</v>
      </c>
      <c r="E722" s="160" t="s">
        <v>1629</v>
      </c>
      <c r="F722" s="118">
        <v>43123</v>
      </c>
      <c r="G722" s="221">
        <f t="shared" si="35"/>
        <v>14</v>
      </c>
      <c r="H722" s="221" t="s">
        <v>133</v>
      </c>
      <c r="I722" s="117"/>
      <c r="J722" s="146" t="s">
        <v>614</v>
      </c>
      <c r="K722" s="94">
        <v>1299</v>
      </c>
      <c r="L722" s="221">
        <v>1299</v>
      </c>
      <c r="M722" s="221">
        <v>520</v>
      </c>
      <c r="N722" s="117">
        <v>107.1</v>
      </c>
      <c r="O722" s="227">
        <f t="shared" si="37"/>
        <v>701.06</v>
      </c>
      <c r="P722" s="224" t="s">
        <v>264</v>
      </c>
      <c r="Q722" s="224" t="s">
        <v>1342</v>
      </c>
      <c r="R722" s="221" t="s">
        <v>254</v>
      </c>
      <c r="S722" s="225" t="s">
        <v>466</v>
      </c>
      <c r="T722" s="221" t="s">
        <v>313</v>
      </c>
      <c r="U722" s="221" t="s">
        <v>1697</v>
      </c>
      <c r="V722" s="221" t="s">
        <v>257</v>
      </c>
      <c r="W722" s="117"/>
      <c r="X722" s="117"/>
      <c r="Y722" s="117" t="s">
        <v>1459</v>
      </c>
      <c r="Z722" s="117" t="s">
        <v>259</v>
      </c>
      <c r="AA722" s="222">
        <v>43111</v>
      </c>
      <c r="AB722" s="117" t="s">
        <v>872</v>
      </c>
      <c r="AC722" s="226">
        <f t="shared" si="34"/>
        <v>1</v>
      </c>
      <c r="AD722" s="117" t="s">
        <v>217</v>
      </c>
      <c r="AE722" s="117" t="s">
        <v>218</v>
      </c>
      <c r="AF722" s="221"/>
      <c r="AG722" s="117"/>
      <c r="AH722" s="64"/>
      <c r="AI722" s="117"/>
      <c r="AJ722" s="117"/>
      <c r="AK722" s="301"/>
      <c r="AL722" s="117"/>
      <c r="AM722" s="117"/>
    </row>
    <row r="723" spans="1:39" ht="12.75" hidden="1" customHeight="1">
      <c r="A723" s="147">
        <v>722</v>
      </c>
      <c r="B723" s="223">
        <v>214541</v>
      </c>
      <c r="C723" s="221" t="s">
        <v>1130</v>
      </c>
      <c r="D723" s="57">
        <v>43109</v>
      </c>
      <c r="E723" s="160" t="s">
        <v>1629</v>
      </c>
      <c r="F723" s="118">
        <v>43115</v>
      </c>
      <c r="G723" s="221">
        <f t="shared" si="35"/>
        <v>6</v>
      </c>
      <c r="H723" s="146" t="s">
        <v>133</v>
      </c>
      <c r="I723" s="117"/>
      <c r="J723" s="146" t="s">
        <v>614</v>
      </c>
      <c r="K723" s="94"/>
      <c r="L723" s="221"/>
      <c r="M723" s="221"/>
      <c r="N723" s="117"/>
      <c r="O723" s="227">
        <f t="shared" si="37"/>
        <v>0</v>
      </c>
      <c r="P723" s="119" t="s">
        <v>264</v>
      </c>
      <c r="Q723" s="119" t="s">
        <v>1342</v>
      </c>
      <c r="R723" s="117" t="s">
        <v>210</v>
      </c>
      <c r="S723" s="225" t="s">
        <v>469</v>
      </c>
      <c r="T723" s="117" t="s">
        <v>376</v>
      </c>
      <c r="U723" s="221" t="s">
        <v>1744</v>
      </c>
      <c r="V723" s="117" t="s">
        <v>382</v>
      </c>
      <c r="W723" s="117"/>
      <c r="X723" s="117"/>
      <c r="Y723" s="221"/>
      <c r="Z723" s="117" t="s">
        <v>170</v>
      </c>
      <c r="AA723" s="221"/>
      <c r="AB723" s="117"/>
      <c r="AC723" s="63">
        <f t="shared" si="34"/>
        <v>0</v>
      </c>
      <c r="AD723" s="117"/>
      <c r="AE723" s="221" t="s">
        <v>217</v>
      </c>
      <c r="AF723" s="117" t="s">
        <v>225</v>
      </c>
      <c r="AG723" s="117"/>
      <c r="AH723" s="64"/>
      <c r="AI723" s="117"/>
      <c r="AJ723" s="221"/>
      <c r="AK723" s="301"/>
      <c r="AL723" s="117"/>
      <c r="AM723" s="221"/>
    </row>
    <row r="724" spans="1:39" ht="12.75" hidden="1" customHeight="1">
      <c r="A724" s="147">
        <v>723</v>
      </c>
      <c r="B724" s="60">
        <v>214775</v>
      </c>
      <c r="C724" s="117" t="s">
        <v>1130</v>
      </c>
      <c r="D724" s="57">
        <v>43109</v>
      </c>
      <c r="E724" s="160" t="s">
        <v>1629</v>
      </c>
      <c r="F724" s="118">
        <v>43115</v>
      </c>
      <c r="G724" s="221">
        <f t="shared" si="35"/>
        <v>6</v>
      </c>
      <c r="H724" s="146" t="s">
        <v>133</v>
      </c>
      <c r="I724" s="117"/>
      <c r="J724" s="146" t="s">
        <v>614</v>
      </c>
      <c r="K724" s="94"/>
      <c r="L724" s="221"/>
      <c r="M724" s="221"/>
      <c r="N724" s="117"/>
      <c r="O724" s="227">
        <f t="shared" si="37"/>
        <v>0</v>
      </c>
      <c r="P724" s="224" t="s">
        <v>264</v>
      </c>
      <c r="Q724" s="224" t="s">
        <v>1342</v>
      </c>
      <c r="R724" s="221" t="s">
        <v>210</v>
      </c>
      <c r="S724" s="225" t="s">
        <v>469</v>
      </c>
      <c r="T724" s="221" t="s">
        <v>376</v>
      </c>
      <c r="U724" s="221" t="s">
        <v>1745</v>
      </c>
      <c r="V724" s="221" t="s">
        <v>382</v>
      </c>
      <c r="W724" s="117"/>
      <c r="X724" s="117"/>
      <c r="Y724" s="221"/>
      <c r="Z724" s="117" t="s">
        <v>170</v>
      </c>
      <c r="AA724" s="221"/>
      <c r="AB724" s="117"/>
      <c r="AC724" s="63">
        <f t="shared" si="34"/>
        <v>0</v>
      </c>
      <c r="AD724" s="117"/>
      <c r="AE724" s="221" t="s">
        <v>217</v>
      </c>
      <c r="AF724" s="117" t="s">
        <v>225</v>
      </c>
      <c r="AG724" s="117"/>
      <c r="AH724" s="64"/>
      <c r="AI724" s="117"/>
      <c r="AJ724" s="221"/>
      <c r="AK724" s="301"/>
      <c r="AL724" s="117"/>
      <c r="AM724" s="221"/>
    </row>
    <row r="725" spans="1:39" ht="12.75" hidden="1" customHeight="1">
      <c r="A725" s="147">
        <v>724</v>
      </c>
      <c r="B725" s="60">
        <v>215348</v>
      </c>
      <c r="C725" s="221" t="s">
        <v>1130</v>
      </c>
      <c r="D725" s="57">
        <v>43110</v>
      </c>
      <c r="E725" s="160" t="s">
        <v>1629</v>
      </c>
      <c r="F725" s="118">
        <v>43117</v>
      </c>
      <c r="G725" s="221">
        <f t="shared" si="35"/>
        <v>7</v>
      </c>
      <c r="H725" s="146" t="s">
        <v>133</v>
      </c>
      <c r="I725" s="117"/>
      <c r="J725" s="146" t="s">
        <v>614</v>
      </c>
      <c r="K725" s="94">
        <v>2849</v>
      </c>
      <c r="L725" s="221"/>
      <c r="M725" s="221">
        <v>290</v>
      </c>
      <c r="N725" s="117">
        <v>120</v>
      </c>
      <c r="O725" s="227">
        <f t="shared" si="37"/>
        <v>2388.06</v>
      </c>
      <c r="P725" s="224"/>
      <c r="Q725" s="224"/>
      <c r="R725" s="117" t="s">
        <v>134</v>
      </c>
      <c r="S725" s="225" t="s">
        <v>465</v>
      </c>
      <c r="T725" s="221" t="s">
        <v>88</v>
      </c>
      <c r="U725" s="221" t="s">
        <v>449</v>
      </c>
      <c r="V725" s="117" t="s">
        <v>429</v>
      </c>
      <c r="W725" s="117"/>
      <c r="X725" s="117"/>
      <c r="Y725" s="117" t="s">
        <v>1172</v>
      </c>
      <c r="Z725" s="117" t="s">
        <v>189</v>
      </c>
      <c r="AA725" s="221"/>
      <c r="AB725" s="117"/>
      <c r="AC725" s="63">
        <f t="shared" si="34"/>
        <v>1</v>
      </c>
      <c r="AD725" s="117" t="s">
        <v>217</v>
      </c>
      <c r="AE725" s="117" t="s">
        <v>218</v>
      </c>
      <c r="AF725" s="117"/>
      <c r="AG725" s="117"/>
      <c r="AH725" s="64"/>
      <c r="AI725" s="117"/>
      <c r="AJ725" s="117"/>
      <c r="AK725" s="301"/>
      <c r="AL725" s="117"/>
      <c r="AM725" s="117"/>
    </row>
    <row r="726" spans="1:39" ht="12.75" hidden="1" customHeight="1">
      <c r="A726" s="147">
        <v>725</v>
      </c>
      <c r="B726" s="60">
        <v>215069</v>
      </c>
      <c r="C726" s="117" t="s">
        <v>128</v>
      </c>
      <c r="D726" s="57">
        <v>43112</v>
      </c>
      <c r="E726" s="160" t="s">
        <v>1629</v>
      </c>
      <c r="F726" s="118">
        <v>43119</v>
      </c>
      <c r="G726" s="221">
        <f t="shared" si="35"/>
        <v>7</v>
      </c>
      <c r="H726" s="146" t="s">
        <v>133</v>
      </c>
      <c r="I726" s="117"/>
      <c r="J726" s="146" t="s">
        <v>614</v>
      </c>
      <c r="K726" s="94">
        <v>1499</v>
      </c>
      <c r="L726" s="221">
        <v>1499</v>
      </c>
      <c r="M726" s="221">
        <v>148</v>
      </c>
      <c r="N726" s="117">
        <v>550</v>
      </c>
      <c r="O726" s="227">
        <f t="shared" si="37"/>
        <v>859.06</v>
      </c>
      <c r="P726" s="224" t="s">
        <v>262</v>
      </c>
      <c r="Q726" s="224" t="s">
        <v>1342</v>
      </c>
      <c r="R726" s="221" t="s">
        <v>143</v>
      </c>
      <c r="S726" s="225" t="s">
        <v>465</v>
      </c>
      <c r="T726" s="117" t="s">
        <v>164</v>
      </c>
      <c r="U726" s="221" t="s">
        <v>1768</v>
      </c>
      <c r="V726" s="117" t="s">
        <v>453</v>
      </c>
      <c r="W726" s="117"/>
      <c r="X726" s="117"/>
      <c r="Y726" s="221" t="s">
        <v>1942</v>
      </c>
      <c r="Z726" s="117" t="s">
        <v>202</v>
      </c>
      <c r="AA726" s="222">
        <v>43118</v>
      </c>
      <c r="AB726" s="117" t="s">
        <v>872</v>
      </c>
      <c r="AC726" s="63">
        <f t="shared" si="34"/>
        <v>1</v>
      </c>
      <c r="AD726" s="117" t="s">
        <v>217</v>
      </c>
      <c r="AE726" s="117" t="s">
        <v>218</v>
      </c>
      <c r="AF726" s="117"/>
      <c r="AG726" s="117"/>
      <c r="AH726" s="64"/>
      <c r="AI726" s="117" t="s">
        <v>184</v>
      </c>
      <c r="AJ726" s="222">
        <v>43129</v>
      </c>
      <c r="AK726" s="301" t="s">
        <v>1934</v>
      </c>
      <c r="AL726" s="117" t="s">
        <v>609</v>
      </c>
      <c r="AM726" s="117"/>
    </row>
    <row r="727" spans="1:39" ht="12.75" hidden="1" customHeight="1">
      <c r="A727" s="147">
        <v>726</v>
      </c>
      <c r="B727" s="60">
        <v>215756</v>
      </c>
      <c r="C727" s="117" t="s">
        <v>128</v>
      </c>
      <c r="D727" s="57">
        <v>43115</v>
      </c>
      <c r="E727" s="160" t="s">
        <v>1629</v>
      </c>
      <c r="F727" s="118">
        <v>43130</v>
      </c>
      <c r="G727" s="221">
        <f t="shared" si="35"/>
        <v>15</v>
      </c>
      <c r="H727" s="146" t="s">
        <v>133</v>
      </c>
      <c r="I727" s="117"/>
      <c r="J727" s="146" t="s">
        <v>614</v>
      </c>
      <c r="K727" s="94">
        <v>2799</v>
      </c>
      <c r="L727" s="221">
        <v>2799</v>
      </c>
      <c r="M727" s="221">
        <v>230</v>
      </c>
      <c r="N727" s="117">
        <v>120</v>
      </c>
      <c r="O727" s="227">
        <f t="shared" si="37"/>
        <v>0</v>
      </c>
      <c r="P727" s="119" t="s">
        <v>263</v>
      </c>
      <c r="Q727" s="224" t="s">
        <v>1341</v>
      </c>
      <c r="R727" s="147" t="s">
        <v>134</v>
      </c>
      <c r="S727" s="225" t="s">
        <v>465</v>
      </c>
      <c r="T727" s="117" t="s">
        <v>120</v>
      </c>
      <c r="U727" s="221" t="s">
        <v>1217</v>
      </c>
      <c r="V727" s="117" t="s">
        <v>429</v>
      </c>
      <c r="W727" s="117"/>
      <c r="X727" s="117"/>
      <c r="Y727" s="117" t="s">
        <v>316</v>
      </c>
      <c r="Z727" s="117" t="s">
        <v>137</v>
      </c>
      <c r="AA727" s="222">
        <v>43117</v>
      </c>
      <c r="AB727" s="117" t="s">
        <v>872</v>
      </c>
      <c r="AC727" s="63">
        <f t="shared" si="34"/>
        <v>0</v>
      </c>
      <c r="AD727" s="117"/>
      <c r="AE727" s="221" t="s">
        <v>217</v>
      </c>
      <c r="AF727" s="117" t="s">
        <v>225</v>
      </c>
      <c r="AG727" s="117"/>
      <c r="AH727" s="64"/>
      <c r="AI727" s="117"/>
      <c r="AJ727" s="221"/>
      <c r="AK727" s="301"/>
      <c r="AL727" s="117"/>
      <c r="AM727" s="221"/>
    </row>
    <row r="728" spans="1:39" ht="12.75" hidden="1" customHeight="1">
      <c r="A728" s="147">
        <v>727</v>
      </c>
      <c r="B728" s="60">
        <v>215557</v>
      </c>
      <c r="C728" s="117" t="s">
        <v>128</v>
      </c>
      <c r="D728" s="57">
        <v>43115</v>
      </c>
      <c r="E728" s="160" t="s">
        <v>1629</v>
      </c>
      <c r="F728" s="118">
        <v>43130</v>
      </c>
      <c r="G728" s="221">
        <f t="shared" si="35"/>
        <v>15</v>
      </c>
      <c r="H728" s="146" t="s">
        <v>133</v>
      </c>
      <c r="I728" s="117"/>
      <c r="J728" s="146" t="s">
        <v>614</v>
      </c>
      <c r="K728" s="94">
        <v>1099</v>
      </c>
      <c r="L728" s="221"/>
      <c r="M728" s="221">
        <v>180</v>
      </c>
      <c r="N728" s="117">
        <v>80</v>
      </c>
      <c r="O728" s="227">
        <f t="shared" si="37"/>
        <v>853.06</v>
      </c>
      <c r="P728" s="224" t="s">
        <v>263</v>
      </c>
      <c r="Q728" s="224" t="s">
        <v>1341</v>
      </c>
      <c r="R728" s="221" t="s">
        <v>143</v>
      </c>
      <c r="S728" s="225" t="s">
        <v>465</v>
      </c>
      <c r="T728" s="117" t="s">
        <v>120</v>
      </c>
      <c r="U728" s="221" t="s">
        <v>1613</v>
      </c>
      <c r="V728" s="117" t="s">
        <v>519</v>
      </c>
      <c r="W728" s="117"/>
      <c r="X728" s="117"/>
      <c r="Y728" s="117" t="s">
        <v>316</v>
      </c>
      <c r="Z728" s="117" t="s">
        <v>137</v>
      </c>
      <c r="AA728" s="222">
        <v>43118</v>
      </c>
      <c r="AB728" s="117" t="s">
        <v>140</v>
      </c>
      <c r="AC728" s="63">
        <f t="shared" si="34"/>
        <v>1</v>
      </c>
      <c r="AD728" s="117" t="s">
        <v>217</v>
      </c>
      <c r="AE728" s="117" t="s">
        <v>218</v>
      </c>
      <c r="AF728" s="117"/>
      <c r="AG728" s="117"/>
      <c r="AH728" s="64"/>
      <c r="AI728" s="117" t="s">
        <v>184</v>
      </c>
      <c r="AJ728" s="222">
        <v>43131</v>
      </c>
      <c r="AK728" s="301" t="s">
        <v>2155</v>
      </c>
      <c r="AL728" s="117" t="s">
        <v>645</v>
      </c>
      <c r="AM728" s="222">
        <v>43131</v>
      </c>
    </row>
    <row r="729" spans="1:39" ht="12.75" hidden="1" customHeight="1">
      <c r="A729" s="147">
        <v>728</v>
      </c>
      <c r="B729" s="60">
        <v>214976</v>
      </c>
      <c r="C729" s="117" t="s">
        <v>1628</v>
      </c>
      <c r="D729" s="57">
        <v>43115</v>
      </c>
      <c r="E729" s="160" t="s">
        <v>1629</v>
      </c>
      <c r="F729" s="118">
        <v>43119</v>
      </c>
      <c r="G729" s="221">
        <f t="shared" si="35"/>
        <v>4</v>
      </c>
      <c r="H729" s="221" t="s">
        <v>133</v>
      </c>
      <c r="I729" s="117"/>
      <c r="J729" s="146" t="s">
        <v>614</v>
      </c>
      <c r="K729" s="94"/>
      <c r="L729" s="221"/>
      <c r="M729" s="221"/>
      <c r="N729" s="117"/>
      <c r="O729" s="227">
        <f t="shared" si="37"/>
        <v>0</v>
      </c>
      <c r="P729" s="224" t="s">
        <v>264</v>
      </c>
      <c r="Q729" s="224" t="s">
        <v>1342</v>
      </c>
      <c r="R729" s="221" t="s">
        <v>254</v>
      </c>
      <c r="S729" s="225" t="s">
        <v>466</v>
      </c>
      <c r="T729" s="117" t="s">
        <v>255</v>
      </c>
      <c r="U729" s="221" t="s">
        <v>1787</v>
      </c>
      <c r="V729" s="221" t="s">
        <v>1356</v>
      </c>
      <c r="W729" s="117"/>
      <c r="X729" s="117"/>
      <c r="Y729" s="117"/>
      <c r="Z729" s="117" t="s">
        <v>489</v>
      </c>
      <c r="AA729" s="117"/>
      <c r="AB729" s="117"/>
      <c r="AC729" s="226">
        <f t="shared" si="34"/>
        <v>0</v>
      </c>
      <c r="AD729" s="117"/>
      <c r="AE729" s="221" t="s">
        <v>217</v>
      </c>
      <c r="AF729" s="117" t="s">
        <v>225</v>
      </c>
      <c r="AG729" s="117"/>
      <c r="AH729" s="64"/>
      <c r="AI729" s="117"/>
      <c r="AJ729" s="117"/>
      <c r="AK729" s="301"/>
      <c r="AL729" s="117"/>
      <c r="AM729" s="117"/>
    </row>
    <row r="730" spans="1:39" ht="12.75" hidden="1" customHeight="1">
      <c r="A730" s="147">
        <v>729</v>
      </c>
      <c r="B730" s="60">
        <v>214962</v>
      </c>
      <c r="C730" s="117" t="s">
        <v>1628</v>
      </c>
      <c r="D730" s="57">
        <v>43115</v>
      </c>
      <c r="E730" s="160" t="s">
        <v>1629</v>
      </c>
      <c r="F730" s="118">
        <v>43120</v>
      </c>
      <c r="G730" s="221">
        <f t="shared" si="35"/>
        <v>5</v>
      </c>
      <c r="H730" s="146" t="s">
        <v>133</v>
      </c>
      <c r="I730" s="117"/>
      <c r="J730" s="146" t="s">
        <v>614</v>
      </c>
      <c r="K730" s="94"/>
      <c r="L730" s="221"/>
      <c r="M730" s="221"/>
      <c r="N730" s="117"/>
      <c r="O730" s="227">
        <f t="shared" si="37"/>
        <v>0</v>
      </c>
      <c r="P730" s="224" t="s">
        <v>262</v>
      </c>
      <c r="Q730" s="224" t="s">
        <v>1342</v>
      </c>
      <c r="R730" s="221" t="s">
        <v>1374</v>
      </c>
      <c r="S730" s="225" t="s">
        <v>469</v>
      </c>
      <c r="T730" s="117" t="s">
        <v>376</v>
      </c>
      <c r="U730" s="221" t="s">
        <v>461</v>
      </c>
      <c r="V730" s="117" t="s">
        <v>1070</v>
      </c>
      <c r="W730" s="117"/>
      <c r="X730" s="117"/>
      <c r="Y730" s="117"/>
      <c r="Z730" s="117" t="s">
        <v>367</v>
      </c>
      <c r="AA730" s="221"/>
      <c r="AB730" s="117"/>
      <c r="AC730" s="63">
        <f t="shared" si="34"/>
        <v>0</v>
      </c>
      <c r="AD730" s="117"/>
      <c r="AE730" s="117"/>
      <c r="AF730" s="117"/>
      <c r="AG730" s="117"/>
      <c r="AH730" s="64"/>
      <c r="AI730" s="117"/>
      <c r="AJ730" s="221"/>
      <c r="AK730" s="301"/>
      <c r="AL730" s="117"/>
      <c r="AM730" s="221"/>
    </row>
    <row r="731" spans="1:39" ht="12.75" hidden="1" customHeight="1">
      <c r="A731" s="147">
        <v>730</v>
      </c>
      <c r="B731" s="60">
        <v>215163</v>
      </c>
      <c r="C731" s="117" t="s">
        <v>1628</v>
      </c>
      <c r="D731" s="57">
        <v>43115</v>
      </c>
      <c r="E731" s="160" t="s">
        <v>1629</v>
      </c>
      <c r="F731" s="118">
        <v>43121</v>
      </c>
      <c r="G731" s="221">
        <f t="shared" si="35"/>
        <v>6</v>
      </c>
      <c r="H731" s="146" t="s">
        <v>133</v>
      </c>
      <c r="I731" s="117"/>
      <c r="J731" s="146" t="s">
        <v>614</v>
      </c>
      <c r="K731" s="94"/>
      <c r="L731" s="221"/>
      <c r="M731" s="221"/>
      <c r="N731" s="117"/>
      <c r="O731" s="227">
        <f t="shared" si="37"/>
        <v>0</v>
      </c>
      <c r="P731" s="224" t="s">
        <v>264</v>
      </c>
      <c r="Q731" s="230" t="s">
        <v>1342</v>
      </c>
      <c r="R731" s="117" t="s">
        <v>237</v>
      </c>
      <c r="S731" s="225" t="s">
        <v>465</v>
      </c>
      <c r="T731" s="117" t="s">
        <v>1804</v>
      </c>
      <c r="U731" s="221" t="s">
        <v>1805</v>
      </c>
      <c r="V731" s="221" t="s">
        <v>1806</v>
      </c>
      <c r="W731" s="117"/>
      <c r="X731" s="117"/>
      <c r="Y731" s="117"/>
      <c r="Z731" s="117" t="s">
        <v>434</v>
      </c>
      <c r="AA731" s="221"/>
      <c r="AB731" s="117"/>
      <c r="AC731" s="63">
        <f t="shared" si="34"/>
        <v>0</v>
      </c>
      <c r="AD731" s="117"/>
      <c r="AE731" s="221" t="s">
        <v>217</v>
      </c>
      <c r="AF731" s="117" t="s">
        <v>225</v>
      </c>
      <c r="AG731" s="117"/>
      <c r="AH731" s="64"/>
      <c r="AI731" s="117"/>
      <c r="AJ731" s="221"/>
      <c r="AK731" s="301"/>
      <c r="AL731" s="117"/>
      <c r="AM731" s="221"/>
    </row>
    <row r="732" spans="1:39" ht="12.75" hidden="1" customHeight="1">
      <c r="A732" s="147">
        <v>731</v>
      </c>
      <c r="B732" s="223">
        <v>215246</v>
      </c>
      <c r="C732" s="117" t="s">
        <v>1130</v>
      </c>
      <c r="D732" s="57">
        <v>43115</v>
      </c>
      <c r="E732" s="160" t="s">
        <v>1629</v>
      </c>
      <c r="F732" s="118">
        <v>43118</v>
      </c>
      <c r="G732" s="221">
        <f t="shared" si="35"/>
        <v>3</v>
      </c>
      <c r="H732" s="146" t="s">
        <v>133</v>
      </c>
      <c r="I732" s="117"/>
      <c r="J732" s="146" t="s">
        <v>614</v>
      </c>
      <c r="K732" s="94">
        <v>2899</v>
      </c>
      <c r="L732" s="221"/>
      <c r="M732" s="117">
        <v>290</v>
      </c>
      <c r="N732" s="117">
        <v>220</v>
      </c>
      <c r="O732" s="227">
        <f t="shared" si="37"/>
        <v>2435.06</v>
      </c>
      <c r="P732" s="224"/>
      <c r="Q732" s="224"/>
      <c r="R732" s="221" t="s">
        <v>134</v>
      </c>
      <c r="S732" s="225" t="s">
        <v>465</v>
      </c>
      <c r="T732" s="221" t="s">
        <v>88</v>
      </c>
      <c r="U732" s="221" t="s">
        <v>741</v>
      </c>
      <c r="V732" s="221" t="s">
        <v>429</v>
      </c>
      <c r="W732" s="117"/>
      <c r="X732" s="117"/>
      <c r="Y732" s="117" t="s">
        <v>1172</v>
      </c>
      <c r="Z732" s="117" t="s">
        <v>189</v>
      </c>
      <c r="AA732" s="221"/>
      <c r="AB732" s="117"/>
      <c r="AC732" s="63">
        <f t="shared" si="34"/>
        <v>1</v>
      </c>
      <c r="AD732" s="117" t="s">
        <v>217</v>
      </c>
      <c r="AE732" s="117" t="s">
        <v>218</v>
      </c>
      <c r="AF732" s="117"/>
      <c r="AG732" s="117"/>
      <c r="AH732" s="64"/>
      <c r="AI732" s="117"/>
      <c r="AJ732" s="117"/>
      <c r="AK732" s="301"/>
      <c r="AL732" s="117"/>
      <c r="AM732" s="117"/>
    </row>
    <row r="733" spans="1:39" ht="12.75" hidden="1" customHeight="1">
      <c r="A733" s="147">
        <v>732</v>
      </c>
      <c r="B733" s="223">
        <v>215715</v>
      </c>
      <c r="C733" s="117" t="s">
        <v>1130</v>
      </c>
      <c r="D733" s="57">
        <v>43115</v>
      </c>
      <c r="E733" s="160" t="s">
        <v>1629</v>
      </c>
      <c r="F733" s="118">
        <v>43122</v>
      </c>
      <c r="G733" s="221">
        <f t="shared" si="35"/>
        <v>7</v>
      </c>
      <c r="H733" s="146" t="s">
        <v>133</v>
      </c>
      <c r="I733" s="117"/>
      <c r="J733" s="146" t="s">
        <v>614</v>
      </c>
      <c r="K733" s="94">
        <v>2650</v>
      </c>
      <c r="L733" s="221"/>
      <c r="M733" s="117">
        <v>290</v>
      </c>
      <c r="N733" s="117">
        <v>220</v>
      </c>
      <c r="O733" s="227">
        <f t="shared" si="37"/>
        <v>2201</v>
      </c>
      <c r="P733" s="224"/>
      <c r="Q733" s="224"/>
      <c r="R733" s="221" t="s">
        <v>134</v>
      </c>
      <c r="S733" s="225" t="s">
        <v>465</v>
      </c>
      <c r="T733" s="117" t="s">
        <v>88</v>
      </c>
      <c r="U733" s="221" t="s">
        <v>1461</v>
      </c>
      <c r="V733" s="221" t="s">
        <v>429</v>
      </c>
      <c r="W733" s="117"/>
      <c r="X733" s="117"/>
      <c r="Y733" s="117" t="s">
        <v>1172</v>
      </c>
      <c r="Z733" s="117" t="s">
        <v>189</v>
      </c>
      <c r="AA733" s="221"/>
      <c r="AB733" s="117"/>
      <c r="AC733" s="63">
        <f t="shared" ref="AC733:AC795" si="38">+IF(O733&gt;0,1,0)</f>
        <v>1</v>
      </c>
      <c r="AD733" s="117" t="s">
        <v>217</v>
      </c>
      <c r="AE733" s="117" t="s">
        <v>218</v>
      </c>
      <c r="AF733" s="117"/>
      <c r="AG733" s="117"/>
      <c r="AH733" s="64"/>
      <c r="AI733" s="117"/>
      <c r="AJ733" s="117"/>
      <c r="AK733" s="301"/>
      <c r="AL733" s="117"/>
      <c r="AM733" s="117"/>
    </row>
    <row r="734" spans="1:39" ht="12.75" hidden="1" customHeight="1">
      <c r="A734" s="147">
        <v>733</v>
      </c>
      <c r="B734" s="223">
        <v>215302</v>
      </c>
      <c r="C734" s="117" t="s">
        <v>1628</v>
      </c>
      <c r="D734" s="57">
        <v>43116</v>
      </c>
      <c r="E734" s="160" t="s">
        <v>1629</v>
      </c>
      <c r="F734" s="222">
        <v>43125</v>
      </c>
      <c r="G734" s="221">
        <f t="shared" si="35"/>
        <v>9</v>
      </c>
      <c r="H734" s="146" t="s">
        <v>133</v>
      </c>
      <c r="I734" s="117"/>
      <c r="J734" s="146" t="s">
        <v>614</v>
      </c>
      <c r="K734" s="94"/>
      <c r="L734" s="221"/>
      <c r="M734" s="117"/>
      <c r="N734" s="117"/>
      <c r="O734" s="227">
        <f t="shared" si="37"/>
        <v>0</v>
      </c>
      <c r="P734" s="224" t="s">
        <v>264</v>
      </c>
      <c r="Q734" s="224" t="s">
        <v>1342</v>
      </c>
      <c r="R734" s="221" t="s">
        <v>210</v>
      </c>
      <c r="S734" s="225" t="s">
        <v>469</v>
      </c>
      <c r="T734" s="117" t="s">
        <v>380</v>
      </c>
      <c r="U734" s="221" t="s">
        <v>1788</v>
      </c>
      <c r="V734" s="117" t="s">
        <v>1789</v>
      </c>
      <c r="W734" s="117"/>
      <c r="X734" s="117"/>
      <c r="Y734" s="221"/>
      <c r="Z734" s="117" t="s">
        <v>252</v>
      </c>
      <c r="AA734" s="221"/>
      <c r="AB734" s="117"/>
      <c r="AC734" s="63">
        <f t="shared" si="38"/>
        <v>0</v>
      </c>
      <c r="AD734" s="117"/>
      <c r="AE734" s="117"/>
      <c r="AF734" s="117"/>
      <c r="AG734" s="117"/>
      <c r="AH734" s="64"/>
      <c r="AI734" s="117"/>
      <c r="AJ734" s="117"/>
      <c r="AK734" s="301"/>
      <c r="AL734" s="117"/>
      <c r="AM734" s="117"/>
    </row>
    <row r="735" spans="1:39" ht="12.75" hidden="1" customHeight="1">
      <c r="A735" s="147">
        <v>734</v>
      </c>
      <c r="B735" s="223">
        <v>215165</v>
      </c>
      <c r="C735" s="117" t="s">
        <v>1628</v>
      </c>
      <c r="D735" s="57">
        <v>43116</v>
      </c>
      <c r="E735" s="160" t="s">
        <v>1629</v>
      </c>
      <c r="F735" s="222">
        <v>43121</v>
      </c>
      <c r="G735" s="221">
        <f t="shared" si="35"/>
        <v>5</v>
      </c>
      <c r="H735" s="146" t="s">
        <v>133</v>
      </c>
      <c r="I735" s="117"/>
      <c r="J735" s="146" t="s">
        <v>614</v>
      </c>
      <c r="K735" s="94"/>
      <c r="L735" s="221"/>
      <c r="M735" s="221"/>
      <c r="N735" s="117"/>
      <c r="O735" s="227">
        <f t="shared" si="37"/>
        <v>0</v>
      </c>
      <c r="P735" s="224" t="s">
        <v>264</v>
      </c>
      <c r="Q735" s="230" t="s">
        <v>1342</v>
      </c>
      <c r="R735" s="147" t="s">
        <v>134</v>
      </c>
      <c r="S735" s="225" t="s">
        <v>465</v>
      </c>
      <c r="T735" s="221" t="s">
        <v>114</v>
      </c>
      <c r="U735" s="221" t="s">
        <v>1790</v>
      </c>
      <c r="V735" s="221" t="s">
        <v>1468</v>
      </c>
      <c r="W735" s="117"/>
      <c r="X735" s="117"/>
      <c r="Y735" s="117"/>
      <c r="Z735" s="117" t="s">
        <v>367</v>
      </c>
      <c r="AA735" s="221"/>
      <c r="AB735" s="117"/>
      <c r="AC735" s="63">
        <f t="shared" si="38"/>
        <v>0</v>
      </c>
      <c r="AD735" s="117"/>
      <c r="AE735" s="221" t="s">
        <v>217</v>
      </c>
      <c r="AF735" s="117" t="s">
        <v>225</v>
      </c>
      <c r="AG735" s="117"/>
      <c r="AH735" s="64"/>
      <c r="AI735" s="117"/>
      <c r="AJ735" s="117"/>
      <c r="AK735" s="301"/>
      <c r="AL735" s="117"/>
      <c r="AM735" s="117"/>
    </row>
    <row r="736" spans="1:39" ht="12.75" hidden="1" customHeight="1">
      <c r="A736" s="147">
        <v>735</v>
      </c>
      <c r="B736" s="223">
        <v>214912</v>
      </c>
      <c r="C736" s="117" t="s">
        <v>1628</v>
      </c>
      <c r="D736" s="57">
        <v>43116</v>
      </c>
      <c r="E736" s="160" t="s">
        <v>1629</v>
      </c>
      <c r="F736" s="222">
        <v>43134</v>
      </c>
      <c r="G736" s="221">
        <f t="shared" si="35"/>
        <v>18</v>
      </c>
      <c r="H736" s="146" t="s">
        <v>363</v>
      </c>
      <c r="I736" s="117"/>
      <c r="J736" s="146" t="s">
        <v>614</v>
      </c>
      <c r="K736" s="94"/>
      <c r="L736" s="221"/>
      <c r="M736" s="221"/>
      <c r="N736" s="117"/>
      <c r="O736" s="227">
        <f t="shared" si="37"/>
        <v>0</v>
      </c>
      <c r="P736" s="224" t="s">
        <v>263</v>
      </c>
      <c r="Q736" s="224" t="s">
        <v>1341</v>
      </c>
      <c r="R736" s="221" t="s">
        <v>254</v>
      </c>
      <c r="S736" s="225" t="s">
        <v>466</v>
      </c>
      <c r="T736" s="117" t="s">
        <v>1795</v>
      </c>
      <c r="U736" s="221" t="s">
        <v>1793</v>
      </c>
      <c r="V736" s="221" t="s">
        <v>257</v>
      </c>
      <c r="W736" s="117"/>
      <c r="X736" s="117"/>
      <c r="Y736" s="117"/>
      <c r="Z736" s="117" t="s">
        <v>203</v>
      </c>
      <c r="AA736" s="221"/>
      <c r="AB736" s="117"/>
      <c r="AC736" s="226">
        <f t="shared" si="38"/>
        <v>0</v>
      </c>
      <c r="AD736" s="117"/>
      <c r="AE736" s="117"/>
      <c r="AF736" s="117"/>
      <c r="AG736" s="117"/>
      <c r="AH736" s="64" t="s">
        <v>1852</v>
      </c>
      <c r="AI736" s="117"/>
      <c r="AJ736" s="117"/>
      <c r="AK736" s="301"/>
      <c r="AL736" s="117"/>
      <c r="AM736" s="117"/>
    </row>
    <row r="737" spans="1:39" ht="12.75" hidden="1" customHeight="1">
      <c r="A737" s="147">
        <v>736</v>
      </c>
      <c r="B737" s="168">
        <v>215924</v>
      </c>
      <c r="C737" s="117" t="s">
        <v>128</v>
      </c>
      <c r="D737" s="57">
        <v>43116</v>
      </c>
      <c r="E737" s="160" t="s">
        <v>1629</v>
      </c>
      <c r="F737" s="222">
        <v>43127</v>
      </c>
      <c r="G737" s="221">
        <f t="shared" si="35"/>
        <v>11</v>
      </c>
      <c r="H737" s="146" t="s">
        <v>133</v>
      </c>
      <c r="I737" s="117"/>
      <c r="J737" s="146" t="s">
        <v>614</v>
      </c>
      <c r="K737" s="94">
        <v>1899</v>
      </c>
      <c r="L737" s="221"/>
      <c r="M737" s="117">
        <v>350</v>
      </c>
      <c r="N737" s="117">
        <v>230</v>
      </c>
      <c r="O737" s="227">
        <f t="shared" si="37"/>
        <v>1435.06</v>
      </c>
      <c r="P737" s="224" t="s">
        <v>262</v>
      </c>
      <c r="Q737" s="230" t="s">
        <v>1342</v>
      </c>
      <c r="R737" s="221" t="s">
        <v>122</v>
      </c>
      <c r="S737" s="225" t="s">
        <v>469</v>
      </c>
      <c r="T737" s="117" t="s">
        <v>114</v>
      </c>
      <c r="U737" s="221" t="s">
        <v>1794</v>
      </c>
      <c r="V737" s="221" t="s">
        <v>90</v>
      </c>
      <c r="W737" s="117"/>
      <c r="X737" s="117"/>
      <c r="Y737" s="117" t="s">
        <v>316</v>
      </c>
      <c r="Z737" s="117" t="s">
        <v>687</v>
      </c>
      <c r="AA737" s="222">
        <v>43118</v>
      </c>
      <c r="AB737" s="117" t="s">
        <v>1102</v>
      </c>
      <c r="AC737" s="63">
        <f t="shared" si="38"/>
        <v>1</v>
      </c>
      <c r="AD737" s="117" t="s">
        <v>217</v>
      </c>
      <c r="AE737" s="117" t="s">
        <v>218</v>
      </c>
      <c r="AF737" s="117"/>
      <c r="AG737" s="117"/>
      <c r="AH737" s="64"/>
      <c r="AI737" s="117" t="s">
        <v>184</v>
      </c>
      <c r="AJ737" s="222">
        <v>43131</v>
      </c>
      <c r="AK737" s="301" t="s">
        <v>2156</v>
      </c>
      <c r="AL737" s="221" t="s">
        <v>645</v>
      </c>
      <c r="AM737" s="222">
        <v>43131</v>
      </c>
    </row>
    <row r="738" spans="1:39" ht="12.75" hidden="1" customHeight="1">
      <c r="A738" s="147">
        <v>737</v>
      </c>
      <c r="B738" s="223">
        <v>215310</v>
      </c>
      <c r="C738" s="221" t="s">
        <v>128</v>
      </c>
      <c r="D738" s="57">
        <v>43116</v>
      </c>
      <c r="E738" s="160" t="s">
        <v>1629</v>
      </c>
      <c r="F738" s="222">
        <v>43125</v>
      </c>
      <c r="G738" s="221">
        <f t="shared" si="35"/>
        <v>9</v>
      </c>
      <c r="H738" s="221" t="s">
        <v>133</v>
      </c>
      <c r="I738" s="221"/>
      <c r="J738" s="221" t="s">
        <v>614</v>
      </c>
      <c r="K738" s="94">
        <v>1499</v>
      </c>
      <c r="L738" s="221">
        <v>1499</v>
      </c>
      <c r="M738" s="221">
        <v>130</v>
      </c>
      <c r="N738" s="221">
        <v>145</v>
      </c>
      <c r="O738" s="227">
        <f t="shared" si="37"/>
        <v>1264.06</v>
      </c>
      <c r="P738" s="224" t="s">
        <v>262</v>
      </c>
      <c r="Q738" s="224" t="s">
        <v>1342</v>
      </c>
      <c r="R738" s="221" t="s">
        <v>134</v>
      </c>
      <c r="S738" s="225" t="s">
        <v>465</v>
      </c>
      <c r="T738" s="221" t="s">
        <v>114</v>
      </c>
      <c r="U738" s="221" t="s">
        <v>1796</v>
      </c>
      <c r="V738" s="221" t="s">
        <v>862</v>
      </c>
      <c r="W738" s="221"/>
      <c r="X738" s="221"/>
      <c r="Y738" s="221" t="s">
        <v>316</v>
      </c>
      <c r="Z738" s="221" t="s">
        <v>203</v>
      </c>
      <c r="AA738" s="222">
        <v>43117</v>
      </c>
      <c r="AB738" s="221" t="s">
        <v>140</v>
      </c>
      <c r="AC738" s="226">
        <f t="shared" si="38"/>
        <v>1</v>
      </c>
      <c r="AD738" s="117" t="s">
        <v>217</v>
      </c>
      <c r="AE738" s="117" t="s">
        <v>218</v>
      </c>
      <c r="AF738" s="221"/>
      <c r="AG738" s="221"/>
      <c r="AH738" s="64"/>
      <c r="AI738" s="221"/>
      <c r="AJ738" s="221"/>
      <c r="AK738" s="301"/>
      <c r="AL738" s="221"/>
      <c r="AM738" s="221"/>
    </row>
    <row r="739" spans="1:39" ht="12.75" hidden="1" customHeight="1">
      <c r="A739" s="147">
        <v>738</v>
      </c>
      <c r="B739" s="223">
        <v>215570</v>
      </c>
      <c r="C739" s="117" t="s">
        <v>128</v>
      </c>
      <c r="D739" s="57">
        <v>43117</v>
      </c>
      <c r="E739" s="160" t="s">
        <v>1629</v>
      </c>
      <c r="F739" s="118">
        <v>43128</v>
      </c>
      <c r="G739" s="221">
        <f t="shared" si="35"/>
        <v>11</v>
      </c>
      <c r="H739" s="146" t="s">
        <v>133</v>
      </c>
      <c r="I739" s="117"/>
      <c r="J739" s="146" t="s">
        <v>614</v>
      </c>
      <c r="K739" s="94"/>
      <c r="L739" s="221"/>
      <c r="M739" s="117"/>
      <c r="N739" s="117"/>
      <c r="O739" s="227">
        <f t="shared" si="37"/>
        <v>0</v>
      </c>
      <c r="P739" s="224" t="s">
        <v>263</v>
      </c>
      <c r="Q739" s="224" t="s">
        <v>1341</v>
      </c>
      <c r="R739" s="221" t="s">
        <v>143</v>
      </c>
      <c r="S739" s="225" t="s">
        <v>465</v>
      </c>
      <c r="T739" s="221" t="s">
        <v>144</v>
      </c>
      <c r="U739" s="221" t="s">
        <v>1417</v>
      </c>
      <c r="V739" s="117" t="s">
        <v>1807</v>
      </c>
      <c r="W739" s="221"/>
      <c r="X739" s="117"/>
      <c r="Y739" s="117"/>
      <c r="Z739" s="117" t="s">
        <v>137</v>
      </c>
      <c r="AA739" s="117"/>
      <c r="AB739" s="117"/>
      <c r="AC739" s="63">
        <f t="shared" si="38"/>
        <v>0</v>
      </c>
      <c r="AD739" s="117"/>
      <c r="AE739" s="221" t="s">
        <v>217</v>
      </c>
      <c r="AF739" s="117" t="s">
        <v>225</v>
      </c>
      <c r="AG739" s="117"/>
      <c r="AH739" s="64"/>
      <c r="AI739" s="117"/>
      <c r="AJ739" s="117"/>
      <c r="AK739" s="301"/>
      <c r="AL739" s="117"/>
      <c r="AM739" s="117"/>
    </row>
    <row r="740" spans="1:39" ht="12.75" hidden="1" customHeight="1">
      <c r="A740" s="147">
        <v>739</v>
      </c>
      <c r="B740" s="138">
        <v>215838</v>
      </c>
      <c r="C740" s="117" t="s">
        <v>1628</v>
      </c>
      <c r="D740" s="57">
        <v>43118</v>
      </c>
      <c r="E740" s="160" t="s">
        <v>1629</v>
      </c>
      <c r="F740" s="118">
        <v>43128</v>
      </c>
      <c r="G740" s="221">
        <f t="shared" si="35"/>
        <v>10</v>
      </c>
      <c r="H740" s="146" t="s">
        <v>133</v>
      </c>
      <c r="I740" s="117"/>
      <c r="J740" s="146" t="s">
        <v>614</v>
      </c>
      <c r="K740" s="94">
        <v>999</v>
      </c>
      <c r="L740" s="221"/>
      <c r="M740" s="117">
        <v>420</v>
      </c>
      <c r="N740" s="117">
        <v>245</v>
      </c>
      <c r="O740" s="227">
        <f t="shared" si="37"/>
        <v>519.05999999999995</v>
      </c>
      <c r="P740" s="224" t="s">
        <v>264</v>
      </c>
      <c r="Q740" s="230" t="s">
        <v>1342</v>
      </c>
      <c r="R740" s="147" t="s">
        <v>143</v>
      </c>
      <c r="S740" s="225" t="s">
        <v>465</v>
      </c>
      <c r="T740" s="221" t="s">
        <v>164</v>
      </c>
      <c r="U740" s="221" t="s">
        <v>1633</v>
      </c>
      <c r="V740" s="117" t="s">
        <v>90</v>
      </c>
      <c r="W740" s="117"/>
      <c r="X740" s="117"/>
      <c r="Y740" s="221" t="s">
        <v>1942</v>
      </c>
      <c r="Z740" s="117" t="s">
        <v>202</v>
      </c>
      <c r="AA740" s="222">
        <v>43122</v>
      </c>
      <c r="AB740" s="117" t="s">
        <v>140</v>
      </c>
      <c r="AC740" s="63">
        <f t="shared" si="38"/>
        <v>1</v>
      </c>
      <c r="AD740" s="117" t="s">
        <v>217</v>
      </c>
      <c r="AE740" s="117" t="s">
        <v>218</v>
      </c>
      <c r="AF740" s="117"/>
      <c r="AG740" s="117"/>
      <c r="AH740" s="64"/>
      <c r="AI740" s="117"/>
      <c r="AJ740" s="221"/>
      <c r="AK740" s="301" t="s">
        <v>2142</v>
      </c>
      <c r="AL740" s="117"/>
      <c r="AM740" s="221"/>
    </row>
    <row r="741" spans="1:39" ht="12.75" hidden="1" customHeight="1">
      <c r="A741" s="147">
        <v>740</v>
      </c>
      <c r="B741" s="223">
        <v>215230</v>
      </c>
      <c r="C741" s="117" t="s">
        <v>1130</v>
      </c>
      <c r="D741" s="57">
        <v>43118</v>
      </c>
      <c r="E741" s="160" t="s">
        <v>1629</v>
      </c>
      <c r="F741" s="118">
        <v>43123</v>
      </c>
      <c r="G741" s="221">
        <f t="shared" si="35"/>
        <v>5</v>
      </c>
      <c r="H741" s="221" t="s">
        <v>133</v>
      </c>
      <c r="I741" s="117"/>
      <c r="J741" s="146" t="s">
        <v>614</v>
      </c>
      <c r="K741" s="94"/>
      <c r="L741" s="221"/>
      <c r="M741" s="117"/>
      <c r="N741" s="117"/>
      <c r="O741" s="227">
        <f t="shared" si="37"/>
        <v>0</v>
      </c>
      <c r="P741" s="224" t="s">
        <v>264</v>
      </c>
      <c r="Q741" s="224" t="s">
        <v>1342</v>
      </c>
      <c r="R741" s="221" t="s">
        <v>134</v>
      </c>
      <c r="S741" s="225" t="s">
        <v>466</v>
      </c>
      <c r="T741" s="117" t="s">
        <v>88</v>
      </c>
      <c r="U741" s="221" t="s">
        <v>1808</v>
      </c>
      <c r="V741" s="117" t="s">
        <v>90</v>
      </c>
      <c r="W741" s="117"/>
      <c r="X741" s="117"/>
      <c r="Y741" s="221"/>
      <c r="Z741" s="117" t="s">
        <v>189</v>
      </c>
      <c r="AA741" s="221"/>
      <c r="AB741" s="117"/>
      <c r="AC741" s="226">
        <f t="shared" si="38"/>
        <v>0</v>
      </c>
      <c r="AD741" s="117"/>
      <c r="AE741" s="221" t="s">
        <v>217</v>
      </c>
      <c r="AF741" s="117" t="s">
        <v>225</v>
      </c>
      <c r="AG741" s="117"/>
      <c r="AH741" s="64"/>
      <c r="AI741" s="117"/>
      <c r="AJ741" s="117"/>
      <c r="AK741" s="301"/>
      <c r="AL741" s="117"/>
      <c r="AM741" s="117"/>
    </row>
    <row r="742" spans="1:39" ht="12.75" hidden="1" customHeight="1">
      <c r="A742" s="147">
        <v>741</v>
      </c>
      <c r="B742" s="223">
        <v>211727</v>
      </c>
      <c r="C742" s="221" t="s">
        <v>1130</v>
      </c>
      <c r="D742" s="57">
        <v>43118</v>
      </c>
      <c r="E742" s="160" t="s">
        <v>1629</v>
      </c>
      <c r="F742" s="118">
        <v>43130</v>
      </c>
      <c r="G742" s="221">
        <f t="shared" si="35"/>
        <v>12</v>
      </c>
      <c r="H742" s="146" t="s">
        <v>133</v>
      </c>
      <c r="I742" s="221"/>
      <c r="J742" s="146" t="s">
        <v>614</v>
      </c>
      <c r="K742" s="94"/>
      <c r="L742" s="221"/>
      <c r="M742" s="221"/>
      <c r="N742" s="117"/>
      <c r="O742" s="227">
        <f t="shared" si="37"/>
        <v>0</v>
      </c>
      <c r="P742" s="224" t="s">
        <v>262</v>
      </c>
      <c r="Q742" s="224" t="s">
        <v>1342</v>
      </c>
      <c r="R742" s="221" t="s">
        <v>143</v>
      </c>
      <c r="S742" s="225" t="s">
        <v>469</v>
      </c>
      <c r="T742" s="117" t="s">
        <v>88</v>
      </c>
      <c r="U742" s="221" t="s">
        <v>488</v>
      </c>
      <c r="V742" s="117" t="s">
        <v>90</v>
      </c>
      <c r="W742" s="117"/>
      <c r="X742" s="117"/>
      <c r="Y742" s="117"/>
      <c r="Z742" s="117" t="s">
        <v>189</v>
      </c>
      <c r="AA742" s="117"/>
      <c r="AB742" s="117"/>
      <c r="AC742" s="63">
        <f t="shared" si="38"/>
        <v>0</v>
      </c>
      <c r="AD742" s="117"/>
      <c r="AE742" s="117"/>
      <c r="AF742" s="117"/>
      <c r="AG742" s="117"/>
      <c r="AH742" s="64" t="s">
        <v>1811</v>
      </c>
      <c r="AI742" s="117"/>
      <c r="AJ742" s="117"/>
      <c r="AK742" s="301"/>
      <c r="AL742" s="117"/>
      <c r="AM742" s="117"/>
    </row>
    <row r="743" spans="1:39" ht="12.75" hidden="1" customHeight="1">
      <c r="A743" s="147">
        <v>742</v>
      </c>
      <c r="B743" s="223">
        <v>215992</v>
      </c>
      <c r="C743" s="221" t="s">
        <v>128</v>
      </c>
      <c r="D743" s="57">
        <v>43118</v>
      </c>
      <c r="E743" s="160" t="s">
        <v>1629</v>
      </c>
      <c r="F743" s="118">
        <v>43133</v>
      </c>
      <c r="G743" s="221">
        <f t="shared" si="35"/>
        <v>15</v>
      </c>
      <c r="H743" s="221" t="s">
        <v>133</v>
      </c>
      <c r="I743" s="117"/>
      <c r="J743" s="146" t="s">
        <v>614</v>
      </c>
      <c r="K743" s="94"/>
      <c r="L743" s="146"/>
      <c r="M743" s="117"/>
      <c r="N743" s="117"/>
      <c r="O743" s="227">
        <f t="shared" si="37"/>
        <v>0</v>
      </c>
      <c r="P743" s="224" t="s">
        <v>264</v>
      </c>
      <c r="Q743" s="224" t="s">
        <v>1342</v>
      </c>
      <c r="R743" s="221" t="s">
        <v>501</v>
      </c>
      <c r="S743" s="225" t="s">
        <v>466</v>
      </c>
      <c r="T743" s="117" t="s">
        <v>405</v>
      </c>
      <c r="U743" s="221" t="s">
        <v>1277</v>
      </c>
      <c r="V743" s="117" t="s">
        <v>1092</v>
      </c>
      <c r="W743" s="117"/>
      <c r="X743" s="117"/>
      <c r="Y743" s="117"/>
      <c r="Z743" s="117" t="s">
        <v>259</v>
      </c>
      <c r="AA743" s="221"/>
      <c r="AB743" s="117"/>
      <c r="AC743" s="226">
        <f t="shared" si="38"/>
        <v>0</v>
      </c>
      <c r="AD743" s="117"/>
      <c r="AE743" s="221" t="s">
        <v>217</v>
      </c>
      <c r="AF743" s="117" t="s">
        <v>225</v>
      </c>
      <c r="AG743" s="117"/>
      <c r="AH743" s="64"/>
      <c r="AI743" s="117"/>
      <c r="AJ743" s="117"/>
      <c r="AK743" s="301"/>
      <c r="AL743" s="117"/>
      <c r="AM743" s="117"/>
    </row>
    <row r="744" spans="1:39" ht="12.75" hidden="1" customHeight="1">
      <c r="A744" s="147">
        <v>743</v>
      </c>
      <c r="B744" s="223">
        <v>215861</v>
      </c>
      <c r="C744" s="117" t="s">
        <v>1130</v>
      </c>
      <c r="D744" s="57">
        <v>43118</v>
      </c>
      <c r="E744" s="160" t="s">
        <v>1629</v>
      </c>
      <c r="F744" s="118">
        <v>43125</v>
      </c>
      <c r="G744" s="221">
        <f t="shared" si="35"/>
        <v>7</v>
      </c>
      <c r="H744" s="146" t="s">
        <v>133</v>
      </c>
      <c r="I744" s="117"/>
      <c r="J744" s="146" t="s">
        <v>614</v>
      </c>
      <c r="K744" s="94">
        <v>1999</v>
      </c>
      <c r="L744" s="146"/>
      <c r="M744" s="117">
        <v>290</v>
      </c>
      <c r="N744" s="117">
        <v>220</v>
      </c>
      <c r="O744" s="227">
        <f t="shared" si="37"/>
        <v>1589.06</v>
      </c>
      <c r="P744" s="119"/>
      <c r="Q744" s="224"/>
      <c r="R744" s="221" t="s">
        <v>134</v>
      </c>
      <c r="S744" s="225" t="s">
        <v>465</v>
      </c>
      <c r="T744" s="117" t="s">
        <v>88</v>
      </c>
      <c r="U744" s="221" t="s">
        <v>1461</v>
      </c>
      <c r="V744" s="117" t="s">
        <v>429</v>
      </c>
      <c r="W744" s="117"/>
      <c r="X744" s="117"/>
      <c r="Y744" s="117" t="s">
        <v>1172</v>
      </c>
      <c r="Z744" s="117" t="s">
        <v>189</v>
      </c>
      <c r="AA744" s="221"/>
      <c r="AB744" s="117"/>
      <c r="AC744" s="63">
        <f t="shared" si="38"/>
        <v>1</v>
      </c>
      <c r="AD744" s="117" t="s">
        <v>217</v>
      </c>
      <c r="AE744" s="117" t="s">
        <v>218</v>
      </c>
      <c r="AF744" s="117"/>
      <c r="AG744" s="117"/>
      <c r="AH744" s="64"/>
      <c r="AI744" s="117"/>
      <c r="AJ744" s="117"/>
      <c r="AK744" s="301"/>
      <c r="AL744" s="117"/>
      <c r="AM744" s="117"/>
    </row>
    <row r="745" spans="1:39" ht="12.75" hidden="1" customHeight="1">
      <c r="A745" s="147">
        <v>744</v>
      </c>
      <c r="B745" s="60">
        <v>216048</v>
      </c>
      <c r="C745" s="117" t="s">
        <v>128</v>
      </c>
      <c r="D745" s="57">
        <v>43119</v>
      </c>
      <c r="E745" s="160" t="s">
        <v>1629</v>
      </c>
      <c r="F745" s="118">
        <v>43128</v>
      </c>
      <c r="G745" s="221">
        <f t="shared" si="35"/>
        <v>9</v>
      </c>
      <c r="H745" s="146" t="s">
        <v>133</v>
      </c>
      <c r="I745" s="221"/>
      <c r="J745" s="146" t="s">
        <v>614</v>
      </c>
      <c r="K745" s="94"/>
      <c r="L745" s="221"/>
      <c r="M745" s="221"/>
      <c r="N745" s="117"/>
      <c r="O745" s="227">
        <f t="shared" si="37"/>
        <v>0</v>
      </c>
      <c r="P745" s="224" t="s">
        <v>264</v>
      </c>
      <c r="Q745" s="224" t="s">
        <v>1342</v>
      </c>
      <c r="R745" s="221" t="s">
        <v>1374</v>
      </c>
      <c r="S745" s="225" t="s">
        <v>469</v>
      </c>
      <c r="T745" s="117" t="s">
        <v>376</v>
      </c>
      <c r="U745" s="221" t="s">
        <v>1813</v>
      </c>
      <c r="V745" s="117" t="s">
        <v>90</v>
      </c>
      <c r="W745" s="117"/>
      <c r="X745" s="117"/>
      <c r="Y745" s="117"/>
      <c r="Z745" s="117" t="s">
        <v>253</v>
      </c>
      <c r="AA745" s="221"/>
      <c r="AB745" s="117"/>
      <c r="AC745" s="63">
        <f t="shared" si="38"/>
        <v>0</v>
      </c>
      <c r="AD745" s="117"/>
      <c r="AE745" s="117"/>
      <c r="AF745" s="117"/>
      <c r="AG745" s="117"/>
      <c r="AH745" s="64"/>
      <c r="AI745" s="117"/>
      <c r="AJ745" s="117"/>
      <c r="AK745" s="301"/>
      <c r="AL745" s="117"/>
      <c r="AM745" s="117"/>
    </row>
    <row r="746" spans="1:39" ht="12.75" hidden="1" customHeight="1">
      <c r="A746" s="147">
        <v>745</v>
      </c>
      <c r="B746" s="168">
        <v>216011</v>
      </c>
      <c r="C746" s="117" t="s">
        <v>1130</v>
      </c>
      <c r="D746" s="57">
        <v>43119</v>
      </c>
      <c r="E746" s="160" t="s">
        <v>1629</v>
      </c>
      <c r="F746" s="118">
        <v>43131</v>
      </c>
      <c r="G746" s="221">
        <f t="shared" si="35"/>
        <v>12</v>
      </c>
      <c r="H746" s="146" t="s">
        <v>133</v>
      </c>
      <c r="I746" s="221"/>
      <c r="J746" s="146" t="s">
        <v>614</v>
      </c>
      <c r="K746" s="94">
        <v>1499</v>
      </c>
      <c r="L746" s="221"/>
      <c r="M746" s="117">
        <v>115</v>
      </c>
      <c r="N746" s="117">
        <v>80</v>
      </c>
      <c r="O746" s="227">
        <f t="shared" si="37"/>
        <v>1294.06</v>
      </c>
      <c r="P746" s="224" t="s">
        <v>261</v>
      </c>
      <c r="Q746" s="224" t="s">
        <v>1341</v>
      </c>
      <c r="R746" s="221" t="s">
        <v>134</v>
      </c>
      <c r="S746" s="225" t="s">
        <v>465</v>
      </c>
      <c r="T746" s="221" t="s">
        <v>162</v>
      </c>
      <c r="U746" s="221" t="s">
        <v>1595</v>
      </c>
      <c r="V746" s="117" t="s">
        <v>1643</v>
      </c>
      <c r="W746" s="117"/>
      <c r="X746" s="117"/>
      <c r="Y746" s="117" t="s">
        <v>316</v>
      </c>
      <c r="Z746" s="117" t="s">
        <v>1118</v>
      </c>
      <c r="AA746" s="222">
        <v>43122</v>
      </c>
      <c r="AB746" s="117" t="s">
        <v>140</v>
      </c>
      <c r="AC746" s="63">
        <f t="shared" si="38"/>
        <v>1</v>
      </c>
      <c r="AD746" s="117" t="s">
        <v>217</v>
      </c>
      <c r="AE746" s="117" t="s">
        <v>218</v>
      </c>
      <c r="AF746" s="117"/>
      <c r="AG746" s="117"/>
      <c r="AH746" s="64"/>
      <c r="AI746" s="117" t="s">
        <v>184</v>
      </c>
      <c r="AJ746" s="222">
        <v>43131</v>
      </c>
      <c r="AK746" s="301" t="s">
        <v>2157</v>
      </c>
      <c r="AL746" s="117" t="s">
        <v>645</v>
      </c>
      <c r="AM746" s="222">
        <v>43131</v>
      </c>
    </row>
    <row r="747" spans="1:39" ht="12.75" hidden="1" customHeight="1">
      <c r="A747" s="147">
        <v>746</v>
      </c>
      <c r="B747" s="60">
        <v>215321</v>
      </c>
      <c r="C747" s="117" t="s">
        <v>129</v>
      </c>
      <c r="D747" s="57">
        <v>43122</v>
      </c>
      <c r="E747" s="160" t="s">
        <v>1629</v>
      </c>
      <c r="F747" s="118">
        <v>43127</v>
      </c>
      <c r="G747" s="221">
        <f t="shared" si="35"/>
        <v>5</v>
      </c>
      <c r="H747" s="146" t="s">
        <v>363</v>
      </c>
      <c r="I747" s="117"/>
      <c r="J747" s="146" t="s">
        <v>614</v>
      </c>
      <c r="K747" s="94">
        <v>2799</v>
      </c>
      <c r="L747" s="221"/>
      <c r="M747" s="117">
        <v>80</v>
      </c>
      <c r="N747" s="117">
        <v>190</v>
      </c>
      <c r="O747" s="227">
        <f t="shared" si="37"/>
        <v>2441.06</v>
      </c>
      <c r="P747" s="119" t="s">
        <v>264</v>
      </c>
      <c r="Q747" s="230" t="s">
        <v>1342</v>
      </c>
      <c r="R747" s="147" t="s">
        <v>134</v>
      </c>
      <c r="S747" s="225" t="s">
        <v>465</v>
      </c>
      <c r="T747" s="221" t="s">
        <v>120</v>
      </c>
      <c r="U747" s="221" t="s">
        <v>704</v>
      </c>
      <c r="V747" s="117" t="s">
        <v>1814</v>
      </c>
      <c r="W747" s="117"/>
      <c r="X747" s="117"/>
      <c r="Y747" s="117" t="s">
        <v>1616</v>
      </c>
      <c r="Z747" s="117" t="s">
        <v>137</v>
      </c>
      <c r="AA747" s="222"/>
      <c r="AB747" s="117" t="s">
        <v>872</v>
      </c>
      <c r="AC747" s="63">
        <f t="shared" si="38"/>
        <v>1</v>
      </c>
      <c r="AD747" s="117" t="s">
        <v>217</v>
      </c>
      <c r="AE747" s="117"/>
      <c r="AF747" s="117"/>
      <c r="AG747" s="117"/>
      <c r="AH747" s="64"/>
      <c r="AI747" s="117"/>
      <c r="AJ747" s="117"/>
      <c r="AK747" s="301"/>
      <c r="AL747" s="117"/>
      <c r="AM747" s="117"/>
    </row>
    <row r="748" spans="1:39" ht="12.75" hidden="1" customHeight="1">
      <c r="A748" s="147">
        <v>747</v>
      </c>
      <c r="B748" s="138">
        <v>216384</v>
      </c>
      <c r="C748" s="117" t="s">
        <v>128</v>
      </c>
      <c r="D748" s="57">
        <v>43122</v>
      </c>
      <c r="E748" s="160" t="s">
        <v>1629</v>
      </c>
      <c r="F748" s="222">
        <v>43138</v>
      </c>
      <c r="G748" s="221">
        <f t="shared" si="35"/>
        <v>16</v>
      </c>
      <c r="H748" s="146" t="s">
        <v>133</v>
      </c>
      <c r="I748" s="117"/>
      <c r="J748" s="146" t="s">
        <v>614</v>
      </c>
      <c r="K748" s="94">
        <v>1599</v>
      </c>
      <c r="L748" s="221"/>
      <c r="M748" s="221">
        <v>202</v>
      </c>
      <c r="N748" s="117">
        <v>100</v>
      </c>
      <c r="O748" s="227">
        <f t="shared" si="37"/>
        <v>1301.06</v>
      </c>
      <c r="P748" s="119" t="s">
        <v>262</v>
      </c>
      <c r="Q748" s="224" t="s">
        <v>1342</v>
      </c>
      <c r="R748" s="221" t="s">
        <v>134</v>
      </c>
      <c r="S748" s="225" t="s">
        <v>465</v>
      </c>
      <c r="T748" s="221" t="s">
        <v>271</v>
      </c>
      <c r="U748" s="221" t="s">
        <v>1850</v>
      </c>
      <c r="V748" s="117" t="s">
        <v>90</v>
      </c>
      <c r="W748" s="117"/>
      <c r="X748" s="117"/>
      <c r="Y748" s="221" t="s">
        <v>1942</v>
      </c>
      <c r="Z748" s="117" t="s">
        <v>510</v>
      </c>
      <c r="AA748" s="222">
        <v>43125</v>
      </c>
      <c r="AB748" s="117" t="s">
        <v>591</v>
      </c>
      <c r="AC748" s="63">
        <f t="shared" si="38"/>
        <v>1</v>
      </c>
      <c r="AD748" s="117" t="s">
        <v>217</v>
      </c>
      <c r="AE748" s="117" t="s">
        <v>218</v>
      </c>
      <c r="AF748" s="117"/>
      <c r="AG748" s="117"/>
      <c r="AH748" s="64"/>
      <c r="AI748" s="117"/>
      <c r="AJ748" s="117"/>
      <c r="AK748" s="301" t="s">
        <v>2144</v>
      </c>
      <c r="AL748" s="117"/>
      <c r="AM748" s="117"/>
    </row>
    <row r="749" spans="1:39" ht="12.75" hidden="1" customHeight="1">
      <c r="A749" s="147">
        <v>748</v>
      </c>
      <c r="B749" s="223">
        <v>216232</v>
      </c>
      <c r="C749" s="117" t="s">
        <v>1130</v>
      </c>
      <c r="D749" s="57">
        <v>43123</v>
      </c>
      <c r="E749" s="160" t="s">
        <v>1629</v>
      </c>
      <c r="F749" s="222">
        <v>43131</v>
      </c>
      <c r="G749" s="221">
        <f t="shared" si="35"/>
        <v>8</v>
      </c>
      <c r="H749" s="146" t="s">
        <v>363</v>
      </c>
      <c r="I749" s="117"/>
      <c r="J749" s="146" t="s">
        <v>614</v>
      </c>
      <c r="K749" s="94"/>
      <c r="L749" s="146"/>
      <c r="M749" s="117"/>
      <c r="N749" s="117"/>
      <c r="O749" s="227">
        <f t="shared" si="37"/>
        <v>0</v>
      </c>
      <c r="P749" s="119" t="s">
        <v>262</v>
      </c>
      <c r="Q749" s="224" t="s">
        <v>1342</v>
      </c>
      <c r="R749" s="221" t="s">
        <v>143</v>
      </c>
      <c r="S749" s="225" t="s">
        <v>465</v>
      </c>
      <c r="T749" s="221" t="s">
        <v>88</v>
      </c>
      <c r="U749" s="221" t="s">
        <v>976</v>
      </c>
      <c r="V749" s="117" t="s">
        <v>432</v>
      </c>
      <c r="W749" s="117"/>
      <c r="X749" s="117"/>
      <c r="Y749" s="117"/>
      <c r="Z749" s="117" t="s">
        <v>189</v>
      </c>
      <c r="AA749" s="221"/>
      <c r="AB749" s="117"/>
      <c r="AC749" s="63">
        <f t="shared" si="38"/>
        <v>0</v>
      </c>
      <c r="AD749" s="117"/>
      <c r="AE749" s="117"/>
      <c r="AF749" s="117"/>
      <c r="AG749" s="117"/>
      <c r="AH749" s="64" t="s">
        <v>1854</v>
      </c>
      <c r="AI749" s="117"/>
      <c r="AJ749" s="221"/>
      <c r="AK749" s="301"/>
      <c r="AL749" s="117"/>
      <c r="AM749" s="221"/>
    </row>
    <row r="750" spans="1:39" ht="12.75" hidden="1" customHeight="1">
      <c r="A750" s="147">
        <v>749</v>
      </c>
      <c r="B750" s="223">
        <v>216430</v>
      </c>
      <c r="C750" s="117" t="s">
        <v>1130</v>
      </c>
      <c r="D750" s="57">
        <v>43123</v>
      </c>
      <c r="E750" s="160" t="s">
        <v>1629</v>
      </c>
      <c r="F750" s="222">
        <v>43131</v>
      </c>
      <c r="G750" s="221">
        <f t="shared" si="35"/>
        <v>8</v>
      </c>
      <c r="H750" s="146" t="s">
        <v>363</v>
      </c>
      <c r="I750" s="221"/>
      <c r="J750" s="146" t="s">
        <v>614</v>
      </c>
      <c r="K750" s="94"/>
      <c r="L750" s="146"/>
      <c r="M750" s="117"/>
      <c r="N750" s="117"/>
      <c r="O750" s="227">
        <f t="shared" si="37"/>
        <v>0</v>
      </c>
      <c r="P750" s="119" t="s">
        <v>262</v>
      </c>
      <c r="Q750" s="119" t="s">
        <v>1342</v>
      </c>
      <c r="R750" s="117" t="s">
        <v>143</v>
      </c>
      <c r="S750" s="225" t="s">
        <v>465</v>
      </c>
      <c r="T750" s="117" t="s">
        <v>88</v>
      </c>
      <c r="U750" s="221" t="s">
        <v>963</v>
      </c>
      <c r="V750" s="117" t="s">
        <v>432</v>
      </c>
      <c r="W750" s="117"/>
      <c r="X750" s="117"/>
      <c r="Y750" s="117"/>
      <c r="Z750" s="117" t="s">
        <v>189</v>
      </c>
      <c r="AA750" s="117"/>
      <c r="AB750" s="117"/>
      <c r="AC750" s="63">
        <f t="shared" si="38"/>
        <v>0</v>
      </c>
      <c r="AD750" s="117"/>
      <c r="AE750" s="117"/>
      <c r="AF750" s="117"/>
      <c r="AG750" s="117"/>
      <c r="AH750" s="64" t="s">
        <v>1854</v>
      </c>
      <c r="AI750" s="117"/>
      <c r="AJ750" s="117"/>
      <c r="AK750" s="301"/>
      <c r="AL750" s="117"/>
      <c r="AM750" s="117"/>
    </row>
    <row r="751" spans="1:39" ht="12.75" hidden="1" customHeight="1">
      <c r="A751" s="147">
        <v>750</v>
      </c>
      <c r="B751" s="223">
        <v>215066</v>
      </c>
      <c r="C751" s="117" t="s">
        <v>1628</v>
      </c>
      <c r="D751" s="57">
        <v>43124</v>
      </c>
      <c r="E751" s="160" t="s">
        <v>1629</v>
      </c>
      <c r="F751" s="222">
        <v>43126</v>
      </c>
      <c r="G751" s="221">
        <f t="shared" si="35"/>
        <v>2</v>
      </c>
      <c r="H751" s="146" t="s">
        <v>133</v>
      </c>
      <c r="I751" s="117"/>
      <c r="J751" s="146" t="s">
        <v>614</v>
      </c>
      <c r="K751" s="94">
        <v>1699</v>
      </c>
      <c r="L751" s="146"/>
      <c r="M751" s="221">
        <v>365</v>
      </c>
      <c r="N751" s="117">
        <v>130</v>
      </c>
      <c r="O751" s="227">
        <f t="shared" si="37"/>
        <v>0</v>
      </c>
      <c r="P751" s="224" t="s">
        <v>264</v>
      </c>
      <c r="Q751" s="224" t="s">
        <v>1342</v>
      </c>
      <c r="R751" s="221" t="s">
        <v>210</v>
      </c>
      <c r="S751" s="225" t="s">
        <v>469</v>
      </c>
      <c r="T751" s="117" t="s">
        <v>114</v>
      </c>
      <c r="U751" s="221" t="s">
        <v>1849</v>
      </c>
      <c r="V751" s="117" t="s">
        <v>249</v>
      </c>
      <c r="W751" s="117"/>
      <c r="X751" s="117"/>
      <c r="Y751" s="117" t="s">
        <v>316</v>
      </c>
      <c r="Z751" s="117" t="s">
        <v>124</v>
      </c>
      <c r="AA751" s="222">
        <v>43125</v>
      </c>
      <c r="AB751" s="117" t="s">
        <v>140</v>
      </c>
      <c r="AC751" s="63">
        <f t="shared" si="38"/>
        <v>0</v>
      </c>
      <c r="AD751" s="117"/>
      <c r="AE751" s="221" t="s">
        <v>217</v>
      </c>
      <c r="AF751" s="148" t="s">
        <v>1625</v>
      </c>
      <c r="AG751" s="117"/>
      <c r="AH751" s="64"/>
      <c r="AI751" s="117"/>
      <c r="AJ751" s="117"/>
      <c r="AK751" s="301"/>
      <c r="AL751" s="117"/>
      <c r="AM751" s="117"/>
    </row>
    <row r="752" spans="1:39" ht="12.75" hidden="1" customHeight="1">
      <c r="A752" s="147">
        <v>751</v>
      </c>
      <c r="B752" s="138">
        <v>215329</v>
      </c>
      <c r="C752" s="117" t="s">
        <v>1628</v>
      </c>
      <c r="D752" s="57">
        <v>43124</v>
      </c>
      <c r="E752" s="160" t="s">
        <v>1629</v>
      </c>
      <c r="F752" s="222">
        <v>43126</v>
      </c>
      <c r="G752" s="221">
        <f t="shared" si="35"/>
        <v>2</v>
      </c>
      <c r="H752" s="146" t="s">
        <v>133</v>
      </c>
      <c r="I752" s="117"/>
      <c r="J752" s="146" t="s">
        <v>614</v>
      </c>
      <c r="K752" s="94">
        <v>5699</v>
      </c>
      <c r="L752" s="146"/>
      <c r="M752" s="117">
        <v>497</v>
      </c>
      <c r="N752" s="117">
        <v>120</v>
      </c>
      <c r="O752" s="227">
        <f t="shared" si="37"/>
        <v>4860.0600000000004</v>
      </c>
      <c r="P752" s="119" t="s">
        <v>264</v>
      </c>
      <c r="Q752" s="119" t="s">
        <v>1342</v>
      </c>
      <c r="R752" s="221" t="s">
        <v>134</v>
      </c>
      <c r="S752" s="225" t="s">
        <v>465</v>
      </c>
      <c r="T752" s="221" t="s">
        <v>164</v>
      </c>
      <c r="U752" s="221" t="s">
        <v>1851</v>
      </c>
      <c r="V752" s="221" t="s">
        <v>1809</v>
      </c>
      <c r="W752" s="117"/>
      <c r="X752" s="117"/>
      <c r="Y752" s="221" t="s">
        <v>1942</v>
      </c>
      <c r="Z752" s="117" t="s">
        <v>202</v>
      </c>
      <c r="AA752" s="222">
        <v>43125</v>
      </c>
      <c r="AB752" s="117" t="s">
        <v>872</v>
      </c>
      <c r="AC752" s="63">
        <f t="shared" si="38"/>
        <v>1</v>
      </c>
      <c r="AD752" s="221" t="s">
        <v>217</v>
      </c>
      <c r="AE752" s="221" t="s">
        <v>218</v>
      </c>
      <c r="AF752" s="117"/>
      <c r="AG752" s="117"/>
      <c r="AH752" s="64"/>
      <c r="AI752" s="117"/>
      <c r="AJ752" s="221"/>
      <c r="AK752" s="301" t="s">
        <v>2143</v>
      </c>
      <c r="AL752" s="117"/>
      <c r="AM752" s="221"/>
    </row>
    <row r="753" spans="1:39" ht="12.75" hidden="1" customHeight="1">
      <c r="A753" s="147">
        <v>752</v>
      </c>
      <c r="B753" s="60">
        <v>215863</v>
      </c>
      <c r="C753" s="117" t="s">
        <v>1130</v>
      </c>
      <c r="D753" s="57">
        <v>43124</v>
      </c>
      <c r="E753" s="160" t="s">
        <v>1629</v>
      </c>
      <c r="F753" s="222">
        <v>43131</v>
      </c>
      <c r="G753" s="221">
        <f t="shared" si="35"/>
        <v>7</v>
      </c>
      <c r="H753" s="146" t="s">
        <v>363</v>
      </c>
      <c r="I753" s="221"/>
      <c r="J753" s="221" t="s">
        <v>614</v>
      </c>
      <c r="K753" s="94"/>
      <c r="L753" s="146"/>
      <c r="M753" s="117"/>
      <c r="N753" s="117"/>
      <c r="O753" s="227">
        <f t="shared" si="37"/>
        <v>0</v>
      </c>
      <c r="P753" s="119" t="s">
        <v>261</v>
      </c>
      <c r="Q753" s="119" t="s">
        <v>1341</v>
      </c>
      <c r="R753" s="221" t="s">
        <v>143</v>
      </c>
      <c r="S753" s="225" t="s">
        <v>465</v>
      </c>
      <c r="T753" s="221" t="s">
        <v>88</v>
      </c>
      <c r="U753" s="221" t="s">
        <v>1297</v>
      </c>
      <c r="V753" s="221" t="s">
        <v>432</v>
      </c>
      <c r="W753" s="117"/>
      <c r="X753" s="117"/>
      <c r="Y753" s="117"/>
      <c r="Z753" s="117" t="s">
        <v>189</v>
      </c>
      <c r="AA753" s="221"/>
      <c r="AB753" s="117"/>
      <c r="AC753" s="63">
        <f t="shared" si="38"/>
        <v>0</v>
      </c>
      <c r="AD753" s="221"/>
      <c r="AE753" s="221"/>
      <c r="AF753" s="117"/>
      <c r="AG753" s="117"/>
      <c r="AH753" s="64" t="s">
        <v>1854</v>
      </c>
      <c r="AI753" s="117"/>
      <c r="AJ753" s="221"/>
      <c r="AK753" s="301"/>
      <c r="AL753" s="117"/>
      <c r="AM753" s="221"/>
    </row>
    <row r="754" spans="1:39" ht="12.75" hidden="1" customHeight="1">
      <c r="A754" s="147">
        <v>753</v>
      </c>
      <c r="B754" s="60">
        <v>215798</v>
      </c>
      <c r="C754" s="117" t="s">
        <v>1130</v>
      </c>
      <c r="D754" s="57">
        <v>43124</v>
      </c>
      <c r="E754" s="160" t="s">
        <v>1629</v>
      </c>
      <c r="F754" s="222">
        <v>43131</v>
      </c>
      <c r="G754" s="221">
        <f t="shared" ref="G754:G815" si="39">F754-D754</f>
        <v>7</v>
      </c>
      <c r="H754" s="146" t="s">
        <v>133</v>
      </c>
      <c r="I754" s="221"/>
      <c r="J754" s="221" t="s">
        <v>614</v>
      </c>
      <c r="K754" s="94">
        <v>1399</v>
      </c>
      <c r="L754" s="146"/>
      <c r="M754" s="221">
        <v>170</v>
      </c>
      <c r="N754" s="117">
        <v>80</v>
      </c>
      <c r="O754" s="227">
        <f t="shared" si="37"/>
        <v>1145.06</v>
      </c>
      <c r="P754" s="119" t="s">
        <v>262</v>
      </c>
      <c r="Q754" s="230" t="s">
        <v>1342</v>
      </c>
      <c r="R754" s="221" t="s">
        <v>143</v>
      </c>
      <c r="S754" s="225" t="s">
        <v>465</v>
      </c>
      <c r="T754" s="221" t="s">
        <v>88</v>
      </c>
      <c r="U754" s="221" t="s">
        <v>1419</v>
      </c>
      <c r="V754" s="221" t="s">
        <v>432</v>
      </c>
      <c r="W754" s="117"/>
      <c r="X754" s="117"/>
      <c r="Y754" s="221" t="s">
        <v>316</v>
      </c>
      <c r="Z754" s="221" t="s">
        <v>189</v>
      </c>
      <c r="AA754" s="222">
        <v>43124</v>
      </c>
      <c r="AB754" s="117" t="s">
        <v>782</v>
      </c>
      <c r="AC754" s="63">
        <f t="shared" si="38"/>
        <v>1</v>
      </c>
      <c r="AD754" s="221" t="s">
        <v>217</v>
      </c>
      <c r="AE754" s="221" t="s">
        <v>218</v>
      </c>
      <c r="AF754" s="117"/>
      <c r="AG754" s="117"/>
      <c r="AH754" s="64"/>
      <c r="AI754" s="117"/>
      <c r="AJ754" s="117"/>
      <c r="AK754" s="301"/>
      <c r="AL754" s="117"/>
      <c r="AM754" s="117"/>
    </row>
    <row r="755" spans="1:39" ht="12.75" hidden="1" customHeight="1">
      <c r="A755" s="147">
        <v>754</v>
      </c>
      <c r="B755" s="60">
        <v>215955</v>
      </c>
      <c r="C755" s="117" t="s">
        <v>1130</v>
      </c>
      <c r="D755" s="57">
        <v>43124</v>
      </c>
      <c r="E755" s="160" t="s">
        <v>1629</v>
      </c>
      <c r="F755" s="222">
        <v>43130</v>
      </c>
      <c r="G755" s="221">
        <f t="shared" si="39"/>
        <v>6</v>
      </c>
      <c r="H755" s="146" t="s">
        <v>133</v>
      </c>
      <c r="I755" s="221"/>
      <c r="J755" s="146" t="s">
        <v>614</v>
      </c>
      <c r="K755" s="94">
        <v>999</v>
      </c>
      <c r="L755" s="146"/>
      <c r="M755" s="117">
        <v>170</v>
      </c>
      <c r="N755" s="117">
        <v>80</v>
      </c>
      <c r="O755" s="227">
        <f t="shared" ref="O755:O761" si="40">IF(AE755="Reemplazo",0,K755-(K755*0.12*0.5)-(MAX(M755,N755)))</f>
        <v>769.06</v>
      </c>
      <c r="P755" s="119" t="s">
        <v>264</v>
      </c>
      <c r="Q755" s="119" t="s">
        <v>1342</v>
      </c>
      <c r="R755" s="221" t="s">
        <v>143</v>
      </c>
      <c r="S755" s="225" t="s">
        <v>465</v>
      </c>
      <c r="T755" s="221" t="s">
        <v>88</v>
      </c>
      <c r="U755" s="221" t="s">
        <v>952</v>
      </c>
      <c r="V755" s="221" t="s">
        <v>432</v>
      </c>
      <c r="W755" s="117"/>
      <c r="X755" s="117"/>
      <c r="Y755" s="117" t="s">
        <v>316</v>
      </c>
      <c r="Z755" s="117" t="s">
        <v>189</v>
      </c>
      <c r="AA755" s="222">
        <v>43125</v>
      </c>
      <c r="AB755" s="117" t="s">
        <v>872</v>
      </c>
      <c r="AC755" s="63">
        <f t="shared" si="38"/>
        <v>1</v>
      </c>
      <c r="AD755" s="221" t="s">
        <v>217</v>
      </c>
      <c r="AE755" s="221" t="s">
        <v>218</v>
      </c>
      <c r="AF755" s="117"/>
      <c r="AG755" s="117"/>
      <c r="AH755" s="64"/>
      <c r="AI755" s="117" t="s">
        <v>184</v>
      </c>
      <c r="AJ755" s="222">
        <v>43131</v>
      </c>
      <c r="AK755" s="301" t="s">
        <v>2158</v>
      </c>
      <c r="AL755" s="117" t="s">
        <v>645</v>
      </c>
      <c r="AM755" s="222">
        <v>43131</v>
      </c>
    </row>
    <row r="756" spans="1:39" ht="12.75" hidden="1" customHeight="1">
      <c r="A756" s="147">
        <v>755</v>
      </c>
      <c r="B756" s="223">
        <v>216421</v>
      </c>
      <c r="C756" s="117" t="s">
        <v>128</v>
      </c>
      <c r="D756" s="57">
        <v>43124</v>
      </c>
      <c r="E756" s="160" t="s">
        <v>1629</v>
      </c>
      <c r="F756" s="222">
        <v>43139</v>
      </c>
      <c r="G756" s="221">
        <f t="shared" si="39"/>
        <v>15</v>
      </c>
      <c r="H756" s="221" t="s">
        <v>133</v>
      </c>
      <c r="I756" s="117"/>
      <c r="J756" s="146" t="s">
        <v>614</v>
      </c>
      <c r="K756" s="94"/>
      <c r="L756" s="146"/>
      <c r="M756" s="221"/>
      <c r="N756" s="117"/>
      <c r="O756" s="227">
        <f t="shared" si="40"/>
        <v>0</v>
      </c>
      <c r="P756" s="119" t="s">
        <v>264</v>
      </c>
      <c r="Q756" s="119" t="s">
        <v>1342</v>
      </c>
      <c r="R756" s="221" t="s">
        <v>501</v>
      </c>
      <c r="S756" s="225" t="s">
        <v>466</v>
      </c>
      <c r="T756" s="221" t="s">
        <v>313</v>
      </c>
      <c r="U756" s="221" t="s">
        <v>1853</v>
      </c>
      <c r="V756" s="221" t="s">
        <v>257</v>
      </c>
      <c r="W756" s="221"/>
      <c r="X756" s="221"/>
      <c r="Y756" s="221"/>
      <c r="Z756" s="221" t="s">
        <v>259</v>
      </c>
      <c r="AA756" s="221"/>
      <c r="AB756" s="221"/>
      <c r="AC756" s="226">
        <f t="shared" si="38"/>
        <v>0</v>
      </c>
      <c r="AD756" s="221"/>
      <c r="AE756" s="221" t="s">
        <v>217</v>
      </c>
      <c r="AF756" s="117" t="s">
        <v>225</v>
      </c>
      <c r="AG756" s="117"/>
      <c r="AH756" s="64"/>
      <c r="AI756" s="221"/>
      <c r="AJ756" s="221"/>
      <c r="AK756" s="301"/>
      <c r="AL756" s="221"/>
      <c r="AM756" s="221"/>
    </row>
    <row r="757" spans="1:39" ht="12.75" hidden="1" customHeight="1">
      <c r="A757" s="147">
        <v>756</v>
      </c>
      <c r="B757" s="223">
        <v>216215</v>
      </c>
      <c r="C757" s="221" t="s">
        <v>1130</v>
      </c>
      <c r="D757" s="57">
        <v>43124</v>
      </c>
      <c r="E757" s="160" t="s">
        <v>1629</v>
      </c>
      <c r="F757" s="222">
        <v>43137</v>
      </c>
      <c r="G757" s="221">
        <f t="shared" si="39"/>
        <v>13</v>
      </c>
      <c r="H757" s="146" t="s">
        <v>133</v>
      </c>
      <c r="I757" s="117"/>
      <c r="J757" s="146" t="s">
        <v>614</v>
      </c>
      <c r="K757" s="94">
        <v>2770</v>
      </c>
      <c r="L757" s="146"/>
      <c r="M757" s="117">
        <v>290</v>
      </c>
      <c r="N757" s="117">
        <v>270</v>
      </c>
      <c r="O757" s="227">
        <f t="shared" si="40"/>
        <v>2313.8000000000002</v>
      </c>
      <c r="P757" s="119"/>
      <c r="Q757" s="119"/>
      <c r="R757" s="221" t="s">
        <v>134</v>
      </c>
      <c r="S757" s="225" t="s">
        <v>465</v>
      </c>
      <c r="T757" s="221" t="s">
        <v>88</v>
      </c>
      <c r="U757" s="221" t="s">
        <v>1460</v>
      </c>
      <c r="V757" s="221" t="s">
        <v>429</v>
      </c>
      <c r="W757" s="221"/>
      <c r="X757" s="221"/>
      <c r="Y757" s="221" t="s">
        <v>1172</v>
      </c>
      <c r="Z757" s="117" t="s">
        <v>189</v>
      </c>
      <c r="AA757" s="221"/>
      <c r="AB757" s="117"/>
      <c r="AC757" s="63">
        <f t="shared" si="38"/>
        <v>1</v>
      </c>
      <c r="AD757" s="221" t="s">
        <v>217</v>
      </c>
      <c r="AE757" s="221" t="s">
        <v>218</v>
      </c>
      <c r="AF757" s="117"/>
      <c r="AG757" s="117"/>
      <c r="AH757" s="64"/>
      <c r="AI757" s="117"/>
      <c r="AJ757" s="117"/>
      <c r="AK757" s="301"/>
      <c r="AL757" s="117"/>
      <c r="AM757" s="117"/>
    </row>
    <row r="758" spans="1:39" ht="12.75" hidden="1" customHeight="1">
      <c r="A758" s="147">
        <v>757</v>
      </c>
      <c r="B758" s="223">
        <v>216876</v>
      </c>
      <c r="C758" s="221" t="s">
        <v>1130</v>
      </c>
      <c r="D758" s="57">
        <v>43126</v>
      </c>
      <c r="E758" s="160" t="s">
        <v>1629</v>
      </c>
      <c r="F758" s="222">
        <v>43141</v>
      </c>
      <c r="G758" s="221">
        <f t="shared" si="39"/>
        <v>15</v>
      </c>
      <c r="H758" s="146" t="s">
        <v>133</v>
      </c>
      <c r="I758" s="221"/>
      <c r="J758" s="146"/>
      <c r="K758" s="94"/>
      <c r="L758" s="146"/>
      <c r="M758" s="117"/>
      <c r="N758" s="117"/>
      <c r="O758" s="227">
        <f t="shared" si="40"/>
        <v>0</v>
      </c>
      <c r="P758" s="119"/>
      <c r="Q758" s="119"/>
      <c r="R758" s="117" t="s">
        <v>122</v>
      </c>
      <c r="S758" s="225" t="s">
        <v>469</v>
      </c>
      <c r="T758" s="117" t="s">
        <v>114</v>
      </c>
      <c r="U758" s="221" t="s">
        <v>1855</v>
      </c>
      <c r="V758" s="221" t="s">
        <v>222</v>
      </c>
      <c r="W758" s="117"/>
      <c r="X758" s="117"/>
      <c r="Y758" s="117"/>
      <c r="Z758" s="117" t="s">
        <v>170</v>
      </c>
      <c r="AA758" s="221"/>
      <c r="AB758" s="117"/>
      <c r="AC758" s="226">
        <f t="shared" si="38"/>
        <v>0</v>
      </c>
      <c r="AD758" s="117"/>
      <c r="AE758" s="117"/>
      <c r="AF758" s="117"/>
      <c r="AG758" s="117"/>
      <c r="AH758" s="64"/>
      <c r="AI758" s="117"/>
      <c r="AJ758" s="221"/>
      <c r="AK758" s="301"/>
      <c r="AL758" s="117"/>
      <c r="AM758" s="221"/>
    </row>
    <row r="759" spans="1:39" ht="12.75" hidden="1" customHeight="1">
      <c r="A759" s="147">
        <v>758</v>
      </c>
      <c r="B759" s="223">
        <v>216423</v>
      </c>
      <c r="C759" s="221" t="s">
        <v>1130</v>
      </c>
      <c r="D759" s="57">
        <v>43126</v>
      </c>
      <c r="E759" s="160" t="s">
        <v>1629</v>
      </c>
      <c r="F759" s="222">
        <v>43135</v>
      </c>
      <c r="G759" s="221">
        <f t="shared" si="39"/>
        <v>9</v>
      </c>
      <c r="H759" s="146" t="s">
        <v>133</v>
      </c>
      <c r="I759" s="221"/>
      <c r="J759" s="146" t="s">
        <v>614</v>
      </c>
      <c r="K759" s="94">
        <v>1799</v>
      </c>
      <c r="L759" s="146"/>
      <c r="M759" s="117">
        <v>250</v>
      </c>
      <c r="N759" s="117">
        <v>230</v>
      </c>
      <c r="O759" s="227">
        <f t="shared" si="40"/>
        <v>1441.06</v>
      </c>
      <c r="P759" s="119"/>
      <c r="Q759" s="119"/>
      <c r="R759" s="221" t="s">
        <v>122</v>
      </c>
      <c r="S759" s="225" t="s">
        <v>469</v>
      </c>
      <c r="T759" s="117" t="s">
        <v>114</v>
      </c>
      <c r="U759" s="221" t="s">
        <v>1856</v>
      </c>
      <c r="V759" s="222" t="s">
        <v>169</v>
      </c>
      <c r="W759" s="117"/>
      <c r="X759" s="117"/>
      <c r="Y759" s="117" t="s">
        <v>316</v>
      </c>
      <c r="Z759" s="117" t="s">
        <v>170</v>
      </c>
      <c r="AA759" s="222">
        <v>43130</v>
      </c>
      <c r="AB759" s="117" t="s">
        <v>140</v>
      </c>
      <c r="AC759" s="63">
        <f t="shared" si="38"/>
        <v>1</v>
      </c>
      <c r="AD759" s="117" t="s">
        <v>217</v>
      </c>
      <c r="AE759" s="117" t="s">
        <v>218</v>
      </c>
      <c r="AF759" s="117"/>
      <c r="AG759" s="117"/>
      <c r="AH759" s="64"/>
      <c r="AI759" s="117" t="s">
        <v>184</v>
      </c>
      <c r="AJ759" s="222">
        <v>43131</v>
      </c>
      <c r="AK759" s="301" t="s">
        <v>2159</v>
      </c>
      <c r="AL759" s="117" t="s">
        <v>645</v>
      </c>
      <c r="AM759" s="222">
        <v>43131</v>
      </c>
    </row>
    <row r="760" spans="1:39" ht="12.75" hidden="1" customHeight="1">
      <c r="A760" s="147">
        <v>759</v>
      </c>
      <c r="B760" s="223">
        <v>216660</v>
      </c>
      <c r="C760" s="117" t="s">
        <v>1130</v>
      </c>
      <c r="D760" s="57">
        <v>43129</v>
      </c>
      <c r="E760" s="160" t="s">
        <v>1629</v>
      </c>
      <c r="F760" s="222">
        <v>43135</v>
      </c>
      <c r="G760" s="221">
        <f t="shared" si="39"/>
        <v>6</v>
      </c>
      <c r="H760" s="146" t="s">
        <v>133</v>
      </c>
      <c r="I760" s="221"/>
      <c r="J760" s="146" t="s">
        <v>614</v>
      </c>
      <c r="K760" s="94"/>
      <c r="L760" s="146"/>
      <c r="M760" s="117"/>
      <c r="N760" s="117"/>
      <c r="O760" s="227">
        <f t="shared" si="40"/>
        <v>0</v>
      </c>
      <c r="P760" s="119"/>
      <c r="Q760" s="119"/>
      <c r="R760" s="221" t="s">
        <v>122</v>
      </c>
      <c r="S760" s="225" t="s">
        <v>469</v>
      </c>
      <c r="T760" s="221" t="s">
        <v>114</v>
      </c>
      <c r="U760" s="221" t="s">
        <v>444</v>
      </c>
      <c r="V760" s="222" t="s">
        <v>169</v>
      </c>
      <c r="W760" s="117"/>
      <c r="X760" s="117"/>
      <c r="Y760" s="117"/>
      <c r="Z760" s="117" t="s">
        <v>170</v>
      </c>
      <c r="AA760" s="221"/>
      <c r="AB760" s="117"/>
      <c r="AC760" s="63">
        <f t="shared" si="38"/>
        <v>0</v>
      </c>
      <c r="AD760" s="117"/>
      <c r="AE760" s="221" t="s">
        <v>217</v>
      </c>
      <c r="AF760" s="117" t="s">
        <v>225</v>
      </c>
      <c r="AG760" s="117"/>
      <c r="AH760" s="64"/>
      <c r="AI760" s="117"/>
      <c r="AJ760" s="221"/>
      <c r="AK760" s="301"/>
      <c r="AL760" s="117"/>
      <c r="AM760" s="221"/>
    </row>
    <row r="761" spans="1:39" ht="12.75" hidden="1" customHeight="1">
      <c r="A761" s="147">
        <v>760</v>
      </c>
      <c r="B761" s="223">
        <v>216844</v>
      </c>
      <c r="C761" s="117" t="s">
        <v>128</v>
      </c>
      <c r="D761" s="57">
        <v>43130</v>
      </c>
      <c r="E761" s="160" t="s">
        <v>1629</v>
      </c>
      <c r="F761" s="184">
        <v>43140</v>
      </c>
      <c r="G761" s="221">
        <f t="shared" si="39"/>
        <v>10</v>
      </c>
      <c r="H761" s="146" t="s">
        <v>133</v>
      </c>
      <c r="I761" s="117"/>
      <c r="J761" s="146" t="s">
        <v>614</v>
      </c>
      <c r="K761" s="94">
        <v>3999</v>
      </c>
      <c r="L761" s="146"/>
      <c r="M761" s="117">
        <v>500</v>
      </c>
      <c r="N761" s="117">
        <v>255</v>
      </c>
      <c r="O761" s="227">
        <f t="shared" si="40"/>
        <v>3259.06</v>
      </c>
      <c r="P761" s="119"/>
      <c r="Q761" s="119"/>
      <c r="R761" s="53" t="s">
        <v>1922</v>
      </c>
      <c r="S761" s="225" t="s">
        <v>465</v>
      </c>
      <c r="T761" s="53" t="s">
        <v>1923</v>
      </c>
      <c r="U761" s="221" t="s">
        <v>1924</v>
      </c>
      <c r="V761" s="53" t="s">
        <v>90</v>
      </c>
      <c r="Y761" s="53" t="s">
        <v>1616</v>
      </c>
      <c r="Z761" s="53" t="s">
        <v>246</v>
      </c>
      <c r="AA761" s="222">
        <v>43130</v>
      </c>
      <c r="AB761" s="117" t="s">
        <v>195</v>
      </c>
      <c r="AC761" s="63">
        <f t="shared" si="38"/>
        <v>1</v>
      </c>
      <c r="AD761" s="117" t="s">
        <v>217</v>
      </c>
      <c r="AE761" s="117" t="s">
        <v>218</v>
      </c>
      <c r="AF761" s="117"/>
      <c r="AG761" s="117"/>
      <c r="AH761" s="64"/>
      <c r="AI761" s="117"/>
      <c r="AJ761" s="117"/>
      <c r="AK761" s="301"/>
      <c r="AL761" s="117"/>
      <c r="AM761" s="117"/>
    </row>
    <row r="762" spans="1:39" ht="12.75" hidden="1" customHeight="1">
      <c r="A762" s="147">
        <v>761</v>
      </c>
      <c r="B762" s="223">
        <v>216828</v>
      </c>
      <c r="C762" s="117" t="s">
        <v>1130</v>
      </c>
      <c r="D762" s="57">
        <v>43130</v>
      </c>
      <c r="E762" s="160" t="s">
        <v>1629</v>
      </c>
      <c r="F762" s="222">
        <v>43136</v>
      </c>
      <c r="G762" s="221">
        <f t="shared" si="39"/>
        <v>6</v>
      </c>
      <c r="H762" s="146" t="s">
        <v>133</v>
      </c>
      <c r="I762" s="117"/>
      <c r="J762" s="146" t="s">
        <v>614</v>
      </c>
      <c r="K762" s="94">
        <v>960</v>
      </c>
      <c r="L762" s="146"/>
      <c r="M762" s="117">
        <v>170</v>
      </c>
      <c r="N762" s="117">
        <v>80</v>
      </c>
      <c r="O762" s="227">
        <f t="shared" ref="O762:O792" si="41">IF(AE762="Reemplazo",0,K762-(K762*0.12*0.5)-(MAX(M762,N762)))</f>
        <v>732.4</v>
      </c>
      <c r="P762" s="119"/>
      <c r="Q762" s="119"/>
      <c r="R762" s="221" t="s">
        <v>134</v>
      </c>
      <c r="S762" s="225" t="s">
        <v>465</v>
      </c>
      <c r="T762" s="221" t="s">
        <v>88</v>
      </c>
      <c r="U762" s="221" t="s">
        <v>1285</v>
      </c>
      <c r="V762" s="117" t="s">
        <v>432</v>
      </c>
      <c r="W762" s="117"/>
      <c r="X762" s="117"/>
      <c r="Y762" s="117" t="s">
        <v>316</v>
      </c>
      <c r="Z762" s="117" t="s">
        <v>189</v>
      </c>
      <c r="AA762" s="222">
        <v>43131</v>
      </c>
      <c r="AB762" s="117" t="s">
        <v>872</v>
      </c>
      <c r="AC762" s="63">
        <f t="shared" si="38"/>
        <v>1</v>
      </c>
      <c r="AD762" s="117" t="s">
        <v>217</v>
      </c>
      <c r="AE762" s="117" t="s">
        <v>218</v>
      </c>
      <c r="AF762" s="117"/>
      <c r="AG762" s="117"/>
      <c r="AH762" s="64"/>
      <c r="AI762" s="117" t="s">
        <v>184</v>
      </c>
      <c r="AJ762" s="222">
        <v>43131</v>
      </c>
      <c r="AK762" s="301" t="s">
        <v>2160</v>
      </c>
      <c r="AL762" s="117" t="s">
        <v>645</v>
      </c>
      <c r="AM762" s="222">
        <v>43131</v>
      </c>
    </row>
    <row r="763" spans="1:39" ht="12.75" hidden="1" customHeight="1">
      <c r="A763" s="147">
        <v>762</v>
      </c>
      <c r="B763" s="223">
        <v>217003</v>
      </c>
      <c r="C763" s="117" t="s">
        <v>1130</v>
      </c>
      <c r="D763" s="57">
        <v>43130</v>
      </c>
      <c r="E763" s="160" t="s">
        <v>1629</v>
      </c>
      <c r="F763" s="222">
        <v>43141</v>
      </c>
      <c r="G763" s="221">
        <f t="shared" si="39"/>
        <v>11</v>
      </c>
      <c r="H763" s="146" t="s">
        <v>133</v>
      </c>
      <c r="I763" s="117"/>
      <c r="J763" s="146" t="s">
        <v>614</v>
      </c>
      <c r="K763" s="94"/>
      <c r="L763" s="146"/>
      <c r="M763" s="117"/>
      <c r="N763" s="117"/>
      <c r="O763" s="227">
        <f t="shared" si="41"/>
        <v>0</v>
      </c>
      <c r="P763" s="119"/>
      <c r="Q763" s="119"/>
      <c r="R763" s="221" t="s">
        <v>134</v>
      </c>
      <c r="S763" s="225" t="s">
        <v>465</v>
      </c>
      <c r="T763" s="221" t="s">
        <v>164</v>
      </c>
      <c r="U763" s="221" t="s">
        <v>1672</v>
      </c>
      <c r="V763" s="117" t="s">
        <v>1920</v>
      </c>
      <c r="W763" s="117"/>
      <c r="X763" s="117"/>
      <c r="Y763" s="117"/>
      <c r="Z763" s="117" t="s">
        <v>379</v>
      </c>
      <c r="AA763" s="117"/>
      <c r="AB763" s="117"/>
      <c r="AC763" s="63">
        <f t="shared" si="38"/>
        <v>0</v>
      </c>
      <c r="AD763" s="117"/>
      <c r="AE763" s="221" t="s">
        <v>217</v>
      </c>
      <c r="AF763" s="117" t="s">
        <v>225</v>
      </c>
      <c r="AG763" s="117"/>
      <c r="AH763" s="64"/>
      <c r="AI763" s="117"/>
      <c r="AJ763" s="117"/>
      <c r="AK763" s="117"/>
      <c r="AL763" s="117"/>
      <c r="AM763" s="117"/>
    </row>
    <row r="764" spans="1:39" ht="12.75" hidden="1" customHeight="1">
      <c r="A764" s="147">
        <v>763</v>
      </c>
      <c r="B764" s="223">
        <v>214953</v>
      </c>
      <c r="C764" s="117" t="s">
        <v>128</v>
      </c>
      <c r="D764" s="57">
        <v>43130</v>
      </c>
      <c r="E764" s="160" t="s">
        <v>1629</v>
      </c>
      <c r="F764" s="222">
        <v>43143</v>
      </c>
      <c r="G764" s="221">
        <f t="shared" si="39"/>
        <v>13</v>
      </c>
      <c r="H764" s="146" t="s">
        <v>133</v>
      </c>
      <c r="I764" s="117"/>
      <c r="J764" s="146" t="s">
        <v>614</v>
      </c>
      <c r="K764" s="94">
        <v>1899</v>
      </c>
      <c r="L764" s="146"/>
      <c r="M764" s="117">
        <v>660</v>
      </c>
      <c r="N764" s="117">
        <v>160</v>
      </c>
      <c r="O764" s="227">
        <f t="shared" si="41"/>
        <v>1125.06</v>
      </c>
      <c r="P764" s="119"/>
      <c r="Q764" s="119"/>
      <c r="R764" s="221" t="s">
        <v>122</v>
      </c>
      <c r="S764" s="225" t="s">
        <v>469</v>
      </c>
      <c r="T764" s="117" t="s">
        <v>829</v>
      </c>
      <c r="U764" s="221" t="s">
        <v>1921</v>
      </c>
      <c r="V764" s="117" t="s">
        <v>90</v>
      </c>
      <c r="W764" s="117"/>
      <c r="X764" s="117"/>
      <c r="Y764" s="117" t="s">
        <v>1941</v>
      </c>
      <c r="Z764" s="117" t="s">
        <v>296</v>
      </c>
      <c r="AA764" s="222">
        <v>43133</v>
      </c>
      <c r="AB764" s="117" t="s">
        <v>1102</v>
      </c>
      <c r="AC764" s="63">
        <f t="shared" si="38"/>
        <v>1</v>
      </c>
      <c r="AD764" s="117" t="s">
        <v>217</v>
      </c>
      <c r="AE764" s="117" t="s">
        <v>218</v>
      </c>
      <c r="AF764" s="117"/>
      <c r="AG764" s="117"/>
      <c r="AH764" s="64"/>
      <c r="AI764" s="117"/>
      <c r="AJ764" s="117"/>
      <c r="AK764" s="117"/>
      <c r="AL764" s="117"/>
      <c r="AM764" s="117"/>
    </row>
    <row r="765" spans="1:39" ht="12.75" hidden="1" customHeight="1">
      <c r="A765" s="147">
        <v>764</v>
      </c>
      <c r="B765" s="60">
        <v>216641</v>
      </c>
      <c r="C765" s="117" t="s">
        <v>1628</v>
      </c>
      <c r="D765" s="57">
        <v>43130</v>
      </c>
      <c r="E765" s="160" t="s">
        <v>1629</v>
      </c>
      <c r="F765" s="222">
        <v>43139</v>
      </c>
      <c r="G765" s="221">
        <f t="shared" si="39"/>
        <v>9</v>
      </c>
      <c r="H765" s="146" t="s">
        <v>133</v>
      </c>
      <c r="I765" s="117"/>
      <c r="J765" s="146" t="s">
        <v>614</v>
      </c>
      <c r="K765" s="94">
        <v>2399</v>
      </c>
      <c r="L765" s="146"/>
      <c r="M765" s="117">
        <v>120</v>
      </c>
      <c r="N765" s="117">
        <v>80</v>
      </c>
      <c r="O765" s="227">
        <f t="shared" si="41"/>
        <v>2135.06</v>
      </c>
      <c r="P765" s="119"/>
      <c r="Q765" s="119"/>
      <c r="R765" s="221" t="s">
        <v>143</v>
      </c>
      <c r="S765" s="225" t="s">
        <v>465</v>
      </c>
      <c r="T765" s="221" t="s">
        <v>164</v>
      </c>
      <c r="U765" s="221" t="s">
        <v>1197</v>
      </c>
      <c r="V765" s="117" t="s">
        <v>453</v>
      </c>
      <c r="W765" s="117"/>
      <c r="X765" s="117"/>
      <c r="Y765" s="221" t="s">
        <v>1942</v>
      </c>
      <c r="Z765" s="117" t="s">
        <v>202</v>
      </c>
      <c r="AA765" s="222">
        <v>43131</v>
      </c>
      <c r="AB765" s="117" t="s">
        <v>140</v>
      </c>
      <c r="AC765" s="63">
        <f t="shared" si="38"/>
        <v>1</v>
      </c>
      <c r="AD765" s="117" t="s">
        <v>217</v>
      </c>
      <c r="AE765" s="117" t="s">
        <v>218</v>
      </c>
      <c r="AF765" s="117"/>
      <c r="AG765" s="117"/>
      <c r="AH765" s="64"/>
      <c r="AI765" s="117"/>
      <c r="AJ765" s="117"/>
      <c r="AK765" s="117"/>
      <c r="AL765" s="117"/>
      <c r="AM765" s="117"/>
    </row>
    <row r="766" spans="1:39" ht="12.75" hidden="1" customHeight="1">
      <c r="A766" s="147">
        <v>765</v>
      </c>
      <c r="B766" s="223">
        <v>216715</v>
      </c>
      <c r="C766" s="117" t="s">
        <v>1628</v>
      </c>
      <c r="D766" s="57">
        <v>43131</v>
      </c>
      <c r="E766" s="160" t="s">
        <v>1629</v>
      </c>
      <c r="F766" s="222">
        <v>43136</v>
      </c>
      <c r="G766" s="221">
        <f t="shared" si="39"/>
        <v>5</v>
      </c>
      <c r="H766" s="146" t="s">
        <v>133</v>
      </c>
      <c r="I766" s="117"/>
      <c r="J766" s="146" t="s">
        <v>614</v>
      </c>
      <c r="K766" s="94">
        <v>3099</v>
      </c>
      <c r="L766" s="146">
        <v>3099</v>
      </c>
      <c r="M766" s="117">
        <v>437</v>
      </c>
      <c r="N766" s="117">
        <v>0</v>
      </c>
      <c r="O766" s="227">
        <f t="shared" si="41"/>
        <v>0</v>
      </c>
      <c r="P766" s="119"/>
      <c r="Q766" s="119"/>
      <c r="R766" s="221" t="s">
        <v>134</v>
      </c>
      <c r="S766" s="225" t="s">
        <v>465</v>
      </c>
      <c r="T766" s="221" t="s">
        <v>164</v>
      </c>
      <c r="U766" s="221" t="s">
        <v>1672</v>
      </c>
      <c r="V766" s="117" t="s">
        <v>1322</v>
      </c>
      <c r="W766" s="117"/>
      <c r="X766" s="117"/>
      <c r="Y766" s="221" t="s">
        <v>1942</v>
      </c>
      <c r="Z766" s="117" t="s">
        <v>202</v>
      </c>
      <c r="AA766" s="222">
        <v>43138</v>
      </c>
      <c r="AB766" s="117" t="s">
        <v>1939</v>
      </c>
      <c r="AC766" s="63">
        <f t="shared" si="38"/>
        <v>0</v>
      </c>
      <c r="AD766" s="117"/>
      <c r="AE766" s="221" t="s">
        <v>217</v>
      </c>
      <c r="AF766" s="117" t="s">
        <v>2148</v>
      </c>
      <c r="AG766" s="117"/>
      <c r="AH766" s="64"/>
      <c r="AI766" s="117"/>
      <c r="AJ766" s="117"/>
      <c r="AK766" s="117"/>
      <c r="AL766" s="117"/>
      <c r="AM766" s="117"/>
    </row>
    <row r="767" spans="1:39" ht="12.75" hidden="1" customHeight="1">
      <c r="A767" s="147">
        <v>766</v>
      </c>
      <c r="B767" s="223">
        <v>217139</v>
      </c>
      <c r="C767" s="117" t="s">
        <v>1130</v>
      </c>
      <c r="D767" s="57">
        <v>43131</v>
      </c>
      <c r="E767" s="160" t="s">
        <v>1629</v>
      </c>
      <c r="F767" s="222">
        <v>43141</v>
      </c>
      <c r="G767" s="221">
        <f t="shared" si="39"/>
        <v>10</v>
      </c>
      <c r="H767" s="146" t="s">
        <v>133</v>
      </c>
      <c r="I767" s="117"/>
      <c r="J767" s="146" t="s">
        <v>614</v>
      </c>
      <c r="K767" s="94">
        <v>3740</v>
      </c>
      <c r="L767" s="146"/>
      <c r="M767" s="117">
        <v>290</v>
      </c>
      <c r="N767" s="117">
        <v>120</v>
      </c>
      <c r="O767" s="227">
        <f t="shared" si="41"/>
        <v>3225.6</v>
      </c>
      <c r="P767" s="119"/>
      <c r="Q767" s="119"/>
      <c r="R767" s="221" t="s">
        <v>134</v>
      </c>
      <c r="S767" s="225" t="s">
        <v>465</v>
      </c>
      <c r="T767" s="221" t="s">
        <v>88</v>
      </c>
      <c r="U767" s="221" t="s">
        <v>1460</v>
      </c>
      <c r="V767" s="221" t="s">
        <v>429</v>
      </c>
      <c r="W767" s="117"/>
      <c r="X767" s="117"/>
      <c r="Y767" s="117" t="s">
        <v>316</v>
      </c>
      <c r="Z767" s="117" t="s">
        <v>189</v>
      </c>
      <c r="AA767" s="222">
        <v>43133</v>
      </c>
      <c r="AB767" s="117" t="s">
        <v>1102</v>
      </c>
      <c r="AC767" s="63">
        <f t="shared" si="38"/>
        <v>1</v>
      </c>
      <c r="AD767" s="117" t="s">
        <v>217</v>
      </c>
      <c r="AE767" s="117" t="s">
        <v>218</v>
      </c>
      <c r="AF767" s="117"/>
      <c r="AG767" s="117"/>
      <c r="AH767" s="64"/>
      <c r="AI767" s="221" t="s">
        <v>184</v>
      </c>
      <c r="AJ767" s="222">
        <v>43147</v>
      </c>
      <c r="AK767" s="221" t="s">
        <v>2181</v>
      </c>
      <c r="AL767" s="117"/>
      <c r="AM767" s="222">
        <v>43147</v>
      </c>
    </row>
    <row r="768" spans="1:39" ht="12.75" hidden="1" customHeight="1">
      <c r="A768" s="147">
        <v>767</v>
      </c>
      <c r="B768" s="223">
        <v>217025</v>
      </c>
      <c r="C768" s="117" t="s">
        <v>1130</v>
      </c>
      <c r="D768" s="57">
        <v>43131</v>
      </c>
      <c r="E768" s="160" t="s">
        <v>1629</v>
      </c>
      <c r="F768" s="222">
        <v>43136</v>
      </c>
      <c r="G768" s="221">
        <f t="shared" si="39"/>
        <v>5</v>
      </c>
      <c r="H768" s="146" t="s">
        <v>133</v>
      </c>
      <c r="I768" s="117"/>
      <c r="J768" s="146" t="s">
        <v>614</v>
      </c>
      <c r="K768" s="94">
        <v>2909</v>
      </c>
      <c r="L768" s="146"/>
      <c r="M768" s="117">
        <v>290</v>
      </c>
      <c r="N768" s="117">
        <v>120</v>
      </c>
      <c r="O768" s="227">
        <f t="shared" si="41"/>
        <v>2444.46</v>
      </c>
      <c r="P768" s="119"/>
      <c r="Q768" s="119"/>
      <c r="R768" s="221" t="s">
        <v>134</v>
      </c>
      <c r="S768" s="225" t="s">
        <v>465</v>
      </c>
      <c r="T768" s="221" t="s">
        <v>88</v>
      </c>
      <c r="U768" s="221" t="s">
        <v>1460</v>
      </c>
      <c r="V768" s="221" t="s">
        <v>429</v>
      </c>
      <c r="W768" s="117"/>
      <c r="X768" s="117"/>
      <c r="Y768" s="117" t="s">
        <v>1172</v>
      </c>
      <c r="Z768" s="117" t="s">
        <v>189</v>
      </c>
      <c r="AA768" s="117"/>
      <c r="AB768" s="117"/>
      <c r="AC768" s="63">
        <f t="shared" si="38"/>
        <v>1</v>
      </c>
      <c r="AD768" s="117"/>
      <c r="AE768" s="117"/>
      <c r="AF768" s="117"/>
      <c r="AG768" s="117"/>
      <c r="AH768" s="64"/>
      <c r="AI768" s="117"/>
      <c r="AJ768" s="117"/>
      <c r="AK768" s="221"/>
      <c r="AL768" s="117"/>
      <c r="AM768" s="117"/>
    </row>
    <row r="769" spans="1:39" ht="12.75" hidden="1" customHeight="1">
      <c r="A769" s="147">
        <v>768</v>
      </c>
      <c r="B769" s="223">
        <v>217469</v>
      </c>
      <c r="C769" s="117" t="s">
        <v>1130</v>
      </c>
      <c r="D769" s="57">
        <v>43133</v>
      </c>
      <c r="E769" s="160" t="s">
        <v>1931</v>
      </c>
      <c r="F769" s="222">
        <v>43141</v>
      </c>
      <c r="G769" s="221">
        <f t="shared" si="39"/>
        <v>8</v>
      </c>
      <c r="H769" s="146" t="s">
        <v>133</v>
      </c>
      <c r="I769" s="117"/>
      <c r="J769" s="146" t="s">
        <v>614</v>
      </c>
      <c r="K769" s="94">
        <v>1899</v>
      </c>
      <c r="L769" s="146"/>
      <c r="M769" s="117">
        <v>280</v>
      </c>
      <c r="N769" s="117">
        <v>230</v>
      </c>
      <c r="O769" s="227">
        <f t="shared" si="41"/>
        <v>1505.06</v>
      </c>
      <c r="P769" s="119"/>
      <c r="Q769" s="119"/>
      <c r="R769" s="117" t="s">
        <v>122</v>
      </c>
      <c r="S769" s="225" t="s">
        <v>469</v>
      </c>
      <c r="T769" s="117" t="s">
        <v>114</v>
      </c>
      <c r="U769" s="221" t="s">
        <v>1932</v>
      </c>
      <c r="V769" s="222" t="s">
        <v>169</v>
      </c>
      <c r="W769" s="117"/>
      <c r="X769" s="117"/>
      <c r="Y769" s="117" t="s">
        <v>316</v>
      </c>
      <c r="Z769" s="117" t="s">
        <v>170</v>
      </c>
      <c r="AA769" s="222">
        <v>43136</v>
      </c>
      <c r="AB769" s="117" t="s">
        <v>872</v>
      </c>
      <c r="AC769" s="63">
        <f t="shared" si="38"/>
        <v>1</v>
      </c>
      <c r="AD769" s="117" t="s">
        <v>217</v>
      </c>
      <c r="AE769" s="117" t="s">
        <v>218</v>
      </c>
      <c r="AF769" s="117"/>
      <c r="AG769" s="117"/>
      <c r="AH769" s="64"/>
      <c r="AI769" s="117" t="s">
        <v>184</v>
      </c>
      <c r="AJ769" s="222">
        <v>43147</v>
      </c>
      <c r="AK769" s="221" t="s">
        <v>2180</v>
      </c>
      <c r="AL769" s="117"/>
      <c r="AM769" s="222">
        <v>43147</v>
      </c>
    </row>
    <row r="770" spans="1:39" ht="12.75" hidden="1" customHeight="1">
      <c r="A770" s="147">
        <v>769</v>
      </c>
      <c r="B770" s="223">
        <v>217494</v>
      </c>
      <c r="C770" s="221" t="s">
        <v>1130</v>
      </c>
      <c r="D770" s="57">
        <v>43136</v>
      </c>
      <c r="E770" s="160" t="s">
        <v>1931</v>
      </c>
      <c r="F770" s="222">
        <v>43141</v>
      </c>
      <c r="G770" s="221">
        <f t="shared" si="39"/>
        <v>5</v>
      </c>
      <c r="H770" s="221" t="s">
        <v>133</v>
      </c>
      <c r="I770" s="117"/>
      <c r="J770" s="146" t="s">
        <v>614</v>
      </c>
      <c r="K770" s="94">
        <v>999</v>
      </c>
      <c r="L770" s="146"/>
      <c r="M770" s="117">
        <v>190</v>
      </c>
      <c r="N770" s="117">
        <v>80</v>
      </c>
      <c r="O770" s="227">
        <f t="shared" si="41"/>
        <v>749.06</v>
      </c>
      <c r="P770" s="119"/>
      <c r="Q770" s="119"/>
      <c r="R770" s="221" t="s">
        <v>143</v>
      </c>
      <c r="S770" s="225" t="s">
        <v>465</v>
      </c>
      <c r="T770" s="221" t="s">
        <v>88</v>
      </c>
      <c r="U770" s="221" t="s">
        <v>1285</v>
      </c>
      <c r="V770" s="221" t="s">
        <v>432</v>
      </c>
      <c r="W770" s="117"/>
      <c r="X770" s="117"/>
      <c r="Y770" s="221" t="s">
        <v>316</v>
      </c>
      <c r="Z770" s="221" t="s">
        <v>189</v>
      </c>
      <c r="AA770" s="222">
        <v>43137</v>
      </c>
      <c r="AB770" s="221" t="s">
        <v>872</v>
      </c>
      <c r="AC770" s="63">
        <f t="shared" si="38"/>
        <v>1</v>
      </c>
      <c r="AD770" s="221" t="s">
        <v>217</v>
      </c>
      <c r="AE770" s="221" t="s">
        <v>218</v>
      </c>
      <c r="AF770" s="117"/>
      <c r="AG770" s="117"/>
      <c r="AH770" s="64"/>
      <c r="AI770" s="221" t="s">
        <v>184</v>
      </c>
      <c r="AJ770" s="222">
        <v>43147</v>
      </c>
      <c r="AK770" s="221" t="s">
        <v>2182</v>
      </c>
      <c r="AL770" s="117"/>
      <c r="AM770" s="222">
        <v>43147</v>
      </c>
    </row>
    <row r="771" spans="1:39" ht="12.75" hidden="1" customHeight="1">
      <c r="A771" s="147">
        <v>770</v>
      </c>
      <c r="B771" s="223">
        <v>217547</v>
      </c>
      <c r="C771" s="221" t="s">
        <v>1130</v>
      </c>
      <c r="D771" s="57">
        <v>43136</v>
      </c>
      <c r="E771" s="160" t="s">
        <v>1931</v>
      </c>
      <c r="F771" s="222">
        <v>43142</v>
      </c>
      <c r="G771" s="221">
        <f t="shared" si="39"/>
        <v>6</v>
      </c>
      <c r="H771" s="221" t="s">
        <v>133</v>
      </c>
      <c r="I771" s="117"/>
      <c r="J771" s="146" t="s">
        <v>614</v>
      </c>
      <c r="K771" s="94">
        <v>1099</v>
      </c>
      <c r="L771" s="146"/>
      <c r="M771" s="117">
        <v>190</v>
      </c>
      <c r="N771" s="117">
        <v>400</v>
      </c>
      <c r="O771" s="227">
        <f t="shared" si="41"/>
        <v>633.05999999999995</v>
      </c>
      <c r="P771" s="119"/>
      <c r="Q771" s="119"/>
      <c r="R771" s="221" t="s">
        <v>143</v>
      </c>
      <c r="S771" s="225" t="s">
        <v>465</v>
      </c>
      <c r="T771" s="221" t="s">
        <v>88</v>
      </c>
      <c r="U771" s="221" t="s">
        <v>1227</v>
      </c>
      <c r="V771" s="221" t="s">
        <v>432</v>
      </c>
      <c r="W771" s="117"/>
      <c r="X771" s="117"/>
      <c r="Y771" s="221" t="s">
        <v>316</v>
      </c>
      <c r="Z771" s="221" t="s">
        <v>189</v>
      </c>
      <c r="AA771" s="222">
        <v>43137</v>
      </c>
      <c r="AB771" s="221" t="s">
        <v>872</v>
      </c>
      <c r="AC771" s="63">
        <f t="shared" si="38"/>
        <v>1</v>
      </c>
      <c r="AD771" s="221" t="s">
        <v>217</v>
      </c>
      <c r="AE771" s="221" t="s">
        <v>218</v>
      </c>
      <c r="AF771" s="117"/>
      <c r="AG771" s="117"/>
      <c r="AH771" s="64"/>
      <c r="AI771" s="221" t="s">
        <v>184</v>
      </c>
      <c r="AJ771" s="222">
        <v>43147</v>
      </c>
      <c r="AK771" s="221" t="s">
        <v>2183</v>
      </c>
      <c r="AL771" s="117"/>
      <c r="AM771" s="222">
        <v>43147</v>
      </c>
    </row>
    <row r="772" spans="1:39" ht="12.75" hidden="1" customHeight="1">
      <c r="A772" s="147">
        <v>771</v>
      </c>
      <c r="B772" s="223">
        <v>217363</v>
      </c>
      <c r="C772" s="117" t="s">
        <v>1130</v>
      </c>
      <c r="D772" s="57">
        <v>43136</v>
      </c>
      <c r="E772" s="160" t="s">
        <v>1931</v>
      </c>
      <c r="F772" s="222">
        <v>43145</v>
      </c>
      <c r="G772" s="221">
        <f t="shared" si="39"/>
        <v>9</v>
      </c>
      <c r="H772" s="146" t="s">
        <v>133</v>
      </c>
      <c r="I772" s="117"/>
      <c r="J772" s="146" t="s">
        <v>614</v>
      </c>
      <c r="K772" s="94"/>
      <c r="L772" s="146"/>
      <c r="M772" s="117"/>
      <c r="N772" s="117"/>
      <c r="O772" s="227">
        <f t="shared" si="41"/>
        <v>0</v>
      </c>
      <c r="P772" s="119"/>
      <c r="Q772" s="119"/>
      <c r="R772" s="221" t="s">
        <v>134</v>
      </c>
      <c r="S772" s="225" t="s">
        <v>465</v>
      </c>
      <c r="T772" s="221" t="s">
        <v>114</v>
      </c>
      <c r="U772" s="221" t="s">
        <v>1935</v>
      </c>
      <c r="V772" s="117" t="s">
        <v>187</v>
      </c>
      <c r="W772" s="117"/>
      <c r="X772" s="117"/>
      <c r="Y772" s="117"/>
      <c r="Z772" s="117" t="s">
        <v>147</v>
      </c>
      <c r="AA772" s="117"/>
      <c r="AB772" s="117"/>
      <c r="AC772" s="63">
        <f t="shared" si="38"/>
        <v>0</v>
      </c>
      <c r="AD772" s="117"/>
      <c r="AE772" s="221" t="s">
        <v>217</v>
      </c>
      <c r="AF772" s="117" t="s">
        <v>225</v>
      </c>
      <c r="AG772" s="117"/>
      <c r="AH772" s="64"/>
      <c r="AI772" s="117"/>
      <c r="AJ772" s="117"/>
      <c r="AK772" s="221"/>
      <c r="AL772" s="117"/>
      <c r="AM772" s="117"/>
    </row>
    <row r="773" spans="1:39" ht="12.75" hidden="1" customHeight="1">
      <c r="A773" s="147">
        <v>772</v>
      </c>
      <c r="B773" s="223">
        <v>217878</v>
      </c>
      <c r="C773" s="117" t="s">
        <v>1130</v>
      </c>
      <c r="D773" s="57">
        <v>43138</v>
      </c>
      <c r="E773" s="160" t="s">
        <v>1931</v>
      </c>
      <c r="F773" s="222">
        <v>43148</v>
      </c>
      <c r="G773" s="221">
        <f t="shared" si="39"/>
        <v>10</v>
      </c>
      <c r="H773" s="146" t="s">
        <v>133</v>
      </c>
      <c r="I773" s="117"/>
      <c r="J773" s="146" t="s">
        <v>614</v>
      </c>
      <c r="K773" s="94">
        <v>1838</v>
      </c>
      <c r="L773" s="146"/>
      <c r="M773" s="117">
        <v>270</v>
      </c>
      <c r="N773" s="117">
        <v>250</v>
      </c>
      <c r="O773" s="227">
        <f t="shared" si="41"/>
        <v>1457.72</v>
      </c>
      <c r="P773" s="119"/>
      <c r="Q773" s="119"/>
      <c r="R773" s="221" t="s">
        <v>122</v>
      </c>
      <c r="S773" s="225" t="s">
        <v>469</v>
      </c>
      <c r="T773" s="221" t="s">
        <v>114</v>
      </c>
      <c r="U773" s="221" t="s">
        <v>1940</v>
      </c>
      <c r="V773" s="222" t="s">
        <v>169</v>
      </c>
      <c r="W773" s="117"/>
      <c r="X773" s="117"/>
      <c r="Y773" s="117" t="s">
        <v>316</v>
      </c>
      <c r="Z773" s="117" t="s">
        <v>170</v>
      </c>
      <c r="AA773" s="222">
        <v>43139</v>
      </c>
      <c r="AB773" s="117" t="s">
        <v>140</v>
      </c>
      <c r="AC773" s="63">
        <f t="shared" si="38"/>
        <v>1</v>
      </c>
      <c r="AD773" s="221" t="s">
        <v>217</v>
      </c>
      <c r="AE773" s="117" t="s">
        <v>218</v>
      </c>
      <c r="AF773" s="117"/>
      <c r="AG773" s="117"/>
      <c r="AH773" s="64"/>
      <c r="AI773" s="221" t="s">
        <v>184</v>
      </c>
      <c r="AJ773" s="222">
        <v>43147</v>
      </c>
      <c r="AK773" s="221" t="s">
        <v>2184</v>
      </c>
      <c r="AL773" s="117"/>
      <c r="AM773" s="222">
        <v>43147</v>
      </c>
    </row>
    <row r="774" spans="1:39" ht="12.75" hidden="1" customHeight="1">
      <c r="A774" s="147">
        <v>773</v>
      </c>
      <c r="B774" s="223">
        <v>217999</v>
      </c>
      <c r="C774" s="117" t="s">
        <v>1130</v>
      </c>
      <c r="D774" s="57">
        <v>43138</v>
      </c>
      <c r="E774" s="160" t="s">
        <v>1931</v>
      </c>
      <c r="F774" s="222">
        <v>43146</v>
      </c>
      <c r="G774" s="221">
        <f t="shared" si="39"/>
        <v>8</v>
      </c>
      <c r="H774" s="146" t="s">
        <v>133</v>
      </c>
      <c r="I774" s="117"/>
      <c r="J774" s="146" t="s">
        <v>614</v>
      </c>
      <c r="K774" s="94">
        <v>1799</v>
      </c>
      <c r="L774" s="146"/>
      <c r="M774" s="117">
        <v>160</v>
      </c>
      <c r="N774" s="117">
        <v>80</v>
      </c>
      <c r="O774" s="227">
        <f t="shared" si="41"/>
        <v>1531.06</v>
      </c>
      <c r="P774" s="119"/>
      <c r="Q774" s="119"/>
      <c r="R774" s="221" t="s">
        <v>134</v>
      </c>
      <c r="S774" s="225" t="s">
        <v>465</v>
      </c>
      <c r="T774" s="117" t="s">
        <v>861</v>
      </c>
      <c r="U774" s="221" t="s">
        <v>863</v>
      </c>
      <c r="V774" s="117" t="s">
        <v>429</v>
      </c>
      <c r="W774" s="117"/>
      <c r="X774" s="117"/>
      <c r="Y774" s="117" t="s">
        <v>2138</v>
      </c>
      <c r="Z774" s="117" t="s">
        <v>1228</v>
      </c>
      <c r="AA774" s="222">
        <v>43144</v>
      </c>
      <c r="AB774" s="117" t="s">
        <v>140</v>
      </c>
      <c r="AC774" s="63">
        <f t="shared" si="38"/>
        <v>1</v>
      </c>
      <c r="AD774" s="221" t="s">
        <v>217</v>
      </c>
      <c r="AE774" s="117" t="s">
        <v>218</v>
      </c>
      <c r="AF774" s="117"/>
      <c r="AG774" s="117"/>
      <c r="AH774" s="64"/>
      <c r="AI774" s="221" t="s">
        <v>184</v>
      </c>
      <c r="AJ774" s="222">
        <v>43147</v>
      </c>
      <c r="AK774" s="221" t="s">
        <v>2185</v>
      </c>
      <c r="AL774" s="117"/>
      <c r="AM774" s="222">
        <v>43147</v>
      </c>
    </row>
    <row r="775" spans="1:39" ht="12.75" hidden="1" customHeight="1">
      <c r="A775" s="147">
        <v>774</v>
      </c>
      <c r="B775" s="223">
        <v>216820</v>
      </c>
      <c r="C775" s="117" t="s">
        <v>1628</v>
      </c>
      <c r="D775" s="57">
        <v>43136</v>
      </c>
      <c r="E775" s="160" t="s">
        <v>1931</v>
      </c>
      <c r="F775" s="222">
        <v>43140</v>
      </c>
      <c r="G775" s="221">
        <f t="shared" si="39"/>
        <v>4</v>
      </c>
      <c r="H775" s="221" t="s">
        <v>133</v>
      </c>
      <c r="I775" s="117"/>
      <c r="J775" s="146" t="s">
        <v>614</v>
      </c>
      <c r="K775" s="94">
        <v>1446</v>
      </c>
      <c r="L775" s="94">
        <v>1446</v>
      </c>
      <c r="M775" s="117"/>
      <c r="N775" s="117"/>
      <c r="O775" s="227">
        <f t="shared" si="41"/>
        <v>0</v>
      </c>
      <c r="P775" s="119"/>
      <c r="Q775" s="119"/>
      <c r="R775" s="117" t="s">
        <v>787</v>
      </c>
      <c r="S775" s="225" t="s">
        <v>466</v>
      </c>
      <c r="T775" s="117" t="s">
        <v>313</v>
      </c>
      <c r="U775" s="221" t="s">
        <v>1943</v>
      </c>
      <c r="V775" s="117" t="s">
        <v>222</v>
      </c>
      <c r="W775" s="117"/>
      <c r="X775" s="117"/>
      <c r="Y775" s="117"/>
      <c r="Z775" s="117" t="s">
        <v>489</v>
      </c>
      <c r="AA775" s="117"/>
      <c r="AB775" s="117"/>
      <c r="AC775" s="226">
        <f t="shared" si="38"/>
        <v>0</v>
      </c>
      <c r="AD775" s="117" t="s">
        <v>217</v>
      </c>
      <c r="AE775" s="221" t="s">
        <v>217</v>
      </c>
      <c r="AF775" s="117" t="s">
        <v>225</v>
      </c>
      <c r="AG775" s="117"/>
      <c r="AH775" s="64"/>
      <c r="AI775" s="117"/>
      <c r="AJ775" s="117"/>
      <c r="AK775" s="221"/>
      <c r="AL775" s="117"/>
      <c r="AM775" s="117"/>
    </row>
    <row r="776" spans="1:39" ht="12.75" hidden="1" customHeight="1">
      <c r="A776" s="147">
        <v>775</v>
      </c>
      <c r="B776" s="60">
        <v>217626</v>
      </c>
      <c r="C776" s="117" t="s">
        <v>1628</v>
      </c>
      <c r="D776" s="57">
        <v>43143</v>
      </c>
      <c r="E776" s="160" t="s">
        <v>1931</v>
      </c>
      <c r="F776" s="222">
        <v>43153</v>
      </c>
      <c r="G776" s="221">
        <f t="shared" si="39"/>
        <v>10</v>
      </c>
      <c r="H776" s="146" t="s">
        <v>133</v>
      </c>
      <c r="I776" s="117"/>
      <c r="J776" s="146" t="s">
        <v>614</v>
      </c>
      <c r="K776" s="94">
        <v>1549</v>
      </c>
      <c r="L776" s="146"/>
      <c r="M776" s="117">
        <v>205</v>
      </c>
      <c r="N776" s="117">
        <v>95</v>
      </c>
      <c r="O776" s="227">
        <f t="shared" si="41"/>
        <v>1251.06</v>
      </c>
      <c r="P776" s="119"/>
      <c r="Q776" s="119"/>
      <c r="R776" s="221" t="s">
        <v>143</v>
      </c>
      <c r="S776" s="225" t="s">
        <v>465</v>
      </c>
      <c r="T776" s="221" t="s">
        <v>88</v>
      </c>
      <c r="U776" s="221" t="s">
        <v>334</v>
      </c>
      <c r="V776" s="221" t="s">
        <v>432</v>
      </c>
      <c r="W776" s="117"/>
      <c r="X776" s="117"/>
      <c r="Y776" s="117" t="s">
        <v>316</v>
      </c>
      <c r="Z776" s="117" t="s">
        <v>203</v>
      </c>
      <c r="AA776" s="222">
        <v>43143</v>
      </c>
      <c r="AB776" s="117" t="s">
        <v>140</v>
      </c>
      <c r="AC776" s="63">
        <f t="shared" si="38"/>
        <v>1</v>
      </c>
      <c r="AD776" s="221" t="s">
        <v>217</v>
      </c>
      <c r="AE776" s="117" t="s">
        <v>218</v>
      </c>
      <c r="AF776" s="117"/>
      <c r="AG776" s="117"/>
      <c r="AH776" s="64"/>
      <c r="AI776" s="117"/>
      <c r="AJ776" s="117"/>
      <c r="AK776" s="221"/>
      <c r="AL776" s="117"/>
      <c r="AM776" s="117"/>
    </row>
    <row r="777" spans="1:39" ht="12.75" hidden="1" customHeight="1">
      <c r="A777" s="147">
        <v>776</v>
      </c>
      <c r="B777" s="60">
        <v>218100</v>
      </c>
      <c r="C777" s="221" t="s">
        <v>1628</v>
      </c>
      <c r="D777" s="57">
        <v>43144</v>
      </c>
      <c r="E777" s="160" t="s">
        <v>1931</v>
      </c>
      <c r="F777" s="222">
        <v>43157</v>
      </c>
      <c r="G777" s="221">
        <f t="shared" si="39"/>
        <v>13</v>
      </c>
      <c r="H777" s="146" t="s">
        <v>133</v>
      </c>
      <c r="I777" s="117"/>
      <c r="J777" s="146" t="s">
        <v>614</v>
      </c>
      <c r="K777" s="94">
        <v>1699</v>
      </c>
      <c r="L777" s="146"/>
      <c r="M777" s="117">
        <v>310</v>
      </c>
      <c r="N777" s="117">
        <v>493</v>
      </c>
      <c r="O777" s="227">
        <f t="shared" si="41"/>
        <v>1104.06</v>
      </c>
      <c r="P777" s="119"/>
      <c r="Q777" s="119"/>
      <c r="R777" s="221" t="s">
        <v>122</v>
      </c>
      <c r="S777" s="225" t="s">
        <v>469</v>
      </c>
      <c r="T777" s="117" t="s">
        <v>164</v>
      </c>
      <c r="U777" s="221" t="s">
        <v>214</v>
      </c>
      <c r="V777" s="117" t="s">
        <v>90</v>
      </c>
      <c r="W777" s="117"/>
      <c r="X777" s="117"/>
      <c r="Y777" s="221" t="s">
        <v>316</v>
      </c>
      <c r="Z777" s="117" t="s">
        <v>202</v>
      </c>
      <c r="AA777" s="222">
        <v>43145</v>
      </c>
      <c r="AB777" s="117" t="s">
        <v>872</v>
      </c>
      <c r="AC777" s="63">
        <f t="shared" si="38"/>
        <v>1</v>
      </c>
      <c r="AD777" s="221" t="s">
        <v>217</v>
      </c>
      <c r="AE777" s="117" t="s">
        <v>218</v>
      </c>
      <c r="AF777" s="117"/>
      <c r="AG777" s="117"/>
      <c r="AH777" s="64"/>
      <c r="AI777" s="221" t="s">
        <v>184</v>
      </c>
      <c r="AJ777" s="222">
        <v>43147</v>
      </c>
      <c r="AK777" s="221" t="s">
        <v>2186</v>
      </c>
      <c r="AL777" s="117"/>
      <c r="AM777" s="222">
        <v>43147</v>
      </c>
    </row>
    <row r="778" spans="1:39" ht="12.75" hidden="1" customHeight="1">
      <c r="A778" s="147">
        <v>777</v>
      </c>
      <c r="B778" s="223">
        <v>217797</v>
      </c>
      <c r="C778" s="117" t="s">
        <v>1130</v>
      </c>
      <c r="D778" s="57">
        <v>43144</v>
      </c>
      <c r="E778" s="160" t="s">
        <v>1931</v>
      </c>
      <c r="F778" s="222">
        <v>43162</v>
      </c>
      <c r="G778" s="221">
        <f t="shared" si="39"/>
        <v>18</v>
      </c>
      <c r="H778" s="146" t="s">
        <v>133</v>
      </c>
      <c r="I778" s="117"/>
      <c r="J778" s="146" t="s">
        <v>614</v>
      </c>
      <c r="K778" s="94">
        <v>1199</v>
      </c>
      <c r="L778" s="146"/>
      <c r="M778" s="117">
        <v>355</v>
      </c>
      <c r="N778" s="117">
        <v>80</v>
      </c>
      <c r="O778" s="227">
        <f t="shared" si="41"/>
        <v>772.06</v>
      </c>
      <c r="P778" s="119"/>
      <c r="Q778" s="119"/>
      <c r="R778" s="221" t="s">
        <v>143</v>
      </c>
      <c r="S778" s="225" t="s">
        <v>465</v>
      </c>
      <c r="T778" s="221" t="s">
        <v>88</v>
      </c>
      <c r="U778" s="221" t="s">
        <v>2139</v>
      </c>
      <c r="V778" s="117" t="s">
        <v>90</v>
      </c>
      <c r="W778" s="117"/>
      <c r="X778" s="117"/>
      <c r="Y778" s="117" t="s">
        <v>3</v>
      </c>
      <c r="Z778" s="117" t="s">
        <v>189</v>
      </c>
      <c r="AA778" s="222">
        <v>43146</v>
      </c>
      <c r="AB778" s="117" t="s">
        <v>195</v>
      </c>
      <c r="AC778" s="63">
        <f t="shared" si="38"/>
        <v>1</v>
      </c>
      <c r="AD778" s="221" t="s">
        <v>217</v>
      </c>
      <c r="AE778" s="117" t="s">
        <v>218</v>
      </c>
      <c r="AF778" s="117"/>
      <c r="AG778" s="117"/>
      <c r="AH778" s="64"/>
      <c r="AI778" s="117"/>
      <c r="AJ778" s="117"/>
      <c r="AK778" s="117"/>
      <c r="AL778" s="117"/>
      <c r="AM778" s="117"/>
    </row>
    <row r="779" spans="1:39" ht="12.75" hidden="1" customHeight="1">
      <c r="A779" s="147">
        <v>778</v>
      </c>
      <c r="B779" s="223">
        <v>217715</v>
      </c>
      <c r="C779" s="117" t="s">
        <v>1130</v>
      </c>
      <c r="D779" s="57">
        <v>43144</v>
      </c>
      <c r="E779" s="160" t="s">
        <v>1931</v>
      </c>
      <c r="F779" s="222">
        <v>43151</v>
      </c>
      <c r="G779" s="221">
        <f t="shared" si="39"/>
        <v>7</v>
      </c>
      <c r="H779" s="146" t="s">
        <v>133</v>
      </c>
      <c r="I779" s="117"/>
      <c r="J779" s="146" t="s">
        <v>614</v>
      </c>
      <c r="K779" s="94"/>
      <c r="L779" s="146"/>
      <c r="M779" s="117"/>
      <c r="N779" s="117"/>
      <c r="O779" s="227">
        <f t="shared" si="41"/>
        <v>0</v>
      </c>
      <c r="P779" s="119"/>
      <c r="Q779" s="119"/>
      <c r="R779" s="117" t="s">
        <v>300</v>
      </c>
      <c r="S779" s="225" t="s">
        <v>469</v>
      </c>
      <c r="T779" s="117" t="s">
        <v>164</v>
      </c>
      <c r="U779" s="221" t="s">
        <v>2140</v>
      </c>
      <c r="V779" s="117" t="s">
        <v>1188</v>
      </c>
      <c r="W779" s="117"/>
      <c r="X779" s="117"/>
      <c r="Y779" s="117"/>
      <c r="Z779" s="117" t="s">
        <v>253</v>
      </c>
      <c r="AA779" s="117"/>
      <c r="AB779" s="117"/>
      <c r="AC779" s="63">
        <f t="shared" si="38"/>
        <v>0</v>
      </c>
      <c r="AD779" s="117"/>
      <c r="AE779" s="117"/>
      <c r="AF779" s="117"/>
      <c r="AG779" s="117"/>
      <c r="AH779" s="64"/>
      <c r="AI779" s="117"/>
      <c r="AJ779" s="117"/>
      <c r="AK779" s="117"/>
      <c r="AL779" s="117"/>
      <c r="AM779" s="117"/>
    </row>
    <row r="780" spans="1:39" ht="12.75" hidden="1" customHeight="1">
      <c r="A780" s="147">
        <v>779</v>
      </c>
      <c r="B780" s="223">
        <v>217605</v>
      </c>
      <c r="C780" s="117" t="s">
        <v>128</v>
      </c>
      <c r="D780" s="57">
        <v>43146</v>
      </c>
      <c r="E780" s="160" t="s">
        <v>1931</v>
      </c>
      <c r="F780" s="222">
        <v>43150</v>
      </c>
      <c r="G780" s="221">
        <f t="shared" si="39"/>
        <v>4</v>
      </c>
      <c r="H780" s="146" t="s">
        <v>133</v>
      </c>
      <c r="I780" s="117"/>
      <c r="J780" s="146" t="s">
        <v>614</v>
      </c>
      <c r="K780" s="94">
        <v>1299</v>
      </c>
      <c r="L780" s="146"/>
      <c r="M780" s="117">
        <v>438</v>
      </c>
      <c r="N780" s="117">
        <v>200</v>
      </c>
      <c r="O780" s="227">
        <f t="shared" si="41"/>
        <v>783.06</v>
      </c>
      <c r="P780" s="119"/>
      <c r="Q780" s="119"/>
      <c r="R780" s="221" t="s">
        <v>134</v>
      </c>
      <c r="S780" s="225" t="s">
        <v>465</v>
      </c>
      <c r="T780" s="221" t="s">
        <v>164</v>
      </c>
      <c r="U780" s="221" t="s">
        <v>2146</v>
      </c>
      <c r="V780" s="221" t="s">
        <v>90</v>
      </c>
      <c r="W780" s="117"/>
      <c r="X780" s="117"/>
      <c r="Y780" s="221" t="s">
        <v>1942</v>
      </c>
      <c r="Z780" s="117" t="s">
        <v>510</v>
      </c>
      <c r="AA780" s="222">
        <v>43146</v>
      </c>
      <c r="AB780" s="117" t="s">
        <v>872</v>
      </c>
      <c r="AC780" s="63">
        <f t="shared" si="38"/>
        <v>1</v>
      </c>
      <c r="AD780" s="221" t="s">
        <v>217</v>
      </c>
      <c r="AE780" s="117" t="s">
        <v>218</v>
      </c>
      <c r="AF780" s="117"/>
      <c r="AG780" s="117"/>
      <c r="AH780" s="64"/>
      <c r="AI780" s="117"/>
      <c r="AJ780" s="117"/>
      <c r="AK780" s="117"/>
      <c r="AL780" s="117"/>
      <c r="AM780" s="117"/>
    </row>
    <row r="781" spans="1:39" ht="12.75" hidden="1" customHeight="1">
      <c r="A781" s="147">
        <v>780</v>
      </c>
      <c r="B781" s="223">
        <v>218040</v>
      </c>
      <c r="C781" s="117" t="s">
        <v>1628</v>
      </c>
      <c r="D781" s="57">
        <v>43145</v>
      </c>
      <c r="E781" s="160" t="s">
        <v>1931</v>
      </c>
      <c r="F781" s="222">
        <v>43156</v>
      </c>
      <c r="G781" s="221">
        <f t="shared" si="39"/>
        <v>11</v>
      </c>
      <c r="H781" s="146" t="s">
        <v>133</v>
      </c>
      <c r="I781" s="117"/>
      <c r="J781" s="146" t="s">
        <v>614</v>
      </c>
      <c r="K781" s="94">
        <v>3280</v>
      </c>
      <c r="L781" s="146"/>
      <c r="M781" s="117">
        <v>315</v>
      </c>
      <c r="N781" s="117">
        <v>120</v>
      </c>
      <c r="O781" s="227">
        <f t="shared" si="41"/>
        <v>2768.2</v>
      </c>
      <c r="P781" s="119"/>
      <c r="Q781" s="119"/>
      <c r="R781" s="221" t="s">
        <v>134</v>
      </c>
      <c r="S781" s="225" t="s">
        <v>465</v>
      </c>
      <c r="T781" s="117" t="s">
        <v>88</v>
      </c>
      <c r="U781" s="221" t="s">
        <v>1460</v>
      </c>
      <c r="V781" s="117" t="s">
        <v>429</v>
      </c>
      <c r="W781" s="117"/>
      <c r="X781" s="117"/>
      <c r="Y781" s="117" t="s">
        <v>316</v>
      </c>
      <c r="Z781" s="117" t="s">
        <v>434</v>
      </c>
      <c r="AA781" s="222">
        <v>43146</v>
      </c>
      <c r="AB781" s="117" t="s">
        <v>195</v>
      </c>
      <c r="AC781" s="63">
        <f t="shared" si="38"/>
        <v>1</v>
      </c>
      <c r="AD781" s="221" t="s">
        <v>217</v>
      </c>
      <c r="AE781" s="117" t="s">
        <v>218</v>
      </c>
      <c r="AF781" s="117"/>
      <c r="AG781" s="117"/>
      <c r="AH781" s="64"/>
      <c r="AI781" s="117"/>
      <c r="AJ781" s="117"/>
      <c r="AK781" s="117"/>
      <c r="AL781" s="117"/>
      <c r="AM781" s="117"/>
    </row>
    <row r="782" spans="1:39" ht="12.75" hidden="1" customHeight="1">
      <c r="A782" s="147">
        <v>781</v>
      </c>
      <c r="B782" s="223">
        <v>218203</v>
      </c>
      <c r="C782" s="117" t="s">
        <v>1628</v>
      </c>
      <c r="D782" s="57">
        <v>43146</v>
      </c>
      <c r="E782" s="160" t="s">
        <v>1931</v>
      </c>
      <c r="F782" s="222">
        <v>43159</v>
      </c>
      <c r="G782" s="221">
        <f t="shared" si="39"/>
        <v>13</v>
      </c>
      <c r="H782" s="146" t="s">
        <v>363</v>
      </c>
      <c r="I782" s="117"/>
      <c r="J782" s="146" t="s">
        <v>614</v>
      </c>
      <c r="K782" s="94"/>
      <c r="L782" s="146"/>
      <c r="M782" s="117"/>
      <c r="N782" s="117"/>
      <c r="O782" s="227">
        <f t="shared" si="41"/>
        <v>0</v>
      </c>
      <c r="P782" s="119"/>
      <c r="Q782" s="119"/>
      <c r="R782" s="221" t="s">
        <v>134</v>
      </c>
      <c r="S782" s="225" t="s">
        <v>465</v>
      </c>
      <c r="T782" s="221" t="s">
        <v>164</v>
      </c>
      <c r="U782" s="221" t="s">
        <v>479</v>
      </c>
      <c r="V782" s="117" t="s">
        <v>429</v>
      </c>
      <c r="W782" s="117"/>
      <c r="X782" s="117"/>
      <c r="Y782" s="117"/>
      <c r="Z782" s="117" t="s">
        <v>202</v>
      </c>
      <c r="AA782" s="117"/>
      <c r="AB782" s="117"/>
      <c r="AC782" s="63">
        <f t="shared" si="38"/>
        <v>0</v>
      </c>
      <c r="AD782" s="117"/>
      <c r="AE782" s="117"/>
      <c r="AF782" s="117"/>
      <c r="AG782" s="117"/>
      <c r="AH782" s="64"/>
      <c r="AI782" s="117"/>
      <c r="AJ782" s="117"/>
      <c r="AK782" s="117"/>
      <c r="AL782" s="117"/>
      <c r="AM782" s="117"/>
    </row>
    <row r="783" spans="1:39" ht="12.75" hidden="1" customHeight="1">
      <c r="A783" s="147">
        <v>782</v>
      </c>
      <c r="B783" s="223">
        <v>217563</v>
      </c>
      <c r="C783" s="221" t="s">
        <v>1130</v>
      </c>
      <c r="D783" s="57">
        <v>43144</v>
      </c>
      <c r="E783" s="160" t="s">
        <v>1931</v>
      </c>
      <c r="F783" s="222">
        <v>43154</v>
      </c>
      <c r="G783" s="221">
        <f t="shared" si="39"/>
        <v>10</v>
      </c>
      <c r="H783" s="146" t="s">
        <v>133</v>
      </c>
      <c r="I783" s="117"/>
      <c r="J783" s="146" t="s">
        <v>614</v>
      </c>
      <c r="K783" s="94"/>
      <c r="L783" s="146"/>
      <c r="M783" s="117"/>
      <c r="N783" s="117"/>
      <c r="O783" s="227">
        <f t="shared" si="41"/>
        <v>0</v>
      </c>
      <c r="P783" s="119"/>
      <c r="Q783" s="119"/>
      <c r="R783" s="221" t="s">
        <v>122</v>
      </c>
      <c r="S783" s="225" t="s">
        <v>469</v>
      </c>
      <c r="T783" s="117" t="s">
        <v>376</v>
      </c>
      <c r="U783" s="221" t="s">
        <v>1220</v>
      </c>
      <c r="V783" s="117" t="s">
        <v>222</v>
      </c>
      <c r="W783" s="117"/>
      <c r="X783" s="117"/>
      <c r="Y783" s="117"/>
      <c r="Z783" s="117" t="s">
        <v>170</v>
      </c>
      <c r="AA783" s="117"/>
      <c r="AB783" s="117"/>
      <c r="AC783" s="63">
        <f t="shared" si="38"/>
        <v>0</v>
      </c>
      <c r="AD783" s="117"/>
      <c r="AE783" s="221" t="s">
        <v>217</v>
      </c>
      <c r="AF783" s="221" t="s">
        <v>225</v>
      </c>
      <c r="AG783" s="117"/>
      <c r="AH783" s="64"/>
      <c r="AI783" s="117"/>
      <c r="AJ783" s="117"/>
      <c r="AK783" s="117"/>
      <c r="AL783" s="117"/>
      <c r="AM783" s="117"/>
    </row>
    <row r="784" spans="1:39" ht="12.75" hidden="1" customHeight="1">
      <c r="A784" s="147">
        <v>783</v>
      </c>
      <c r="B784" s="223">
        <v>218318</v>
      </c>
      <c r="C784" s="221" t="s">
        <v>1130</v>
      </c>
      <c r="D784" s="57">
        <v>43144</v>
      </c>
      <c r="E784" s="160" t="s">
        <v>1931</v>
      </c>
      <c r="F784" s="222">
        <v>43156</v>
      </c>
      <c r="G784" s="221">
        <f t="shared" si="39"/>
        <v>12</v>
      </c>
      <c r="H784" s="221" t="s">
        <v>133</v>
      </c>
      <c r="I784" s="117"/>
      <c r="J784" s="146" t="s">
        <v>614</v>
      </c>
      <c r="K784" s="94"/>
      <c r="L784" s="146"/>
      <c r="M784" s="117"/>
      <c r="N784" s="117"/>
      <c r="O784" s="227">
        <f t="shared" si="41"/>
        <v>0</v>
      </c>
      <c r="P784" s="119"/>
      <c r="Q784" s="119"/>
      <c r="R784" s="221" t="s">
        <v>122</v>
      </c>
      <c r="S784" s="225" t="s">
        <v>469</v>
      </c>
      <c r="T784" s="221" t="s">
        <v>114</v>
      </c>
      <c r="U784" s="221" t="s">
        <v>2147</v>
      </c>
      <c r="V784" s="117" t="s">
        <v>222</v>
      </c>
      <c r="W784" s="117"/>
      <c r="X784" s="117"/>
      <c r="Y784" s="117"/>
      <c r="Z784" s="117" t="s">
        <v>170</v>
      </c>
      <c r="AA784" s="117"/>
      <c r="AB784" s="117"/>
      <c r="AC784" s="63">
        <f t="shared" si="38"/>
        <v>0</v>
      </c>
      <c r="AD784" s="117"/>
      <c r="AE784" s="221" t="s">
        <v>217</v>
      </c>
      <c r="AF784" s="221" t="s">
        <v>225</v>
      </c>
      <c r="AG784" s="117"/>
      <c r="AH784" s="64"/>
      <c r="AI784" s="117"/>
      <c r="AJ784" s="117"/>
      <c r="AK784" s="117"/>
      <c r="AL784" s="117"/>
      <c r="AM784" s="117"/>
    </row>
    <row r="785" spans="1:39" ht="12.75" hidden="1" customHeight="1">
      <c r="A785" s="147">
        <v>784</v>
      </c>
      <c r="B785" s="223">
        <v>218211</v>
      </c>
      <c r="C785" s="221" t="s">
        <v>1130</v>
      </c>
      <c r="D785" s="57">
        <v>43144</v>
      </c>
      <c r="E785" s="160" t="s">
        <v>1931</v>
      </c>
      <c r="F785" s="222">
        <v>43154</v>
      </c>
      <c r="G785" s="221">
        <f t="shared" si="39"/>
        <v>10</v>
      </c>
      <c r="H785" s="221" t="s">
        <v>133</v>
      </c>
      <c r="I785" s="117"/>
      <c r="J785" s="146" t="s">
        <v>614</v>
      </c>
      <c r="K785" s="94"/>
      <c r="L785" s="146"/>
      <c r="M785" s="117"/>
      <c r="N785" s="117"/>
      <c r="O785" s="227">
        <f t="shared" si="41"/>
        <v>0</v>
      </c>
      <c r="P785" s="119"/>
      <c r="Q785" s="119"/>
      <c r="R785" s="221" t="s">
        <v>122</v>
      </c>
      <c r="S785" s="225" t="s">
        <v>469</v>
      </c>
      <c r="T785" s="117" t="s">
        <v>1541</v>
      </c>
      <c r="U785" s="221" t="s">
        <v>1542</v>
      </c>
      <c r="V785" s="117" t="s">
        <v>222</v>
      </c>
      <c r="W785" s="117"/>
      <c r="X785" s="117"/>
      <c r="Y785" s="117"/>
      <c r="Z785" s="117" t="s">
        <v>1118</v>
      </c>
      <c r="AA785" s="117"/>
      <c r="AB785" s="117"/>
      <c r="AC785" s="63">
        <f t="shared" si="38"/>
        <v>0</v>
      </c>
      <c r="AD785" s="117"/>
      <c r="AE785" s="221" t="s">
        <v>217</v>
      </c>
      <c r="AF785" s="221" t="s">
        <v>225</v>
      </c>
      <c r="AG785" s="117"/>
      <c r="AH785" s="64"/>
      <c r="AI785" s="117"/>
      <c r="AJ785" s="117"/>
      <c r="AK785" s="117"/>
      <c r="AL785" s="117"/>
      <c r="AM785" s="117"/>
    </row>
    <row r="786" spans="1:39" ht="12.75" hidden="1" customHeight="1">
      <c r="A786" s="147">
        <v>785</v>
      </c>
      <c r="B786" s="223">
        <v>218222</v>
      </c>
      <c r="C786" s="117" t="s">
        <v>128</v>
      </c>
      <c r="D786" s="57">
        <v>43150</v>
      </c>
      <c r="E786" s="160" t="s">
        <v>1931</v>
      </c>
      <c r="F786" s="222">
        <v>43188</v>
      </c>
      <c r="G786" s="221">
        <f t="shared" si="39"/>
        <v>38</v>
      </c>
      <c r="H786" s="146" t="s">
        <v>133</v>
      </c>
      <c r="I786" s="117"/>
      <c r="J786" s="146" t="s">
        <v>614</v>
      </c>
      <c r="K786" s="94">
        <v>2099</v>
      </c>
      <c r="L786" s="146"/>
      <c r="M786" s="117">
        <v>458</v>
      </c>
      <c r="N786" s="117">
        <v>115</v>
      </c>
      <c r="O786" s="227">
        <f t="shared" si="41"/>
        <v>1515.06</v>
      </c>
      <c r="P786" s="119"/>
      <c r="Q786" s="119"/>
      <c r="R786" s="221" t="s">
        <v>134</v>
      </c>
      <c r="S786" s="225" t="s">
        <v>465</v>
      </c>
      <c r="T786" s="221" t="s">
        <v>164</v>
      </c>
      <c r="U786" s="221" t="s">
        <v>2152</v>
      </c>
      <c r="V786" s="221" t="s">
        <v>90</v>
      </c>
      <c r="W786" s="117"/>
      <c r="X786" s="117"/>
      <c r="Y786" s="221" t="s">
        <v>1942</v>
      </c>
      <c r="Z786" s="117" t="s">
        <v>1097</v>
      </c>
      <c r="AA786" s="222">
        <v>43152</v>
      </c>
      <c r="AB786" s="117" t="s">
        <v>1102</v>
      </c>
      <c r="AC786" s="63">
        <f t="shared" si="38"/>
        <v>1</v>
      </c>
      <c r="AD786" s="221" t="s">
        <v>217</v>
      </c>
      <c r="AE786" s="117" t="s">
        <v>218</v>
      </c>
      <c r="AF786" s="117"/>
      <c r="AG786" s="117"/>
      <c r="AH786" s="64"/>
      <c r="AI786" s="117"/>
      <c r="AJ786" s="117"/>
      <c r="AK786" s="117"/>
      <c r="AL786" s="117"/>
      <c r="AM786" s="117"/>
    </row>
    <row r="787" spans="1:39" ht="12.75" hidden="1" customHeight="1">
      <c r="A787" s="147">
        <v>786</v>
      </c>
      <c r="B787" s="223">
        <v>218727</v>
      </c>
      <c r="C787" s="221" t="s">
        <v>1130</v>
      </c>
      <c r="D787" s="57">
        <v>43150</v>
      </c>
      <c r="E787" s="160" t="s">
        <v>1931</v>
      </c>
      <c r="F787" s="222">
        <v>43159</v>
      </c>
      <c r="G787" s="221">
        <f t="shared" si="39"/>
        <v>9</v>
      </c>
      <c r="H787" s="221" t="s">
        <v>133</v>
      </c>
      <c r="I787" s="117"/>
      <c r="J787" s="146" t="s">
        <v>614</v>
      </c>
      <c r="K787" s="94">
        <v>2840</v>
      </c>
      <c r="L787" s="146">
        <v>2840</v>
      </c>
      <c r="M787" s="117"/>
      <c r="N787" s="117"/>
      <c r="O787" s="227">
        <f t="shared" si="41"/>
        <v>0</v>
      </c>
      <c r="P787" s="119"/>
      <c r="Q787" s="119"/>
      <c r="R787" s="221" t="s">
        <v>134</v>
      </c>
      <c r="S787" s="225" t="s">
        <v>465</v>
      </c>
      <c r="T787" s="221" t="s">
        <v>88</v>
      </c>
      <c r="U787" s="221" t="s">
        <v>2153</v>
      </c>
      <c r="V787" s="117" t="s">
        <v>429</v>
      </c>
      <c r="W787" s="117"/>
      <c r="X787" s="117"/>
      <c r="Y787" s="117"/>
      <c r="Z787" s="117" t="s">
        <v>189</v>
      </c>
      <c r="AA787" s="117"/>
      <c r="AB787" s="117"/>
      <c r="AC787" s="63">
        <f t="shared" si="38"/>
        <v>0</v>
      </c>
      <c r="AD787" s="117"/>
      <c r="AE787" s="221" t="s">
        <v>217</v>
      </c>
      <c r="AF787" s="117" t="s">
        <v>225</v>
      </c>
      <c r="AG787" s="117"/>
      <c r="AH787" s="64"/>
      <c r="AI787" s="117"/>
      <c r="AJ787" s="117"/>
      <c r="AK787" s="117"/>
      <c r="AL787" s="117"/>
      <c r="AM787" s="117"/>
    </row>
    <row r="788" spans="1:39" ht="12.75" hidden="1" customHeight="1">
      <c r="A788" s="147">
        <v>787</v>
      </c>
      <c r="B788" s="223">
        <v>218724</v>
      </c>
      <c r="C788" s="221" t="s">
        <v>1130</v>
      </c>
      <c r="D788" s="57">
        <v>43150</v>
      </c>
      <c r="E788" s="160" t="s">
        <v>1931</v>
      </c>
      <c r="F788" s="222">
        <v>43159</v>
      </c>
      <c r="G788" s="221">
        <f t="shared" si="39"/>
        <v>9</v>
      </c>
      <c r="H788" s="221" t="s">
        <v>133</v>
      </c>
      <c r="I788" s="117"/>
      <c r="J788" s="146" t="s">
        <v>614</v>
      </c>
      <c r="K788" s="94">
        <v>799</v>
      </c>
      <c r="L788" s="146"/>
      <c r="M788" s="117">
        <v>170</v>
      </c>
      <c r="N788" s="117">
        <v>120</v>
      </c>
      <c r="O788" s="227">
        <f t="shared" si="41"/>
        <v>581.05999999999995</v>
      </c>
      <c r="P788" s="119"/>
      <c r="Q788" s="119"/>
      <c r="R788" s="221" t="s">
        <v>143</v>
      </c>
      <c r="S788" s="225" t="s">
        <v>465</v>
      </c>
      <c r="T788" s="221" t="s">
        <v>88</v>
      </c>
      <c r="U788" s="221" t="s">
        <v>548</v>
      </c>
      <c r="V788" s="117" t="s">
        <v>2154</v>
      </c>
      <c r="W788" s="117"/>
      <c r="X788" s="117"/>
      <c r="Y788" s="117" t="s">
        <v>316</v>
      </c>
      <c r="Z788" s="117" t="s">
        <v>189</v>
      </c>
      <c r="AA788" s="222">
        <v>43151</v>
      </c>
      <c r="AB788" s="117" t="s">
        <v>872</v>
      </c>
      <c r="AC788" s="63">
        <f t="shared" si="38"/>
        <v>1</v>
      </c>
      <c r="AD788" s="221" t="s">
        <v>217</v>
      </c>
      <c r="AE788" s="117" t="s">
        <v>218</v>
      </c>
      <c r="AF788" s="117"/>
      <c r="AG788" s="117"/>
      <c r="AH788" s="64"/>
      <c r="AI788" s="117"/>
      <c r="AJ788" s="117"/>
      <c r="AK788" s="117"/>
      <c r="AL788" s="117"/>
      <c r="AM788" s="117"/>
    </row>
    <row r="789" spans="1:39" ht="12.75" hidden="1" customHeight="1">
      <c r="A789" s="147">
        <v>788</v>
      </c>
      <c r="B789" s="223">
        <v>218842</v>
      </c>
      <c r="C789" s="117" t="s">
        <v>1130</v>
      </c>
      <c r="D789" s="57">
        <v>43150</v>
      </c>
      <c r="E789" s="160" t="s">
        <v>1931</v>
      </c>
      <c r="F789" s="222">
        <v>43166</v>
      </c>
      <c r="G789" s="221">
        <f t="shared" si="39"/>
        <v>16</v>
      </c>
      <c r="H789" s="146" t="s">
        <v>133</v>
      </c>
      <c r="I789" s="117"/>
      <c r="J789" s="146" t="s">
        <v>614</v>
      </c>
      <c r="K789" s="94">
        <v>15299</v>
      </c>
      <c r="L789" s="146">
        <v>15299</v>
      </c>
      <c r="M789" s="117"/>
      <c r="N789" s="117"/>
      <c r="O789" s="227">
        <f t="shared" si="41"/>
        <v>0</v>
      </c>
      <c r="P789" s="119"/>
      <c r="Q789" s="119"/>
      <c r="R789" s="221" t="s">
        <v>122</v>
      </c>
      <c r="S789" s="225" t="s">
        <v>469</v>
      </c>
      <c r="T789" s="117" t="s">
        <v>114</v>
      </c>
      <c r="U789" s="221" t="s">
        <v>2162</v>
      </c>
      <c r="V789" s="117" t="s">
        <v>222</v>
      </c>
      <c r="W789" s="117"/>
      <c r="X789" s="117"/>
      <c r="Y789" s="117"/>
      <c r="Z789" s="117" t="s">
        <v>170</v>
      </c>
      <c r="AA789" s="117"/>
      <c r="AB789" s="117"/>
      <c r="AC789" s="63">
        <f t="shared" si="38"/>
        <v>0</v>
      </c>
      <c r="AD789" s="117"/>
      <c r="AE789" s="221" t="s">
        <v>217</v>
      </c>
      <c r="AF789" s="117" t="s">
        <v>1021</v>
      </c>
      <c r="AG789" s="117"/>
      <c r="AH789" s="64"/>
      <c r="AI789" s="117"/>
      <c r="AJ789" s="117"/>
      <c r="AK789" s="117"/>
      <c r="AL789" s="117"/>
      <c r="AM789" s="117"/>
    </row>
    <row r="790" spans="1:39" ht="12.75" hidden="1" customHeight="1">
      <c r="A790" s="147">
        <v>789</v>
      </c>
      <c r="B790" s="223">
        <v>218683</v>
      </c>
      <c r="C790" s="117" t="s">
        <v>1130</v>
      </c>
      <c r="D790" s="57">
        <v>43151</v>
      </c>
      <c r="E790" s="160" t="s">
        <v>1931</v>
      </c>
      <c r="F790" s="222">
        <v>43162</v>
      </c>
      <c r="G790" s="221">
        <f t="shared" si="39"/>
        <v>11</v>
      </c>
      <c r="H790" s="146" t="s">
        <v>133</v>
      </c>
      <c r="I790" s="117"/>
      <c r="J790" s="146" t="s">
        <v>614</v>
      </c>
      <c r="K790" s="94">
        <v>2899</v>
      </c>
      <c r="L790" s="146">
        <v>2899</v>
      </c>
      <c r="M790" s="117"/>
      <c r="N790" s="117"/>
      <c r="O790" s="227">
        <f t="shared" si="41"/>
        <v>0</v>
      </c>
      <c r="P790" s="119"/>
      <c r="Q790" s="119"/>
      <c r="R790" s="221" t="s">
        <v>134</v>
      </c>
      <c r="S790" s="225" t="s">
        <v>465</v>
      </c>
      <c r="T790" s="117" t="s">
        <v>144</v>
      </c>
      <c r="U790" s="221" t="s">
        <v>2163</v>
      </c>
      <c r="V790" s="117" t="s">
        <v>429</v>
      </c>
      <c r="W790" s="117"/>
      <c r="X790" s="117"/>
      <c r="Y790" s="117"/>
      <c r="Z790" s="117" t="s">
        <v>137</v>
      </c>
      <c r="AA790" s="117"/>
      <c r="AB790" s="117"/>
      <c r="AC790" s="63">
        <f t="shared" si="38"/>
        <v>0</v>
      </c>
      <c r="AD790" s="117"/>
      <c r="AE790" s="221" t="s">
        <v>217</v>
      </c>
      <c r="AF790" s="117" t="s">
        <v>225</v>
      </c>
      <c r="AG790" s="117"/>
      <c r="AH790" s="64"/>
      <c r="AI790" s="117"/>
      <c r="AJ790" s="117"/>
      <c r="AK790" s="117"/>
      <c r="AL790" s="117"/>
      <c r="AM790" s="117"/>
    </row>
    <row r="791" spans="1:39" ht="12.75" hidden="1" customHeight="1">
      <c r="A791" s="147">
        <v>790</v>
      </c>
      <c r="B791" s="60">
        <v>218258</v>
      </c>
      <c r="C791" s="117" t="s">
        <v>1130</v>
      </c>
      <c r="D791" s="57">
        <v>43151</v>
      </c>
      <c r="E791" s="160" t="s">
        <v>1931</v>
      </c>
      <c r="F791" s="222">
        <v>43162</v>
      </c>
      <c r="G791" s="221">
        <f t="shared" si="39"/>
        <v>11</v>
      </c>
      <c r="H791" s="146" t="s">
        <v>133</v>
      </c>
      <c r="I791" s="117"/>
      <c r="J791" s="146" t="s">
        <v>614</v>
      </c>
      <c r="K791" s="94">
        <v>1699</v>
      </c>
      <c r="L791" s="146"/>
      <c r="M791" s="117"/>
      <c r="N791" s="117"/>
      <c r="O791" s="227">
        <f t="shared" si="41"/>
        <v>0</v>
      </c>
      <c r="P791" s="119"/>
      <c r="Q791" s="119"/>
      <c r="R791" s="117" t="s">
        <v>220</v>
      </c>
      <c r="S791" s="225" t="s">
        <v>469</v>
      </c>
      <c r="T791" s="117" t="s">
        <v>1106</v>
      </c>
      <c r="U791" s="221" t="s">
        <v>2169</v>
      </c>
      <c r="V791" s="117" t="s">
        <v>2170</v>
      </c>
      <c r="W791" s="117"/>
      <c r="X791" s="117"/>
      <c r="Y791" s="117"/>
      <c r="Z791" s="117" t="s">
        <v>379</v>
      </c>
      <c r="AA791" s="117"/>
      <c r="AB791" s="117"/>
      <c r="AC791" s="63">
        <f t="shared" si="38"/>
        <v>0</v>
      </c>
      <c r="AD791" s="117"/>
      <c r="AE791" s="117" t="s">
        <v>217</v>
      </c>
      <c r="AF791" s="117" t="s">
        <v>1021</v>
      </c>
      <c r="AG791" s="117"/>
      <c r="AH791" s="64"/>
      <c r="AI791" s="117"/>
      <c r="AJ791" s="117"/>
      <c r="AK791" s="117"/>
      <c r="AL791" s="117"/>
      <c r="AM791" s="117"/>
    </row>
    <row r="792" spans="1:39" ht="12.75" hidden="1" customHeight="1">
      <c r="A792" s="147">
        <v>791</v>
      </c>
      <c r="B792" s="60">
        <v>218503</v>
      </c>
      <c r="C792" s="117" t="s">
        <v>128</v>
      </c>
      <c r="D792" s="57">
        <v>43150</v>
      </c>
      <c r="E792" s="160" t="s">
        <v>1931</v>
      </c>
      <c r="F792" s="222">
        <v>43165</v>
      </c>
      <c r="G792" s="221">
        <f t="shared" si="39"/>
        <v>15</v>
      </c>
      <c r="H792" s="221" t="s">
        <v>133</v>
      </c>
      <c r="I792" s="117"/>
      <c r="J792" s="146" t="s">
        <v>614</v>
      </c>
      <c r="K792" s="94">
        <v>2999</v>
      </c>
      <c r="L792" s="94">
        <v>2999</v>
      </c>
      <c r="M792" s="117"/>
      <c r="N792" s="117"/>
      <c r="O792" s="227">
        <f t="shared" si="41"/>
        <v>2819.06</v>
      </c>
      <c r="P792" s="119"/>
      <c r="Q792" s="119"/>
      <c r="R792" s="117" t="s">
        <v>691</v>
      </c>
      <c r="S792" s="225" t="s">
        <v>466</v>
      </c>
      <c r="T792" s="117" t="s">
        <v>405</v>
      </c>
      <c r="U792" s="221" t="s">
        <v>2166</v>
      </c>
      <c r="V792" s="117" t="s">
        <v>257</v>
      </c>
      <c r="W792" s="117"/>
      <c r="X792" s="117"/>
      <c r="Y792" s="117"/>
      <c r="Z792" s="117" t="s">
        <v>2167</v>
      </c>
      <c r="AA792" s="117"/>
      <c r="AB792" s="117"/>
      <c r="AC792" s="226">
        <f t="shared" si="38"/>
        <v>1</v>
      </c>
      <c r="AD792" s="117" t="s">
        <v>217</v>
      </c>
      <c r="AE792" s="117" t="s">
        <v>218</v>
      </c>
      <c r="AF792" s="117"/>
      <c r="AG792" s="117"/>
      <c r="AH792" s="64"/>
      <c r="AI792" s="117"/>
      <c r="AJ792" s="117"/>
      <c r="AK792" s="117"/>
      <c r="AL792" s="117"/>
      <c r="AM792" s="117"/>
    </row>
    <row r="793" spans="1:39" ht="12.75" hidden="1" customHeight="1">
      <c r="A793" s="147">
        <v>792</v>
      </c>
      <c r="B793" s="223">
        <v>218512</v>
      </c>
      <c r="C793" s="117" t="s">
        <v>128</v>
      </c>
      <c r="D793" s="57">
        <v>43150</v>
      </c>
      <c r="E793" s="160" t="s">
        <v>1931</v>
      </c>
      <c r="F793" s="222">
        <v>43174</v>
      </c>
      <c r="G793" s="221">
        <f t="shared" si="39"/>
        <v>24</v>
      </c>
      <c r="H793" s="221" t="s">
        <v>133</v>
      </c>
      <c r="I793" s="117"/>
      <c r="J793" s="146" t="s">
        <v>614</v>
      </c>
      <c r="K793" s="94">
        <v>1199</v>
      </c>
      <c r="L793" s="94">
        <v>1199</v>
      </c>
      <c r="M793" s="117"/>
      <c r="N793" s="117"/>
      <c r="O793" s="227">
        <f t="shared" ref="O793:O823" si="42">IF(AE793="Reemplazo",0,K793-(K793*0.12*0.5)-(MAX(M793,N793)))</f>
        <v>0</v>
      </c>
      <c r="P793" s="119"/>
      <c r="Q793" s="119"/>
      <c r="R793" s="221" t="s">
        <v>691</v>
      </c>
      <c r="S793" s="225" t="s">
        <v>466</v>
      </c>
      <c r="T793" s="221" t="s">
        <v>405</v>
      </c>
      <c r="U793" s="221" t="s">
        <v>2168</v>
      </c>
      <c r="V793" s="117" t="s">
        <v>257</v>
      </c>
      <c r="W793" s="117"/>
      <c r="X793" s="117"/>
      <c r="Y793" s="117"/>
      <c r="Z793" s="221" t="s">
        <v>2167</v>
      </c>
      <c r="AA793" s="117"/>
      <c r="AB793" s="117"/>
      <c r="AC793" s="226">
        <f t="shared" si="38"/>
        <v>0</v>
      </c>
      <c r="AD793" s="117" t="s">
        <v>217</v>
      </c>
      <c r="AE793" s="221" t="s">
        <v>217</v>
      </c>
      <c r="AF793" s="117" t="s">
        <v>225</v>
      </c>
      <c r="AG793" s="117"/>
      <c r="AH793" s="64"/>
      <c r="AI793" s="117"/>
      <c r="AJ793" s="117"/>
      <c r="AK793" s="117"/>
      <c r="AL793" s="117"/>
      <c r="AM793" s="117"/>
    </row>
    <row r="794" spans="1:39" ht="12.75" hidden="1" customHeight="1">
      <c r="A794" s="147">
        <v>793</v>
      </c>
      <c r="B794" s="223">
        <v>218811</v>
      </c>
      <c r="C794" s="117" t="s">
        <v>1628</v>
      </c>
      <c r="D794" s="57">
        <v>43152</v>
      </c>
      <c r="E794" s="160" t="s">
        <v>1931</v>
      </c>
      <c r="F794" s="222">
        <v>43162</v>
      </c>
      <c r="G794" s="221">
        <f t="shared" si="39"/>
        <v>10</v>
      </c>
      <c r="H794" s="146" t="s">
        <v>133</v>
      </c>
      <c r="I794" s="117"/>
      <c r="J794" s="146" t="s">
        <v>614</v>
      </c>
      <c r="K794" s="94">
        <v>1599</v>
      </c>
      <c r="L794" s="146"/>
      <c r="M794" s="117">
        <v>335</v>
      </c>
      <c r="N794" s="117">
        <v>310</v>
      </c>
      <c r="O794" s="227">
        <f t="shared" si="42"/>
        <v>1168.06</v>
      </c>
      <c r="P794" s="119"/>
      <c r="Q794" s="119"/>
      <c r="R794" s="221" t="s">
        <v>122</v>
      </c>
      <c r="S794" s="225" t="s">
        <v>469</v>
      </c>
      <c r="T794" s="117" t="s">
        <v>164</v>
      </c>
      <c r="U794" s="221" t="s">
        <v>1463</v>
      </c>
      <c r="V794" s="221" t="s">
        <v>90</v>
      </c>
      <c r="W794" s="117"/>
      <c r="X794" s="117"/>
      <c r="Y794" s="117" t="s">
        <v>316</v>
      </c>
      <c r="Z794" s="117" t="s">
        <v>202</v>
      </c>
      <c r="AA794" s="222">
        <v>43154</v>
      </c>
      <c r="AB794" s="117" t="s">
        <v>140</v>
      </c>
      <c r="AC794" s="63">
        <f t="shared" si="38"/>
        <v>1</v>
      </c>
      <c r="AD794" s="221" t="s">
        <v>217</v>
      </c>
      <c r="AE794" s="117" t="s">
        <v>218</v>
      </c>
      <c r="AF794" s="117"/>
      <c r="AG794" s="117"/>
      <c r="AH794" s="64"/>
      <c r="AI794" s="117"/>
      <c r="AJ794" s="117"/>
      <c r="AK794" s="117"/>
      <c r="AL794" s="117"/>
      <c r="AM794" s="117"/>
    </row>
    <row r="795" spans="1:39" ht="12.75" hidden="1" customHeight="1">
      <c r="A795" s="147">
        <v>794</v>
      </c>
      <c r="B795" s="223">
        <v>218805</v>
      </c>
      <c r="C795" s="117" t="s">
        <v>1628</v>
      </c>
      <c r="D795" s="57">
        <v>43154</v>
      </c>
      <c r="E795" s="160" t="s">
        <v>1931</v>
      </c>
      <c r="F795" s="222">
        <v>43164</v>
      </c>
      <c r="G795" s="221">
        <f t="shared" si="39"/>
        <v>10</v>
      </c>
      <c r="H795" s="146" t="s">
        <v>133</v>
      </c>
      <c r="I795" s="117"/>
      <c r="J795" s="146" t="s">
        <v>614</v>
      </c>
      <c r="K795" s="94">
        <v>999</v>
      </c>
      <c r="L795" s="146">
        <v>999</v>
      </c>
      <c r="M795" s="117"/>
      <c r="N795" s="117"/>
      <c r="O795" s="227">
        <f t="shared" si="42"/>
        <v>0</v>
      </c>
      <c r="P795" s="119"/>
      <c r="Q795" s="119"/>
      <c r="R795" s="221" t="s">
        <v>143</v>
      </c>
      <c r="S795" s="225" t="s">
        <v>465</v>
      </c>
      <c r="T795" s="221" t="s">
        <v>164</v>
      </c>
      <c r="U795" s="221" t="s">
        <v>1633</v>
      </c>
      <c r="V795" s="117" t="s">
        <v>90</v>
      </c>
      <c r="W795" s="117"/>
      <c r="X795" s="117"/>
      <c r="Y795" s="117"/>
      <c r="Z795" s="117" t="s">
        <v>404</v>
      </c>
      <c r="AA795" s="117"/>
      <c r="AB795" s="117"/>
      <c r="AC795" s="63">
        <f t="shared" si="38"/>
        <v>0</v>
      </c>
      <c r="AD795" s="117"/>
      <c r="AE795" s="221" t="s">
        <v>217</v>
      </c>
      <c r="AF795" s="117" t="s">
        <v>225</v>
      </c>
      <c r="AG795" s="117"/>
      <c r="AH795" s="64"/>
      <c r="AI795" s="117"/>
      <c r="AJ795" s="117"/>
      <c r="AK795" s="117"/>
      <c r="AL795" s="117"/>
      <c r="AM795" s="117"/>
    </row>
    <row r="796" spans="1:39" ht="12.75" hidden="1" customHeight="1">
      <c r="A796" s="147">
        <v>795</v>
      </c>
      <c r="B796" s="223">
        <v>219038</v>
      </c>
      <c r="C796" s="117" t="s">
        <v>128</v>
      </c>
      <c r="D796" s="57">
        <v>43153</v>
      </c>
      <c r="E796" s="160" t="s">
        <v>1931</v>
      </c>
      <c r="F796" s="222">
        <v>43171</v>
      </c>
      <c r="G796" s="221">
        <f t="shared" si="39"/>
        <v>18</v>
      </c>
      <c r="H796" s="146" t="s">
        <v>133</v>
      </c>
      <c r="I796" s="117"/>
      <c r="J796" s="146" t="s">
        <v>614</v>
      </c>
      <c r="K796" s="94">
        <v>1549</v>
      </c>
      <c r="L796" s="146"/>
      <c r="M796" s="117">
        <v>145</v>
      </c>
      <c r="N796" s="117">
        <v>100</v>
      </c>
      <c r="O796" s="227">
        <f t="shared" si="42"/>
        <v>1311.06</v>
      </c>
      <c r="P796" s="119"/>
      <c r="Q796" s="119"/>
      <c r="R796" s="221" t="s">
        <v>134</v>
      </c>
      <c r="S796" s="225" t="s">
        <v>465</v>
      </c>
      <c r="T796" s="117" t="s">
        <v>162</v>
      </c>
      <c r="U796" s="221" t="s">
        <v>2165</v>
      </c>
      <c r="V796" s="117" t="s">
        <v>389</v>
      </c>
      <c r="W796" s="117"/>
      <c r="X796" s="117"/>
      <c r="Y796" s="221" t="s">
        <v>316</v>
      </c>
      <c r="Z796" s="117" t="s">
        <v>780</v>
      </c>
      <c r="AA796" s="222">
        <v>43158</v>
      </c>
      <c r="AB796" s="117" t="s">
        <v>140</v>
      </c>
      <c r="AC796" s="63">
        <f t="shared" ref="AC796:AC855" si="43">+IF(O796&gt;0,1,0)</f>
        <v>1</v>
      </c>
      <c r="AD796" s="117" t="s">
        <v>217</v>
      </c>
      <c r="AE796" s="117" t="s">
        <v>218</v>
      </c>
      <c r="AF796" s="117"/>
      <c r="AG796" s="117"/>
      <c r="AH796" s="64"/>
      <c r="AI796" s="117"/>
      <c r="AJ796" s="117"/>
      <c r="AK796" s="117"/>
      <c r="AL796" s="117"/>
      <c r="AM796" s="117"/>
    </row>
    <row r="797" spans="1:39" ht="12.75" hidden="1" customHeight="1">
      <c r="A797" s="147">
        <v>796</v>
      </c>
      <c r="B797" s="173">
        <v>218949</v>
      </c>
      <c r="C797" s="221" t="s">
        <v>1130</v>
      </c>
      <c r="D797" s="57">
        <v>43152</v>
      </c>
      <c r="E797" s="160" t="s">
        <v>1931</v>
      </c>
      <c r="F797" s="222">
        <v>43159</v>
      </c>
      <c r="G797" s="221">
        <f t="shared" si="39"/>
        <v>7</v>
      </c>
      <c r="H797" s="146" t="s">
        <v>133</v>
      </c>
      <c r="I797" s="117"/>
      <c r="J797" s="146" t="s">
        <v>614</v>
      </c>
      <c r="K797" s="94">
        <v>2999</v>
      </c>
      <c r="L797" s="146"/>
      <c r="M797" s="117">
        <v>345</v>
      </c>
      <c r="N797" s="117">
        <v>220</v>
      </c>
      <c r="O797" s="227">
        <f t="shared" si="42"/>
        <v>2474.06</v>
      </c>
      <c r="P797" s="119"/>
      <c r="Q797" s="119"/>
      <c r="R797" s="221" t="s">
        <v>134</v>
      </c>
      <c r="S797" s="225" t="s">
        <v>465</v>
      </c>
      <c r="T797" s="221" t="s">
        <v>88</v>
      </c>
      <c r="U797" s="221" t="s">
        <v>2164</v>
      </c>
      <c r="V797" s="117" t="s">
        <v>429</v>
      </c>
      <c r="W797" s="117"/>
      <c r="X797" s="117"/>
      <c r="Y797" s="117" t="s">
        <v>3</v>
      </c>
      <c r="Z797" s="221" t="s">
        <v>189</v>
      </c>
      <c r="AA797" s="222">
        <v>43157</v>
      </c>
      <c r="AB797" s="117" t="s">
        <v>140</v>
      </c>
      <c r="AC797" s="63">
        <f t="shared" si="43"/>
        <v>1</v>
      </c>
      <c r="AD797" s="221" t="s">
        <v>217</v>
      </c>
      <c r="AE797" s="117" t="s">
        <v>218</v>
      </c>
      <c r="AF797" s="117"/>
      <c r="AG797" s="117"/>
      <c r="AH797" s="64"/>
      <c r="AI797" s="117"/>
      <c r="AJ797" s="117"/>
      <c r="AK797" s="117"/>
      <c r="AL797" s="117"/>
      <c r="AM797" s="117"/>
    </row>
    <row r="798" spans="1:39" ht="12.75" hidden="1" customHeight="1">
      <c r="A798" s="147">
        <v>797</v>
      </c>
      <c r="B798" s="223">
        <v>218953</v>
      </c>
      <c r="C798" s="221" t="s">
        <v>1130</v>
      </c>
      <c r="D798" s="57">
        <v>43152</v>
      </c>
      <c r="E798" s="160" t="s">
        <v>1931</v>
      </c>
      <c r="F798" s="222">
        <v>43159</v>
      </c>
      <c r="G798" s="221">
        <f t="shared" si="39"/>
        <v>7</v>
      </c>
      <c r="H798" s="221" t="s">
        <v>133</v>
      </c>
      <c r="I798" s="117"/>
      <c r="J798" s="146" t="s">
        <v>614</v>
      </c>
      <c r="K798" s="94">
        <v>2948</v>
      </c>
      <c r="L798" s="146"/>
      <c r="M798" s="117">
        <v>345</v>
      </c>
      <c r="N798" s="117">
        <v>220</v>
      </c>
      <c r="O798" s="227">
        <f t="shared" si="42"/>
        <v>2426.12</v>
      </c>
      <c r="P798" s="119"/>
      <c r="Q798" s="119"/>
      <c r="R798" s="221" t="s">
        <v>134</v>
      </c>
      <c r="S798" s="225" t="s">
        <v>465</v>
      </c>
      <c r="T798" s="221" t="s">
        <v>88</v>
      </c>
      <c r="U798" s="221" t="s">
        <v>1617</v>
      </c>
      <c r="V798" s="117" t="s">
        <v>429</v>
      </c>
      <c r="W798" s="117"/>
      <c r="X798" s="117"/>
      <c r="Y798" s="117" t="s">
        <v>3</v>
      </c>
      <c r="Z798" s="221" t="s">
        <v>189</v>
      </c>
      <c r="AA798" s="222">
        <v>43157</v>
      </c>
      <c r="AB798" s="117" t="s">
        <v>140</v>
      </c>
      <c r="AC798" s="63">
        <f t="shared" si="43"/>
        <v>1</v>
      </c>
      <c r="AD798" s="221" t="s">
        <v>217</v>
      </c>
      <c r="AE798" s="117" t="s">
        <v>218</v>
      </c>
      <c r="AF798" s="117"/>
      <c r="AG798" s="117"/>
      <c r="AH798" s="64"/>
      <c r="AI798" s="117"/>
      <c r="AJ798" s="117"/>
      <c r="AK798" s="117"/>
      <c r="AL798" s="117"/>
      <c r="AM798" s="117"/>
    </row>
    <row r="799" spans="1:39" ht="12.75" hidden="1" customHeight="1">
      <c r="A799" s="147">
        <v>798</v>
      </c>
      <c r="B799" s="223">
        <v>219004</v>
      </c>
      <c r="C799" s="221" t="s">
        <v>1130</v>
      </c>
      <c r="D799" s="57">
        <v>43152</v>
      </c>
      <c r="E799" s="160" t="s">
        <v>1931</v>
      </c>
      <c r="F799" s="222">
        <v>43159</v>
      </c>
      <c r="G799" s="221">
        <f t="shared" si="39"/>
        <v>7</v>
      </c>
      <c r="H799" s="221" t="s">
        <v>363</v>
      </c>
      <c r="I799" s="117"/>
      <c r="J799" s="146" t="s">
        <v>614</v>
      </c>
      <c r="K799" s="94"/>
      <c r="L799" s="146"/>
      <c r="M799" s="117"/>
      <c r="N799" s="117"/>
      <c r="O799" s="227">
        <f t="shared" si="42"/>
        <v>0</v>
      </c>
      <c r="P799" s="119"/>
      <c r="Q799" s="119"/>
      <c r="R799" s="221" t="s">
        <v>143</v>
      </c>
      <c r="S799" s="225" t="s">
        <v>465</v>
      </c>
      <c r="T799" s="221" t="s">
        <v>88</v>
      </c>
      <c r="U799" s="221" t="s">
        <v>334</v>
      </c>
      <c r="V799" s="117" t="s">
        <v>432</v>
      </c>
      <c r="W799" s="117"/>
      <c r="X799" s="117"/>
      <c r="Y799" s="117"/>
      <c r="Z799" s="221" t="s">
        <v>189</v>
      </c>
      <c r="AA799" s="117"/>
      <c r="AB799" s="117"/>
      <c r="AC799" s="63">
        <f t="shared" si="43"/>
        <v>0</v>
      </c>
      <c r="AD799" s="117"/>
      <c r="AE799" s="117"/>
      <c r="AF799" s="117"/>
      <c r="AG799" s="117"/>
      <c r="AH799" s="64"/>
      <c r="AI799" s="117"/>
      <c r="AJ799" s="117"/>
      <c r="AK799" s="117"/>
      <c r="AL799" s="117"/>
      <c r="AM799" s="117"/>
    </row>
    <row r="800" spans="1:39" ht="12.75" hidden="1" customHeight="1">
      <c r="A800" s="147">
        <v>799</v>
      </c>
      <c r="B800" s="223">
        <v>219020</v>
      </c>
      <c r="C800" s="221" t="s">
        <v>1130</v>
      </c>
      <c r="D800" s="57">
        <v>43152</v>
      </c>
      <c r="E800" s="160" t="s">
        <v>1931</v>
      </c>
      <c r="F800" s="222">
        <v>43161</v>
      </c>
      <c r="G800" s="221">
        <f t="shared" si="39"/>
        <v>9</v>
      </c>
      <c r="H800" s="221" t="s">
        <v>133</v>
      </c>
      <c r="I800" s="117"/>
      <c r="J800" s="146" t="s">
        <v>614</v>
      </c>
      <c r="K800" s="94">
        <v>960</v>
      </c>
      <c r="L800" s="146"/>
      <c r="M800" s="117">
        <v>170</v>
      </c>
      <c r="N800" s="117">
        <v>80</v>
      </c>
      <c r="O800" s="227">
        <f t="shared" si="42"/>
        <v>732.4</v>
      </c>
      <c r="P800" s="119"/>
      <c r="Q800" s="119"/>
      <c r="R800" s="221" t="s">
        <v>143</v>
      </c>
      <c r="S800" s="225" t="s">
        <v>465</v>
      </c>
      <c r="T800" s="221" t="s">
        <v>88</v>
      </c>
      <c r="U800" s="221" t="s">
        <v>1285</v>
      </c>
      <c r="V800" s="221" t="s">
        <v>432</v>
      </c>
      <c r="W800" s="117"/>
      <c r="X800" s="117"/>
      <c r="Y800" s="221" t="s">
        <v>316</v>
      </c>
      <c r="Z800" s="221" t="s">
        <v>189</v>
      </c>
      <c r="AA800" s="222">
        <v>43154</v>
      </c>
      <c r="AB800" s="117" t="s">
        <v>872</v>
      </c>
      <c r="AC800" s="63">
        <f t="shared" si="43"/>
        <v>1</v>
      </c>
      <c r="AD800" s="221" t="s">
        <v>217</v>
      </c>
      <c r="AE800" s="117" t="s">
        <v>218</v>
      </c>
      <c r="AF800" s="117"/>
      <c r="AG800" s="117"/>
      <c r="AH800" s="64"/>
      <c r="AI800" s="117"/>
      <c r="AJ800" s="117"/>
      <c r="AK800" s="117"/>
      <c r="AL800" s="117"/>
      <c r="AM800" s="117"/>
    </row>
    <row r="801" spans="1:39" ht="12.75" hidden="1" customHeight="1">
      <c r="A801" s="147">
        <v>800</v>
      </c>
      <c r="B801" s="173">
        <v>219101</v>
      </c>
      <c r="C801" s="221" t="s">
        <v>1130</v>
      </c>
      <c r="D801" s="57">
        <v>43152</v>
      </c>
      <c r="E801" s="160" t="s">
        <v>1931</v>
      </c>
      <c r="F801" s="222">
        <v>43161</v>
      </c>
      <c r="G801" s="221">
        <f t="shared" si="39"/>
        <v>9</v>
      </c>
      <c r="H801" s="221" t="s">
        <v>133</v>
      </c>
      <c r="I801" s="117"/>
      <c r="J801" s="146" t="s">
        <v>614</v>
      </c>
      <c r="K801" s="94">
        <v>1000</v>
      </c>
      <c r="L801" s="146"/>
      <c r="M801" s="117">
        <v>170</v>
      </c>
      <c r="N801" s="117">
        <v>80</v>
      </c>
      <c r="O801" s="227">
        <f t="shared" si="42"/>
        <v>770</v>
      </c>
      <c r="P801" s="119"/>
      <c r="Q801" s="119"/>
      <c r="R801" s="221" t="s">
        <v>143</v>
      </c>
      <c r="S801" s="225" t="s">
        <v>465</v>
      </c>
      <c r="T801" s="221" t="s">
        <v>88</v>
      </c>
      <c r="U801" s="221" t="s">
        <v>1419</v>
      </c>
      <c r="V801" s="221" t="s">
        <v>432</v>
      </c>
      <c r="W801" s="117"/>
      <c r="X801" s="117"/>
      <c r="Y801" s="221" t="s">
        <v>316</v>
      </c>
      <c r="Z801" s="221" t="s">
        <v>189</v>
      </c>
      <c r="AA801" s="222">
        <v>43154</v>
      </c>
      <c r="AB801" s="117" t="s">
        <v>872</v>
      </c>
      <c r="AC801" s="63">
        <f t="shared" si="43"/>
        <v>1</v>
      </c>
      <c r="AD801" s="221" t="s">
        <v>217</v>
      </c>
      <c r="AE801" s="117" t="s">
        <v>218</v>
      </c>
      <c r="AF801" s="117"/>
      <c r="AG801" s="117"/>
      <c r="AH801" s="64"/>
      <c r="AI801" s="117"/>
      <c r="AJ801" s="117"/>
      <c r="AK801" s="117"/>
      <c r="AL801" s="117"/>
      <c r="AM801" s="117"/>
    </row>
    <row r="802" spans="1:39" ht="12.75" hidden="1" customHeight="1">
      <c r="A802" s="147">
        <v>801</v>
      </c>
      <c r="B802" s="223">
        <v>218845</v>
      </c>
      <c r="C802" s="117" t="s">
        <v>128</v>
      </c>
      <c r="D802" s="57">
        <v>43154</v>
      </c>
      <c r="E802" s="160" t="s">
        <v>1931</v>
      </c>
      <c r="F802" s="222">
        <v>43170</v>
      </c>
      <c r="G802" s="221">
        <f t="shared" si="39"/>
        <v>16</v>
      </c>
      <c r="H802" s="146" t="s">
        <v>133</v>
      </c>
      <c r="I802" s="117"/>
      <c r="J802" s="146" t="s">
        <v>614</v>
      </c>
      <c r="K802" s="94">
        <v>1899</v>
      </c>
      <c r="L802" s="146"/>
      <c r="M802" s="117">
        <v>290</v>
      </c>
      <c r="N802" s="117">
        <v>200</v>
      </c>
      <c r="O802" s="227">
        <f t="shared" si="42"/>
        <v>1495.06</v>
      </c>
      <c r="P802" s="119"/>
      <c r="Q802" s="119"/>
      <c r="R802" s="221" t="s">
        <v>134</v>
      </c>
      <c r="S802" s="225" t="s">
        <v>465</v>
      </c>
      <c r="T802" s="117" t="s">
        <v>164</v>
      </c>
      <c r="U802" s="221" t="s">
        <v>2171</v>
      </c>
      <c r="V802" s="117" t="s">
        <v>90</v>
      </c>
      <c r="W802" s="117"/>
      <c r="X802" s="117"/>
      <c r="Y802" s="117" t="s">
        <v>316</v>
      </c>
      <c r="Z802" s="117" t="s">
        <v>510</v>
      </c>
      <c r="AA802" s="222">
        <v>43154</v>
      </c>
      <c r="AB802" s="117" t="s">
        <v>140</v>
      </c>
      <c r="AC802" s="63">
        <f t="shared" si="43"/>
        <v>1</v>
      </c>
      <c r="AD802" s="221" t="s">
        <v>217</v>
      </c>
      <c r="AE802" s="117" t="s">
        <v>218</v>
      </c>
      <c r="AF802" s="117"/>
      <c r="AG802" s="117"/>
      <c r="AH802" s="64"/>
      <c r="AI802" s="117"/>
      <c r="AJ802" s="117"/>
      <c r="AK802" s="117"/>
      <c r="AL802" s="117"/>
      <c r="AM802" s="117"/>
    </row>
    <row r="803" spans="1:39" ht="12.75" hidden="1" customHeight="1">
      <c r="A803" s="147">
        <v>802</v>
      </c>
      <c r="B803" s="60">
        <v>218488</v>
      </c>
      <c r="C803" s="117" t="s">
        <v>128</v>
      </c>
      <c r="D803" s="57">
        <v>43157</v>
      </c>
      <c r="E803" s="160" t="s">
        <v>1931</v>
      </c>
      <c r="F803" s="222">
        <v>43167</v>
      </c>
      <c r="G803" s="221">
        <f t="shared" si="39"/>
        <v>10</v>
      </c>
      <c r="H803" s="146" t="s">
        <v>133</v>
      </c>
      <c r="I803" s="117"/>
      <c r="J803" s="146" t="s">
        <v>614</v>
      </c>
      <c r="K803" s="94">
        <v>2399</v>
      </c>
      <c r="L803" s="146"/>
      <c r="M803" s="117">
        <v>450</v>
      </c>
      <c r="N803" s="117">
        <v>115</v>
      </c>
      <c r="O803" s="227">
        <f t="shared" si="42"/>
        <v>1805.06</v>
      </c>
      <c r="P803" s="119"/>
      <c r="Q803" s="119"/>
      <c r="R803" s="221" t="s">
        <v>143</v>
      </c>
      <c r="S803" s="225" t="s">
        <v>465</v>
      </c>
      <c r="T803" s="221" t="s">
        <v>88</v>
      </c>
      <c r="U803" s="221" t="s">
        <v>695</v>
      </c>
      <c r="V803" s="117" t="s">
        <v>90</v>
      </c>
      <c r="W803" s="117"/>
      <c r="X803" s="117"/>
      <c r="Y803" s="117" t="s">
        <v>1228</v>
      </c>
      <c r="Z803" s="117" t="s">
        <v>315</v>
      </c>
      <c r="AA803" s="222">
        <v>43164</v>
      </c>
      <c r="AB803" s="117" t="s">
        <v>872</v>
      </c>
      <c r="AC803" s="63">
        <f t="shared" si="43"/>
        <v>1</v>
      </c>
      <c r="AD803" s="221" t="s">
        <v>217</v>
      </c>
      <c r="AE803" s="221" t="s">
        <v>218</v>
      </c>
      <c r="AF803" s="117"/>
      <c r="AG803" s="117"/>
      <c r="AH803" s="64"/>
      <c r="AI803" s="117"/>
      <c r="AJ803" s="117"/>
      <c r="AK803" s="117"/>
      <c r="AL803" s="117"/>
      <c r="AM803" s="117"/>
    </row>
    <row r="804" spans="1:39" ht="12.75" hidden="1" customHeight="1">
      <c r="A804" s="147">
        <v>803</v>
      </c>
      <c r="B804" s="60">
        <v>219308</v>
      </c>
      <c r="C804" s="117" t="s">
        <v>128</v>
      </c>
      <c r="D804" s="57">
        <v>43157</v>
      </c>
      <c r="E804" s="160" t="s">
        <v>1931</v>
      </c>
      <c r="F804" s="222">
        <v>43167</v>
      </c>
      <c r="G804" s="221">
        <f t="shared" si="39"/>
        <v>10</v>
      </c>
      <c r="H804" s="221" t="s">
        <v>133</v>
      </c>
      <c r="I804" s="117"/>
      <c r="J804" s="146" t="s">
        <v>614</v>
      </c>
      <c r="K804" s="94">
        <v>1949</v>
      </c>
      <c r="L804" s="94">
        <v>1949</v>
      </c>
      <c r="M804" s="117"/>
      <c r="N804" s="117"/>
      <c r="O804" s="227">
        <f t="shared" si="42"/>
        <v>0</v>
      </c>
      <c r="P804" s="119"/>
      <c r="Q804" s="119"/>
      <c r="R804" s="221" t="s">
        <v>691</v>
      </c>
      <c r="S804" s="225" t="s">
        <v>466</v>
      </c>
      <c r="T804" s="221" t="s">
        <v>313</v>
      </c>
      <c r="U804" s="221" t="s">
        <v>2187</v>
      </c>
      <c r="V804" s="221" t="s">
        <v>257</v>
      </c>
      <c r="W804" s="117"/>
      <c r="X804" s="117"/>
      <c r="Y804" s="117"/>
      <c r="Z804" s="117" t="s">
        <v>304</v>
      </c>
      <c r="AA804" s="117"/>
      <c r="AB804" s="117"/>
      <c r="AC804" s="226">
        <f t="shared" si="43"/>
        <v>0</v>
      </c>
      <c r="AD804" s="117" t="s">
        <v>217</v>
      </c>
      <c r="AE804" s="221" t="s">
        <v>217</v>
      </c>
      <c r="AF804" s="117" t="s">
        <v>225</v>
      </c>
      <c r="AG804" s="117"/>
      <c r="AH804" s="64"/>
      <c r="AI804" s="117"/>
      <c r="AJ804" s="117"/>
      <c r="AK804" s="117"/>
      <c r="AL804" s="117"/>
      <c r="AM804" s="117"/>
    </row>
    <row r="805" spans="1:39" ht="12.75" hidden="1" customHeight="1">
      <c r="A805" s="147">
        <v>804</v>
      </c>
      <c r="B805" s="60">
        <v>219484</v>
      </c>
      <c r="C805" s="117" t="s">
        <v>128</v>
      </c>
      <c r="D805" s="57">
        <v>43158</v>
      </c>
      <c r="E805" s="160" t="s">
        <v>1931</v>
      </c>
      <c r="F805" s="222">
        <v>43175</v>
      </c>
      <c r="G805" s="221">
        <f t="shared" si="39"/>
        <v>17</v>
      </c>
      <c r="H805" s="146" t="s">
        <v>133</v>
      </c>
      <c r="I805" s="117"/>
      <c r="J805" s="146" t="s">
        <v>614</v>
      </c>
      <c r="K805" s="94">
        <v>1599</v>
      </c>
      <c r="L805" s="146"/>
      <c r="M805" s="117">
        <v>238</v>
      </c>
      <c r="N805" s="117">
        <v>330</v>
      </c>
      <c r="O805" s="227">
        <f t="shared" si="42"/>
        <v>0</v>
      </c>
      <c r="P805" s="119"/>
      <c r="Q805" s="119"/>
      <c r="R805" s="221" t="s">
        <v>134</v>
      </c>
      <c r="S805" s="225" t="s">
        <v>465</v>
      </c>
      <c r="T805" s="221" t="s">
        <v>164</v>
      </c>
      <c r="U805" s="221" t="s">
        <v>2188</v>
      </c>
      <c r="V805" s="117" t="s">
        <v>2189</v>
      </c>
      <c r="W805" s="117"/>
      <c r="X805" s="117"/>
      <c r="Y805" s="117" t="s">
        <v>1942</v>
      </c>
      <c r="Z805" s="117" t="s">
        <v>780</v>
      </c>
      <c r="AA805" s="222">
        <v>43160</v>
      </c>
      <c r="AB805" s="117" t="s">
        <v>140</v>
      </c>
      <c r="AC805" s="63">
        <f t="shared" si="43"/>
        <v>0</v>
      </c>
      <c r="AD805" s="117"/>
      <c r="AE805" s="117" t="s">
        <v>217</v>
      </c>
      <c r="AF805" s="117" t="s">
        <v>2218</v>
      </c>
      <c r="AG805" s="117"/>
      <c r="AH805" s="64"/>
      <c r="AI805" s="117"/>
      <c r="AJ805" s="117"/>
      <c r="AK805" s="117"/>
      <c r="AL805" s="117"/>
      <c r="AM805" s="117"/>
    </row>
    <row r="806" spans="1:39" ht="12.75" hidden="1" customHeight="1">
      <c r="A806" s="147">
        <v>805</v>
      </c>
      <c r="B806" s="60">
        <v>218734</v>
      </c>
      <c r="C806" s="117" t="s">
        <v>1628</v>
      </c>
      <c r="D806" s="57">
        <v>43158</v>
      </c>
      <c r="E806" s="160" t="s">
        <v>1931</v>
      </c>
      <c r="F806" s="222">
        <v>43163</v>
      </c>
      <c r="G806" s="221">
        <f t="shared" si="39"/>
        <v>5</v>
      </c>
      <c r="H806" s="146" t="s">
        <v>133</v>
      </c>
      <c r="I806" s="117"/>
      <c r="J806" s="146" t="s">
        <v>614</v>
      </c>
      <c r="K806" s="94">
        <v>979</v>
      </c>
      <c r="L806" s="146"/>
      <c r="M806" s="117">
        <v>178</v>
      </c>
      <c r="N806" s="117">
        <v>160</v>
      </c>
      <c r="O806" s="227">
        <f t="shared" si="42"/>
        <v>0</v>
      </c>
      <c r="P806" s="119"/>
      <c r="Q806" s="119"/>
      <c r="R806" s="221" t="s">
        <v>134</v>
      </c>
      <c r="S806" s="225" t="s">
        <v>465</v>
      </c>
      <c r="T806" s="117" t="s">
        <v>114</v>
      </c>
      <c r="U806" s="221" t="s">
        <v>2190</v>
      </c>
      <c r="V806" s="117" t="s">
        <v>862</v>
      </c>
      <c r="W806" s="117"/>
      <c r="X806" s="117"/>
      <c r="Y806" s="221" t="s">
        <v>1942</v>
      </c>
      <c r="Z806" s="117" t="s">
        <v>124</v>
      </c>
      <c r="AA806" s="117"/>
      <c r="AB806" s="117"/>
      <c r="AC806" s="63">
        <f t="shared" si="43"/>
        <v>0</v>
      </c>
      <c r="AD806" s="117"/>
      <c r="AE806" s="117" t="s">
        <v>217</v>
      </c>
      <c r="AF806" s="117" t="s">
        <v>225</v>
      </c>
      <c r="AG806" s="117"/>
      <c r="AH806" s="64"/>
      <c r="AI806" s="117"/>
      <c r="AJ806" s="117"/>
      <c r="AK806" s="117"/>
      <c r="AL806" s="117"/>
      <c r="AM806" s="117"/>
    </row>
    <row r="807" spans="1:39" ht="12.75" hidden="1" customHeight="1">
      <c r="A807" s="147">
        <v>806</v>
      </c>
      <c r="B807" s="60">
        <v>219452</v>
      </c>
      <c r="C807" s="117" t="s">
        <v>1628</v>
      </c>
      <c r="D807" s="57">
        <v>43158</v>
      </c>
      <c r="E807" s="160" t="s">
        <v>1931</v>
      </c>
      <c r="F807" s="222">
        <v>43169</v>
      </c>
      <c r="G807" s="221">
        <f t="shared" si="39"/>
        <v>11</v>
      </c>
      <c r="H807" s="146" t="s">
        <v>133</v>
      </c>
      <c r="I807" s="117"/>
      <c r="J807" s="146" t="s">
        <v>614</v>
      </c>
      <c r="K807" s="94"/>
      <c r="L807" s="146"/>
      <c r="M807" s="117"/>
      <c r="N807" s="117"/>
      <c r="O807" s="227">
        <f t="shared" si="42"/>
        <v>0</v>
      </c>
      <c r="P807" s="119"/>
      <c r="Q807" s="119"/>
      <c r="R807" s="117" t="s">
        <v>210</v>
      </c>
      <c r="S807" s="225" t="s">
        <v>469</v>
      </c>
      <c r="T807" s="117" t="s">
        <v>164</v>
      </c>
      <c r="U807" s="221" t="s">
        <v>821</v>
      </c>
      <c r="V807" s="117" t="s">
        <v>2191</v>
      </c>
      <c r="W807" s="117"/>
      <c r="X807" s="117"/>
      <c r="Y807" s="117"/>
      <c r="Z807" s="117" t="s">
        <v>292</v>
      </c>
      <c r="AA807" s="117"/>
      <c r="AB807" s="117"/>
      <c r="AC807" s="63">
        <f t="shared" si="43"/>
        <v>0</v>
      </c>
      <c r="AD807" s="117"/>
      <c r="AE807" s="221" t="s">
        <v>217</v>
      </c>
      <c r="AF807" s="117" t="s">
        <v>225</v>
      </c>
      <c r="AG807" s="117"/>
      <c r="AH807" s="64"/>
      <c r="AI807" s="117"/>
      <c r="AJ807" s="117"/>
      <c r="AK807" s="117"/>
      <c r="AL807" s="117"/>
      <c r="AM807" s="117"/>
    </row>
    <row r="808" spans="1:39" ht="12.75" hidden="1" customHeight="1">
      <c r="A808" s="147">
        <v>807</v>
      </c>
      <c r="B808" s="223">
        <v>219670</v>
      </c>
      <c r="C808" s="117" t="s">
        <v>1628</v>
      </c>
      <c r="D808" s="57">
        <v>43159</v>
      </c>
      <c r="E808" s="160" t="s">
        <v>1931</v>
      </c>
      <c r="F808" s="222">
        <v>43171</v>
      </c>
      <c r="G808" s="221">
        <f t="shared" si="39"/>
        <v>12</v>
      </c>
      <c r="H808" s="146" t="s">
        <v>363</v>
      </c>
      <c r="I808" s="117"/>
      <c r="J808" s="146" t="s">
        <v>614</v>
      </c>
      <c r="K808" s="94">
        <v>14099</v>
      </c>
      <c r="L808" s="146"/>
      <c r="M808" s="117"/>
      <c r="N808" s="117"/>
      <c r="O808" s="227">
        <f t="shared" si="42"/>
        <v>13253.06</v>
      </c>
      <c r="P808" s="119"/>
      <c r="Q808" s="119"/>
      <c r="R808" s="221" t="s">
        <v>122</v>
      </c>
      <c r="S808" s="225" t="s">
        <v>469</v>
      </c>
      <c r="T808" s="221" t="s">
        <v>164</v>
      </c>
      <c r="U808" s="221" t="s">
        <v>2192</v>
      </c>
      <c r="V808" s="117" t="s">
        <v>222</v>
      </c>
      <c r="W808" s="117"/>
      <c r="X808" s="117"/>
      <c r="Y808" s="117"/>
      <c r="Z808" s="117" t="s">
        <v>235</v>
      </c>
      <c r="AA808" s="117"/>
      <c r="AB808" s="117"/>
      <c r="AC808" s="63">
        <f t="shared" si="43"/>
        <v>1</v>
      </c>
      <c r="AD808" s="117"/>
      <c r="AE808" s="117"/>
      <c r="AF808" s="117"/>
      <c r="AG808" s="117"/>
      <c r="AH808" s="64" t="s">
        <v>2209</v>
      </c>
      <c r="AI808" s="117"/>
      <c r="AJ808" s="117"/>
      <c r="AK808" s="117"/>
      <c r="AL808" s="117"/>
      <c r="AM808" s="117"/>
    </row>
    <row r="809" spans="1:39" ht="12.75" hidden="1" customHeight="1">
      <c r="A809" s="147">
        <v>808</v>
      </c>
      <c r="B809" s="223">
        <v>218419</v>
      </c>
      <c r="C809" s="117" t="s">
        <v>1628</v>
      </c>
      <c r="D809" s="57">
        <v>43159</v>
      </c>
      <c r="E809" s="160" t="s">
        <v>1931</v>
      </c>
      <c r="F809" s="222">
        <v>43160</v>
      </c>
      <c r="G809" s="221">
        <f t="shared" si="39"/>
        <v>1</v>
      </c>
      <c r="H809" s="146" t="s">
        <v>133</v>
      </c>
      <c r="I809" s="117"/>
      <c r="J809" s="146" t="s">
        <v>614</v>
      </c>
      <c r="K809" s="94">
        <v>3599</v>
      </c>
      <c r="L809" s="146">
        <v>3599</v>
      </c>
      <c r="M809" s="117">
        <v>2238</v>
      </c>
      <c r="N809" s="117"/>
      <c r="O809" s="227">
        <f t="shared" si="42"/>
        <v>0</v>
      </c>
      <c r="P809" s="119"/>
      <c r="Q809" s="119"/>
      <c r="R809" s="221" t="s">
        <v>122</v>
      </c>
      <c r="S809" s="225" t="s">
        <v>469</v>
      </c>
      <c r="T809" s="221" t="s">
        <v>164</v>
      </c>
      <c r="U809" s="221" t="s">
        <v>327</v>
      </c>
      <c r="V809" s="117" t="s">
        <v>2193</v>
      </c>
      <c r="W809" s="117"/>
      <c r="X809" s="117"/>
      <c r="Y809" s="221" t="s">
        <v>1942</v>
      </c>
      <c r="Z809" s="117" t="s">
        <v>2194</v>
      </c>
      <c r="AA809" s="117"/>
      <c r="AB809" s="117" t="s">
        <v>140</v>
      </c>
      <c r="AC809" s="63">
        <f t="shared" si="43"/>
        <v>0</v>
      </c>
      <c r="AD809" s="117"/>
      <c r="AE809" s="221" t="s">
        <v>217</v>
      </c>
      <c r="AF809" s="117" t="s">
        <v>2205</v>
      </c>
      <c r="AG809" s="117"/>
      <c r="AH809" s="64"/>
      <c r="AI809" s="117"/>
      <c r="AJ809" s="117"/>
      <c r="AK809" s="117"/>
      <c r="AL809" s="117"/>
      <c r="AM809" s="117"/>
    </row>
    <row r="810" spans="1:39" ht="12.75" hidden="1" customHeight="1">
      <c r="A810" s="147">
        <v>809</v>
      </c>
      <c r="B810" s="223">
        <v>218727</v>
      </c>
      <c r="C810" s="117" t="s">
        <v>129</v>
      </c>
      <c r="D810" s="57">
        <v>43158</v>
      </c>
      <c r="E810" s="160" t="s">
        <v>1931</v>
      </c>
      <c r="F810" s="222">
        <v>43164</v>
      </c>
      <c r="G810" s="221">
        <f t="shared" si="39"/>
        <v>6</v>
      </c>
      <c r="H810" s="221" t="s">
        <v>133</v>
      </c>
      <c r="I810" s="117"/>
      <c r="J810" s="146" t="s">
        <v>614</v>
      </c>
      <c r="K810" s="94">
        <v>2840</v>
      </c>
      <c r="L810" s="146">
        <v>2840</v>
      </c>
      <c r="M810" s="117"/>
      <c r="N810" s="117"/>
      <c r="O810" s="227">
        <f t="shared" si="42"/>
        <v>0</v>
      </c>
      <c r="P810" s="119"/>
      <c r="Q810" s="119"/>
      <c r="R810" s="221" t="s">
        <v>134</v>
      </c>
      <c r="S810" s="225" t="s">
        <v>465</v>
      </c>
      <c r="T810" s="117" t="s">
        <v>88</v>
      </c>
      <c r="U810" s="221" t="s">
        <v>2195</v>
      </c>
      <c r="V810" s="221" t="s">
        <v>429</v>
      </c>
      <c r="W810" s="117"/>
      <c r="X810" s="117"/>
      <c r="Y810" s="117"/>
      <c r="Z810" s="117" t="s">
        <v>189</v>
      </c>
      <c r="AA810" s="117"/>
      <c r="AB810" s="117"/>
      <c r="AC810" s="63">
        <f t="shared" si="43"/>
        <v>0</v>
      </c>
      <c r="AD810" s="117"/>
      <c r="AE810" s="221" t="s">
        <v>217</v>
      </c>
      <c r="AF810" s="117" t="s">
        <v>225</v>
      </c>
      <c r="AG810" s="117"/>
      <c r="AH810" s="64"/>
      <c r="AI810" s="117"/>
      <c r="AJ810" s="117"/>
      <c r="AK810" s="117"/>
      <c r="AL810" s="117"/>
      <c r="AM810" s="117"/>
    </row>
    <row r="811" spans="1:39" ht="12.75" hidden="1" customHeight="1">
      <c r="A811" s="147">
        <v>810</v>
      </c>
      <c r="B811" s="223">
        <v>219204</v>
      </c>
      <c r="C811" s="221" t="s">
        <v>129</v>
      </c>
      <c r="D811" s="57">
        <v>43158</v>
      </c>
      <c r="E811" s="160" t="s">
        <v>1931</v>
      </c>
      <c r="F811" s="222">
        <v>43173</v>
      </c>
      <c r="G811" s="221">
        <f t="shared" si="39"/>
        <v>15</v>
      </c>
      <c r="H811" s="221" t="s">
        <v>133</v>
      </c>
      <c r="I811" s="117"/>
      <c r="J811" s="146" t="s">
        <v>614</v>
      </c>
      <c r="K811" s="94">
        <v>3609</v>
      </c>
      <c r="L811" s="146"/>
      <c r="M811" s="117">
        <v>345</v>
      </c>
      <c r="N811" s="117">
        <v>220</v>
      </c>
      <c r="O811" s="227">
        <f t="shared" si="42"/>
        <v>3047.46</v>
      </c>
      <c r="P811" s="119"/>
      <c r="Q811" s="119"/>
      <c r="R811" s="221" t="s">
        <v>134</v>
      </c>
      <c r="S811" s="225" t="s">
        <v>465</v>
      </c>
      <c r="T811" s="221" t="s">
        <v>88</v>
      </c>
      <c r="U811" s="221" t="s">
        <v>2196</v>
      </c>
      <c r="V811" s="221" t="s">
        <v>429</v>
      </c>
      <c r="W811" s="117"/>
      <c r="X811" s="117"/>
      <c r="Y811" s="117" t="s">
        <v>3</v>
      </c>
      <c r="Z811" s="221" t="s">
        <v>189</v>
      </c>
      <c r="AA811" s="222">
        <v>43160</v>
      </c>
      <c r="AB811" s="117" t="s">
        <v>140</v>
      </c>
      <c r="AC811" s="63">
        <f t="shared" si="43"/>
        <v>1</v>
      </c>
      <c r="AD811" s="117" t="s">
        <v>217</v>
      </c>
      <c r="AE811" s="117" t="s">
        <v>218</v>
      </c>
      <c r="AF811" s="117"/>
      <c r="AG811" s="117"/>
      <c r="AH811" s="64"/>
      <c r="AI811" s="117"/>
      <c r="AJ811" s="117"/>
      <c r="AK811" s="117"/>
      <c r="AL811" s="117"/>
      <c r="AM811" s="117"/>
    </row>
    <row r="812" spans="1:39" ht="12.75" hidden="1" customHeight="1">
      <c r="A812" s="147">
        <v>811</v>
      </c>
      <c r="B812" s="223">
        <v>219475</v>
      </c>
      <c r="C812" s="221" t="s">
        <v>129</v>
      </c>
      <c r="D812" s="57">
        <v>43158</v>
      </c>
      <c r="E812" s="160" t="s">
        <v>1931</v>
      </c>
      <c r="F812" s="222">
        <v>43187</v>
      </c>
      <c r="G812" s="221">
        <f t="shared" si="39"/>
        <v>29</v>
      </c>
      <c r="H812" s="221" t="s">
        <v>133</v>
      </c>
      <c r="I812" s="117"/>
      <c r="J812" s="146" t="s">
        <v>614</v>
      </c>
      <c r="K812" s="94">
        <v>2649</v>
      </c>
      <c r="L812" s="146">
        <v>2649</v>
      </c>
      <c r="M812" s="117"/>
      <c r="N812" s="117"/>
      <c r="O812" s="227">
        <f t="shared" si="42"/>
        <v>0</v>
      </c>
      <c r="P812" s="119"/>
      <c r="Q812" s="119"/>
      <c r="R812" s="221" t="s">
        <v>134</v>
      </c>
      <c r="S812" s="225" t="s">
        <v>465</v>
      </c>
      <c r="T812" s="221" t="s">
        <v>88</v>
      </c>
      <c r="U812" s="221" t="s">
        <v>2197</v>
      </c>
      <c r="V812" s="221" t="s">
        <v>429</v>
      </c>
      <c r="W812" s="117"/>
      <c r="X812" s="117"/>
      <c r="Y812" s="117"/>
      <c r="Z812" s="221" t="s">
        <v>189</v>
      </c>
      <c r="AA812" s="117"/>
      <c r="AB812" s="117"/>
      <c r="AC812" s="63">
        <f t="shared" si="43"/>
        <v>0</v>
      </c>
      <c r="AD812" s="117"/>
      <c r="AE812" s="221" t="s">
        <v>217</v>
      </c>
      <c r="AF812" s="221" t="s">
        <v>225</v>
      </c>
      <c r="AG812" s="117"/>
      <c r="AH812" s="64"/>
      <c r="AI812" s="117"/>
      <c r="AJ812" s="117"/>
      <c r="AK812" s="117"/>
      <c r="AL812" s="117"/>
      <c r="AM812" s="117"/>
    </row>
    <row r="813" spans="1:39" ht="12.75" hidden="1" customHeight="1">
      <c r="A813" s="147">
        <v>812</v>
      </c>
      <c r="B813" s="223">
        <v>219612</v>
      </c>
      <c r="C813" s="221" t="s">
        <v>129</v>
      </c>
      <c r="D813" s="57">
        <v>43158</v>
      </c>
      <c r="E813" s="160" t="s">
        <v>1931</v>
      </c>
      <c r="F813" s="222">
        <v>43171</v>
      </c>
      <c r="G813" s="221">
        <f t="shared" si="39"/>
        <v>13</v>
      </c>
      <c r="H813" s="221" t="s">
        <v>133</v>
      </c>
      <c r="I813" s="117"/>
      <c r="J813" s="146" t="s">
        <v>614</v>
      </c>
      <c r="K813" s="94">
        <v>3299</v>
      </c>
      <c r="L813" s="146">
        <v>3299</v>
      </c>
      <c r="M813" s="117"/>
      <c r="N813" s="117"/>
      <c r="O813" s="227">
        <f t="shared" si="42"/>
        <v>0</v>
      </c>
      <c r="P813" s="119"/>
      <c r="Q813" s="119"/>
      <c r="R813" s="221" t="s">
        <v>134</v>
      </c>
      <c r="S813" s="225" t="s">
        <v>465</v>
      </c>
      <c r="T813" s="221" t="s">
        <v>88</v>
      </c>
      <c r="U813" s="221" t="s">
        <v>1461</v>
      </c>
      <c r="V813" s="221" t="s">
        <v>429</v>
      </c>
      <c r="W813" s="117"/>
      <c r="X813" s="117"/>
      <c r="Y813" s="117"/>
      <c r="Z813" s="221" t="s">
        <v>189</v>
      </c>
      <c r="AA813" s="117"/>
      <c r="AB813" s="117"/>
      <c r="AC813" s="63">
        <f t="shared" si="43"/>
        <v>0</v>
      </c>
      <c r="AD813" s="117"/>
      <c r="AE813" s="221" t="s">
        <v>217</v>
      </c>
      <c r="AF813" s="221" t="s">
        <v>225</v>
      </c>
      <c r="AG813" s="117"/>
      <c r="AH813" s="64"/>
      <c r="AI813" s="117"/>
      <c r="AJ813" s="117"/>
      <c r="AK813" s="117"/>
      <c r="AL813" s="117"/>
      <c r="AM813" s="117"/>
    </row>
    <row r="814" spans="1:39" ht="12.75" hidden="1" customHeight="1">
      <c r="A814" s="147">
        <v>813</v>
      </c>
      <c r="B814" s="223">
        <v>219021</v>
      </c>
      <c r="C814" s="117" t="s">
        <v>1628</v>
      </c>
      <c r="D814" s="57">
        <v>43158</v>
      </c>
      <c r="E814" s="160" t="s">
        <v>1931</v>
      </c>
      <c r="F814" s="222">
        <v>43167</v>
      </c>
      <c r="G814" s="221">
        <f t="shared" si="39"/>
        <v>9</v>
      </c>
      <c r="H814" s="146" t="s">
        <v>133</v>
      </c>
      <c r="I814" s="117"/>
      <c r="J814" s="146" t="s">
        <v>614</v>
      </c>
      <c r="K814" s="94">
        <v>1274</v>
      </c>
      <c r="L814" s="146"/>
      <c r="M814" s="117">
        <v>90</v>
      </c>
      <c r="N814" s="117">
        <v>100</v>
      </c>
      <c r="O814" s="227">
        <f t="shared" si="42"/>
        <v>1097.56</v>
      </c>
      <c r="P814" s="119"/>
      <c r="Q814" s="119"/>
      <c r="R814" s="117" t="s">
        <v>275</v>
      </c>
      <c r="S814" s="225" t="s">
        <v>465</v>
      </c>
      <c r="T814" s="117" t="s">
        <v>1804</v>
      </c>
      <c r="U814" s="221" t="s">
        <v>2198</v>
      </c>
      <c r="V814" s="117" t="s">
        <v>2199</v>
      </c>
      <c r="W814" s="117"/>
      <c r="X814" s="117"/>
      <c r="Y814" s="117"/>
      <c r="Z814" s="117" t="s">
        <v>252</v>
      </c>
      <c r="AA814" s="222">
        <v>43164</v>
      </c>
      <c r="AB814" s="117" t="s">
        <v>872</v>
      </c>
      <c r="AC814" s="63">
        <f t="shared" si="43"/>
        <v>1</v>
      </c>
      <c r="AD814" s="117" t="s">
        <v>217</v>
      </c>
      <c r="AE814" s="117" t="s">
        <v>218</v>
      </c>
      <c r="AF814" s="117"/>
      <c r="AG814" s="117"/>
      <c r="AH814" s="64"/>
      <c r="AI814" s="117"/>
      <c r="AJ814" s="117"/>
      <c r="AK814" s="117"/>
      <c r="AL814" s="117"/>
      <c r="AM814" s="117"/>
    </row>
    <row r="815" spans="1:39" ht="12.75" hidden="1" customHeight="1">
      <c r="A815" s="147">
        <v>814</v>
      </c>
      <c r="B815" s="223">
        <v>219212</v>
      </c>
      <c r="C815" s="117" t="s">
        <v>128</v>
      </c>
      <c r="D815" s="57">
        <v>43159</v>
      </c>
      <c r="E815" s="160" t="s">
        <v>1931</v>
      </c>
      <c r="F815" s="222">
        <v>43171</v>
      </c>
      <c r="G815" s="221">
        <f t="shared" si="39"/>
        <v>12</v>
      </c>
      <c r="H815" s="146" t="s">
        <v>363</v>
      </c>
      <c r="I815" s="117"/>
      <c r="J815" s="146" t="s">
        <v>614</v>
      </c>
      <c r="K815" s="94"/>
      <c r="L815" s="146"/>
      <c r="M815" s="117"/>
      <c r="N815" s="117"/>
      <c r="O815" s="227">
        <f t="shared" si="42"/>
        <v>0</v>
      </c>
      <c r="P815" s="119"/>
      <c r="Q815" s="119"/>
      <c r="R815" s="117" t="s">
        <v>237</v>
      </c>
      <c r="S815" s="225" t="s">
        <v>465</v>
      </c>
      <c r="T815" s="117" t="s">
        <v>358</v>
      </c>
      <c r="U815" s="221" t="s">
        <v>2200</v>
      </c>
      <c r="V815" s="117" t="s">
        <v>2201</v>
      </c>
      <c r="W815" s="117"/>
      <c r="X815" s="117"/>
      <c r="Y815" s="117"/>
      <c r="Z815" s="117" t="s">
        <v>246</v>
      </c>
      <c r="AA815" s="117"/>
      <c r="AB815" s="117"/>
      <c r="AC815" s="63">
        <f t="shared" si="43"/>
        <v>0</v>
      </c>
      <c r="AD815" s="117"/>
      <c r="AE815" s="117"/>
      <c r="AF815" s="117"/>
      <c r="AG815" s="117"/>
      <c r="AH815" s="64" t="s">
        <v>2213</v>
      </c>
      <c r="AI815" s="117"/>
      <c r="AJ815" s="117"/>
      <c r="AK815" s="117"/>
      <c r="AL815" s="117"/>
      <c r="AM815" s="117"/>
    </row>
    <row r="816" spans="1:39" ht="12.75" hidden="1" customHeight="1">
      <c r="A816" s="147">
        <v>815</v>
      </c>
      <c r="B816" s="223">
        <v>219861</v>
      </c>
      <c r="C816" s="117" t="s">
        <v>128</v>
      </c>
      <c r="D816" s="57">
        <v>43160</v>
      </c>
      <c r="E816" s="160" t="s">
        <v>2206</v>
      </c>
      <c r="F816" s="222">
        <v>43175</v>
      </c>
      <c r="G816" s="221">
        <f t="shared" ref="G816:G879" si="44">F816-D816</f>
        <v>15</v>
      </c>
      <c r="H816" s="146" t="s">
        <v>133</v>
      </c>
      <c r="I816" s="117"/>
      <c r="J816" s="146" t="s">
        <v>614</v>
      </c>
      <c r="K816" s="94">
        <v>1671</v>
      </c>
      <c r="L816" s="146"/>
      <c r="M816" s="117">
        <v>368</v>
      </c>
      <c r="N816" s="117">
        <v>112</v>
      </c>
      <c r="O816" s="227">
        <f t="shared" si="42"/>
        <v>1202.74</v>
      </c>
      <c r="P816" s="119"/>
      <c r="Q816" s="119"/>
      <c r="R816" s="221" t="s">
        <v>210</v>
      </c>
      <c r="S816" s="225" t="s">
        <v>469</v>
      </c>
      <c r="T816" s="117" t="s">
        <v>114</v>
      </c>
      <c r="U816" s="221" t="s">
        <v>2202</v>
      </c>
      <c r="V816" s="117" t="s">
        <v>249</v>
      </c>
      <c r="W816" s="117"/>
      <c r="X816" s="117"/>
      <c r="Y816" s="221" t="s">
        <v>1942</v>
      </c>
      <c r="Z816" s="117" t="s">
        <v>315</v>
      </c>
      <c r="AA816" s="222">
        <v>43160</v>
      </c>
      <c r="AB816" s="117" t="s">
        <v>195</v>
      </c>
      <c r="AC816" s="63">
        <f t="shared" si="43"/>
        <v>1</v>
      </c>
      <c r="AD816" s="117" t="s">
        <v>217</v>
      </c>
      <c r="AE816" s="117" t="s">
        <v>218</v>
      </c>
      <c r="AF816" s="117"/>
      <c r="AG816" s="117"/>
      <c r="AH816" s="64"/>
      <c r="AI816" s="117"/>
      <c r="AJ816" s="117"/>
      <c r="AK816" s="117"/>
      <c r="AL816" s="117"/>
      <c r="AM816" s="117"/>
    </row>
    <row r="817" spans="1:39" ht="12.75" hidden="1" customHeight="1">
      <c r="A817" s="147">
        <v>816</v>
      </c>
      <c r="B817" s="60">
        <v>219281</v>
      </c>
      <c r="C817" s="117" t="s">
        <v>1628</v>
      </c>
      <c r="D817" s="57">
        <v>43160</v>
      </c>
      <c r="E817" s="160" t="s">
        <v>2206</v>
      </c>
      <c r="F817" s="222">
        <v>43174</v>
      </c>
      <c r="G817" s="221">
        <f t="shared" si="44"/>
        <v>14</v>
      </c>
      <c r="H817" s="146" t="s">
        <v>133</v>
      </c>
      <c r="I817" s="117"/>
      <c r="J817" s="146" t="s">
        <v>614</v>
      </c>
      <c r="K817" s="94"/>
      <c r="L817" s="146"/>
      <c r="M817" s="117"/>
      <c r="N817" s="117"/>
      <c r="O817" s="227">
        <f t="shared" si="42"/>
        <v>0</v>
      </c>
      <c r="P817" s="119"/>
      <c r="Q817" s="119"/>
      <c r="R817" s="221" t="s">
        <v>122</v>
      </c>
      <c r="S817" s="225" t="s">
        <v>469</v>
      </c>
      <c r="T817" s="221" t="s">
        <v>114</v>
      </c>
      <c r="U817" s="221" t="s">
        <v>2203</v>
      </c>
      <c r="V817" s="221" t="s">
        <v>222</v>
      </c>
      <c r="W817" s="117"/>
      <c r="X817" s="117"/>
      <c r="Y817" s="117"/>
      <c r="Z817" s="117" t="s">
        <v>203</v>
      </c>
      <c r="AA817" s="117"/>
      <c r="AB817" s="117"/>
      <c r="AC817" s="63">
        <f t="shared" si="43"/>
        <v>0</v>
      </c>
      <c r="AD817" s="117"/>
      <c r="AE817" s="221" t="s">
        <v>217</v>
      </c>
      <c r="AF817" s="117" t="s">
        <v>225</v>
      </c>
      <c r="AG817" s="117"/>
      <c r="AH817" s="64"/>
      <c r="AI817" s="117"/>
      <c r="AJ817" s="117"/>
      <c r="AK817" s="117"/>
      <c r="AL817" s="117"/>
      <c r="AM817" s="117"/>
    </row>
    <row r="818" spans="1:39" ht="12.75" hidden="1" customHeight="1">
      <c r="A818" s="147">
        <v>817</v>
      </c>
      <c r="B818" s="223">
        <v>219871</v>
      </c>
      <c r="C818" s="221" t="s">
        <v>128</v>
      </c>
      <c r="D818" s="57">
        <v>43160</v>
      </c>
      <c r="E818" s="160" t="s">
        <v>2206</v>
      </c>
      <c r="F818" s="222">
        <v>43185</v>
      </c>
      <c r="G818" s="221">
        <f t="shared" si="44"/>
        <v>25</v>
      </c>
      <c r="H818" s="146" t="s">
        <v>363</v>
      </c>
      <c r="I818" s="117"/>
      <c r="J818" s="146" t="s">
        <v>614</v>
      </c>
      <c r="K818" s="94"/>
      <c r="L818" s="146"/>
      <c r="M818" s="117"/>
      <c r="N818" s="117"/>
      <c r="O818" s="227">
        <f t="shared" si="42"/>
        <v>0</v>
      </c>
      <c r="P818" s="119"/>
      <c r="Q818" s="119"/>
      <c r="R818" s="221" t="s">
        <v>143</v>
      </c>
      <c r="S818" s="225" t="s">
        <v>465</v>
      </c>
      <c r="T818" s="221" t="s">
        <v>88</v>
      </c>
      <c r="U818" s="221" t="s">
        <v>1285</v>
      </c>
      <c r="V818" s="221" t="s">
        <v>432</v>
      </c>
      <c r="W818" s="117"/>
      <c r="X818" s="117"/>
      <c r="Y818" s="117"/>
      <c r="Z818" s="117" t="s">
        <v>379</v>
      </c>
      <c r="AA818" s="117"/>
      <c r="AB818" s="117"/>
      <c r="AC818" s="63">
        <f t="shared" si="43"/>
        <v>0</v>
      </c>
      <c r="AD818" s="117"/>
      <c r="AE818" s="117"/>
      <c r="AF818" s="117"/>
      <c r="AG818" s="117"/>
      <c r="AH818" s="64" t="s">
        <v>2212</v>
      </c>
      <c r="AI818" s="117"/>
      <c r="AJ818" s="117"/>
      <c r="AK818" s="117"/>
      <c r="AL818" s="117"/>
      <c r="AM818" s="117"/>
    </row>
    <row r="819" spans="1:39" ht="12.75" hidden="1" customHeight="1">
      <c r="A819" s="147">
        <v>818</v>
      </c>
      <c r="B819" s="223">
        <v>219868</v>
      </c>
      <c r="C819" s="221" t="s">
        <v>128</v>
      </c>
      <c r="D819" s="57">
        <v>43160</v>
      </c>
      <c r="E819" s="160" t="s">
        <v>2206</v>
      </c>
      <c r="F819" s="222">
        <v>43185</v>
      </c>
      <c r="G819" s="221">
        <f t="shared" si="44"/>
        <v>25</v>
      </c>
      <c r="H819" s="146" t="s">
        <v>363</v>
      </c>
      <c r="I819" s="117"/>
      <c r="J819" s="146" t="s">
        <v>614</v>
      </c>
      <c r="K819" s="94"/>
      <c r="L819" s="146"/>
      <c r="M819" s="117"/>
      <c r="N819" s="117"/>
      <c r="O819" s="227">
        <f t="shared" si="42"/>
        <v>0</v>
      </c>
      <c r="P819" s="119"/>
      <c r="Q819" s="119"/>
      <c r="R819" s="221" t="s">
        <v>143</v>
      </c>
      <c r="S819" s="225" t="s">
        <v>465</v>
      </c>
      <c r="T819" s="221" t="s">
        <v>88</v>
      </c>
      <c r="U819" s="221" t="s">
        <v>1285</v>
      </c>
      <c r="V819" s="221" t="s">
        <v>432</v>
      </c>
      <c r="W819" s="117"/>
      <c r="X819" s="117"/>
      <c r="Y819" s="117"/>
      <c r="Z819" s="221" t="s">
        <v>379</v>
      </c>
      <c r="AA819" s="117"/>
      <c r="AB819" s="117"/>
      <c r="AC819" s="63">
        <f t="shared" si="43"/>
        <v>0</v>
      </c>
      <c r="AD819" s="117"/>
      <c r="AE819" s="117"/>
      <c r="AF819" s="117"/>
      <c r="AG819" s="117"/>
      <c r="AH819" s="64" t="s">
        <v>2212</v>
      </c>
      <c r="AI819" s="117"/>
      <c r="AJ819" s="117"/>
      <c r="AK819" s="117"/>
      <c r="AL819" s="117"/>
      <c r="AM819" s="117"/>
    </row>
    <row r="820" spans="1:39" ht="12.75" hidden="1" customHeight="1">
      <c r="A820" s="147">
        <v>819</v>
      </c>
      <c r="B820" s="223">
        <v>219799</v>
      </c>
      <c r="C820" s="117" t="s">
        <v>1628</v>
      </c>
      <c r="D820" s="57">
        <v>43160</v>
      </c>
      <c r="E820" s="160" t="s">
        <v>2206</v>
      </c>
      <c r="F820" s="222">
        <v>43175</v>
      </c>
      <c r="G820" s="221">
        <f t="shared" si="44"/>
        <v>15</v>
      </c>
      <c r="H820" s="146" t="s">
        <v>363</v>
      </c>
      <c r="I820" s="117"/>
      <c r="J820" s="146" t="s">
        <v>614</v>
      </c>
      <c r="K820" s="94"/>
      <c r="L820" s="146"/>
      <c r="M820" s="117"/>
      <c r="N820" s="117"/>
      <c r="O820" s="227">
        <f t="shared" si="42"/>
        <v>0</v>
      </c>
      <c r="P820" s="119"/>
      <c r="Q820" s="119"/>
      <c r="R820" s="221" t="s">
        <v>143</v>
      </c>
      <c r="S820" s="225" t="s">
        <v>465</v>
      </c>
      <c r="T820" s="221" t="s">
        <v>88</v>
      </c>
      <c r="U820" s="221" t="s">
        <v>488</v>
      </c>
      <c r="V820" s="221" t="s">
        <v>432</v>
      </c>
      <c r="W820" s="117"/>
      <c r="X820" s="117"/>
      <c r="Y820" s="117"/>
      <c r="Z820" s="117" t="s">
        <v>252</v>
      </c>
      <c r="AA820" s="117"/>
      <c r="AB820" s="117"/>
      <c r="AC820" s="63">
        <f t="shared" si="43"/>
        <v>0</v>
      </c>
      <c r="AD820" s="117"/>
      <c r="AE820" s="117"/>
      <c r="AF820" s="117"/>
      <c r="AG820" s="117"/>
      <c r="AH820" s="64" t="s">
        <v>2210</v>
      </c>
      <c r="AI820" s="117"/>
      <c r="AJ820" s="117"/>
      <c r="AK820" s="117"/>
      <c r="AL820" s="117"/>
      <c r="AM820" s="117"/>
    </row>
    <row r="821" spans="1:39" ht="12.75" hidden="1" customHeight="1">
      <c r="A821" s="147">
        <v>820</v>
      </c>
      <c r="B821" s="223">
        <v>219601</v>
      </c>
      <c r="C821" s="117" t="s">
        <v>1628</v>
      </c>
      <c r="D821" s="57">
        <v>43160</v>
      </c>
      <c r="E821" s="160" t="s">
        <v>2206</v>
      </c>
      <c r="F821" s="222">
        <v>43174</v>
      </c>
      <c r="G821" s="221">
        <f t="shared" si="44"/>
        <v>14</v>
      </c>
      <c r="H821" s="146" t="s">
        <v>133</v>
      </c>
      <c r="I821" s="117"/>
      <c r="J821" s="146" t="s">
        <v>614</v>
      </c>
      <c r="K821" s="94">
        <v>2099</v>
      </c>
      <c r="L821" s="146"/>
      <c r="M821" s="117">
        <v>166.4</v>
      </c>
      <c r="N821" s="117">
        <v>80</v>
      </c>
      <c r="O821" s="227">
        <f t="shared" si="42"/>
        <v>1806.6599999999999</v>
      </c>
      <c r="P821" s="119"/>
      <c r="Q821" s="119"/>
      <c r="R821" s="117" t="s">
        <v>134</v>
      </c>
      <c r="S821" s="225" t="s">
        <v>465</v>
      </c>
      <c r="T821" s="117" t="s">
        <v>114</v>
      </c>
      <c r="U821" s="221" t="s">
        <v>2204</v>
      </c>
      <c r="V821" s="117" t="s">
        <v>136</v>
      </c>
      <c r="W821" s="117"/>
      <c r="X821" s="117"/>
      <c r="Y821" s="117" t="s">
        <v>91</v>
      </c>
      <c r="Z821" s="117" t="s">
        <v>170</v>
      </c>
      <c r="AA821" s="222">
        <v>43167</v>
      </c>
      <c r="AB821" s="117" t="s">
        <v>2234</v>
      </c>
      <c r="AC821" s="63">
        <f t="shared" si="43"/>
        <v>1</v>
      </c>
      <c r="AD821" s="117" t="s">
        <v>217</v>
      </c>
      <c r="AE821" s="117" t="s">
        <v>218</v>
      </c>
      <c r="AF821" s="117"/>
      <c r="AG821" s="117"/>
      <c r="AH821" s="64"/>
      <c r="AI821" s="117"/>
      <c r="AJ821" s="117"/>
      <c r="AK821" s="117"/>
      <c r="AL821" s="117"/>
      <c r="AM821" s="117"/>
    </row>
    <row r="822" spans="1:39" ht="12.75" hidden="1" customHeight="1">
      <c r="A822" s="147">
        <v>821</v>
      </c>
      <c r="B822" s="223">
        <v>219002</v>
      </c>
      <c r="C822" s="117" t="s">
        <v>1628</v>
      </c>
      <c r="D822" s="57">
        <v>43160</v>
      </c>
      <c r="E822" s="160" t="s">
        <v>2206</v>
      </c>
      <c r="F822" s="222">
        <v>43171</v>
      </c>
      <c r="G822" s="221">
        <f t="shared" si="44"/>
        <v>11</v>
      </c>
      <c r="H822" s="146" t="s">
        <v>133</v>
      </c>
      <c r="I822" s="117"/>
      <c r="J822" s="146" t="s">
        <v>614</v>
      </c>
      <c r="K822" s="94"/>
      <c r="L822" s="146"/>
      <c r="M822" s="117"/>
      <c r="N822" s="117"/>
      <c r="O822" s="227">
        <f t="shared" si="42"/>
        <v>0</v>
      </c>
      <c r="P822" s="119"/>
      <c r="Q822" s="119"/>
      <c r="R822" s="221" t="s">
        <v>122</v>
      </c>
      <c r="S822" s="225" t="s">
        <v>469</v>
      </c>
      <c r="T822" s="221" t="s">
        <v>164</v>
      </c>
      <c r="U822" s="221" t="s">
        <v>1386</v>
      </c>
      <c r="V822" s="117" t="s">
        <v>222</v>
      </c>
      <c r="W822" s="117"/>
      <c r="X822" s="117"/>
      <c r="Y822" s="117"/>
      <c r="Z822" s="117" t="s">
        <v>404</v>
      </c>
      <c r="AA822" s="117"/>
      <c r="AB822" s="117"/>
      <c r="AC822" s="63">
        <f t="shared" si="43"/>
        <v>0</v>
      </c>
      <c r="AD822" s="117"/>
      <c r="AE822" s="221" t="s">
        <v>217</v>
      </c>
      <c r="AF822" s="117" t="s">
        <v>225</v>
      </c>
      <c r="AG822" s="117"/>
      <c r="AH822" s="64"/>
      <c r="AI822" s="117"/>
      <c r="AJ822" s="117"/>
      <c r="AK822" s="117"/>
      <c r="AL822" s="117"/>
      <c r="AM822" s="117"/>
    </row>
    <row r="823" spans="1:39" ht="12.75" hidden="1" customHeight="1">
      <c r="A823" s="147">
        <v>822</v>
      </c>
      <c r="B823" s="223">
        <v>219897</v>
      </c>
      <c r="C823" s="117" t="s">
        <v>128</v>
      </c>
      <c r="D823" s="57">
        <v>43160</v>
      </c>
      <c r="E823" s="160" t="s">
        <v>2206</v>
      </c>
      <c r="F823" s="222">
        <v>43175</v>
      </c>
      <c r="G823" s="221">
        <f t="shared" si="44"/>
        <v>15</v>
      </c>
      <c r="H823" s="146" t="s">
        <v>133</v>
      </c>
      <c r="I823" s="117"/>
      <c r="J823" s="146" t="s">
        <v>614</v>
      </c>
      <c r="K823" s="94">
        <v>2299</v>
      </c>
      <c r="L823" s="146"/>
      <c r="M823" s="117"/>
      <c r="N823" s="117"/>
      <c r="O823" s="227">
        <f t="shared" si="42"/>
        <v>0</v>
      </c>
      <c r="P823" s="119"/>
      <c r="Q823" s="119"/>
      <c r="R823" s="221" t="s">
        <v>134</v>
      </c>
      <c r="S823" s="225" t="s">
        <v>465</v>
      </c>
      <c r="T823" s="221" t="s">
        <v>114</v>
      </c>
      <c r="U823" s="221" t="s">
        <v>2207</v>
      </c>
      <c r="V823" s="117" t="s">
        <v>90</v>
      </c>
      <c r="W823" s="117"/>
      <c r="X823" s="117"/>
      <c r="Y823" s="117"/>
      <c r="Z823" s="117" t="s">
        <v>367</v>
      </c>
      <c r="AA823" s="117"/>
      <c r="AB823" s="117"/>
      <c r="AC823" s="63">
        <f t="shared" si="43"/>
        <v>0</v>
      </c>
      <c r="AD823" s="117"/>
      <c r="AE823" s="117" t="s">
        <v>217</v>
      </c>
      <c r="AF823" s="117" t="s">
        <v>225</v>
      </c>
      <c r="AG823" s="117"/>
      <c r="AH823" s="64"/>
      <c r="AI823" s="117"/>
      <c r="AJ823" s="117"/>
      <c r="AK823" s="117"/>
      <c r="AL823" s="117"/>
      <c r="AM823" s="117"/>
    </row>
    <row r="824" spans="1:39" ht="12.75" hidden="1" customHeight="1">
      <c r="A824" s="147">
        <v>823</v>
      </c>
      <c r="B824" s="60">
        <v>218924</v>
      </c>
      <c r="C824" s="117" t="s">
        <v>128</v>
      </c>
      <c r="D824" s="57">
        <v>43160</v>
      </c>
      <c r="E824" s="160" t="s">
        <v>2206</v>
      </c>
      <c r="F824" s="222">
        <v>43169</v>
      </c>
      <c r="G824" s="221">
        <f t="shared" si="44"/>
        <v>9</v>
      </c>
      <c r="H824" s="146" t="s">
        <v>363</v>
      </c>
      <c r="I824" s="117"/>
      <c r="J824" s="146" t="s">
        <v>614</v>
      </c>
      <c r="K824" s="94"/>
      <c r="L824" s="146"/>
      <c r="M824" s="117"/>
      <c r="N824" s="117"/>
      <c r="O824" s="227">
        <f t="shared" ref="O824:O852" si="45">IF(AE824="Reemplazo",0,K824-(K824*0.12*0.5)-(MAX(M824,N824)))</f>
        <v>0</v>
      </c>
      <c r="P824" s="119"/>
      <c r="Q824" s="119"/>
      <c r="R824" s="221" t="s">
        <v>134</v>
      </c>
      <c r="S824" s="225" t="s">
        <v>465</v>
      </c>
      <c r="T824" s="117" t="s">
        <v>144</v>
      </c>
      <c r="U824" s="221" t="s">
        <v>2208</v>
      </c>
      <c r="V824" s="117" t="s">
        <v>309</v>
      </c>
      <c r="W824" s="117"/>
      <c r="X824" s="117"/>
      <c r="Y824" s="117"/>
      <c r="Z824" s="117" t="s">
        <v>137</v>
      </c>
      <c r="AA824" s="117"/>
      <c r="AB824" s="117"/>
      <c r="AC824" s="63">
        <f t="shared" si="43"/>
        <v>0</v>
      </c>
      <c r="AD824" s="117"/>
      <c r="AE824" s="117"/>
      <c r="AF824" s="117"/>
      <c r="AG824" s="117"/>
      <c r="AH824" s="64"/>
      <c r="AI824" s="117"/>
      <c r="AJ824" s="117"/>
      <c r="AK824" s="117"/>
      <c r="AL824" s="117"/>
      <c r="AM824" s="117"/>
    </row>
    <row r="825" spans="1:39" ht="12.75" hidden="1" customHeight="1">
      <c r="A825" s="147">
        <v>824</v>
      </c>
      <c r="B825" s="223">
        <v>219523</v>
      </c>
      <c r="C825" s="117" t="s">
        <v>1628</v>
      </c>
      <c r="D825" s="57">
        <v>43161</v>
      </c>
      <c r="E825" s="160" t="s">
        <v>2206</v>
      </c>
      <c r="F825" s="222">
        <v>43174</v>
      </c>
      <c r="G825" s="221">
        <f t="shared" si="44"/>
        <v>13</v>
      </c>
      <c r="H825" s="146" t="s">
        <v>133</v>
      </c>
      <c r="I825" s="117"/>
      <c r="J825" s="146" t="s">
        <v>614</v>
      </c>
      <c r="K825" s="94">
        <v>1999</v>
      </c>
      <c r="L825" s="146"/>
      <c r="M825" s="117">
        <v>270</v>
      </c>
      <c r="N825" s="117">
        <v>160</v>
      </c>
      <c r="O825" s="227">
        <f t="shared" si="45"/>
        <v>1609.06</v>
      </c>
      <c r="P825" s="119"/>
      <c r="Q825" s="119"/>
      <c r="R825" s="117" t="s">
        <v>122</v>
      </c>
      <c r="S825" s="225" t="s">
        <v>469</v>
      </c>
      <c r="T825" s="117" t="s">
        <v>114</v>
      </c>
      <c r="U825" s="221" t="s">
        <v>197</v>
      </c>
      <c r="V825" s="221" t="s">
        <v>90</v>
      </c>
      <c r="W825" s="117"/>
      <c r="X825" s="117"/>
      <c r="Y825" s="221" t="s">
        <v>316</v>
      </c>
      <c r="Z825" s="117" t="s">
        <v>170</v>
      </c>
      <c r="AA825" s="222">
        <v>43164</v>
      </c>
      <c r="AB825" s="117" t="s">
        <v>140</v>
      </c>
      <c r="AC825" s="63">
        <f t="shared" si="43"/>
        <v>1</v>
      </c>
      <c r="AD825" s="117" t="s">
        <v>217</v>
      </c>
      <c r="AE825" s="117" t="s">
        <v>218</v>
      </c>
      <c r="AF825" s="117"/>
      <c r="AG825" s="117"/>
      <c r="AH825" s="64" t="s">
        <v>2246</v>
      </c>
      <c r="AI825" s="117"/>
      <c r="AJ825" s="117"/>
      <c r="AK825" s="117"/>
      <c r="AL825" s="117"/>
      <c r="AM825" s="117"/>
    </row>
    <row r="826" spans="1:39" ht="12.75" hidden="1" customHeight="1">
      <c r="A826" s="147">
        <v>825</v>
      </c>
      <c r="B826" s="223">
        <v>219079</v>
      </c>
      <c r="C826" s="117" t="s">
        <v>128</v>
      </c>
      <c r="D826" s="57">
        <v>43164</v>
      </c>
      <c r="E826" s="160" t="s">
        <v>2206</v>
      </c>
      <c r="F826" s="222">
        <v>43173</v>
      </c>
      <c r="G826" s="221">
        <f t="shared" si="44"/>
        <v>9</v>
      </c>
      <c r="H826" s="146" t="s">
        <v>133</v>
      </c>
      <c r="I826" s="117"/>
      <c r="J826" s="146" t="s">
        <v>614</v>
      </c>
      <c r="K826" s="94">
        <v>1269</v>
      </c>
      <c r="L826" s="146"/>
      <c r="M826" s="117">
        <v>310</v>
      </c>
      <c r="N826" s="117">
        <v>160</v>
      </c>
      <c r="O826" s="227">
        <f t="shared" si="45"/>
        <v>882.8599999999999</v>
      </c>
      <c r="P826" s="119"/>
      <c r="Q826" s="119"/>
      <c r="R826" s="221" t="s">
        <v>122</v>
      </c>
      <c r="S826" s="225" t="s">
        <v>469</v>
      </c>
      <c r="T826" s="221" t="s">
        <v>114</v>
      </c>
      <c r="U826" s="221" t="s">
        <v>2211</v>
      </c>
      <c r="V826" s="221" t="s">
        <v>90</v>
      </c>
      <c r="W826" s="117"/>
      <c r="X826" s="117"/>
      <c r="Y826" s="221" t="s">
        <v>316</v>
      </c>
      <c r="Z826" s="117" t="s">
        <v>1118</v>
      </c>
      <c r="AA826" s="222">
        <v>43166</v>
      </c>
      <c r="AB826" s="117" t="s">
        <v>140</v>
      </c>
      <c r="AC826" s="63">
        <f t="shared" si="43"/>
        <v>1</v>
      </c>
      <c r="AD826" s="117" t="s">
        <v>217</v>
      </c>
      <c r="AE826" s="117" t="s">
        <v>218</v>
      </c>
      <c r="AF826" s="117"/>
      <c r="AG826" s="117"/>
      <c r="AH826" s="64"/>
      <c r="AI826" s="117"/>
      <c r="AJ826" s="117"/>
      <c r="AK826" s="117"/>
      <c r="AL826" s="117"/>
      <c r="AM826" s="117"/>
    </row>
    <row r="827" spans="1:39" ht="12.75" hidden="1" customHeight="1">
      <c r="A827" s="147">
        <v>826</v>
      </c>
      <c r="B827" s="223">
        <v>219356</v>
      </c>
      <c r="C827" s="117" t="s">
        <v>1628</v>
      </c>
      <c r="D827" s="57">
        <v>43165</v>
      </c>
      <c r="E827" s="160" t="s">
        <v>2206</v>
      </c>
      <c r="F827" s="222">
        <v>43175</v>
      </c>
      <c r="G827" s="221">
        <f t="shared" si="44"/>
        <v>10</v>
      </c>
      <c r="H827" s="146" t="s">
        <v>133</v>
      </c>
      <c r="I827" s="117"/>
      <c r="J827" s="146" t="s">
        <v>614</v>
      </c>
      <c r="K827" s="94"/>
      <c r="L827" s="146"/>
      <c r="M827" s="117"/>
      <c r="N827" s="117"/>
      <c r="O827" s="227">
        <f t="shared" si="45"/>
        <v>0</v>
      </c>
      <c r="P827" s="119"/>
      <c r="Q827" s="119"/>
      <c r="R827" s="221" t="s">
        <v>122</v>
      </c>
      <c r="S827" s="225" t="s">
        <v>469</v>
      </c>
      <c r="T827" s="221" t="s">
        <v>114</v>
      </c>
      <c r="U827" s="221" t="s">
        <v>604</v>
      </c>
      <c r="V827" s="117" t="s">
        <v>222</v>
      </c>
      <c r="W827" s="117"/>
      <c r="X827" s="117"/>
      <c r="Y827" s="117"/>
      <c r="Z827" s="117" t="s">
        <v>170</v>
      </c>
      <c r="AA827" s="117"/>
      <c r="AB827" s="117"/>
      <c r="AC827" s="63">
        <f t="shared" si="43"/>
        <v>0</v>
      </c>
      <c r="AD827" s="117"/>
      <c r="AE827" s="117"/>
      <c r="AF827" s="117"/>
      <c r="AG827" s="117"/>
      <c r="AH827" s="64"/>
      <c r="AI827" s="117"/>
      <c r="AJ827" s="117"/>
      <c r="AK827" s="117"/>
      <c r="AL827" s="117"/>
      <c r="AM827" s="117"/>
    </row>
    <row r="828" spans="1:39" ht="12.75" hidden="1" customHeight="1">
      <c r="A828" s="147">
        <v>827</v>
      </c>
      <c r="B828" s="223">
        <v>217737</v>
      </c>
      <c r="C828" s="117" t="s">
        <v>128</v>
      </c>
      <c r="D828" s="57">
        <v>43154</v>
      </c>
      <c r="E828" s="160" t="s">
        <v>2206</v>
      </c>
      <c r="F828" s="222">
        <v>43169</v>
      </c>
      <c r="G828" s="221">
        <f t="shared" si="44"/>
        <v>15</v>
      </c>
      <c r="H828" s="146" t="s">
        <v>133</v>
      </c>
      <c r="I828" s="117"/>
      <c r="J828" s="146" t="s">
        <v>614</v>
      </c>
      <c r="K828" s="94">
        <v>999</v>
      </c>
      <c r="L828" s="146"/>
      <c r="M828" s="117">
        <v>295</v>
      </c>
      <c r="N828" s="117">
        <v>25</v>
      </c>
      <c r="O828" s="227">
        <f t="shared" si="45"/>
        <v>0</v>
      </c>
      <c r="P828" s="119"/>
      <c r="Q828" s="119"/>
      <c r="R828" s="117" t="s">
        <v>220</v>
      </c>
      <c r="S828" s="225" t="s">
        <v>469</v>
      </c>
      <c r="T828" s="117" t="s">
        <v>1106</v>
      </c>
      <c r="U828" s="221" t="s">
        <v>2228</v>
      </c>
      <c r="V828" s="117" t="s">
        <v>90</v>
      </c>
      <c r="W828" s="117"/>
      <c r="X828" s="117"/>
      <c r="Y828" s="117" t="s">
        <v>316</v>
      </c>
      <c r="Z828" s="117" t="s">
        <v>726</v>
      </c>
      <c r="AA828" s="222">
        <v>43167</v>
      </c>
      <c r="AB828" s="117" t="s">
        <v>195</v>
      </c>
      <c r="AC828" s="63">
        <f t="shared" si="43"/>
        <v>0</v>
      </c>
      <c r="AD828" s="117"/>
      <c r="AE828" s="117" t="s">
        <v>217</v>
      </c>
      <c r="AF828" s="117" t="s">
        <v>2252</v>
      </c>
      <c r="AG828" s="117"/>
      <c r="AH828" s="64"/>
      <c r="AI828" s="117"/>
      <c r="AJ828" s="117"/>
      <c r="AK828" s="117"/>
      <c r="AL828" s="117"/>
      <c r="AM828" s="117"/>
    </row>
    <row r="829" spans="1:39" ht="12.75" hidden="1" customHeight="1">
      <c r="A829" s="147">
        <v>828</v>
      </c>
      <c r="B829" s="223">
        <v>219239</v>
      </c>
      <c r="C829" s="117" t="s">
        <v>129</v>
      </c>
      <c r="D829" s="57">
        <v>43166</v>
      </c>
      <c r="E829" s="160" t="s">
        <v>2206</v>
      </c>
      <c r="F829" s="222">
        <v>43176</v>
      </c>
      <c r="G829" s="221">
        <f t="shared" si="44"/>
        <v>10</v>
      </c>
      <c r="H829" s="146" t="s">
        <v>363</v>
      </c>
      <c r="I829" s="117"/>
      <c r="J829" s="146" t="s">
        <v>614</v>
      </c>
      <c r="K829" s="94"/>
      <c r="L829" s="146"/>
      <c r="M829" s="117"/>
      <c r="N829" s="117"/>
      <c r="O829" s="227">
        <f t="shared" si="45"/>
        <v>0</v>
      </c>
      <c r="P829" s="119"/>
      <c r="Q829" s="119"/>
      <c r="R829" s="117" t="s">
        <v>143</v>
      </c>
      <c r="S829" s="225" t="s">
        <v>465</v>
      </c>
      <c r="T829" s="221" t="s">
        <v>88</v>
      </c>
      <c r="U829" s="221" t="s">
        <v>2219</v>
      </c>
      <c r="V829" s="117" t="s">
        <v>2223</v>
      </c>
      <c r="W829" s="117"/>
      <c r="X829" s="117"/>
      <c r="Y829" s="117"/>
      <c r="Z829" s="117" t="s">
        <v>189</v>
      </c>
      <c r="AA829" s="117"/>
      <c r="AB829" s="117"/>
      <c r="AC829" s="63">
        <f t="shared" si="43"/>
        <v>0</v>
      </c>
      <c r="AD829" s="117"/>
      <c r="AE829" s="117"/>
      <c r="AF829" s="117"/>
      <c r="AG829" s="117"/>
      <c r="AH829" s="64" t="s">
        <v>2239</v>
      </c>
      <c r="AI829" s="117"/>
      <c r="AJ829" s="117"/>
      <c r="AK829" s="117"/>
      <c r="AL829" s="117"/>
      <c r="AM829" s="117"/>
    </row>
    <row r="830" spans="1:39" ht="12.75" hidden="1" customHeight="1">
      <c r="A830" s="147">
        <v>829</v>
      </c>
      <c r="B830" s="223">
        <v>219451</v>
      </c>
      <c r="C830" s="221" t="s">
        <v>129</v>
      </c>
      <c r="D830" s="57">
        <v>43166</v>
      </c>
      <c r="E830" s="160" t="s">
        <v>2206</v>
      </c>
      <c r="F830" s="222">
        <v>43171</v>
      </c>
      <c r="G830" s="221">
        <f t="shared" si="44"/>
        <v>5</v>
      </c>
      <c r="H830" s="221" t="s">
        <v>133</v>
      </c>
      <c r="I830" s="117"/>
      <c r="J830" s="146" t="s">
        <v>614</v>
      </c>
      <c r="K830" s="94"/>
      <c r="L830" s="146"/>
      <c r="M830" s="117"/>
      <c r="N830" s="117"/>
      <c r="O830" s="227">
        <f t="shared" si="45"/>
        <v>0</v>
      </c>
      <c r="P830" s="119"/>
      <c r="Q830" s="119"/>
      <c r="R830" s="117" t="s">
        <v>143</v>
      </c>
      <c r="S830" s="225" t="s">
        <v>465</v>
      </c>
      <c r="T830" s="221" t="s">
        <v>88</v>
      </c>
      <c r="U830" s="221" t="s">
        <v>526</v>
      </c>
      <c r="V830" s="117" t="s">
        <v>2224</v>
      </c>
      <c r="W830" s="117"/>
      <c r="X830" s="117"/>
      <c r="Y830" s="117"/>
      <c r="Z830" s="221" t="s">
        <v>189</v>
      </c>
      <c r="AA830" s="117"/>
      <c r="AB830" s="117"/>
      <c r="AC830" s="63">
        <f t="shared" si="43"/>
        <v>0</v>
      </c>
      <c r="AD830" s="117"/>
      <c r="AE830" s="117" t="s">
        <v>217</v>
      </c>
      <c r="AF830" s="117" t="s">
        <v>225</v>
      </c>
      <c r="AG830" s="117"/>
      <c r="AH830" s="64"/>
      <c r="AI830" s="117"/>
      <c r="AJ830" s="117"/>
      <c r="AK830" s="117"/>
      <c r="AL830" s="117"/>
      <c r="AM830" s="117"/>
    </row>
    <row r="831" spans="1:39" ht="12.75" hidden="1" customHeight="1">
      <c r="A831" s="147">
        <v>830</v>
      </c>
      <c r="B831" s="223">
        <v>220076</v>
      </c>
      <c r="C831" s="221" t="s">
        <v>129</v>
      </c>
      <c r="D831" s="57">
        <v>43166</v>
      </c>
      <c r="E831" s="160" t="s">
        <v>2206</v>
      </c>
      <c r="F831" s="222">
        <v>43178</v>
      </c>
      <c r="G831" s="221">
        <f t="shared" si="44"/>
        <v>12</v>
      </c>
      <c r="H831" s="221" t="s">
        <v>133</v>
      </c>
      <c r="I831" s="117"/>
      <c r="J831" s="146" t="s">
        <v>614</v>
      </c>
      <c r="K831" s="94"/>
      <c r="L831" s="146"/>
      <c r="M831" s="117"/>
      <c r="N831" s="117"/>
      <c r="O831" s="227">
        <f t="shared" si="45"/>
        <v>0</v>
      </c>
      <c r="P831" s="119"/>
      <c r="Q831" s="119"/>
      <c r="R831" s="117" t="s">
        <v>143</v>
      </c>
      <c r="S831" s="225" t="s">
        <v>465</v>
      </c>
      <c r="T831" s="221" t="s">
        <v>88</v>
      </c>
      <c r="U831" s="221" t="s">
        <v>2222</v>
      </c>
      <c r="V831" s="117" t="s">
        <v>2229</v>
      </c>
      <c r="W831" s="117"/>
      <c r="X831" s="117"/>
      <c r="Y831" s="117"/>
      <c r="Z831" s="221" t="s">
        <v>189</v>
      </c>
      <c r="AA831" s="117"/>
      <c r="AB831" s="117"/>
      <c r="AC831" s="63">
        <f t="shared" si="43"/>
        <v>0</v>
      </c>
      <c r="AD831" s="117"/>
      <c r="AE831" s="117" t="s">
        <v>217</v>
      </c>
      <c r="AF831" s="117" t="s">
        <v>225</v>
      </c>
      <c r="AG831" s="117"/>
      <c r="AH831" s="64"/>
      <c r="AI831" s="117"/>
      <c r="AJ831" s="117"/>
      <c r="AK831" s="117"/>
      <c r="AL831" s="117"/>
      <c r="AM831" s="117"/>
    </row>
    <row r="832" spans="1:39" ht="12.75" hidden="1" customHeight="1">
      <c r="A832" s="147">
        <v>831</v>
      </c>
      <c r="B832" s="223">
        <v>219716</v>
      </c>
      <c r="C832" s="221" t="s">
        <v>129</v>
      </c>
      <c r="D832" s="57">
        <v>43166</v>
      </c>
      <c r="E832" s="160" t="s">
        <v>2206</v>
      </c>
      <c r="F832" s="222">
        <v>43178</v>
      </c>
      <c r="G832" s="221">
        <f t="shared" si="44"/>
        <v>12</v>
      </c>
      <c r="H832" s="221" t="s">
        <v>363</v>
      </c>
      <c r="I832" s="117"/>
      <c r="J832" s="146" t="s">
        <v>614</v>
      </c>
      <c r="K832" s="94"/>
      <c r="L832" s="146"/>
      <c r="M832" s="117"/>
      <c r="N832" s="117"/>
      <c r="O832" s="227">
        <f t="shared" si="45"/>
        <v>0</v>
      </c>
      <c r="P832" s="119"/>
      <c r="Q832" s="119"/>
      <c r="R832" s="117" t="s">
        <v>143</v>
      </c>
      <c r="S832" s="225" t="s">
        <v>465</v>
      </c>
      <c r="T832" s="221" t="s">
        <v>88</v>
      </c>
      <c r="U832" s="221" t="s">
        <v>2220</v>
      </c>
      <c r="V832" s="117" t="s">
        <v>2225</v>
      </c>
      <c r="W832" s="117"/>
      <c r="X832" s="117"/>
      <c r="Y832" s="117"/>
      <c r="Z832" s="221" t="s">
        <v>189</v>
      </c>
      <c r="AA832" s="117"/>
      <c r="AB832" s="117"/>
      <c r="AC832" s="63">
        <f t="shared" si="43"/>
        <v>0</v>
      </c>
      <c r="AD832" s="117"/>
      <c r="AE832" s="117"/>
      <c r="AF832" s="117"/>
      <c r="AG832" s="117"/>
      <c r="AH832" s="64" t="s">
        <v>2239</v>
      </c>
      <c r="AI832" s="117"/>
      <c r="AJ832" s="117"/>
      <c r="AK832" s="117"/>
      <c r="AL832" s="117"/>
      <c r="AM832" s="117"/>
    </row>
    <row r="833" spans="1:39" ht="12.75" hidden="1" customHeight="1">
      <c r="A833" s="147">
        <v>832</v>
      </c>
      <c r="B833" s="223">
        <v>219777</v>
      </c>
      <c r="C833" s="221" t="s">
        <v>129</v>
      </c>
      <c r="D833" s="57">
        <v>43166</v>
      </c>
      <c r="E833" s="160" t="s">
        <v>2206</v>
      </c>
      <c r="F833" s="222">
        <v>43176</v>
      </c>
      <c r="G833" s="221">
        <f t="shared" si="44"/>
        <v>10</v>
      </c>
      <c r="H833" s="221" t="s">
        <v>363</v>
      </c>
      <c r="I833" s="117"/>
      <c r="J833" s="146" t="s">
        <v>614</v>
      </c>
      <c r="K833" s="94"/>
      <c r="L833" s="146"/>
      <c r="M833" s="117"/>
      <c r="N833" s="117"/>
      <c r="O833" s="227">
        <f t="shared" si="45"/>
        <v>0</v>
      </c>
      <c r="P833" s="119"/>
      <c r="Q833" s="119"/>
      <c r="R833" s="117" t="s">
        <v>143</v>
      </c>
      <c r="S833" s="225" t="s">
        <v>465</v>
      </c>
      <c r="T833" s="221" t="s">
        <v>88</v>
      </c>
      <c r="U833" s="221" t="s">
        <v>2221</v>
      </c>
      <c r="V833" s="117" t="s">
        <v>2226</v>
      </c>
      <c r="W833" s="117"/>
      <c r="X833" s="117"/>
      <c r="Y833" s="117"/>
      <c r="Z833" s="221" t="s">
        <v>189</v>
      </c>
      <c r="AA833" s="117"/>
      <c r="AB833" s="117"/>
      <c r="AC833" s="63">
        <f t="shared" si="43"/>
        <v>0</v>
      </c>
      <c r="AD833" s="117"/>
      <c r="AE833" s="117"/>
      <c r="AF833" s="117"/>
      <c r="AG833" s="117"/>
      <c r="AH833" s="64" t="s">
        <v>2235</v>
      </c>
      <c r="AI833" s="117"/>
      <c r="AJ833" s="117"/>
      <c r="AK833" s="117"/>
      <c r="AL833" s="117"/>
      <c r="AM833" s="117"/>
    </row>
    <row r="834" spans="1:39" ht="12.75" hidden="1" customHeight="1">
      <c r="A834" s="147">
        <v>833</v>
      </c>
      <c r="B834" s="223">
        <v>220073</v>
      </c>
      <c r="C834" s="221" t="s">
        <v>129</v>
      </c>
      <c r="D834" s="57">
        <v>43166</v>
      </c>
      <c r="E834" s="160" t="s">
        <v>2206</v>
      </c>
      <c r="F834" s="222">
        <v>43178</v>
      </c>
      <c r="G834" s="221">
        <f t="shared" si="44"/>
        <v>12</v>
      </c>
      <c r="H834" s="221" t="s">
        <v>363</v>
      </c>
      <c r="I834" s="117"/>
      <c r="J834" s="146" t="s">
        <v>614</v>
      </c>
      <c r="K834" s="94"/>
      <c r="L834" s="146"/>
      <c r="M834" s="117"/>
      <c r="N834" s="117"/>
      <c r="O834" s="227">
        <f t="shared" si="45"/>
        <v>0</v>
      </c>
      <c r="P834" s="119"/>
      <c r="Q834" s="119"/>
      <c r="R834" s="117" t="s">
        <v>143</v>
      </c>
      <c r="S834" s="225" t="s">
        <v>465</v>
      </c>
      <c r="T834" s="221" t="s">
        <v>88</v>
      </c>
      <c r="U834" s="221" t="s">
        <v>2219</v>
      </c>
      <c r="V834" s="117" t="s">
        <v>2227</v>
      </c>
      <c r="W834" s="117"/>
      <c r="X834" s="117"/>
      <c r="Y834" s="117"/>
      <c r="Z834" s="221" t="s">
        <v>189</v>
      </c>
      <c r="AA834" s="117"/>
      <c r="AB834" s="117"/>
      <c r="AC834" s="63">
        <f t="shared" si="43"/>
        <v>0</v>
      </c>
      <c r="AD834" s="117"/>
      <c r="AE834" s="117"/>
      <c r="AF834" s="117"/>
      <c r="AG834" s="117"/>
      <c r="AH834" s="64" t="s">
        <v>2239</v>
      </c>
      <c r="AI834" s="117"/>
      <c r="AJ834" s="117"/>
      <c r="AK834" s="117"/>
      <c r="AL834" s="117"/>
      <c r="AM834" s="117"/>
    </row>
    <row r="835" spans="1:39" ht="12.75" hidden="1" customHeight="1">
      <c r="A835" s="147">
        <v>834</v>
      </c>
      <c r="B835" s="223">
        <v>220003</v>
      </c>
      <c r="C835" s="117" t="s">
        <v>128</v>
      </c>
      <c r="D835" s="57">
        <v>43166</v>
      </c>
      <c r="E835" s="160" t="s">
        <v>2206</v>
      </c>
      <c r="F835" s="222">
        <v>43179</v>
      </c>
      <c r="G835" s="221">
        <f t="shared" si="44"/>
        <v>13</v>
      </c>
      <c r="H835" s="146" t="s">
        <v>133</v>
      </c>
      <c r="I835" s="117"/>
      <c r="J835" s="146" t="s">
        <v>614</v>
      </c>
      <c r="K835" s="94">
        <v>1399</v>
      </c>
      <c r="L835" s="146"/>
      <c r="M835" s="117">
        <v>135</v>
      </c>
      <c r="N835" s="117">
        <v>80</v>
      </c>
      <c r="O835" s="227">
        <f t="shared" si="45"/>
        <v>1180.06</v>
      </c>
      <c r="P835" s="119"/>
      <c r="Q835" s="119"/>
      <c r="R835" s="221" t="s">
        <v>134</v>
      </c>
      <c r="S835" s="225" t="s">
        <v>465</v>
      </c>
      <c r="T835" s="117" t="s">
        <v>1011</v>
      </c>
      <c r="U835" s="53" t="s">
        <v>2230</v>
      </c>
      <c r="V835" s="117" t="s">
        <v>2231</v>
      </c>
      <c r="W835" s="117"/>
      <c r="X835" s="117"/>
      <c r="Y835" s="117" t="s">
        <v>203</v>
      </c>
      <c r="Z835" s="117" t="s">
        <v>315</v>
      </c>
      <c r="AA835" s="222">
        <v>43171</v>
      </c>
      <c r="AB835" s="117" t="s">
        <v>236</v>
      </c>
      <c r="AC835" s="63">
        <f t="shared" si="43"/>
        <v>1</v>
      </c>
      <c r="AD835" s="117" t="s">
        <v>217</v>
      </c>
      <c r="AE835" s="117" t="s">
        <v>218</v>
      </c>
      <c r="AF835" s="117"/>
      <c r="AG835" s="117"/>
      <c r="AH835" s="64" t="s">
        <v>2238</v>
      </c>
      <c r="AI835" s="117"/>
      <c r="AJ835" s="117"/>
      <c r="AK835" s="117"/>
      <c r="AL835" s="117"/>
      <c r="AM835" s="117"/>
    </row>
    <row r="836" spans="1:39" ht="12.75" hidden="1" customHeight="1">
      <c r="A836" s="147">
        <v>835</v>
      </c>
      <c r="B836" s="223">
        <v>218194</v>
      </c>
      <c r="C836" s="117" t="s">
        <v>129</v>
      </c>
      <c r="D836" s="57">
        <v>43166</v>
      </c>
      <c r="E836" s="160" t="s">
        <v>2206</v>
      </c>
      <c r="F836" s="222">
        <v>43169</v>
      </c>
      <c r="G836" s="221">
        <f t="shared" si="44"/>
        <v>3</v>
      </c>
      <c r="H836" s="146" t="s">
        <v>133</v>
      </c>
      <c r="I836" s="117"/>
      <c r="J836" s="146" t="s">
        <v>614</v>
      </c>
      <c r="K836" s="94">
        <v>5999</v>
      </c>
      <c r="L836" s="146"/>
      <c r="M836" s="117">
        <v>171.67</v>
      </c>
      <c r="N836" s="117">
        <v>80</v>
      </c>
      <c r="O836" s="227">
        <f t="shared" si="45"/>
        <v>5467.39</v>
      </c>
      <c r="P836" s="119"/>
      <c r="Q836" s="119"/>
      <c r="R836" s="221" t="s">
        <v>134</v>
      </c>
      <c r="S836" s="225" t="s">
        <v>465</v>
      </c>
      <c r="T836" s="117" t="s">
        <v>114</v>
      </c>
      <c r="U836" s="221" t="s">
        <v>2232</v>
      </c>
      <c r="V836" s="117" t="s">
        <v>136</v>
      </c>
      <c r="W836" s="117"/>
      <c r="X836" s="117"/>
      <c r="Y836" s="117" t="s">
        <v>91</v>
      </c>
      <c r="Z836" s="117" t="s">
        <v>1471</v>
      </c>
      <c r="AA836" s="222">
        <v>43167</v>
      </c>
      <c r="AB836" s="222" t="s">
        <v>195</v>
      </c>
      <c r="AC836" s="226">
        <f t="shared" si="43"/>
        <v>1</v>
      </c>
      <c r="AD836" s="117" t="s">
        <v>217</v>
      </c>
      <c r="AE836" s="117" t="s">
        <v>218</v>
      </c>
      <c r="AF836" s="117"/>
      <c r="AG836" s="117"/>
      <c r="AH836" s="64"/>
      <c r="AI836" s="117"/>
      <c r="AJ836" s="117"/>
      <c r="AK836" s="117"/>
      <c r="AL836" s="117"/>
      <c r="AM836" s="117"/>
    </row>
    <row r="837" spans="1:39" ht="12.75" hidden="1" customHeight="1">
      <c r="A837" s="147">
        <v>836</v>
      </c>
      <c r="B837" s="223">
        <v>220254</v>
      </c>
      <c r="C837" s="117" t="s">
        <v>1628</v>
      </c>
      <c r="D837" s="57">
        <v>43166</v>
      </c>
      <c r="E837" s="160" t="s">
        <v>2206</v>
      </c>
      <c r="F837" s="222">
        <v>43181</v>
      </c>
      <c r="G837" s="221">
        <f t="shared" si="44"/>
        <v>15</v>
      </c>
      <c r="H837" s="146" t="s">
        <v>133</v>
      </c>
      <c r="I837" s="117"/>
      <c r="J837" s="146" t="s">
        <v>614</v>
      </c>
      <c r="K837" s="94">
        <v>1779</v>
      </c>
      <c r="L837" s="146"/>
      <c r="M837" s="117">
        <v>350</v>
      </c>
      <c r="N837" s="117">
        <v>80</v>
      </c>
      <c r="O837" s="227">
        <f t="shared" si="45"/>
        <v>1322.26</v>
      </c>
      <c r="P837" s="119"/>
      <c r="Q837" s="119"/>
      <c r="R837" s="117" t="s">
        <v>210</v>
      </c>
      <c r="S837" s="225" t="s">
        <v>469</v>
      </c>
      <c r="T837" s="117" t="s">
        <v>380</v>
      </c>
      <c r="U837" s="221" t="s">
        <v>2233</v>
      </c>
      <c r="V837" s="117" t="s">
        <v>249</v>
      </c>
      <c r="W837" s="117"/>
      <c r="X837" s="117"/>
      <c r="Y837" s="117" t="s">
        <v>316</v>
      </c>
      <c r="Z837" s="117" t="s">
        <v>252</v>
      </c>
      <c r="AA837" s="222">
        <v>43172</v>
      </c>
      <c r="AB837" s="117" t="s">
        <v>140</v>
      </c>
      <c r="AC837" s="63">
        <f t="shared" si="43"/>
        <v>1</v>
      </c>
      <c r="AD837" s="117" t="s">
        <v>217</v>
      </c>
      <c r="AE837" s="117" t="s">
        <v>218</v>
      </c>
      <c r="AF837" s="117"/>
      <c r="AG837" s="117"/>
      <c r="AH837" s="64"/>
      <c r="AI837" s="117"/>
      <c r="AJ837" s="117"/>
      <c r="AK837" s="117"/>
      <c r="AL837" s="117"/>
      <c r="AM837" s="117"/>
    </row>
    <row r="838" spans="1:39" ht="12.75" hidden="1" customHeight="1">
      <c r="A838" s="147">
        <v>837</v>
      </c>
      <c r="B838" s="223">
        <v>220334</v>
      </c>
      <c r="C838" s="117" t="s">
        <v>1628</v>
      </c>
      <c r="D838" s="57">
        <v>43167</v>
      </c>
      <c r="E838" s="160" t="s">
        <v>2206</v>
      </c>
      <c r="F838" s="222">
        <v>43182</v>
      </c>
      <c r="G838" s="221">
        <f t="shared" si="44"/>
        <v>15</v>
      </c>
      <c r="H838" s="146" t="s">
        <v>363</v>
      </c>
      <c r="I838" s="117"/>
      <c r="J838" s="146" t="s">
        <v>614</v>
      </c>
      <c r="K838" s="94">
        <v>1999</v>
      </c>
      <c r="L838" s="146"/>
      <c r="M838" s="117">
        <v>296</v>
      </c>
      <c r="N838" s="117"/>
      <c r="O838" s="227">
        <f t="shared" si="45"/>
        <v>1583.06</v>
      </c>
      <c r="P838" s="119"/>
      <c r="Q838" s="119"/>
      <c r="R838" s="221" t="s">
        <v>134</v>
      </c>
      <c r="S838" s="225" t="s">
        <v>465</v>
      </c>
      <c r="T838" s="117" t="s">
        <v>164</v>
      </c>
      <c r="U838" s="221" t="s">
        <v>2236</v>
      </c>
      <c r="V838" s="221" t="s">
        <v>90</v>
      </c>
      <c r="W838" s="117"/>
      <c r="X838" s="117"/>
      <c r="Y838" s="117"/>
      <c r="Z838" s="117" t="s">
        <v>202</v>
      </c>
      <c r="AA838" s="117"/>
      <c r="AB838" s="117"/>
      <c r="AC838" s="63">
        <f t="shared" si="43"/>
        <v>1</v>
      </c>
      <c r="AD838" s="117"/>
      <c r="AE838" s="117"/>
      <c r="AF838" s="117"/>
      <c r="AG838" s="117"/>
      <c r="AH838" s="64" t="s">
        <v>2237</v>
      </c>
      <c r="AI838" s="117"/>
      <c r="AJ838" s="117"/>
      <c r="AK838" s="117"/>
      <c r="AL838" s="117"/>
      <c r="AM838" s="117"/>
    </row>
    <row r="839" spans="1:39" ht="12.75" hidden="1" customHeight="1">
      <c r="A839" s="147">
        <v>838</v>
      </c>
      <c r="B839" s="223">
        <v>220570</v>
      </c>
      <c r="C839" s="117" t="s">
        <v>1628</v>
      </c>
      <c r="D839" s="57">
        <v>43171</v>
      </c>
      <c r="E839" s="160" t="s">
        <v>2206</v>
      </c>
      <c r="F839" s="222">
        <v>43187</v>
      </c>
      <c r="G839" s="221">
        <f t="shared" si="44"/>
        <v>16</v>
      </c>
      <c r="H839" s="146" t="s">
        <v>133</v>
      </c>
      <c r="I839" s="117"/>
      <c r="J839" s="146" t="s">
        <v>614</v>
      </c>
      <c r="K839" s="94">
        <v>1699</v>
      </c>
      <c r="L839" s="146"/>
      <c r="M839" s="117">
        <v>270</v>
      </c>
      <c r="N839" s="117">
        <v>240</v>
      </c>
      <c r="O839" s="227">
        <f t="shared" si="45"/>
        <v>1327.06</v>
      </c>
      <c r="P839" s="119"/>
      <c r="Q839" s="119"/>
      <c r="R839" s="221" t="s">
        <v>122</v>
      </c>
      <c r="S839" s="225" t="s">
        <v>469</v>
      </c>
      <c r="T839" s="117" t="s">
        <v>1541</v>
      </c>
      <c r="U839" s="221" t="s">
        <v>2240</v>
      </c>
      <c r="V839" s="221" t="s">
        <v>90</v>
      </c>
      <c r="W839" s="117"/>
      <c r="X839" s="117"/>
      <c r="Y839" s="221" t="s">
        <v>316</v>
      </c>
      <c r="Z839" s="117" t="s">
        <v>252</v>
      </c>
      <c r="AA839" s="222">
        <v>43172</v>
      </c>
      <c r="AB839" s="117" t="s">
        <v>140</v>
      </c>
      <c r="AC839" s="63">
        <f t="shared" si="43"/>
        <v>1</v>
      </c>
      <c r="AD839" s="117" t="s">
        <v>217</v>
      </c>
      <c r="AE839" s="117" t="s">
        <v>218</v>
      </c>
      <c r="AF839" s="117"/>
      <c r="AG839" s="117"/>
      <c r="AH839" s="64"/>
      <c r="AI839" s="117"/>
      <c r="AJ839" s="117"/>
      <c r="AK839" s="117"/>
      <c r="AL839" s="117"/>
      <c r="AM839" s="117"/>
    </row>
    <row r="840" spans="1:39" ht="12.75" hidden="1" customHeight="1">
      <c r="A840" s="147">
        <v>839</v>
      </c>
      <c r="B840" s="223">
        <v>220131</v>
      </c>
      <c r="C840" s="117" t="s">
        <v>128</v>
      </c>
      <c r="D840" s="57">
        <v>43167</v>
      </c>
      <c r="E840" s="160" t="s">
        <v>2206</v>
      </c>
      <c r="F840" s="222">
        <v>43179</v>
      </c>
      <c r="G840" s="221">
        <f t="shared" si="44"/>
        <v>12</v>
      </c>
      <c r="H840" s="146" t="s">
        <v>133</v>
      </c>
      <c r="I840" s="117"/>
      <c r="J840" s="146" t="s">
        <v>614</v>
      </c>
      <c r="K840" s="94">
        <v>2799</v>
      </c>
      <c r="L840" s="146"/>
      <c r="M840" s="117">
        <v>35</v>
      </c>
      <c r="N840" s="117">
        <v>120</v>
      </c>
      <c r="O840" s="227">
        <f t="shared" si="45"/>
        <v>2511.06</v>
      </c>
      <c r="P840" s="119"/>
      <c r="Q840" s="119"/>
      <c r="R840" s="221" t="s">
        <v>134</v>
      </c>
      <c r="S840" s="225" t="s">
        <v>465</v>
      </c>
      <c r="T840" s="221" t="s">
        <v>88</v>
      </c>
      <c r="U840" s="221" t="s">
        <v>741</v>
      </c>
      <c r="V840" s="117" t="s">
        <v>2241</v>
      </c>
      <c r="W840" s="117"/>
      <c r="X840" s="117"/>
      <c r="Y840" s="117" t="s">
        <v>219</v>
      </c>
      <c r="Z840" s="117" t="s">
        <v>189</v>
      </c>
      <c r="AA840" s="222">
        <v>43171</v>
      </c>
      <c r="AB840" s="117" t="s">
        <v>872</v>
      </c>
      <c r="AC840" s="63">
        <f t="shared" si="43"/>
        <v>1</v>
      </c>
      <c r="AD840" s="117" t="s">
        <v>217</v>
      </c>
      <c r="AE840" s="117" t="s">
        <v>218</v>
      </c>
      <c r="AF840" s="117"/>
      <c r="AG840" s="117"/>
      <c r="AH840" s="64"/>
      <c r="AI840" s="117"/>
      <c r="AJ840" s="117"/>
      <c r="AK840" s="117"/>
      <c r="AL840" s="117"/>
      <c r="AM840" s="117"/>
    </row>
    <row r="841" spans="1:39" ht="12.75" hidden="1" customHeight="1">
      <c r="A841" s="147">
        <v>840</v>
      </c>
      <c r="B841" s="223">
        <v>220383</v>
      </c>
      <c r="C841" s="117" t="s">
        <v>1628</v>
      </c>
      <c r="D841" s="57">
        <v>43171</v>
      </c>
      <c r="E841" s="160" t="s">
        <v>2206</v>
      </c>
      <c r="F841" s="222">
        <v>43187</v>
      </c>
      <c r="G841" s="221">
        <f t="shared" si="44"/>
        <v>16</v>
      </c>
      <c r="H841" s="146" t="s">
        <v>133</v>
      </c>
      <c r="I841" s="117"/>
      <c r="J841" s="146" t="s">
        <v>614</v>
      </c>
      <c r="K841" s="94"/>
      <c r="L841" s="146"/>
      <c r="M841" s="117"/>
      <c r="N841" s="117"/>
      <c r="O841" s="227">
        <f t="shared" si="45"/>
        <v>0</v>
      </c>
      <c r="P841" s="119"/>
      <c r="Q841" s="119"/>
      <c r="R841" s="221" t="s">
        <v>122</v>
      </c>
      <c r="S841" s="225" t="s">
        <v>469</v>
      </c>
      <c r="T841" s="221" t="s">
        <v>829</v>
      </c>
      <c r="U841" s="221" t="s">
        <v>2243</v>
      </c>
      <c r="V841" s="117" t="s">
        <v>222</v>
      </c>
      <c r="W841" s="117"/>
      <c r="X841" s="117"/>
      <c r="Y841" s="117"/>
      <c r="Z841" s="117" t="s">
        <v>2194</v>
      </c>
      <c r="AA841" s="117"/>
      <c r="AB841" s="117"/>
      <c r="AC841" s="63">
        <f t="shared" si="43"/>
        <v>0</v>
      </c>
      <c r="AD841" s="117"/>
      <c r="AE841" s="117" t="s">
        <v>217</v>
      </c>
      <c r="AF841" s="117" t="s">
        <v>225</v>
      </c>
      <c r="AG841" s="117"/>
      <c r="AH841" s="64"/>
      <c r="AI841" s="117"/>
      <c r="AJ841" s="117"/>
      <c r="AK841" s="117"/>
      <c r="AL841" s="117"/>
      <c r="AM841" s="117"/>
    </row>
    <row r="842" spans="1:39" ht="12.75" hidden="1" customHeight="1">
      <c r="A842" s="147">
        <v>841</v>
      </c>
      <c r="B842" s="223">
        <v>220200</v>
      </c>
      <c r="C842" s="117" t="s">
        <v>128</v>
      </c>
      <c r="D842" s="57">
        <v>43172</v>
      </c>
      <c r="E842" s="160" t="s">
        <v>2206</v>
      </c>
      <c r="F842" s="222">
        <v>43187</v>
      </c>
      <c r="G842" s="221">
        <f t="shared" si="44"/>
        <v>15</v>
      </c>
      <c r="H842" s="146" t="s">
        <v>133</v>
      </c>
      <c r="I842" s="117"/>
      <c r="J842" s="146" t="s">
        <v>614</v>
      </c>
      <c r="K842" s="94"/>
      <c r="L842" s="146"/>
      <c r="M842" s="117"/>
      <c r="N842" s="117"/>
      <c r="O842" s="227">
        <f t="shared" si="45"/>
        <v>0</v>
      </c>
      <c r="P842" s="119"/>
      <c r="Q842" s="119"/>
      <c r="R842" s="221" t="s">
        <v>122</v>
      </c>
      <c r="S842" s="225" t="s">
        <v>469</v>
      </c>
      <c r="T842" s="117" t="s">
        <v>829</v>
      </c>
      <c r="U842" s="221" t="s">
        <v>2242</v>
      </c>
      <c r="V842" s="221" t="s">
        <v>90</v>
      </c>
      <c r="W842" s="117"/>
      <c r="X842" s="117"/>
      <c r="Y842" s="117"/>
      <c r="Z842" s="117" t="s">
        <v>296</v>
      </c>
      <c r="AA842" s="117"/>
      <c r="AB842" s="117"/>
      <c r="AC842" s="63">
        <f t="shared" si="43"/>
        <v>0</v>
      </c>
      <c r="AD842" s="117" t="s">
        <v>217</v>
      </c>
      <c r="AE842" s="117" t="s">
        <v>217</v>
      </c>
      <c r="AF842" s="117" t="s">
        <v>225</v>
      </c>
      <c r="AG842" s="117"/>
      <c r="AH842" s="64"/>
      <c r="AI842" s="117"/>
      <c r="AJ842" s="117"/>
      <c r="AK842" s="117"/>
      <c r="AL842" s="117"/>
      <c r="AM842" s="117"/>
    </row>
    <row r="843" spans="1:39" ht="12.75" hidden="1" customHeight="1">
      <c r="A843" s="147">
        <v>842</v>
      </c>
      <c r="B843" s="223">
        <v>220282</v>
      </c>
      <c r="C843" s="117" t="s">
        <v>1628</v>
      </c>
      <c r="D843" s="57">
        <v>43173</v>
      </c>
      <c r="E843" s="160" t="s">
        <v>2206</v>
      </c>
      <c r="F843" s="222">
        <v>43184</v>
      </c>
      <c r="G843" s="221">
        <f t="shared" si="44"/>
        <v>11</v>
      </c>
      <c r="H843" s="146" t="s">
        <v>133</v>
      </c>
      <c r="I843" s="117"/>
      <c r="J843" s="146" t="s">
        <v>614</v>
      </c>
      <c r="K843" s="94">
        <v>1999</v>
      </c>
      <c r="L843" s="146"/>
      <c r="M843" s="117">
        <v>350</v>
      </c>
      <c r="N843" s="117">
        <v>275</v>
      </c>
      <c r="O843" s="227">
        <f t="shared" si="45"/>
        <v>1529.06</v>
      </c>
      <c r="P843" s="119"/>
      <c r="Q843" s="119"/>
      <c r="R843" s="221" t="s">
        <v>134</v>
      </c>
      <c r="S843" s="225" t="s">
        <v>465</v>
      </c>
      <c r="T843" s="221" t="s">
        <v>88</v>
      </c>
      <c r="U843" s="221" t="s">
        <v>2244</v>
      </c>
      <c r="V843" s="117" t="s">
        <v>139</v>
      </c>
      <c r="W843" s="117"/>
      <c r="X843" s="117"/>
      <c r="Y843" s="117" t="s">
        <v>1942</v>
      </c>
      <c r="Z843" s="117" t="s">
        <v>124</v>
      </c>
      <c r="AA843" s="222">
        <v>43175</v>
      </c>
      <c r="AB843" s="117" t="s">
        <v>195</v>
      </c>
      <c r="AC843" s="63">
        <f t="shared" si="43"/>
        <v>1</v>
      </c>
      <c r="AD843" s="117" t="s">
        <v>217</v>
      </c>
      <c r="AE843" s="117" t="s">
        <v>218</v>
      </c>
      <c r="AF843" s="117"/>
      <c r="AG843" s="117"/>
      <c r="AH843" s="64"/>
      <c r="AI843" s="117"/>
      <c r="AJ843" s="117"/>
      <c r="AK843" s="117"/>
      <c r="AL843" s="117"/>
      <c r="AM843" s="117"/>
    </row>
    <row r="844" spans="1:39" ht="12.75" hidden="1" customHeight="1">
      <c r="A844" s="147">
        <v>843</v>
      </c>
      <c r="B844" s="223">
        <v>219826</v>
      </c>
      <c r="C844" s="117" t="s">
        <v>128</v>
      </c>
      <c r="D844" s="57">
        <v>43174</v>
      </c>
      <c r="E844" s="160" t="s">
        <v>2206</v>
      </c>
      <c r="F844" s="222">
        <v>43182</v>
      </c>
      <c r="G844" s="221">
        <f t="shared" si="44"/>
        <v>8</v>
      </c>
      <c r="H844" s="146" t="s">
        <v>133</v>
      </c>
      <c r="I844" s="117"/>
      <c r="J844" s="146" t="s">
        <v>614</v>
      </c>
      <c r="K844" s="94">
        <v>1899</v>
      </c>
      <c r="L844" s="146"/>
      <c r="M844" s="117">
        <v>110</v>
      </c>
      <c r="N844" s="117">
        <v>95</v>
      </c>
      <c r="O844" s="227">
        <f t="shared" si="45"/>
        <v>1675.06</v>
      </c>
      <c r="P844" s="119"/>
      <c r="Q844" s="119"/>
      <c r="R844" s="221" t="s">
        <v>134</v>
      </c>
      <c r="S844" s="225" t="s">
        <v>465</v>
      </c>
      <c r="T844" s="117" t="s">
        <v>358</v>
      </c>
      <c r="U844" s="221" t="s">
        <v>2245</v>
      </c>
      <c r="V844" s="117" t="s">
        <v>862</v>
      </c>
      <c r="W844" s="117"/>
      <c r="X844" s="117"/>
      <c r="Y844" s="117" t="s">
        <v>246</v>
      </c>
      <c r="Z844" s="117" t="s">
        <v>203</v>
      </c>
      <c r="AA844" s="222">
        <v>43174</v>
      </c>
      <c r="AB844" s="117" t="s">
        <v>195</v>
      </c>
      <c r="AC844" s="63">
        <f t="shared" si="43"/>
        <v>1</v>
      </c>
      <c r="AD844" s="117" t="s">
        <v>217</v>
      </c>
      <c r="AE844" s="117" t="s">
        <v>218</v>
      </c>
      <c r="AF844" s="117"/>
      <c r="AG844" s="117"/>
      <c r="AH844" s="64"/>
      <c r="AI844" s="117"/>
      <c r="AJ844" s="117"/>
      <c r="AK844" s="117"/>
      <c r="AL844" s="117"/>
      <c r="AM844" s="117"/>
    </row>
    <row r="845" spans="1:39" ht="12.75" hidden="1" customHeight="1">
      <c r="A845" s="147">
        <v>844</v>
      </c>
      <c r="B845" s="223">
        <v>220128</v>
      </c>
      <c r="C845" s="117" t="s">
        <v>1130</v>
      </c>
      <c r="D845" s="57">
        <v>43173</v>
      </c>
      <c r="E845" s="160" t="s">
        <v>2206</v>
      </c>
      <c r="F845" s="222">
        <v>43178</v>
      </c>
      <c r="G845" s="221">
        <f t="shared" si="44"/>
        <v>5</v>
      </c>
      <c r="H845" s="221" t="s">
        <v>363</v>
      </c>
      <c r="I845" s="117"/>
      <c r="J845" s="146" t="s">
        <v>614</v>
      </c>
      <c r="K845" s="94"/>
      <c r="L845" s="146"/>
      <c r="M845" s="117">
        <v>340</v>
      </c>
      <c r="N845" s="117"/>
      <c r="O845" s="227">
        <f t="shared" si="45"/>
        <v>0</v>
      </c>
      <c r="P845" s="119"/>
      <c r="Q845" s="119"/>
      <c r="R845" s="221" t="s">
        <v>122</v>
      </c>
      <c r="S845" s="225" t="s">
        <v>469</v>
      </c>
      <c r="T845" s="221" t="s">
        <v>114</v>
      </c>
      <c r="U845" s="221" t="s">
        <v>1932</v>
      </c>
      <c r="V845" s="222" t="s">
        <v>169</v>
      </c>
      <c r="W845" s="117"/>
      <c r="X845" s="117"/>
      <c r="Y845" s="117" t="s">
        <v>1942</v>
      </c>
      <c r="Z845" s="117" t="s">
        <v>170</v>
      </c>
      <c r="AA845" s="117"/>
      <c r="AB845" s="117" t="s">
        <v>140</v>
      </c>
      <c r="AC845" s="63">
        <f t="shared" si="43"/>
        <v>0</v>
      </c>
      <c r="AD845" s="117"/>
      <c r="AE845" s="117" t="s">
        <v>217</v>
      </c>
      <c r="AF845" s="117"/>
      <c r="AG845" s="117"/>
      <c r="AH845" s="64" t="s">
        <v>2251</v>
      </c>
      <c r="AI845" s="117"/>
      <c r="AJ845" s="117"/>
      <c r="AK845" s="117"/>
      <c r="AL845" s="117"/>
      <c r="AM845" s="117"/>
    </row>
    <row r="846" spans="1:39" ht="12.75" hidden="1" customHeight="1">
      <c r="A846" s="147">
        <v>845</v>
      </c>
      <c r="B846" s="223">
        <v>220897</v>
      </c>
      <c r="C846" s="117" t="s">
        <v>1130</v>
      </c>
      <c r="D846" s="57">
        <v>43173</v>
      </c>
      <c r="E846" s="160" t="s">
        <v>2206</v>
      </c>
      <c r="F846" s="222">
        <v>43179</v>
      </c>
      <c r="G846" s="221">
        <f t="shared" si="44"/>
        <v>6</v>
      </c>
      <c r="H846" s="221" t="s">
        <v>133</v>
      </c>
      <c r="I846" s="117"/>
      <c r="J846" s="146" t="s">
        <v>614</v>
      </c>
      <c r="K846" s="94">
        <v>999</v>
      </c>
      <c r="L846" s="146"/>
      <c r="M846" s="117">
        <v>250</v>
      </c>
      <c r="N846" s="117">
        <v>150</v>
      </c>
      <c r="O846" s="227">
        <f t="shared" si="45"/>
        <v>689.06</v>
      </c>
      <c r="P846" s="119"/>
      <c r="Q846" s="119"/>
      <c r="R846" s="221" t="s">
        <v>122</v>
      </c>
      <c r="S846" s="225" t="s">
        <v>469</v>
      </c>
      <c r="T846" s="221" t="s">
        <v>114</v>
      </c>
      <c r="U846" s="221" t="s">
        <v>1278</v>
      </c>
      <c r="V846" s="117" t="s">
        <v>90</v>
      </c>
      <c r="W846" s="117"/>
      <c r="X846" s="117"/>
      <c r="Y846" s="117" t="s">
        <v>316</v>
      </c>
      <c r="Z846" s="117" t="s">
        <v>170</v>
      </c>
      <c r="AA846" s="222">
        <v>43178</v>
      </c>
      <c r="AB846" s="117" t="s">
        <v>872</v>
      </c>
      <c r="AC846" s="63">
        <f t="shared" si="43"/>
        <v>1</v>
      </c>
      <c r="AD846" s="117" t="s">
        <v>217</v>
      </c>
      <c r="AE846" s="117" t="s">
        <v>218</v>
      </c>
      <c r="AF846" s="117"/>
      <c r="AG846" s="117"/>
      <c r="AH846" s="64"/>
      <c r="AI846" s="117"/>
      <c r="AJ846" s="117"/>
      <c r="AK846" s="117"/>
      <c r="AL846" s="117"/>
      <c r="AM846" s="117"/>
    </row>
    <row r="847" spans="1:39" ht="12.75" hidden="1" customHeight="1">
      <c r="A847" s="147">
        <v>846</v>
      </c>
      <c r="B847" s="223">
        <v>220046</v>
      </c>
      <c r="C847" s="117" t="s">
        <v>1628</v>
      </c>
      <c r="D847" s="57">
        <v>43172</v>
      </c>
      <c r="E847" s="160" t="s">
        <v>2206</v>
      </c>
      <c r="F847" s="222">
        <v>43178</v>
      </c>
      <c r="G847" s="221">
        <f t="shared" si="44"/>
        <v>6</v>
      </c>
      <c r="H847" s="146" t="s">
        <v>133</v>
      </c>
      <c r="I847" s="117"/>
      <c r="J847" s="146" t="s">
        <v>614</v>
      </c>
      <c r="K847" s="94"/>
      <c r="L847" s="146"/>
      <c r="M847" s="117"/>
      <c r="N847" s="117"/>
      <c r="O847" s="227">
        <f t="shared" si="45"/>
        <v>0</v>
      </c>
      <c r="P847" s="119"/>
      <c r="Q847" s="119"/>
      <c r="R847" s="221" t="s">
        <v>210</v>
      </c>
      <c r="S847" s="225" t="s">
        <v>469</v>
      </c>
      <c r="T847" s="221" t="s">
        <v>380</v>
      </c>
      <c r="U847" s="221" t="s">
        <v>2247</v>
      </c>
      <c r="V847" s="117" t="s">
        <v>2248</v>
      </c>
      <c r="W847" s="117"/>
      <c r="X847" s="117"/>
      <c r="Y847" s="117"/>
      <c r="Z847" s="117" t="s">
        <v>124</v>
      </c>
      <c r="AA847" s="117"/>
      <c r="AB847" s="117"/>
      <c r="AC847" s="63">
        <f t="shared" si="43"/>
        <v>0</v>
      </c>
      <c r="AD847" s="117"/>
      <c r="AE847" s="117"/>
      <c r="AF847" s="117"/>
      <c r="AG847" s="117"/>
      <c r="AH847" s="64"/>
      <c r="AI847" s="117"/>
      <c r="AJ847" s="117"/>
      <c r="AK847" s="117"/>
      <c r="AL847" s="117"/>
      <c r="AM847" s="117"/>
    </row>
    <row r="848" spans="1:39" ht="12.75" hidden="1" customHeight="1">
      <c r="A848" s="147">
        <v>847</v>
      </c>
      <c r="B848" s="223">
        <v>220859</v>
      </c>
      <c r="C848" s="117" t="s">
        <v>1628</v>
      </c>
      <c r="D848" s="57">
        <v>43178</v>
      </c>
      <c r="E848" s="160" t="s">
        <v>2206</v>
      </c>
      <c r="F848" s="222">
        <v>43189</v>
      </c>
      <c r="G848" s="221">
        <f t="shared" si="44"/>
        <v>11</v>
      </c>
      <c r="H848" s="146" t="s">
        <v>133</v>
      </c>
      <c r="I848" s="117"/>
      <c r="J848" s="146" t="s">
        <v>614</v>
      </c>
      <c r="K848" s="94"/>
      <c r="L848" s="146"/>
      <c r="M848" s="117"/>
      <c r="N848" s="117"/>
      <c r="O848" s="227">
        <f t="shared" si="45"/>
        <v>0</v>
      </c>
      <c r="P848" s="119"/>
      <c r="Q848" s="119"/>
      <c r="R848" s="221" t="s">
        <v>122</v>
      </c>
      <c r="S848" s="225" t="s">
        <v>469</v>
      </c>
      <c r="T848" s="117" t="s">
        <v>164</v>
      </c>
      <c r="U848" s="221" t="s">
        <v>1386</v>
      </c>
      <c r="V848" s="117" t="s">
        <v>222</v>
      </c>
      <c r="W848" s="117"/>
      <c r="X848" s="117"/>
      <c r="Y848" s="117"/>
      <c r="Z848" s="117" t="s">
        <v>292</v>
      </c>
      <c r="AA848" s="117"/>
      <c r="AB848" s="117"/>
      <c r="AC848" s="63">
        <f t="shared" si="43"/>
        <v>0</v>
      </c>
      <c r="AD848" s="117"/>
      <c r="AE848" s="117"/>
      <c r="AF848" s="117"/>
      <c r="AG848" s="117"/>
      <c r="AH848" s="64"/>
      <c r="AI848" s="117"/>
      <c r="AJ848" s="117"/>
      <c r="AK848" s="117"/>
      <c r="AL848" s="117"/>
      <c r="AM848" s="117"/>
    </row>
    <row r="849" spans="1:39" ht="12.75" hidden="1" customHeight="1">
      <c r="A849" s="147">
        <v>848</v>
      </c>
      <c r="B849" s="223">
        <v>220415</v>
      </c>
      <c r="C849" s="117" t="s">
        <v>1628</v>
      </c>
      <c r="D849" s="57">
        <v>43178</v>
      </c>
      <c r="E849" s="160" t="s">
        <v>2206</v>
      </c>
      <c r="F849" s="222">
        <v>43190</v>
      </c>
      <c r="G849" s="221">
        <f t="shared" si="44"/>
        <v>12</v>
      </c>
      <c r="H849" s="146" t="s">
        <v>133</v>
      </c>
      <c r="I849" s="117"/>
      <c r="J849" s="146" t="s">
        <v>614</v>
      </c>
      <c r="K849" s="94">
        <v>899</v>
      </c>
      <c r="L849" s="146"/>
      <c r="M849" s="117">
        <v>95</v>
      </c>
      <c r="N849" s="117">
        <v>160</v>
      </c>
      <c r="O849" s="227">
        <f t="shared" si="45"/>
        <v>685.06</v>
      </c>
      <c r="P849" s="119"/>
      <c r="Q849" s="119"/>
      <c r="R849" s="221" t="s">
        <v>143</v>
      </c>
      <c r="S849" s="225" t="s">
        <v>465</v>
      </c>
      <c r="T849" s="117" t="s">
        <v>358</v>
      </c>
      <c r="U849" s="221" t="s">
        <v>2249</v>
      </c>
      <c r="V849" s="117" t="s">
        <v>2250</v>
      </c>
      <c r="W849" s="117"/>
      <c r="X849" s="117"/>
      <c r="Y849" s="221" t="s">
        <v>316</v>
      </c>
      <c r="Z849" s="117" t="s">
        <v>124</v>
      </c>
      <c r="AA849" s="222">
        <v>43179</v>
      </c>
      <c r="AB849" s="117" t="s">
        <v>140</v>
      </c>
      <c r="AC849" s="63">
        <f t="shared" si="43"/>
        <v>1</v>
      </c>
      <c r="AD849" s="117" t="s">
        <v>217</v>
      </c>
      <c r="AE849" s="117" t="s">
        <v>218</v>
      </c>
      <c r="AF849" s="117"/>
      <c r="AG849" s="117"/>
      <c r="AH849" s="64"/>
      <c r="AI849" s="117"/>
      <c r="AJ849" s="117"/>
      <c r="AK849" s="117"/>
      <c r="AL849" s="117"/>
      <c r="AM849" s="117"/>
    </row>
    <row r="850" spans="1:39" ht="12.75" hidden="1" customHeight="1">
      <c r="A850" s="147">
        <v>849</v>
      </c>
      <c r="B850" s="223">
        <v>220854</v>
      </c>
      <c r="C850" s="117" t="s">
        <v>1628</v>
      </c>
      <c r="D850" s="57">
        <v>43178</v>
      </c>
      <c r="E850" s="160" t="s">
        <v>2206</v>
      </c>
      <c r="F850" s="222">
        <v>43190</v>
      </c>
      <c r="G850" s="221">
        <f t="shared" si="44"/>
        <v>12</v>
      </c>
      <c r="H850" s="146" t="s">
        <v>133</v>
      </c>
      <c r="I850" s="117"/>
      <c r="J850" s="146" t="s">
        <v>614</v>
      </c>
      <c r="K850" s="94">
        <v>1799</v>
      </c>
      <c r="L850" s="146"/>
      <c r="M850" s="117">
        <v>190</v>
      </c>
      <c r="N850" s="117">
        <v>476</v>
      </c>
      <c r="O850" s="227">
        <f t="shared" si="45"/>
        <v>1215.06</v>
      </c>
      <c r="P850" s="119"/>
      <c r="Q850" s="119"/>
      <c r="R850" s="221" t="s">
        <v>134</v>
      </c>
      <c r="S850" s="225" t="s">
        <v>465</v>
      </c>
      <c r="T850" s="221" t="s">
        <v>164</v>
      </c>
      <c r="U850" s="221" t="s">
        <v>797</v>
      </c>
      <c r="V850" s="117" t="s">
        <v>1671</v>
      </c>
      <c r="W850" s="117"/>
      <c r="X850" s="117"/>
      <c r="Y850" s="117" t="s">
        <v>1942</v>
      </c>
      <c r="Z850" s="117" t="s">
        <v>202</v>
      </c>
      <c r="AA850" s="222">
        <v>43179</v>
      </c>
      <c r="AB850" s="117" t="s">
        <v>140</v>
      </c>
      <c r="AC850" s="63">
        <f t="shared" si="43"/>
        <v>1</v>
      </c>
      <c r="AD850" s="117" t="s">
        <v>217</v>
      </c>
      <c r="AE850" s="117" t="s">
        <v>218</v>
      </c>
      <c r="AF850" s="117"/>
      <c r="AG850" s="117"/>
      <c r="AH850" s="64"/>
      <c r="AI850" s="117"/>
      <c r="AJ850" s="117"/>
      <c r="AK850" s="117"/>
      <c r="AL850" s="117"/>
      <c r="AM850" s="117"/>
    </row>
    <row r="851" spans="1:39" ht="12.75" hidden="1" customHeight="1">
      <c r="A851" s="147">
        <v>850</v>
      </c>
      <c r="B851" s="223">
        <v>219962</v>
      </c>
      <c r="C851" s="117" t="s">
        <v>1628</v>
      </c>
      <c r="D851" s="57">
        <v>43178</v>
      </c>
      <c r="E851" s="160" t="s">
        <v>2206</v>
      </c>
      <c r="F851" s="222">
        <v>43178</v>
      </c>
      <c r="G851" s="221">
        <f t="shared" si="44"/>
        <v>0</v>
      </c>
      <c r="H851" s="146" t="s">
        <v>133</v>
      </c>
      <c r="I851" s="117"/>
      <c r="J851" s="146" t="s">
        <v>614</v>
      </c>
      <c r="K851" s="94">
        <v>4284</v>
      </c>
      <c r="L851" s="146"/>
      <c r="M851" s="117">
        <v>369</v>
      </c>
      <c r="N851" s="117">
        <v>230</v>
      </c>
      <c r="O851" s="227">
        <f t="shared" si="45"/>
        <v>3657.96</v>
      </c>
      <c r="P851" s="119"/>
      <c r="Q851" s="119"/>
      <c r="R851" s="221" t="s">
        <v>122</v>
      </c>
      <c r="S851" s="225" t="s">
        <v>469</v>
      </c>
      <c r="T851" s="117" t="s">
        <v>164</v>
      </c>
      <c r="U851" s="221" t="s">
        <v>1556</v>
      </c>
      <c r="V851" s="117" t="s">
        <v>249</v>
      </c>
      <c r="W851" s="117"/>
      <c r="X851" s="117"/>
      <c r="Y851" s="117" t="s">
        <v>1942</v>
      </c>
      <c r="Z851" s="117" t="s">
        <v>202</v>
      </c>
      <c r="AA851" s="222">
        <v>43179</v>
      </c>
      <c r="AB851" s="117" t="s">
        <v>195</v>
      </c>
      <c r="AC851" s="63">
        <f t="shared" si="43"/>
        <v>1</v>
      </c>
      <c r="AD851" s="117" t="s">
        <v>217</v>
      </c>
      <c r="AE851" s="117" t="s">
        <v>218</v>
      </c>
      <c r="AF851" s="117"/>
      <c r="AG851" s="117"/>
      <c r="AH851" s="64"/>
      <c r="AI851" s="117"/>
      <c r="AJ851" s="117"/>
      <c r="AK851" s="117"/>
      <c r="AL851" s="117"/>
      <c r="AM851" s="117"/>
    </row>
    <row r="852" spans="1:39" ht="12.75" hidden="1" customHeight="1">
      <c r="A852" s="147">
        <v>851</v>
      </c>
      <c r="B852" s="223">
        <v>220443</v>
      </c>
      <c r="C852" s="117" t="s">
        <v>128</v>
      </c>
      <c r="D852" s="57">
        <v>43181</v>
      </c>
      <c r="E852" s="160" t="s">
        <v>2206</v>
      </c>
      <c r="F852" s="222">
        <v>43183</v>
      </c>
      <c r="G852" s="221">
        <f t="shared" si="44"/>
        <v>2</v>
      </c>
      <c r="H852" s="146" t="s">
        <v>363</v>
      </c>
      <c r="I852" s="117"/>
      <c r="J852" s="146" t="s">
        <v>614</v>
      </c>
      <c r="K852" s="94"/>
      <c r="L852" s="146"/>
      <c r="M852" s="117"/>
      <c r="N852" s="117"/>
      <c r="O852" s="227">
        <f t="shared" si="45"/>
        <v>0</v>
      </c>
      <c r="P852" s="119"/>
      <c r="Q852" s="119"/>
      <c r="R852" s="221" t="s">
        <v>122</v>
      </c>
      <c r="S852" s="225" t="s">
        <v>469</v>
      </c>
      <c r="T852" s="221" t="s">
        <v>164</v>
      </c>
      <c r="U852" s="221" t="s">
        <v>1674</v>
      </c>
      <c r="V852" s="117" t="s">
        <v>169</v>
      </c>
      <c r="W852" s="117"/>
      <c r="X852" s="117"/>
      <c r="Y852" s="221" t="s">
        <v>1942</v>
      </c>
      <c r="Z852" s="117" t="s">
        <v>202</v>
      </c>
      <c r="AA852" s="117"/>
      <c r="AB852" s="117" t="s">
        <v>872</v>
      </c>
      <c r="AC852" s="63">
        <f t="shared" si="43"/>
        <v>0</v>
      </c>
      <c r="AD852" s="117"/>
      <c r="AE852" s="117" t="s">
        <v>217</v>
      </c>
      <c r="AF852" s="117" t="s">
        <v>1625</v>
      </c>
      <c r="AG852" s="117"/>
      <c r="AH852" s="64"/>
      <c r="AI852" s="117"/>
      <c r="AJ852" s="117"/>
      <c r="AK852" s="117"/>
      <c r="AL852" s="117"/>
      <c r="AM852" s="117"/>
    </row>
    <row r="853" spans="1:39" ht="12.75" hidden="1" customHeight="1">
      <c r="A853" s="147">
        <v>852</v>
      </c>
      <c r="B853" s="223">
        <v>221729</v>
      </c>
      <c r="C853" s="117" t="s">
        <v>1628</v>
      </c>
      <c r="D853" s="57">
        <v>43185</v>
      </c>
      <c r="E853" s="160" t="s">
        <v>2206</v>
      </c>
      <c r="F853" s="222">
        <v>43198</v>
      </c>
      <c r="G853" s="221">
        <f t="shared" si="44"/>
        <v>13</v>
      </c>
      <c r="H853" s="146" t="s">
        <v>363</v>
      </c>
      <c r="I853" s="117"/>
      <c r="J853" s="146" t="s">
        <v>614</v>
      </c>
      <c r="K853" s="94">
        <v>1999</v>
      </c>
      <c r="L853" s="146"/>
      <c r="M853" s="117">
        <v>321</v>
      </c>
      <c r="N853" s="117"/>
      <c r="O853" s="227">
        <f>IF(AE853="Reemplazo",0,K853-(K853*0.12*0.5)-(MAX(M853,N853)))</f>
        <v>1558.06</v>
      </c>
      <c r="P853" s="119"/>
      <c r="Q853" s="119"/>
      <c r="R853" s="221" t="s">
        <v>134</v>
      </c>
      <c r="S853" s="225" t="s">
        <v>465</v>
      </c>
      <c r="T853" s="221" t="s">
        <v>164</v>
      </c>
      <c r="U853" s="221" t="s">
        <v>2236</v>
      </c>
      <c r="V853" s="117" t="s">
        <v>90</v>
      </c>
      <c r="W853" s="117"/>
      <c r="X853" s="117"/>
      <c r="Y853" s="117" t="s">
        <v>1942</v>
      </c>
      <c r="Z853" s="117" t="s">
        <v>292</v>
      </c>
      <c r="AA853" s="117"/>
      <c r="AB853" s="117"/>
      <c r="AC853" s="63">
        <f t="shared" si="43"/>
        <v>1</v>
      </c>
      <c r="AD853" s="117"/>
      <c r="AE853" s="117"/>
      <c r="AF853" s="117"/>
      <c r="AG853" s="117"/>
      <c r="AH853" s="64" t="s">
        <v>2255</v>
      </c>
      <c r="AI853" s="117"/>
      <c r="AJ853" s="117"/>
      <c r="AK853" s="117"/>
      <c r="AL853" s="117"/>
      <c r="AM853" s="117"/>
    </row>
    <row r="854" spans="1:39" ht="12.75" hidden="1" customHeight="1">
      <c r="A854" s="147">
        <v>853</v>
      </c>
      <c r="B854" s="223">
        <v>221328</v>
      </c>
      <c r="C854" s="117" t="s">
        <v>128</v>
      </c>
      <c r="D854" s="57">
        <v>43185</v>
      </c>
      <c r="E854" s="160" t="s">
        <v>2206</v>
      </c>
      <c r="F854" s="222">
        <v>43198</v>
      </c>
      <c r="G854" s="221">
        <f t="shared" si="44"/>
        <v>13</v>
      </c>
      <c r="H854" s="146" t="s">
        <v>133</v>
      </c>
      <c r="I854" s="117"/>
      <c r="J854" s="146" t="s">
        <v>614</v>
      </c>
      <c r="K854" s="94">
        <v>2564</v>
      </c>
      <c r="L854" s="146"/>
      <c r="M854" s="117">
        <v>190</v>
      </c>
      <c r="N854" s="117">
        <v>160</v>
      </c>
      <c r="O854" s="227">
        <f>IF(AE854="Reemplazo",0,K854-(K854*0.12*0.5)-(MAX(M854,N854)))</f>
        <v>2220.16</v>
      </c>
      <c r="P854" s="119"/>
      <c r="Q854" s="119"/>
      <c r="R854" s="117" t="s">
        <v>210</v>
      </c>
      <c r="S854" s="225" t="s">
        <v>469</v>
      </c>
      <c r="T854" s="117" t="s">
        <v>1300</v>
      </c>
      <c r="U854" s="221" t="s">
        <v>1426</v>
      </c>
      <c r="V854" s="117" t="s">
        <v>1533</v>
      </c>
      <c r="W854" s="117"/>
      <c r="X854" s="117"/>
      <c r="Y854" s="117" t="s">
        <v>1942</v>
      </c>
      <c r="Z854" s="117" t="s">
        <v>253</v>
      </c>
      <c r="AA854" s="222">
        <v>43186</v>
      </c>
      <c r="AB854" s="117" t="s">
        <v>872</v>
      </c>
      <c r="AC854" s="63">
        <f t="shared" si="43"/>
        <v>1</v>
      </c>
      <c r="AD854" s="117" t="s">
        <v>217</v>
      </c>
      <c r="AE854" s="117" t="s">
        <v>218</v>
      </c>
      <c r="AF854" s="117"/>
      <c r="AG854" s="117"/>
      <c r="AH854" s="64"/>
      <c r="AI854" s="117"/>
      <c r="AJ854" s="117"/>
      <c r="AK854" s="117"/>
      <c r="AL854" s="117"/>
      <c r="AM854" s="117"/>
    </row>
    <row r="855" spans="1:39" ht="12.75" hidden="1" customHeight="1">
      <c r="A855" s="147">
        <v>854</v>
      </c>
      <c r="B855" s="223">
        <v>220892</v>
      </c>
      <c r="C855" s="117" t="s">
        <v>128</v>
      </c>
      <c r="D855" s="57">
        <v>43181</v>
      </c>
      <c r="E855" s="160" t="s">
        <v>2206</v>
      </c>
      <c r="F855" s="222">
        <v>43198</v>
      </c>
      <c r="G855" s="221">
        <f t="shared" si="44"/>
        <v>17</v>
      </c>
      <c r="H855" s="146" t="s">
        <v>133</v>
      </c>
      <c r="I855" s="117"/>
      <c r="J855" s="146" t="s">
        <v>614</v>
      </c>
      <c r="K855" s="94"/>
      <c r="L855" s="146"/>
      <c r="M855" s="117"/>
      <c r="N855" s="117"/>
      <c r="O855" s="227">
        <f>IF(AE855="Reemplazo",0,K855-(K855*0.12*0.5)-(MAX(M855,N855)))</f>
        <v>0</v>
      </c>
      <c r="P855" s="119"/>
      <c r="Q855" s="119"/>
      <c r="R855" s="117" t="s">
        <v>237</v>
      </c>
      <c r="S855" s="225" t="s">
        <v>465</v>
      </c>
      <c r="T855" s="117" t="s">
        <v>120</v>
      </c>
      <c r="U855" s="221" t="s">
        <v>2253</v>
      </c>
      <c r="V855" s="117" t="s">
        <v>2254</v>
      </c>
      <c r="W855" s="117"/>
      <c r="X855" s="117"/>
      <c r="Y855" s="117"/>
      <c r="Z855" s="117" t="s">
        <v>252</v>
      </c>
      <c r="AA855" s="117"/>
      <c r="AB855" s="117"/>
      <c r="AC855" s="63">
        <f t="shared" si="43"/>
        <v>0</v>
      </c>
      <c r="AD855" s="117"/>
      <c r="AE855" s="117" t="s">
        <v>217</v>
      </c>
      <c r="AF855" s="117" t="s">
        <v>225</v>
      </c>
      <c r="AG855" s="117"/>
      <c r="AH855" s="64"/>
      <c r="AI855" s="117"/>
      <c r="AJ855" s="117"/>
      <c r="AK855" s="117"/>
      <c r="AL855" s="117"/>
      <c r="AM855" s="117"/>
    </row>
    <row r="856" spans="1:39" ht="12.75" hidden="1" customHeight="1">
      <c r="A856" s="147">
        <v>855</v>
      </c>
      <c r="B856" s="223">
        <v>221299</v>
      </c>
      <c r="C856" s="117" t="s">
        <v>1130</v>
      </c>
      <c r="D856" s="57">
        <v>43181</v>
      </c>
      <c r="E856" s="160" t="s">
        <v>2206</v>
      </c>
      <c r="F856" s="222">
        <v>43191</v>
      </c>
      <c r="G856" s="221">
        <f t="shared" si="44"/>
        <v>10</v>
      </c>
      <c r="H856" s="146" t="s">
        <v>133</v>
      </c>
      <c r="I856" s="117"/>
      <c r="J856" s="146" t="s">
        <v>614</v>
      </c>
      <c r="K856" s="94"/>
      <c r="L856" s="146"/>
      <c r="M856" s="117"/>
      <c r="N856" s="117"/>
      <c r="O856" s="227">
        <f t="shared" ref="O856:O893" si="46">IF(AE856="Reemplazo",0,K856-(K856*0.12*0.5)-(MAX(M856,N856)))</f>
        <v>0</v>
      </c>
      <c r="P856" s="119"/>
      <c r="Q856" s="119"/>
      <c r="R856" s="117" t="s">
        <v>143</v>
      </c>
      <c r="S856" s="225" t="s">
        <v>465</v>
      </c>
      <c r="T856" s="117" t="s">
        <v>164</v>
      </c>
      <c r="U856" s="221" t="s">
        <v>1072</v>
      </c>
      <c r="V856" s="117" t="s">
        <v>519</v>
      </c>
      <c r="W856" s="117"/>
      <c r="X856" s="117"/>
      <c r="Y856" s="117"/>
      <c r="Z856" s="117" t="s">
        <v>379</v>
      </c>
      <c r="AA856" s="117"/>
      <c r="AB856" s="117"/>
      <c r="AC856" s="63">
        <f t="shared" ref="AC856:AC897" si="47">+IF(O856&gt;0,1,0)</f>
        <v>0</v>
      </c>
      <c r="AD856" s="117"/>
      <c r="AE856" s="117" t="s">
        <v>217</v>
      </c>
      <c r="AF856" s="117" t="s">
        <v>225</v>
      </c>
      <c r="AG856" s="117"/>
      <c r="AH856" s="64"/>
      <c r="AI856" s="117"/>
      <c r="AJ856" s="117"/>
      <c r="AK856" s="117"/>
      <c r="AL856" s="117"/>
      <c r="AM856" s="117"/>
    </row>
    <row r="857" spans="1:39" ht="12.75" hidden="1" customHeight="1">
      <c r="A857" s="147">
        <v>856</v>
      </c>
      <c r="B857" s="223">
        <v>221569</v>
      </c>
      <c r="C857" s="117" t="s">
        <v>128</v>
      </c>
      <c r="D857" s="57">
        <v>43186</v>
      </c>
      <c r="E857" s="160" t="s">
        <v>2206</v>
      </c>
      <c r="F857" s="222">
        <v>43203</v>
      </c>
      <c r="G857" s="221">
        <f t="shared" si="44"/>
        <v>17</v>
      </c>
      <c r="H857" s="146" t="s">
        <v>133</v>
      </c>
      <c r="I857" s="117"/>
      <c r="J857" s="146" t="s">
        <v>614</v>
      </c>
      <c r="K857" s="94">
        <v>1230</v>
      </c>
      <c r="L857" s="146"/>
      <c r="M857" s="117">
        <v>370</v>
      </c>
      <c r="N857" s="117">
        <v>160.6</v>
      </c>
      <c r="O857" s="227">
        <f t="shared" si="46"/>
        <v>786.2</v>
      </c>
      <c r="P857" s="119"/>
      <c r="Q857" s="119"/>
      <c r="R857" s="117" t="s">
        <v>501</v>
      </c>
      <c r="S857" s="225" t="s">
        <v>466</v>
      </c>
      <c r="T857" s="117" t="s">
        <v>405</v>
      </c>
      <c r="U857" s="221" t="s">
        <v>693</v>
      </c>
      <c r="V857" s="117" t="s">
        <v>257</v>
      </c>
      <c r="W857" s="117"/>
      <c r="X857" s="117"/>
      <c r="Y857" s="117" t="s">
        <v>1459</v>
      </c>
      <c r="Z857" s="117" t="s">
        <v>259</v>
      </c>
      <c r="AA857" s="222">
        <v>43193</v>
      </c>
      <c r="AB857" s="117" t="s">
        <v>591</v>
      </c>
      <c r="AC857" s="63">
        <f t="shared" si="47"/>
        <v>1</v>
      </c>
      <c r="AD857" s="117" t="s">
        <v>217</v>
      </c>
      <c r="AE857" s="117" t="s">
        <v>218</v>
      </c>
      <c r="AF857" s="117"/>
      <c r="AG857" s="117"/>
      <c r="AH857" s="64"/>
      <c r="AI857" s="117"/>
      <c r="AJ857" s="117"/>
      <c r="AK857" s="117"/>
      <c r="AL857" s="117"/>
      <c r="AM857" s="117"/>
    </row>
    <row r="858" spans="1:39" ht="12.75" hidden="1" customHeight="1">
      <c r="A858" s="147">
        <v>857</v>
      </c>
      <c r="B858" s="60">
        <v>221048</v>
      </c>
      <c r="C858" s="117" t="s">
        <v>1130</v>
      </c>
      <c r="D858" s="57">
        <v>43181</v>
      </c>
      <c r="E858" s="160" t="s">
        <v>2206</v>
      </c>
      <c r="F858" s="222">
        <v>43191</v>
      </c>
      <c r="G858" s="221">
        <f t="shared" si="44"/>
        <v>10</v>
      </c>
      <c r="H858" s="146" t="s">
        <v>133</v>
      </c>
      <c r="I858" s="117"/>
      <c r="J858" s="146" t="s">
        <v>614</v>
      </c>
      <c r="K858" s="94"/>
      <c r="L858" s="146"/>
      <c r="M858" s="117"/>
      <c r="N858" s="117"/>
      <c r="O858" s="227">
        <f t="shared" si="46"/>
        <v>0</v>
      </c>
      <c r="P858" s="119"/>
      <c r="Q858" s="119"/>
      <c r="R858" s="221" t="s">
        <v>143</v>
      </c>
      <c r="S858" s="225" t="s">
        <v>465</v>
      </c>
      <c r="T858" s="221" t="s">
        <v>164</v>
      </c>
      <c r="U858" s="221" t="s">
        <v>1072</v>
      </c>
      <c r="V858" s="117" t="s">
        <v>519</v>
      </c>
      <c r="W858" s="117"/>
      <c r="X858" s="117"/>
      <c r="Y858" s="117"/>
      <c r="Z858" s="117" t="s">
        <v>379</v>
      </c>
      <c r="AA858" s="117"/>
      <c r="AB858" s="117"/>
      <c r="AC858" s="63">
        <f t="shared" si="47"/>
        <v>0</v>
      </c>
      <c r="AD858" s="117"/>
      <c r="AE858" s="117" t="s">
        <v>217</v>
      </c>
      <c r="AF858" s="117" t="s">
        <v>225</v>
      </c>
      <c r="AG858" s="117"/>
      <c r="AH858" s="64"/>
      <c r="AI858" s="117"/>
      <c r="AJ858" s="117"/>
      <c r="AK858" s="117"/>
      <c r="AL858" s="117"/>
      <c r="AM858" s="117"/>
    </row>
    <row r="859" spans="1:39" ht="12.75" hidden="1" customHeight="1">
      <c r="A859" s="147">
        <v>858</v>
      </c>
      <c r="B859" s="223">
        <v>221521</v>
      </c>
      <c r="C859" s="117" t="s">
        <v>1130</v>
      </c>
      <c r="D859" s="57">
        <v>43192</v>
      </c>
      <c r="E859" s="160" t="s">
        <v>2256</v>
      </c>
      <c r="F859" s="222">
        <v>43204</v>
      </c>
      <c r="G859" s="221">
        <f t="shared" si="44"/>
        <v>12</v>
      </c>
      <c r="H859" s="146" t="s">
        <v>133</v>
      </c>
      <c r="I859" s="117"/>
      <c r="J859" s="146" t="s">
        <v>614</v>
      </c>
      <c r="K859" s="94">
        <v>2879</v>
      </c>
      <c r="L859" s="146"/>
      <c r="M859" s="117">
        <v>190</v>
      </c>
      <c r="N859" s="117">
        <v>145</v>
      </c>
      <c r="O859" s="227">
        <f t="shared" si="46"/>
        <v>0</v>
      </c>
      <c r="P859" s="119"/>
      <c r="Q859" s="119"/>
      <c r="R859" s="117" t="s">
        <v>134</v>
      </c>
      <c r="S859" s="225" t="s">
        <v>465</v>
      </c>
      <c r="T859" s="117" t="s">
        <v>144</v>
      </c>
      <c r="U859" s="221" t="s">
        <v>2257</v>
      </c>
      <c r="V859" s="117" t="s">
        <v>429</v>
      </c>
      <c r="W859" s="117"/>
      <c r="X859" s="117"/>
      <c r="Y859" s="117" t="s">
        <v>316</v>
      </c>
      <c r="Z859" s="117" t="s">
        <v>137</v>
      </c>
      <c r="AA859" s="222">
        <v>43194</v>
      </c>
      <c r="AB859" s="117" t="s">
        <v>872</v>
      </c>
      <c r="AC859" s="63">
        <f t="shared" si="47"/>
        <v>0</v>
      </c>
      <c r="AD859" s="117"/>
      <c r="AE859" s="117" t="s">
        <v>217</v>
      </c>
      <c r="AF859" s="117" t="s">
        <v>225</v>
      </c>
      <c r="AG859" s="117"/>
      <c r="AH859" s="64" t="s">
        <v>2266</v>
      </c>
      <c r="AI859" s="117"/>
      <c r="AJ859" s="117"/>
      <c r="AK859" s="117"/>
      <c r="AL859" s="117"/>
      <c r="AM859" s="117"/>
    </row>
    <row r="860" spans="1:39" ht="12.75" hidden="1" customHeight="1">
      <c r="A860" s="147">
        <v>859</v>
      </c>
      <c r="B860" s="223">
        <v>221317</v>
      </c>
      <c r="C860" s="117" t="s">
        <v>1130</v>
      </c>
      <c r="D860" s="57">
        <v>43192</v>
      </c>
      <c r="E860" s="160" t="s">
        <v>2256</v>
      </c>
      <c r="F860" s="222">
        <v>43196</v>
      </c>
      <c r="G860" s="221">
        <f t="shared" si="44"/>
        <v>4</v>
      </c>
      <c r="H860" s="146" t="s">
        <v>363</v>
      </c>
      <c r="I860" s="117"/>
      <c r="J860" s="146" t="s">
        <v>614</v>
      </c>
      <c r="K860" s="94"/>
      <c r="L860" s="146"/>
      <c r="M860" s="117"/>
      <c r="N860" s="117"/>
      <c r="O860" s="227">
        <f t="shared" si="46"/>
        <v>0</v>
      </c>
      <c r="P860" s="119"/>
      <c r="Q860" s="119"/>
      <c r="R860" s="117" t="s">
        <v>134</v>
      </c>
      <c r="S860" s="225" t="s">
        <v>465</v>
      </c>
      <c r="T860" s="117" t="s">
        <v>88</v>
      </c>
      <c r="U860" s="221" t="s">
        <v>1461</v>
      </c>
      <c r="V860" s="117" t="s">
        <v>429</v>
      </c>
      <c r="W860" s="117"/>
      <c r="X860" s="117"/>
      <c r="Y860" s="117"/>
      <c r="Z860" s="117" t="s">
        <v>189</v>
      </c>
      <c r="AA860" s="117"/>
      <c r="AB860" s="117"/>
      <c r="AC860" s="63">
        <f t="shared" si="47"/>
        <v>0</v>
      </c>
      <c r="AD860" s="117"/>
      <c r="AE860" s="117"/>
      <c r="AF860" s="117"/>
      <c r="AG860" s="117"/>
      <c r="AH860" s="64" t="s">
        <v>2264</v>
      </c>
      <c r="AI860" s="117"/>
      <c r="AJ860" s="117"/>
      <c r="AK860" s="117"/>
      <c r="AL860" s="117"/>
      <c r="AM860" s="117"/>
    </row>
    <row r="861" spans="1:39" ht="12.75" hidden="1" customHeight="1">
      <c r="A861" s="147">
        <v>860</v>
      </c>
      <c r="B861" s="223">
        <v>221883</v>
      </c>
      <c r="C861" s="117" t="s">
        <v>1628</v>
      </c>
      <c r="D861" s="222">
        <v>43194</v>
      </c>
      <c r="E861" s="160" t="s">
        <v>2256</v>
      </c>
      <c r="F861" s="222">
        <v>43202</v>
      </c>
      <c r="G861" s="221">
        <f t="shared" si="44"/>
        <v>8</v>
      </c>
      <c r="H861" s="146" t="s">
        <v>133</v>
      </c>
      <c r="I861" s="117"/>
      <c r="J861" s="146" t="s">
        <v>614</v>
      </c>
      <c r="K861" s="94">
        <v>1899</v>
      </c>
      <c r="L861" s="146"/>
      <c r="M861" s="117">
        <v>540</v>
      </c>
      <c r="N861" s="117">
        <v>366</v>
      </c>
      <c r="O861" s="227">
        <f t="shared" si="46"/>
        <v>1245.06</v>
      </c>
      <c r="P861" s="119"/>
      <c r="Q861" s="119"/>
      <c r="R861" s="221" t="s">
        <v>134</v>
      </c>
      <c r="S861" s="225" t="s">
        <v>465</v>
      </c>
      <c r="T861" s="221" t="s">
        <v>164</v>
      </c>
      <c r="U861" s="221" t="s">
        <v>797</v>
      </c>
      <c r="V861" s="117" t="s">
        <v>862</v>
      </c>
      <c r="W861" s="117"/>
      <c r="X861" s="117"/>
      <c r="Y861" s="221" t="s">
        <v>316</v>
      </c>
      <c r="Z861" s="117" t="s">
        <v>202</v>
      </c>
      <c r="AA861" s="222">
        <v>43195</v>
      </c>
      <c r="AB861" s="117" t="s">
        <v>140</v>
      </c>
      <c r="AC861" s="63">
        <f t="shared" si="47"/>
        <v>1</v>
      </c>
      <c r="AD861" s="117" t="s">
        <v>217</v>
      </c>
      <c r="AE861" s="117" t="s">
        <v>218</v>
      </c>
      <c r="AF861" s="117"/>
      <c r="AG861" s="117"/>
      <c r="AH861" s="64"/>
      <c r="AI861" s="117"/>
      <c r="AJ861" s="117"/>
      <c r="AK861" s="117"/>
      <c r="AL861" s="117"/>
      <c r="AM861" s="117"/>
    </row>
    <row r="862" spans="1:39" ht="12.75" hidden="1" customHeight="1">
      <c r="A862" s="147">
        <v>861</v>
      </c>
      <c r="B862" s="223">
        <v>221369</v>
      </c>
      <c r="C862" s="117" t="s">
        <v>129</v>
      </c>
      <c r="D862" s="222">
        <v>43193</v>
      </c>
      <c r="E862" s="160" t="s">
        <v>2256</v>
      </c>
      <c r="F862" s="222">
        <v>43197</v>
      </c>
      <c r="G862" s="221">
        <f t="shared" si="44"/>
        <v>4</v>
      </c>
      <c r="H862" s="221" t="s">
        <v>133</v>
      </c>
      <c r="I862" s="117"/>
      <c r="J862" s="146" t="s">
        <v>614</v>
      </c>
      <c r="K862" s="94"/>
      <c r="L862" s="146"/>
      <c r="M862" s="117">
        <v>583</v>
      </c>
      <c r="N862" s="117"/>
      <c r="O862" s="227">
        <f t="shared" si="46"/>
        <v>0</v>
      </c>
      <c r="P862" s="119"/>
      <c r="Q862" s="119"/>
      <c r="R862" s="221" t="s">
        <v>143</v>
      </c>
      <c r="S862" s="225" t="s">
        <v>465</v>
      </c>
      <c r="T862" s="221" t="s">
        <v>164</v>
      </c>
      <c r="U862" s="221" t="s">
        <v>2258</v>
      </c>
      <c r="V862" s="117" t="s">
        <v>2259</v>
      </c>
      <c r="W862" s="117"/>
      <c r="X862" s="117"/>
      <c r="Y862" s="117" t="s">
        <v>1942</v>
      </c>
      <c r="Z862" s="221" t="s">
        <v>202</v>
      </c>
      <c r="AA862" s="117"/>
      <c r="AB862" s="117" t="s">
        <v>195</v>
      </c>
      <c r="AC862" s="63">
        <f t="shared" si="47"/>
        <v>0</v>
      </c>
      <c r="AD862" s="117"/>
      <c r="AE862" s="117" t="s">
        <v>217</v>
      </c>
      <c r="AF862" s="117" t="s">
        <v>2265</v>
      </c>
      <c r="AG862" s="117"/>
      <c r="AH862" s="64"/>
      <c r="AI862" s="117"/>
      <c r="AJ862" s="117"/>
      <c r="AK862" s="117"/>
      <c r="AL862" s="117"/>
      <c r="AM862" s="117"/>
    </row>
    <row r="863" spans="1:39" ht="12.75" hidden="1" customHeight="1">
      <c r="A863" s="147">
        <v>862</v>
      </c>
      <c r="B863" s="223">
        <v>221376</v>
      </c>
      <c r="C863" s="221" t="s">
        <v>129</v>
      </c>
      <c r="D863" s="222">
        <v>43193</v>
      </c>
      <c r="E863" s="160" t="s">
        <v>2256</v>
      </c>
      <c r="F863" s="222">
        <v>43199</v>
      </c>
      <c r="G863" s="221">
        <f t="shared" si="44"/>
        <v>6</v>
      </c>
      <c r="H863" s="221" t="s">
        <v>133</v>
      </c>
      <c r="I863" s="117"/>
      <c r="J863" s="146" t="s">
        <v>614</v>
      </c>
      <c r="K863" s="94">
        <v>1899</v>
      </c>
      <c r="L863" s="146"/>
      <c r="M863" s="117">
        <v>533</v>
      </c>
      <c r="N863" s="117">
        <v>80</v>
      </c>
      <c r="O863" s="227">
        <f t="shared" si="46"/>
        <v>1252.06</v>
      </c>
      <c r="P863" s="119"/>
      <c r="Q863" s="119"/>
      <c r="R863" s="221" t="s">
        <v>134</v>
      </c>
      <c r="S863" s="225" t="s">
        <v>465</v>
      </c>
      <c r="T863" s="221" t="s">
        <v>164</v>
      </c>
      <c r="U863" s="221" t="s">
        <v>2152</v>
      </c>
      <c r="V863" s="117" t="s">
        <v>2260</v>
      </c>
      <c r="W863" s="117"/>
      <c r="X863" s="117"/>
      <c r="Y863" s="117" t="s">
        <v>1942</v>
      </c>
      <c r="Z863" s="221" t="s">
        <v>202</v>
      </c>
      <c r="AA863" s="222">
        <v>43196</v>
      </c>
      <c r="AB863" s="117" t="s">
        <v>195</v>
      </c>
      <c r="AC863" s="63">
        <f t="shared" si="47"/>
        <v>1</v>
      </c>
      <c r="AD863" s="117"/>
      <c r="AE863" s="117"/>
      <c r="AF863" s="117"/>
      <c r="AG863" s="117"/>
      <c r="AH863" s="64"/>
      <c r="AI863" s="117"/>
      <c r="AJ863" s="117"/>
      <c r="AK863" s="117"/>
      <c r="AL863" s="117"/>
      <c r="AM863" s="117"/>
    </row>
    <row r="864" spans="1:39" ht="12.75" hidden="1" customHeight="1">
      <c r="A864" s="147">
        <v>863</v>
      </c>
      <c r="B864" s="223">
        <v>221324</v>
      </c>
      <c r="C864" s="221" t="s">
        <v>129</v>
      </c>
      <c r="D864" s="222">
        <v>43193</v>
      </c>
      <c r="E864" s="160" t="s">
        <v>2256</v>
      </c>
      <c r="F864" s="222">
        <v>43197</v>
      </c>
      <c r="G864" s="221">
        <f t="shared" si="44"/>
        <v>4</v>
      </c>
      <c r="H864" s="221" t="s">
        <v>133</v>
      </c>
      <c r="I864" s="117"/>
      <c r="J864" s="146" t="s">
        <v>614</v>
      </c>
      <c r="K864" s="94">
        <v>1999</v>
      </c>
      <c r="L864" s="146"/>
      <c r="M864" s="117">
        <v>310</v>
      </c>
      <c r="N864" s="117">
        <v>80</v>
      </c>
      <c r="O864" s="227">
        <f t="shared" si="46"/>
        <v>1569.06</v>
      </c>
      <c r="P864" s="119"/>
      <c r="Q864" s="119"/>
      <c r="R864" s="221" t="s">
        <v>134</v>
      </c>
      <c r="S864" s="225" t="s">
        <v>465</v>
      </c>
      <c r="T864" s="221" t="s">
        <v>164</v>
      </c>
      <c r="U864" s="221" t="s">
        <v>797</v>
      </c>
      <c r="V864" s="117" t="s">
        <v>2261</v>
      </c>
      <c r="W864" s="117"/>
      <c r="X864" s="117"/>
      <c r="Y864" s="221" t="s">
        <v>316</v>
      </c>
      <c r="Z864" s="221" t="s">
        <v>202</v>
      </c>
      <c r="AA864" s="222">
        <v>43195</v>
      </c>
      <c r="AB864" s="117" t="s">
        <v>872</v>
      </c>
      <c r="AC864" s="63">
        <f t="shared" si="47"/>
        <v>1</v>
      </c>
      <c r="AD864" s="117" t="s">
        <v>217</v>
      </c>
      <c r="AE864" s="117" t="s">
        <v>218</v>
      </c>
      <c r="AF864" s="117"/>
      <c r="AG864" s="117"/>
      <c r="AH864" s="64"/>
      <c r="AI864" s="117"/>
      <c r="AJ864" s="117"/>
      <c r="AK864" s="117"/>
      <c r="AL864" s="117"/>
      <c r="AM864" s="117"/>
    </row>
    <row r="865" spans="1:39" ht="12.75" hidden="1" customHeight="1">
      <c r="A865" s="147">
        <v>864</v>
      </c>
      <c r="B865" s="223">
        <v>222250</v>
      </c>
      <c r="C865" s="117" t="s">
        <v>1628</v>
      </c>
      <c r="D865" s="222">
        <v>43195</v>
      </c>
      <c r="E865" s="160" t="s">
        <v>2256</v>
      </c>
      <c r="F865" s="222">
        <v>43204</v>
      </c>
      <c r="G865" s="221">
        <f t="shared" si="44"/>
        <v>9</v>
      </c>
      <c r="H865" s="146" t="s">
        <v>133</v>
      </c>
      <c r="I865" s="117"/>
      <c r="J865" s="146" t="s">
        <v>614</v>
      </c>
      <c r="K865" s="94"/>
      <c r="L865" s="146"/>
      <c r="M865" s="117"/>
      <c r="N865" s="117"/>
      <c r="O865" s="227">
        <f t="shared" si="46"/>
        <v>0</v>
      </c>
      <c r="P865" s="119"/>
      <c r="Q865" s="119"/>
      <c r="R865" s="221" t="s">
        <v>143</v>
      </c>
      <c r="S865" s="225" t="s">
        <v>465</v>
      </c>
      <c r="T865" s="117" t="s">
        <v>358</v>
      </c>
      <c r="U865" s="221" t="s">
        <v>2262</v>
      </c>
      <c r="V865" s="117" t="s">
        <v>2263</v>
      </c>
      <c r="W865" s="117"/>
      <c r="X865" s="117"/>
      <c r="Y865" s="117"/>
      <c r="Z865" s="117" t="s">
        <v>1284</v>
      </c>
      <c r="AA865" s="117"/>
      <c r="AB865" s="117"/>
      <c r="AC865" s="63">
        <f t="shared" si="47"/>
        <v>0</v>
      </c>
      <c r="AD865" s="117"/>
      <c r="AE865" s="117" t="s">
        <v>217</v>
      </c>
      <c r="AF865" s="117" t="s">
        <v>225</v>
      </c>
      <c r="AG865" s="117"/>
      <c r="AH865" s="64"/>
      <c r="AI865" s="117"/>
      <c r="AJ865" s="117"/>
      <c r="AK865" s="117"/>
      <c r="AL865" s="117"/>
      <c r="AM865" s="117"/>
    </row>
    <row r="866" spans="1:39" ht="12.75" hidden="1" customHeight="1">
      <c r="A866" s="147">
        <v>865</v>
      </c>
      <c r="B866" s="223">
        <v>222109</v>
      </c>
      <c r="C866" s="117" t="s">
        <v>1628</v>
      </c>
      <c r="D866" s="222">
        <v>43195</v>
      </c>
      <c r="E866" s="160" t="s">
        <v>2256</v>
      </c>
      <c r="F866" s="222">
        <v>43204</v>
      </c>
      <c r="G866" s="221">
        <f t="shared" si="44"/>
        <v>9</v>
      </c>
      <c r="H866" s="146" t="s">
        <v>133</v>
      </c>
      <c r="I866" s="117"/>
      <c r="J866" s="146" t="s">
        <v>614</v>
      </c>
      <c r="K866" s="94">
        <v>1099</v>
      </c>
      <c r="L866" s="146"/>
      <c r="M866" s="117">
        <v>270</v>
      </c>
      <c r="N866" s="117">
        <v>155</v>
      </c>
      <c r="O866" s="227">
        <f t="shared" si="46"/>
        <v>763.06</v>
      </c>
      <c r="P866" s="119"/>
      <c r="Q866" s="119"/>
      <c r="R866" s="221" t="s">
        <v>143</v>
      </c>
      <c r="S866" s="225" t="s">
        <v>465</v>
      </c>
      <c r="T866" s="221" t="s">
        <v>358</v>
      </c>
      <c r="U866" s="221" t="s">
        <v>2262</v>
      </c>
      <c r="V866" s="117" t="s">
        <v>425</v>
      </c>
      <c r="W866" s="117"/>
      <c r="X866" s="117"/>
      <c r="Y866" s="221" t="s">
        <v>316</v>
      </c>
      <c r="Z866" s="221" t="s">
        <v>1284</v>
      </c>
      <c r="AA866" s="222">
        <v>43196</v>
      </c>
      <c r="AB866" s="117" t="s">
        <v>195</v>
      </c>
      <c r="AC866" s="63">
        <f t="shared" si="47"/>
        <v>1</v>
      </c>
      <c r="AD866" s="117" t="s">
        <v>217</v>
      </c>
      <c r="AE866" s="117" t="s">
        <v>218</v>
      </c>
      <c r="AF866" s="117"/>
      <c r="AG866" s="117"/>
      <c r="AH866" s="64"/>
      <c r="AI866" s="117"/>
      <c r="AJ866" s="117"/>
      <c r="AK866" s="117"/>
      <c r="AL866" s="117"/>
      <c r="AM866" s="117"/>
    </row>
    <row r="867" spans="1:39" ht="12.75" hidden="1" customHeight="1">
      <c r="A867" s="147">
        <v>866</v>
      </c>
      <c r="B867" s="223">
        <v>222370</v>
      </c>
      <c r="C867" s="221" t="s">
        <v>1628</v>
      </c>
      <c r="D867" s="222">
        <v>43200</v>
      </c>
      <c r="E867" s="160" t="s">
        <v>2256</v>
      </c>
      <c r="F867" s="222">
        <v>43212</v>
      </c>
      <c r="G867" s="221">
        <f t="shared" si="44"/>
        <v>12</v>
      </c>
      <c r="H867" s="146" t="s">
        <v>133</v>
      </c>
      <c r="I867" s="117"/>
      <c r="J867" s="146" t="s">
        <v>614</v>
      </c>
      <c r="K867" s="94"/>
      <c r="L867" s="146"/>
      <c r="M867" s="117"/>
      <c r="N867" s="117"/>
      <c r="O867" s="227">
        <f t="shared" si="46"/>
        <v>0</v>
      </c>
      <c r="P867" s="119"/>
      <c r="Q867" s="119"/>
      <c r="R867" s="221" t="s">
        <v>134</v>
      </c>
      <c r="S867" s="225" t="s">
        <v>465</v>
      </c>
      <c r="T867" s="221" t="s">
        <v>88</v>
      </c>
      <c r="U867" s="221" t="s">
        <v>2244</v>
      </c>
      <c r="V867" s="221" t="s">
        <v>139</v>
      </c>
      <c r="W867" s="117"/>
      <c r="X867" s="117"/>
      <c r="Y867" s="221" t="s">
        <v>1942</v>
      </c>
      <c r="Z867" s="221" t="s">
        <v>124</v>
      </c>
      <c r="AA867" s="117"/>
      <c r="AB867" s="117"/>
      <c r="AC867" s="63">
        <f t="shared" si="47"/>
        <v>0</v>
      </c>
      <c r="AD867" s="117"/>
      <c r="AE867" s="117" t="s">
        <v>217</v>
      </c>
      <c r="AF867" s="117" t="s">
        <v>225</v>
      </c>
      <c r="AG867" s="117"/>
      <c r="AH867" s="64"/>
      <c r="AI867" s="117"/>
      <c r="AJ867" s="117"/>
      <c r="AK867" s="117"/>
      <c r="AL867" s="117"/>
      <c r="AM867" s="117"/>
    </row>
    <row r="868" spans="1:39" ht="12.75" hidden="1" customHeight="1">
      <c r="A868" s="147">
        <v>867</v>
      </c>
      <c r="B868" s="223">
        <v>221616</v>
      </c>
      <c r="C868" s="221" t="s">
        <v>1628</v>
      </c>
      <c r="D868" s="222">
        <v>43200</v>
      </c>
      <c r="E868" s="160" t="s">
        <v>2256</v>
      </c>
      <c r="F868" s="222">
        <v>43212</v>
      </c>
      <c r="G868" s="221">
        <f t="shared" si="44"/>
        <v>12</v>
      </c>
      <c r="H868" s="221" t="s">
        <v>133</v>
      </c>
      <c r="I868" s="311"/>
      <c r="J868" s="101" t="s">
        <v>614</v>
      </c>
      <c r="K868" s="94">
        <v>2559</v>
      </c>
      <c r="L868" s="312"/>
      <c r="M868" s="221">
        <v>160</v>
      </c>
      <c r="N868" s="221">
        <v>17.5</v>
      </c>
      <c r="O868" s="227">
        <f t="shared" si="46"/>
        <v>2245.46</v>
      </c>
      <c r="P868" s="313"/>
      <c r="Q868" s="310"/>
      <c r="R868" s="221" t="s">
        <v>293</v>
      </c>
      <c r="S868" s="225" t="s">
        <v>469</v>
      </c>
      <c r="T868" s="221" t="s">
        <v>164</v>
      </c>
      <c r="U868" s="221" t="s">
        <v>958</v>
      </c>
      <c r="V868" s="221" t="s">
        <v>293</v>
      </c>
      <c r="W868" s="311"/>
      <c r="X868" s="117"/>
      <c r="Y868" s="221" t="s">
        <v>316</v>
      </c>
      <c r="Z868" s="221" t="s">
        <v>202</v>
      </c>
      <c r="AA868" s="222">
        <v>43200</v>
      </c>
      <c r="AB868" s="117" t="s">
        <v>140</v>
      </c>
      <c r="AC868" s="63">
        <f t="shared" si="47"/>
        <v>1</v>
      </c>
      <c r="AD868" s="117" t="s">
        <v>217</v>
      </c>
      <c r="AE868" s="117" t="s">
        <v>218</v>
      </c>
      <c r="AF868" s="117"/>
      <c r="AG868" s="117"/>
      <c r="AH868" s="64"/>
      <c r="AI868" s="117"/>
      <c r="AJ868" s="117"/>
      <c r="AK868" s="117"/>
      <c r="AL868" s="117"/>
      <c r="AM868" s="117"/>
    </row>
    <row r="869" spans="1:39" ht="12.75" hidden="1" customHeight="1">
      <c r="A869" s="147">
        <v>868</v>
      </c>
      <c r="B869" s="223">
        <v>221731</v>
      </c>
      <c r="C869" s="221" t="s">
        <v>1628</v>
      </c>
      <c r="D869" s="222">
        <v>43200</v>
      </c>
      <c r="E869" s="160" t="s">
        <v>2256</v>
      </c>
      <c r="F869" s="222">
        <v>43212</v>
      </c>
      <c r="G869" s="221">
        <f t="shared" si="44"/>
        <v>12</v>
      </c>
      <c r="H869" s="221" t="s">
        <v>133</v>
      </c>
      <c r="I869" s="311"/>
      <c r="J869" s="101" t="s">
        <v>614</v>
      </c>
      <c r="K869" s="94">
        <v>2559</v>
      </c>
      <c r="L869" s="312"/>
      <c r="M869" s="221">
        <v>160</v>
      </c>
      <c r="N869" s="221">
        <v>17.5</v>
      </c>
      <c r="O869" s="227">
        <f t="shared" si="46"/>
        <v>2245.46</v>
      </c>
      <c r="P869" s="313"/>
      <c r="Q869" s="310"/>
      <c r="R869" s="221" t="s">
        <v>293</v>
      </c>
      <c r="S869" s="225" t="s">
        <v>469</v>
      </c>
      <c r="T869" s="221" t="s">
        <v>164</v>
      </c>
      <c r="U869" s="221" t="s">
        <v>958</v>
      </c>
      <c r="V869" s="221" t="s">
        <v>293</v>
      </c>
      <c r="W869" s="311"/>
      <c r="X869" s="117"/>
      <c r="Y869" s="221" t="s">
        <v>316</v>
      </c>
      <c r="Z869" s="221" t="s">
        <v>202</v>
      </c>
      <c r="AA869" s="222">
        <v>43200</v>
      </c>
      <c r="AB869" s="221" t="s">
        <v>140</v>
      </c>
      <c r="AC869" s="63">
        <f t="shared" si="47"/>
        <v>1</v>
      </c>
      <c r="AD869" s="117" t="s">
        <v>217</v>
      </c>
      <c r="AE869" s="117" t="s">
        <v>218</v>
      </c>
      <c r="AF869" s="117"/>
      <c r="AG869" s="117"/>
      <c r="AH869" s="64"/>
      <c r="AI869" s="117"/>
      <c r="AJ869" s="117"/>
      <c r="AK869" s="117"/>
      <c r="AL869" s="117"/>
      <c r="AM869" s="117"/>
    </row>
    <row r="870" spans="1:39" ht="12.75" hidden="1" customHeight="1">
      <c r="A870" s="147">
        <v>869</v>
      </c>
      <c r="B870" s="223">
        <v>222259</v>
      </c>
      <c r="C870" s="221" t="s">
        <v>1628</v>
      </c>
      <c r="D870" s="222">
        <v>43202</v>
      </c>
      <c r="E870" s="160" t="s">
        <v>2256</v>
      </c>
      <c r="F870" s="222">
        <v>43210</v>
      </c>
      <c r="G870" s="221">
        <f t="shared" si="44"/>
        <v>8</v>
      </c>
      <c r="H870" s="221" t="s">
        <v>133</v>
      </c>
      <c r="I870" s="311"/>
      <c r="J870" s="101" t="s">
        <v>614</v>
      </c>
      <c r="K870" s="94">
        <v>10999</v>
      </c>
      <c r="L870" s="312"/>
      <c r="M870" s="221">
        <v>3446</v>
      </c>
      <c r="N870" s="221">
        <v>220</v>
      </c>
      <c r="O870" s="227">
        <f t="shared" si="46"/>
        <v>0</v>
      </c>
      <c r="P870" s="313"/>
      <c r="Q870" s="310"/>
      <c r="R870" s="221" t="s">
        <v>122</v>
      </c>
      <c r="S870" s="225" t="s">
        <v>469</v>
      </c>
      <c r="T870" s="221" t="s">
        <v>164</v>
      </c>
      <c r="U870" s="221" t="s">
        <v>2267</v>
      </c>
      <c r="V870" s="221" t="s">
        <v>222</v>
      </c>
      <c r="W870" s="311"/>
      <c r="X870" s="117"/>
      <c r="Y870" s="221" t="s">
        <v>1942</v>
      </c>
      <c r="Z870" s="221" t="s">
        <v>404</v>
      </c>
      <c r="AA870" s="222">
        <v>43202</v>
      </c>
      <c r="AB870" s="221" t="s">
        <v>1102</v>
      </c>
      <c r="AC870" s="226">
        <f t="shared" si="47"/>
        <v>0</v>
      </c>
      <c r="AD870" s="221"/>
      <c r="AE870" s="221" t="s">
        <v>217</v>
      </c>
      <c r="AF870" s="221" t="s">
        <v>2265</v>
      </c>
      <c r="AG870" s="221"/>
      <c r="AH870" s="64"/>
      <c r="AI870" s="221"/>
      <c r="AJ870" s="221"/>
      <c r="AK870" s="221"/>
      <c r="AL870" s="221"/>
      <c r="AM870" s="221"/>
    </row>
    <row r="871" spans="1:39" ht="12.75" hidden="1" customHeight="1">
      <c r="A871" s="147">
        <v>870</v>
      </c>
      <c r="B871" s="223">
        <v>222446</v>
      </c>
      <c r="C871" s="221" t="s">
        <v>1130</v>
      </c>
      <c r="D871" s="222">
        <v>43202</v>
      </c>
      <c r="E871" s="160" t="s">
        <v>2256</v>
      </c>
      <c r="F871" s="222">
        <v>43213</v>
      </c>
      <c r="G871" s="221">
        <f t="shared" si="44"/>
        <v>11</v>
      </c>
      <c r="H871" s="221" t="s">
        <v>133</v>
      </c>
      <c r="I871" s="311"/>
      <c r="J871" s="101" t="s">
        <v>614</v>
      </c>
      <c r="K871" s="94"/>
      <c r="L871" s="312"/>
      <c r="M871" s="221"/>
      <c r="N871" s="221"/>
      <c r="O871" s="227">
        <f t="shared" si="46"/>
        <v>0</v>
      </c>
      <c r="P871" s="313"/>
      <c r="Q871" s="310"/>
      <c r="R871" s="221" t="s">
        <v>134</v>
      </c>
      <c r="S871" s="225" t="s">
        <v>465</v>
      </c>
      <c r="T871" s="221" t="s">
        <v>144</v>
      </c>
      <c r="U871" s="221" t="s">
        <v>2208</v>
      </c>
      <c r="V871" s="221" t="s">
        <v>90</v>
      </c>
      <c r="W871" s="311"/>
      <c r="X871" s="117"/>
      <c r="Y871" s="221"/>
      <c r="Z871" s="221" t="s">
        <v>1118</v>
      </c>
      <c r="AA871" s="221"/>
      <c r="AB871" s="221"/>
      <c r="AC871" s="226">
        <f t="shared" si="47"/>
        <v>0</v>
      </c>
      <c r="AD871" s="221"/>
      <c r="AE871" s="221" t="s">
        <v>217</v>
      </c>
      <c r="AF871" s="221" t="s">
        <v>225</v>
      </c>
      <c r="AG871" s="221"/>
      <c r="AH871" s="64"/>
      <c r="AI871" s="221"/>
      <c r="AJ871" s="221"/>
      <c r="AK871" s="221"/>
      <c r="AL871" s="221"/>
      <c r="AM871" s="221"/>
    </row>
    <row r="872" spans="1:39" ht="12.75" hidden="1" customHeight="1">
      <c r="A872" s="147">
        <v>871</v>
      </c>
      <c r="B872" s="223">
        <v>222945</v>
      </c>
      <c r="C872" s="221" t="s">
        <v>1130</v>
      </c>
      <c r="D872" s="222">
        <v>43206</v>
      </c>
      <c r="E872" s="160" t="s">
        <v>2256</v>
      </c>
      <c r="F872" s="222">
        <v>43212</v>
      </c>
      <c r="G872" s="221">
        <f t="shared" si="44"/>
        <v>6</v>
      </c>
      <c r="H872" s="221" t="s">
        <v>363</v>
      </c>
      <c r="I872" s="311"/>
      <c r="J872" s="101" t="s">
        <v>614</v>
      </c>
      <c r="K872" s="94"/>
      <c r="L872" s="312"/>
      <c r="M872" s="221"/>
      <c r="N872" s="221"/>
      <c r="O872" s="227">
        <f t="shared" si="46"/>
        <v>0</v>
      </c>
      <c r="P872" s="313"/>
      <c r="Q872" s="310"/>
      <c r="R872" s="221" t="s">
        <v>122</v>
      </c>
      <c r="S872" s="225" t="s">
        <v>469</v>
      </c>
      <c r="T872" s="221" t="s">
        <v>114</v>
      </c>
      <c r="U872" s="221" t="s">
        <v>2272</v>
      </c>
      <c r="V872" s="221" t="s">
        <v>90</v>
      </c>
      <c r="W872" s="311"/>
      <c r="X872" s="117"/>
      <c r="Y872" s="221"/>
      <c r="Z872" s="221" t="s">
        <v>170</v>
      </c>
      <c r="AA872" s="221"/>
      <c r="AB872" s="221"/>
      <c r="AC872" s="226">
        <f t="shared" si="47"/>
        <v>0</v>
      </c>
      <c r="AD872" s="221"/>
      <c r="AE872" s="221"/>
      <c r="AF872" s="221"/>
      <c r="AG872" s="221"/>
      <c r="AH872" s="64" t="s">
        <v>2273</v>
      </c>
      <c r="AI872" s="221"/>
      <c r="AJ872" s="221"/>
      <c r="AK872" s="221"/>
      <c r="AL872" s="221"/>
      <c r="AM872" s="221"/>
    </row>
    <row r="873" spans="1:39" ht="12.75" hidden="1" customHeight="1">
      <c r="A873" s="147">
        <v>872</v>
      </c>
      <c r="B873" s="223">
        <v>222542</v>
      </c>
      <c r="C873" s="221" t="s">
        <v>1130</v>
      </c>
      <c r="D873" s="222">
        <v>43206</v>
      </c>
      <c r="E873" s="160" t="s">
        <v>2256</v>
      </c>
      <c r="F873" s="222">
        <v>43212</v>
      </c>
      <c r="G873" s="221">
        <f t="shared" si="44"/>
        <v>6</v>
      </c>
      <c r="H873" s="221" t="s">
        <v>133</v>
      </c>
      <c r="I873" s="311"/>
      <c r="J873" s="101" t="s">
        <v>614</v>
      </c>
      <c r="K873" s="94">
        <v>1942</v>
      </c>
      <c r="L873" s="312"/>
      <c r="M873" s="221">
        <v>270</v>
      </c>
      <c r="N873" s="221">
        <v>230</v>
      </c>
      <c r="O873" s="227">
        <f t="shared" si="46"/>
        <v>0</v>
      </c>
      <c r="P873" s="313"/>
      <c r="Q873" s="310"/>
      <c r="R873" s="221" t="s">
        <v>122</v>
      </c>
      <c r="S873" s="225" t="s">
        <v>469</v>
      </c>
      <c r="T873" s="221" t="s">
        <v>114</v>
      </c>
      <c r="U873" s="221" t="s">
        <v>810</v>
      </c>
      <c r="V873" s="221" t="s">
        <v>169</v>
      </c>
      <c r="W873" s="311"/>
      <c r="X873" s="117"/>
      <c r="Y873" s="221" t="s">
        <v>316</v>
      </c>
      <c r="Z873" s="221" t="s">
        <v>170</v>
      </c>
      <c r="AA873" s="222">
        <v>43206</v>
      </c>
      <c r="AB873" s="221" t="s">
        <v>872</v>
      </c>
      <c r="AC873" s="226">
        <f t="shared" si="47"/>
        <v>0</v>
      </c>
      <c r="AD873" s="221"/>
      <c r="AE873" s="221" t="s">
        <v>217</v>
      </c>
      <c r="AF873" s="221" t="s">
        <v>1625</v>
      </c>
      <c r="AG873" s="221"/>
      <c r="AH873" s="64"/>
      <c r="AI873" s="221"/>
      <c r="AJ873" s="221"/>
      <c r="AK873" s="221"/>
      <c r="AL873" s="221"/>
      <c r="AM873" s="221"/>
    </row>
    <row r="874" spans="1:39" ht="12.75" hidden="1" customHeight="1">
      <c r="A874" s="147">
        <v>873</v>
      </c>
      <c r="B874" s="223">
        <v>222738</v>
      </c>
      <c r="C874" s="221" t="s">
        <v>1628</v>
      </c>
      <c r="D874" s="222">
        <v>43206</v>
      </c>
      <c r="E874" s="160" t="s">
        <v>2256</v>
      </c>
      <c r="F874" s="222">
        <v>43217</v>
      </c>
      <c r="G874" s="221">
        <f t="shared" si="44"/>
        <v>11</v>
      </c>
      <c r="H874" s="221" t="s">
        <v>363</v>
      </c>
      <c r="I874" s="311"/>
      <c r="J874" s="101" t="s">
        <v>614</v>
      </c>
      <c r="K874" s="94"/>
      <c r="L874" s="312"/>
      <c r="M874" s="221"/>
      <c r="N874" s="221"/>
      <c r="O874" s="227">
        <f t="shared" si="46"/>
        <v>0</v>
      </c>
      <c r="P874" s="313"/>
      <c r="Q874" s="310"/>
      <c r="R874" s="221" t="s">
        <v>122</v>
      </c>
      <c r="S874" s="225" t="s">
        <v>469</v>
      </c>
      <c r="T874" s="221" t="s">
        <v>164</v>
      </c>
      <c r="U874" s="221" t="s">
        <v>411</v>
      </c>
      <c r="V874" s="221" t="s">
        <v>169</v>
      </c>
      <c r="W874" s="311"/>
      <c r="X874" s="117"/>
      <c r="Y874" s="221"/>
      <c r="Z874" s="221" t="s">
        <v>404</v>
      </c>
      <c r="AA874" s="221"/>
      <c r="AB874" s="221"/>
      <c r="AC874" s="226">
        <f t="shared" si="47"/>
        <v>0</v>
      </c>
      <c r="AD874" s="221"/>
      <c r="AE874" s="221"/>
      <c r="AF874" s="221"/>
      <c r="AG874" s="221"/>
      <c r="AH874" s="64" t="s">
        <v>2294</v>
      </c>
      <c r="AI874" s="221"/>
      <c r="AJ874" s="221"/>
      <c r="AK874" s="221"/>
      <c r="AL874" s="221"/>
      <c r="AM874" s="221"/>
    </row>
    <row r="875" spans="1:39" ht="12.75" hidden="1" customHeight="1">
      <c r="A875" s="147">
        <v>874</v>
      </c>
      <c r="B875" s="223">
        <v>223418</v>
      </c>
      <c r="C875" s="221" t="s">
        <v>128</v>
      </c>
      <c r="D875" s="222">
        <v>43206</v>
      </c>
      <c r="E875" s="160" t="s">
        <v>2256</v>
      </c>
      <c r="F875" s="222">
        <v>43221</v>
      </c>
      <c r="G875" s="221">
        <f t="shared" si="44"/>
        <v>15</v>
      </c>
      <c r="H875" s="221" t="s">
        <v>133</v>
      </c>
      <c r="I875" s="65"/>
      <c r="J875" s="101" t="s">
        <v>614</v>
      </c>
      <c r="K875" s="94"/>
      <c r="L875" s="65"/>
      <c r="M875" s="221"/>
      <c r="N875" s="221"/>
      <c r="O875" s="227">
        <f t="shared" si="46"/>
        <v>0</v>
      </c>
      <c r="P875" s="127"/>
      <c r="Q875" s="127"/>
      <c r="R875" s="221" t="s">
        <v>122</v>
      </c>
      <c r="S875" s="225" t="s">
        <v>469</v>
      </c>
      <c r="T875" s="221" t="s">
        <v>164</v>
      </c>
      <c r="U875" s="221" t="s">
        <v>2192</v>
      </c>
      <c r="V875" s="221" t="s">
        <v>222</v>
      </c>
      <c r="W875" s="65"/>
      <c r="X875" s="65"/>
      <c r="Y875" s="221"/>
      <c r="Z875" s="221" t="s">
        <v>253</v>
      </c>
      <c r="AA875" s="221"/>
      <c r="AB875" s="221"/>
      <c r="AC875" s="226">
        <f t="shared" si="47"/>
        <v>0</v>
      </c>
      <c r="AD875" s="221"/>
      <c r="AE875" s="221" t="s">
        <v>217</v>
      </c>
      <c r="AF875" s="221" t="s">
        <v>225</v>
      </c>
      <c r="AG875" s="221"/>
      <c r="AH875" s="64"/>
      <c r="AI875" s="221"/>
      <c r="AJ875" s="221"/>
      <c r="AK875" s="221"/>
      <c r="AL875" s="221"/>
      <c r="AM875" s="221"/>
    </row>
    <row r="876" spans="1:39" ht="12.75" hidden="1" customHeight="1">
      <c r="A876" s="147">
        <v>875</v>
      </c>
      <c r="B876" s="223">
        <v>223033</v>
      </c>
      <c r="C876" s="221" t="s">
        <v>1628</v>
      </c>
      <c r="D876" s="222">
        <v>43208</v>
      </c>
      <c r="E876" s="160" t="s">
        <v>2256</v>
      </c>
      <c r="F876" s="317">
        <v>43223</v>
      </c>
      <c r="G876" s="221">
        <f t="shared" si="44"/>
        <v>15</v>
      </c>
      <c r="H876" s="221" t="s">
        <v>133</v>
      </c>
      <c r="J876" s="101" t="s">
        <v>614</v>
      </c>
      <c r="K876" s="94"/>
      <c r="M876" s="221"/>
      <c r="N876" s="221"/>
      <c r="O876" s="227">
        <f t="shared" si="46"/>
        <v>0</v>
      </c>
      <c r="R876" s="221" t="s">
        <v>134</v>
      </c>
      <c r="S876" s="225" t="s">
        <v>465</v>
      </c>
      <c r="T876" s="221" t="s">
        <v>164</v>
      </c>
      <c r="U876" s="221" t="s">
        <v>2291</v>
      </c>
      <c r="V876" s="221" t="s">
        <v>1116</v>
      </c>
      <c r="Y876" s="221"/>
      <c r="Z876" s="221" t="s">
        <v>404</v>
      </c>
      <c r="AA876" s="221"/>
      <c r="AB876" s="221"/>
      <c r="AC876" s="226">
        <f t="shared" si="47"/>
        <v>0</v>
      </c>
      <c r="AD876" s="221"/>
      <c r="AE876" s="221" t="s">
        <v>217</v>
      </c>
      <c r="AF876" s="221" t="s">
        <v>225</v>
      </c>
      <c r="AG876" s="221"/>
      <c r="AH876" s="64"/>
      <c r="AI876" s="221"/>
      <c r="AJ876" s="221"/>
      <c r="AK876" s="221"/>
      <c r="AL876" s="221"/>
      <c r="AM876" s="221"/>
    </row>
    <row r="877" spans="1:39" ht="12.75" hidden="1" customHeight="1">
      <c r="A877" s="147">
        <v>876</v>
      </c>
      <c r="B877" s="223">
        <v>222595</v>
      </c>
      <c r="C877" s="221" t="s">
        <v>1628</v>
      </c>
      <c r="D877" s="222">
        <v>43208</v>
      </c>
      <c r="E877" s="160" t="s">
        <v>2256</v>
      </c>
      <c r="F877" s="222">
        <v>43216</v>
      </c>
      <c r="G877" s="221">
        <f t="shared" si="44"/>
        <v>8</v>
      </c>
      <c r="H877" s="221" t="s">
        <v>133</v>
      </c>
      <c r="J877" s="101" t="s">
        <v>614</v>
      </c>
      <c r="K877" s="94"/>
      <c r="M877" s="221"/>
      <c r="N877" s="221"/>
      <c r="O877" s="227">
        <f t="shared" si="46"/>
        <v>0</v>
      </c>
      <c r="R877" s="221" t="s">
        <v>122</v>
      </c>
      <c r="S877" s="225" t="s">
        <v>469</v>
      </c>
      <c r="T877" s="221" t="s">
        <v>114</v>
      </c>
      <c r="U877" s="221" t="s">
        <v>2292</v>
      </c>
      <c r="V877" s="221" t="s">
        <v>2293</v>
      </c>
      <c r="Y877" s="221"/>
      <c r="Z877" s="221" t="s">
        <v>170</v>
      </c>
      <c r="AA877" s="221"/>
      <c r="AB877" s="221"/>
      <c r="AC877" s="226">
        <f t="shared" si="47"/>
        <v>0</v>
      </c>
      <c r="AD877" s="221"/>
      <c r="AE877" s="221" t="s">
        <v>217</v>
      </c>
      <c r="AF877" s="221" t="s">
        <v>225</v>
      </c>
      <c r="AG877" s="221"/>
      <c r="AH877" s="64"/>
      <c r="AI877" s="221"/>
      <c r="AJ877" s="221"/>
      <c r="AK877" s="221"/>
      <c r="AL877" s="221"/>
      <c r="AM877" s="221"/>
    </row>
    <row r="878" spans="1:39" ht="12.75" hidden="1" customHeight="1">
      <c r="A878" s="147">
        <v>877</v>
      </c>
      <c r="B878" s="223">
        <v>223909</v>
      </c>
      <c r="C878" s="221" t="s">
        <v>128</v>
      </c>
      <c r="D878" s="222">
        <v>43213</v>
      </c>
      <c r="E878" s="160" t="s">
        <v>2256</v>
      </c>
      <c r="F878" s="222">
        <v>43228</v>
      </c>
      <c r="G878" s="221">
        <f t="shared" si="44"/>
        <v>15</v>
      </c>
      <c r="H878" s="221" t="s">
        <v>363</v>
      </c>
      <c r="J878" s="101" t="s">
        <v>614</v>
      </c>
      <c r="K878" s="94"/>
      <c r="M878" s="221"/>
      <c r="N878" s="221"/>
      <c r="O878" s="227">
        <f t="shared" si="46"/>
        <v>0</v>
      </c>
      <c r="R878" s="221" t="s">
        <v>143</v>
      </c>
      <c r="S878" s="225" t="s">
        <v>465</v>
      </c>
      <c r="T878" s="221" t="s">
        <v>114</v>
      </c>
      <c r="U878" s="221" t="s">
        <v>2295</v>
      </c>
      <c r="V878" s="221" t="s">
        <v>2296</v>
      </c>
      <c r="Y878" s="221"/>
      <c r="Z878" s="221" t="s">
        <v>367</v>
      </c>
      <c r="AA878" s="221"/>
      <c r="AB878" s="221"/>
      <c r="AC878" s="226">
        <f t="shared" si="47"/>
        <v>0</v>
      </c>
      <c r="AD878" s="221"/>
      <c r="AE878" s="221"/>
      <c r="AF878" s="221"/>
      <c r="AG878" s="221"/>
      <c r="AH878" s="64" t="s">
        <v>2297</v>
      </c>
      <c r="AI878" s="221"/>
      <c r="AJ878" s="221"/>
      <c r="AK878" s="221"/>
      <c r="AL878" s="221"/>
      <c r="AM878" s="221"/>
    </row>
    <row r="879" spans="1:39" ht="12.75" hidden="1" customHeight="1">
      <c r="A879" s="147">
        <v>878</v>
      </c>
      <c r="B879" s="223">
        <v>223456</v>
      </c>
      <c r="C879" s="221" t="s">
        <v>1628</v>
      </c>
      <c r="D879" s="222">
        <v>43216</v>
      </c>
      <c r="E879" s="160" t="s">
        <v>2256</v>
      </c>
      <c r="F879" s="222">
        <v>43218</v>
      </c>
      <c r="G879" s="221">
        <f t="shared" si="44"/>
        <v>2</v>
      </c>
      <c r="H879" s="221" t="s">
        <v>133</v>
      </c>
      <c r="J879" s="101" t="s">
        <v>614</v>
      </c>
      <c r="K879" s="94">
        <v>1499</v>
      </c>
      <c r="M879" s="221">
        <v>107</v>
      </c>
      <c r="N879" s="221">
        <v>208</v>
      </c>
      <c r="O879" s="227">
        <f t="shared" si="46"/>
        <v>1201.06</v>
      </c>
      <c r="R879" s="221" t="s">
        <v>134</v>
      </c>
      <c r="S879" s="225" t="s">
        <v>465</v>
      </c>
      <c r="T879" s="221" t="s">
        <v>164</v>
      </c>
      <c r="U879" s="221" t="s">
        <v>2298</v>
      </c>
      <c r="V879" s="221" t="s">
        <v>1360</v>
      </c>
      <c r="Y879" s="221" t="s">
        <v>1942</v>
      </c>
      <c r="Z879" s="221" t="s">
        <v>1228</v>
      </c>
      <c r="AA879" s="222">
        <v>43216</v>
      </c>
      <c r="AB879" s="221" t="s">
        <v>195</v>
      </c>
      <c r="AC879" s="226">
        <f t="shared" si="47"/>
        <v>1</v>
      </c>
      <c r="AD879" s="221" t="s">
        <v>217</v>
      </c>
      <c r="AE879" s="221" t="s">
        <v>218</v>
      </c>
      <c r="AF879" s="221"/>
      <c r="AG879" s="221"/>
      <c r="AH879" s="64"/>
      <c r="AI879" s="221"/>
      <c r="AJ879" s="221"/>
      <c r="AK879" s="221"/>
      <c r="AL879" s="221"/>
      <c r="AM879" s="221"/>
    </row>
    <row r="880" spans="1:39" ht="12.75" customHeight="1">
      <c r="A880" s="147">
        <v>879</v>
      </c>
      <c r="B880" s="223">
        <v>223756</v>
      </c>
      <c r="C880" s="221" t="s">
        <v>1130</v>
      </c>
      <c r="D880" s="222">
        <v>43216</v>
      </c>
      <c r="E880" s="160" t="s">
        <v>2256</v>
      </c>
      <c r="F880" s="222">
        <v>43225</v>
      </c>
      <c r="G880" s="221">
        <f t="shared" ref="G880:G896" si="48">F880-D880</f>
        <v>9</v>
      </c>
      <c r="H880" s="221" t="s">
        <v>125</v>
      </c>
      <c r="J880" s="101" t="s">
        <v>614</v>
      </c>
      <c r="K880" s="94">
        <v>699</v>
      </c>
      <c r="M880" s="221">
        <v>170</v>
      </c>
      <c r="N880" s="221">
        <v>180</v>
      </c>
      <c r="O880" s="227">
        <f t="shared" si="46"/>
        <v>477.05999999999995</v>
      </c>
      <c r="R880" s="221" t="s">
        <v>143</v>
      </c>
      <c r="S880" s="225" t="s">
        <v>465</v>
      </c>
      <c r="T880" s="221" t="s">
        <v>88</v>
      </c>
      <c r="U880" s="221" t="s">
        <v>548</v>
      </c>
      <c r="V880" s="221" t="s">
        <v>432</v>
      </c>
      <c r="Y880" s="221" t="s">
        <v>316</v>
      </c>
      <c r="Z880" s="221" t="s">
        <v>189</v>
      </c>
      <c r="AA880" s="222">
        <v>43220</v>
      </c>
      <c r="AB880" s="221" t="s">
        <v>872</v>
      </c>
      <c r="AC880" s="226">
        <f t="shared" si="47"/>
        <v>1</v>
      </c>
      <c r="AD880" s="221"/>
      <c r="AE880" s="221"/>
      <c r="AF880" s="221"/>
      <c r="AG880" s="221"/>
      <c r="AH880" s="64"/>
      <c r="AI880" s="221"/>
      <c r="AJ880" s="221"/>
      <c r="AK880" s="221"/>
      <c r="AL880" s="221"/>
      <c r="AM880" s="221"/>
    </row>
    <row r="881" spans="1:39" ht="12.75" hidden="1" customHeight="1">
      <c r="A881" s="147">
        <v>880</v>
      </c>
      <c r="B881" s="223">
        <v>224084</v>
      </c>
      <c r="C881" s="221" t="s">
        <v>1130</v>
      </c>
      <c r="D881" s="222">
        <v>43216</v>
      </c>
      <c r="E881" s="160" t="s">
        <v>2256</v>
      </c>
      <c r="F881" s="222">
        <v>43225</v>
      </c>
      <c r="G881" s="221">
        <f t="shared" si="48"/>
        <v>9</v>
      </c>
      <c r="H881" s="221" t="s">
        <v>133</v>
      </c>
      <c r="J881" s="101" t="s">
        <v>614</v>
      </c>
      <c r="K881" s="94"/>
      <c r="M881" s="221"/>
      <c r="N881" s="221"/>
      <c r="O881" s="227">
        <f t="shared" si="46"/>
        <v>0</v>
      </c>
      <c r="R881" s="221" t="s">
        <v>134</v>
      </c>
      <c r="S881" s="225" t="s">
        <v>465</v>
      </c>
      <c r="T881" s="221" t="s">
        <v>114</v>
      </c>
      <c r="U881" s="221" t="s">
        <v>2299</v>
      </c>
      <c r="V881" s="221" t="s">
        <v>1116</v>
      </c>
      <c r="Y881" s="221"/>
      <c r="Z881" s="221" t="s">
        <v>170</v>
      </c>
      <c r="AA881" s="221"/>
      <c r="AB881" s="221"/>
      <c r="AC881" s="226">
        <f t="shared" si="47"/>
        <v>0</v>
      </c>
      <c r="AD881" s="221"/>
      <c r="AE881" s="221" t="s">
        <v>217</v>
      </c>
      <c r="AF881" s="221" t="s">
        <v>225</v>
      </c>
      <c r="AG881" s="221"/>
      <c r="AH881" s="64"/>
      <c r="AI881" s="221"/>
      <c r="AJ881" s="221"/>
      <c r="AK881" s="221"/>
      <c r="AL881" s="221"/>
      <c r="AM881" s="221"/>
    </row>
    <row r="882" spans="1:39" ht="12.75" hidden="1" customHeight="1">
      <c r="A882" s="147">
        <v>881</v>
      </c>
      <c r="B882" s="223">
        <v>224411</v>
      </c>
      <c r="C882" s="221" t="s">
        <v>1628</v>
      </c>
      <c r="D882" s="222">
        <v>43217</v>
      </c>
      <c r="E882" s="160" t="s">
        <v>2256</v>
      </c>
      <c r="F882" s="222">
        <v>43232</v>
      </c>
      <c r="G882" s="221">
        <f t="shared" si="48"/>
        <v>15</v>
      </c>
      <c r="H882" s="221" t="s">
        <v>133</v>
      </c>
      <c r="J882" s="101" t="s">
        <v>614</v>
      </c>
      <c r="K882" s="94"/>
      <c r="M882" s="221"/>
      <c r="N882" s="221"/>
      <c r="O882" s="227">
        <f t="shared" si="46"/>
        <v>0</v>
      </c>
      <c r="R882" s="221" t="s">
        <v>122</v>
      </c>
      <c r="S882" s="221" t="s">
        <v>469</v>
      </c>
      <c r="T882" s="221" t="s">
        <v>114</v>
      </c>
      <c r="U882" s="221" t="s">
        <v>2300</v>
      </c>
      <c r="V882" s="221" t="s">
        <v>222</v>
      </c>
      <c r="Y882" s="221"/>
      <c r="Z882" s="221" t="s">
        <v>235</v>
      </c>
      <c r="AA882" s="221"/>
      <c r="AB882" s="221"/>
      <c r="AC882" s="226">
        <f t="shared" si="47"/>
        <v>0</v>
      </c>
      <c r="AD882" s="221"/>
      <c r="AE882" s="221" t="s">
        <v>217</v>
      </c>
      <c r="AF882" s="221" t="s">
        <v>225</v>
      </c>
      <c r="AG882" s="221"/>
      <c r="AH882" s="64"/>
      <c r="AI882" s="221"/>
      <c r="AJ882" s="221"/>
      <c r="AK882" s="221"/>
      <c r="AL882" s="221"/>
      <c r="AM882" s="221"/>
    </row>
    <row r="883" spans="1:39" ht="12.75" hidden="1" customHeight="1">
      <c r="A883" s="147">
        <v>882</v>
      </c>
      <c r="B883" s="223">
        <v>224154</v>
      </c>
      <c r="C883" s="221" t="s">
        <v>1628</v>
      </c>
      <c r="D883" s="222">
        <v>43220</v>
      </c>
      <c r="E883" s="160" t="s">
        <v>2256</v>
      </c>
      <c r="F883" s="222">
        <v>43233</v>
      </c>
      <c r="G883" s="221">
        <f t="shared" si="48"/>
        <v>13</v>
      </c>
      <c r="H883" s="221" t="s">
        <v>133</v>
      </c>
      <c r="J883" s="101" t="s">
        <v>614</v>
      </c>
      <c r="K883" s="94"/>
      <c r="M883" s="221"/>
      <c r="N883" s="221"/>
      <c r="O883" s="227">
        <f t="shared" si="46"/>
        <v>0</v>
      </c>
      <c r="R883" s="221" t="s">
        <v>143</v>
      </c>
      <c r="S883" s="225" t="s">
        <v>465</v>
      </c>
      <c r="T883" s="221" t="s">
        <v>164</v>
      </c>
      <c r="U883" s="221" t="s">
        <v>2301</v>
      </c>
      <c r="V883" s="221" t="s">
        <v>90</v>
      </c>
      <c r="Y883" s="221"/>
      <c r="Z883" s="221" t="s">
        <v>2302</v>
      </c>
      <c r="AA883" s="221"/>
      <c r="AB883" s="221"/>
      <c r="AC883" s="226">
        <f t="shared" si="47"/>
        <v>0</v>
      </c>
      <c r="AD883" s="221"/>
      <c r="AE883" s="221" t="s">
        <v>217</v>
      </c>
      <c r="AF883" s="221" t="s">
        <v>225</v>
      </c>
      <c r="AG883" s="221"/>
      <c r="AH883" s="64"/>
      <c r="AI883" s="221"/>
      <c r="AJ883" s="221"/>
      <c r="AK883" s="221"/>
      <c r="AL883" s="221"/>
      <c r="AM883" s="221"/>
    </row>
    <row r="884" spans="1:39" ht="12.75" customHeight="1">
      <c r="A884" s="147">
        <v>883</v>
      </c>
      <c r="B884" s="223">
        <v>224526</v>
      </c>
      <c r="C884" s="221" t="s">
        <v>1628</v>
      </c>
      <c r="D884" s="222">
        <v>43222</v>
      </c>
      <c r="E884" s="160" t="s">
        <v>2304</v>
      </c>
      <c r="F884" s="222">
        <v>43234</v>
      </c>
      <c r="G884" s="221">
        <f t="shared" si="48"/>
        <v>12</v>
      </c>
      <c r="H884" s="221" t="s">
        <v>415</v>
      </c>
      <c r="J884" s="101" t="s">
        <v>614</v>
      </c>
      <c r="K884" s="94"/>
      <c r="M884" s="221">
        <v>445</v>
      </c>
      <c r="N884" s="221"/>
      <c r="O884" s="227">
        <f t="shared" si="46"/>
        <v>-445</v>
      </c>
      <c r="R884" s="221" t="s">
        <v>134</v>
      </c>
      <c r="S884" s="225" t="s">
        <v>465</v>
      </c>
      <c r="T884" s="221" t="s">
        <v>164</v>
      </c>
      <c r="U884" s="221" t="s">
        <v>1004</v>
      </c>
      <c r="V884" s="221" t="s">
        <v>90</v>
      </c>
      <c r="Y884" s="221" t="s">
        <v>1942</v>
      </c>
      <c r="Z884" s="221" t="s">
        <v>292</v>
      </c>
      <c r="AA884" s="221"/>
      <c r="AB884" s="221" t="s">
        <v>140</v>
      </c>
      <c r="AC884" s="226">
        <f t="shared" si="47"/>
        <v>0</v>
      </c>
      <c r="AD884" s="221"/>
      <c r="AE884" s="221"/>
      <c r="AF884" s="221"/>
      <c r="AG884" s="221"/>
      <c r="AH884" s="64"/>
      <c r="AI884" s="221"/>
      <c r="AJ884" s="221"/>
      <c r="AK884" s="221"/>
      <c r="AL884" s="221"/>
      <c r="AM884" s="221"/>
    </row>
    <row r="885" spans="1:39" ht="12.75" customHeight="1">
      <c r="A885" s="147">
        <v>884</v>
      </c>
      <c r="B885" s="223">
        <v>224222</v>
      </c>
      <c r="C885" s="221" t="s">
        <v>1130</v>
      </c>
      <c r="D885" s="222">
        <v>43222</v>
      </c>
      <c r="E885" s="160" t="s">
        <v>2304</v>
      </c>
      <c r="F885" s="222">
        <v>43229</v>
      </c>
      <c r="G885" s="221">
        <f t="shared" si="48"/>
        <v>7</v>
      </c>
      <c r="H885" s="221" t="s">
        <v>130</v>
      </c>
      <c r="J885" s="101" t="s">
        <v>614</v>
      </c>
      <c r="K885" s="94"/>
      <c r="M885" s="221"/>
      <c r="N885" s="221"/>
      <c r="O885" s="227">
        <f t="shared" si="46"/>
        <v>0</v>
      </c>
      <c r="R885" s="221" t="s">
        <v>143</v>
      </c>
      <c r="S885" s="225" t="s">
        <v>465</v>
      </c>
      <c r="T885" s="221" t="s">
        <v>164</v>
      </c>
      <c r="U885" s="221" t="s">
        <v>355</v>
      </c>
      <c r="V885" s="221" t="s">
        <v>2303</v>
      </c>
      <c r="Y885" s="221"/>
      <c r="Z885" s="221" t="s">
        <v>379</v>
      </c>
      <c r="AA885" s="221"/>
      <c r="AB885" s="221"/>
      <c r="AC885" s="226">
        <f t="shared" si="47"/>
        <v>0</v>
      </c>
      <c r="AD885" s="221"/>
      <c r="AE885" s="221"/>
      <c r="AF885" s="221"/>
      <c r="AG885" s="221"/>
      <c r="AH885" s="64"/>
      <c r="AI885" s="221"/>
      <c r="AJ885" s="221"/>
      <c r="AK885" s="221"/>
      <c r="AL885" s="221"/>
      <c r="AM885" s="221"/>
    </row>
    <row r="886" spans="1:39" ht="12.75" customHeight="1">
      <c r="A886" s="147">
        <v>885</v>
      </c>
      <c r="B886" s="223">
        <v>224493</v>
      </c>
      <c r="C886" s="221" t="s">
        <v>1130</v>
      </c>
      <c r="D886" s="222">
        <v>43222</v>
      </c>
      <c r="E886" s="160" t="s">
        <v>2304</v>
      </c>
      <c r="F886" s="222">
        <v>43232</v>
      </c>
      <c r="G886" s="221">
        <f t="shared" si="48"/>
        <v>10</v>
      </c>
      <c r="H886" s="221" t="s">
        <v>130</v>
      </c>
      <c r="J886" s="101" t="s">
        <v>614</v>
      </c>
      <c r="K886" s="94"/>
      <c r="M886" s="221"/>
      <c r="N886" s="221"/>
      <c r="O886" s="227">
        <f t="shared" si="46"/>
        <v>0</v>
      </c>
      <c r="R886" s="221" t="s">
        <v>143</v>
      </c>
      <c r="S886" s="225" t="s">
        <v>465</v>
      </c>
      <c r="T886" s="221" t="s">
        <v>88</v>
      </c>
      <c r="U886" s="221" t="s">
        <v>408</v>
      </c>
      <c r="V886" s="221" t="s">
        <v>90</v>
      </c>
      <c r="Y886" s="221"/>
      <c r="Z886" s="221" t="s">
        <v>1228</v>
      </c>
      <c r="AA886" s="221"/>
      <c r="AB886" s="221"/>
      <c r="AC886" s="226">
        <f t="shared" si="47"/>
        <v>0</v>
      </c>
      <c r="AD886" s="221"/>
      <c r="AE886" s="221"/>
      <c r="AF886" s="221"/>
      <c r="AG886" s="221"/>
      <c r="AH886" s="64"/>
      <c r="AI886" s="221"/>
      <c r="AJ886" s="221"/>
      <c r="AK886" s="221"/>
      <c r="AL886" s="221"/>
      <c r="AM886" s="221"/>
    </row>
    <row r="887" spans="1:39" ht="12.75" customHeight="1">
      <c r="A887" s="147">
        <v>886</v>
      </c>
      <c r="B887" s="223"/>
      <c r="C887" s="221"/>
      <c r="D887" s="221"/>
      <c r="E887" s="160" t="s">
        <v>2304</v>
      </c>
      <c r="F887" s="222"/>
      <c r="G887" s="221">
        <f t="shared" si="48"/>
        <v>0</v>
      </c>
      <c r="H887" s="221"/>
      <c r="J887" s="101" t="s">
        <v>614</v>
      </c>
      <c r="K887" s="94"/>
      <c r="M887" s="221"/>
      <c r="N887" s="221"/>
      <c r="O887" s="227">
        <f t="shared" si="46"/>
        <v>0</v>
      </c>
      <c r="R887" s="221"/>
      <c r="S887" s="221"/>
      <c r="T887" s="221"/>
      <c r="U887" s="221"/>
      <c r="V887" s="221"/>
      <c r="Y887" s="221"/>
      <c r="Z887" s="221"/>
      <c r="AA887" s="221"/>
      <c r="AB887" s="221"/>
      <c r="AC887" s="226">
        <f t="shared" si="47"/>
        <v>0</v>
      </c>
      <c r="AD887" s="221"/>
      <c r="AE887" s="221"/>
      <c r="AF887" s="221"/>
      <c r="AG887" s="221"/>
      <c r="AH887" s="64"/>
      <c r="AI887" s="221"/>
      <c r="AJ887" s="221"/>
      <c r="AK887" s="221"/>
      <c r="AL887" s="221"/>
      <c r="AM887" s="221"/>
    </row>
    <row r="888" spans="1:39" ht="12.75" customHeight="1">
      <c r="A888" s="147">
        <v>887</v>
      </c>
      <c r="B888" s="223"/>
      <c r="C888" s="221"/>
      <c r="D888" s="221"/>
      <c r="E888" s="160" t="s">
        <v>2304</v>
      </c>
      <c r="F888" s="221"/>
      <c r="G888" s="221">
        <f t="shared" si="48"/>
        <v>0</v>
      </c>
      <c r="H888" s="221"/>
      <c r="J888" s="101" t="s">
        <v>614</v>
      </c>
      <c r="K888" s="94"/>
      <c r="M888" s="221"/>
      <c r="N888" s="221"/>
      <c r="O888" s="227">
        <f t="shared" si="46"/>
        <v>0</v>
      </c>
      <c r="R888" s="221"/>
      <c r="S888" s="221"/>
      <c r="T888" s="221"/>
      <c r="U888" s="221"/>
      <c r="V888" s="221"/>
      <c r="Y888" s="221"/>
      <c r="Z888" s="221"/>
      <c r="AA888" s="221"/>
      <c r="AB888" s="221"/>
      <c r="AC888" s="226">
        <f t="shared" si="47"/>
        <v>0</v>
      </c>
      <c r="AD888" s="221"/>
      <c r="AE888" s="221"/>
      <c r="AF888" s="221"/>
      <c r="AG888" s="221"/>
      <c r="AH888" s="64"/>
      <c r="AI888" s="221"/>
      <c r="AJ888" s="221"/>
      <c r="AK888" s="221"/>
      <c r="AL888" s="221"/>
      <c r="AM888" s="221"/>
    </row>
    <row r="889" spans="1:39" ht="12.75" customHeight="1">
      <c r="A889" s="147">
        <v>888</v>
      </c>
      <c r="B889" s="223"/>
      <c r="C889" s="221"/>
      <c r="D889" s="221"/>
      <c r="E889" s="160" t="s">
        <v>2304</v>
      </c>
      <c r="F889" s="221"/>
      <c r="G889" s="221">
        <f t="shared" si="48"/>
        <v>0</v>
      </c>
      <c r="H889" s="221"/>
      <c r="J889" s="146" t="s">
        <v>614</v>
      </c>
      <c r="K889" s="94"/>
      <c r="M889" s="221"/>
      <c r="N889" s="221"/>
      <c r="O889" s="227">
        <f t="shared" si="46"/>
        <v>0</v>
      </c>
      <c r="R889" s="221"/>
      <c r="S889" s="221"/>
      <c r="T889" s="221"/>
      <c r="U889" s="221"/>
      <c r="V889" s="221"/>
      <c r="Y889" s="221"/>
      <c r="Z889" s="221"/>
      <c r="AA889" s="221"/>
      <c r="AB889" s="221"/>
      <c r="AC889" s="226">
        <f t="shared" si="47"/>
        <v>0</v>
      </c>
      <c r="AD889" s="221"/>
      <c r="AE889" s="221"/>
      <c r="AF889" s="221"/>
      <c r="AG889" s="221"/>
      <c r="AH889" s="64"/>
      <c r="AI889" s="221"/>
      <c r="AJ889" s="221"/>
      <c r="AK889" s="221"/>
      <c r="AL889" s="221"/>
      <c r="AM889" s="221"/>
    </row>
    <row r="890" spans="1:39" ht="12.75" customHeight="1">
      <c r="A890" s="309">
        <v>889</v>
      </c>
      <c r="B890" s="223"/>
      <c r="C890" s="221"/>
      <c r="D890" s="221"/>
      <c r="E890" s="160" t="s">
        <v>2304</v>
      </c>
      <c r="F890" s="221"/>
      <c r="G890" s="221">
        <f t="shared" si="48"/>
        <v>0</v>
      </c>
      <c r="H890" s="221"/>
      <c r="J890" s="101" t="s">
        <v>614</v>
      </c>
      <c r="K890" s="94"/>
      <c r="M890" s="221"/>
      <c r="N890" s="221"/>
      <c r="O890" s="227">
        <f t="shared" si="46"/>
        <v>0</v>
      </c>
      <c r="R890" s="221"/>
      <c r="S890" s="221"/>
      <c r="T890" s="221"/>
      <c r="U890" s="221"/>
      <c r="V890" s="221"/>
      <c r="Y890" s="221"/>
      <c r="Z890" s="221"/>
      <c r="AA890" s="221"/>
      <c r="AB890" s="221"/>
      <c r="AC890" s="226">
        <f t="shared" si="47"/>
        <v>0</v>
      </c>
      <c r="AD890" s="221"/>
      <c r="AE890" s="221"/>
      <c r="AF890" s="221"/>
      <c r="AG890" s="221"/>
      <c r="AH890" s="64"/>
      <c r="AI890" s="221"/>
      <c r="AJ890" s="221"/>
      <c r="AK890" s="221"/>
      <c r="AL890" s="221"/>
      <c r="AM890" s="221"/>
    </row>
    <row r="891" spans="1:39" ht="12.75" customHeight="1">
      <c r="A891" s="309">
        <v>890</v>
      </c>
      <c r="B891" s="223"/>
      <c r="C891" s="221"/>
      <c r="D891" s="221"/>
      <c r="E891" s="160" t="s">
        <v>2304</v>
      </c>
      <c r="F891" s="221"/>
      <c r="G891" s="221">
        <f t="shared" si="48"/>
        <v>0</v>
      </c>
      <c r="H891" s="221"/>
      <c r="J891" s="101" t="s">
        <v>614</v>
      </c>
      <c r="K891" s="94"/>
      <c r="M891" s="221"/>
      <c r="N891" s="221"/>
      <c r="O891" s="227">
        <f t="shared" si="46"/>
        <v>0</v>
      </c>
      <c r="R891" s="221"/>
      <c r="S891" s="221"/>
      <c r="T891" s="221"/>
      <c r="U891" s="221"/>
      <c r="V891" s="221"/>
      <c r="Y891" s="221"/>
      <c r="Z891" s="221"/>
      <c r="AA891" s="221"/>
      <c r="AB891" s="221"/>
      <c r="AC891" s="226">
        <f t="shared" si="47"/>
        <v>0</v>
      </c>
      <c r="AD891" s="221"/>
      <c r="AE891" s="221"/>
      <c r="AF891" s="221"/>
      <c r="AG891" s="221"/>
      <c r="AH891" s="64"/>
      <c r="AI891" s="221"/>
      <c r="AJ891" s="221"/>
      <c r="AK891" s="221"/>
      <c r="AL891" s="221"/>
      <c r="AM891" s="221"/>
    </row>
    <row r="892" spans="1:39" ht="12.75" customHeight="1">
      <c r="A892" s="309">
        <v>891</v>
      </c>
      <c r="B892" s="223"/>
      <c r="C892" s="221"/>
      <c r="D892" s="221"/>
      <c r="E892" s="160" t="s">
        <v>2304</v>
      </c>
      <c r="F892" s="221"/>
      <c r="G892" s="221">
        <f t="shared" si="48"/>
        <v>0</v>
      </c>
      <c r="H892" s="221"/>
      <c r="J892" s="101" t="s">
        <v>614</v>
      </c>
      <c r="K892" s="94"/>
      <c r="M892" s="221"/>
      <c r="N892" s="221"/>
      <c r="O892" s="227">
        <f t="shared" si="46"/>
        <v>0</v>
      </c>
      <c r="R892" s="221"/>
      <c r="S892" s="221"/>
      <c r="T892" s="221"/>
      <c r="U892" s="221"/>
      <c r="V892" s="221"/>
      <c r="Y892" s="221"/>
      <c r="Z892" s="221"/>
      <c r="AA892" s="221"/>
      <c r="AB892" s="221"/>
      <c r="AC892" s="226">
        <f t="shared" si="47"/>
        <v>0</v>
      </c>
      <c r="AD892" s="221"/>
      <c r="AE892" s="221"/>
      <c r="AF892" s="221"/>
      <c r="AG892" s="221"/>
      <c r="AH892" s="64"/>
      <c r="AI892" s="221"/>
      <c r="AJ892" s="221"/>
      <c r="AK892" s="221"/>
      <c r="AL892" s="221"/>
      <c r="AM892" s="221"/>
    </row>
    <row r="893" spans="1:39" ht="12.75" customHeight="1">
      <c r="A893" s="309">
        <v>892</v>
      </c>
      <c r="B893" s="223"/>
      <c r="C893" s="221"/>
      <c r="D893" s="221"/>
      <c r="E893" s="160" t="s">
        <v>2304</v>
      </c>
      <c r="F893" s="221"/>
      <c r="G893" s="221">
        <f t="shared" si="48"/>
        <v>0</v>
      </c>
      <c r="H893" s="221"/>
      <c r="J893" s="101" t="s">
        <v>614</v>
      </c>
      <c r="K893" s="94"/>
      <c r="M893" s="221"/>
      <c r="N893" s="221"/>
      <c r="O893" s="227">
        <f t="shared" si="46"/>
        <v>0</v>
      </c>
      <c r="R893" s="221"/>
      <c r="S893" s="221"/>
      <c r="T893" s="221"/>
      <c r="U893" s="221"/>
      <c r="V893" s="221"/>
      <c r="Y893" s="221"/>
      <c r="Z893" s="221"/>
      <c r="AA893" s="221"/>
      <c r="AB893" s="221"/>
      <c r="AC893" s="226">
        <f t="shared" si="47"/>
        <v>0</v>
      </c>
      <c r="AD893" s="221"/>
      <c r="AE893" s="221"/>
      <c r="AF893" s="221"/>
      <c r="AG893" s="221"/>
      <c r="AH893" s="64"/>
      <c r="AI893" s="221"/>
      <c r="AJ893" s="221"/>
      <c r="AK893" s="221"/>
      <c r="AL893" s="221"/>
      <c r="AM893" s="221"/>
    </row>
    <row r="894" spans="1:39" ht="12.75" customHeight="1">
      <c r="A894" s="309">
        <v>893</v>
      </c>
      <c r="B894" s="223"/>
      <c r="C894" s="221"/>
      <c r="D894" s="221"/>
      <c r="E894" s="160" t="s">
        <v>2304</v>
      </c>
      <c r="F894" s="221"/>
      <c r="G894" s="221">
        <f t="shared" si="48"/>
        <v>0</v>
      </c>
      <c r="H894" s="221"/>
      <c r="J894" s="101" t="s">
        <v>614</v>
      </c>
      <c r="K894" s="94"/>
      <c r="M894" s="221"/>
      <c r="N894" s="221"/>
      <c r="O894" s="221"/>
      <c r="R894" s="221"/>
      <c r="S894" s="221"/>
      <c r="T894" s="221"/>
      <c r="U894" s="221"/>
      <c r="V894" s="221"/>
      <c r="Y894" s="221"/>
      <c r="Z894" s="221"/>
      <c r="AA894" s="221"/>
      <c r="AB894" s="221"/>
      <c r="AC894" s="226">
        <f t="shared" si="47"/>
        <v>0</v>
      </c>
      <c r="AD894" s="221"/>
      <c r="AE894" s="221"/>
      <c r="AF894" s="221"/>
      <c r="AG894" s="221"/>
      <c r="AH894" s="64"/>
      <c r="AI894" s="221"/>
      <c r="AJ894" s="221"/>
      <c r="AK894" s="221"/>
      <c r="AL894" s="221"/>
      <c r="AM894" s="221"/>
    </row>
    <row r="895" spans="1:39" ht="12.75" customHeight="1">
      <c r="A895" s="309">
        <v>894</v>
      </c>
      <c r="B895" s="223"/>
      <c r="C895" s="221"/>
      <c r="D895" s="221"/>
      <c r="E895" s="160" t="s">
        <v>2304</v>
      </c>
      <c r="F895" s="221"/>
      <c r="G895" s="221">
        <f t="shared" si="48"/>
        <v>0</v>
      </c>
      <c r="H895" s="221"/>
      <c r="J895" s="101" t="s">
        <v>614</v>
      </c>
      <c r="K895" s="94"/>
      <c r="M895" s="221"/>
      <c r="N895" s="221"/>
      <c r="O895" s="221"/>
      <c r="R895" s="221"/>
      <c r="S895" s="221"/>
      <c r="T895" s="221"/>
      <c r="U895" s="221"/>
      <c r="V895" s="221"/>
      <c r="Y895" s="221"/>
      <c r="Z895" s="221"/>
      <c r="AA895" s="221"/>
      <c r="AB895" s="221"/>
      <c r="AC895" s="226">
        <f t="shared" si="47"/>
        <v>0</v>
      </c>
      <c r="AD895" s="221"/>
      <c r="AE895" s="221"/>
      <c r="AF895" s="221"/>
      <c r="AG895" s="221"/>
      <c r="AH895" s="64"/>
      <c r="AI895" s="221"/>
      <c r="AJ895" s="221"/>
      <c r="AK895" s="221"/>
      <c r="AL895" s="221"/>
      <c r="AM895" s="221"/>
    </row>
    <row r="896" spans="1:39" ht="12.75" customHeight="1">
      <c r="B896" s="223"/>
      <c r="C896" s="221"/>
      <c r="D896" s="221"/>
      <c r="E896" s="160" t="s">
        <v>2304</v>
      </c>
      <c r="F896" s="221"/>
      <c r="G896" s="221">
        <f t="shared" si="48"/>
        <v>0</v>
      </c>
      <c r="H896" s="221"/>
      <c r="J896" s="101" t="s">
        <v>614</v>
      </c>
      <c r="K896" s="94"/>
      <c r="M896" s="221"/>
      <c r="N896" s="221"/>
      <c r="O896" s="221"/>
      <c r="R896" s="221"/>
      <c r="S896" s="221"/>
      <c r="T896" s="221"/>
      <c r="U896" s="221"/>
      <c r="V896" s="221"/>
      <c r="Y896" s="221"/>
      <c r="Z896" s="221"/>
      <c r="AA896" s="221"/>
      <c r="AB896" s="221"/>
      <c r="AC896" s="226">
        <f t="shared" si="47"/>
        <v>0</v>
      </c>
      <c r="AD896" s="221"/>
      <c r="AE896" s="221"/>
      <c r="AF896" s="221"/>
      <c r="AG896" s="221"/>
      <c r="AH896" s="64"/>
      <c r="AI896" s="221"/>
      <c r="AJ896" s="221"/>
      <c r="AK896" s="221"/>
      <c r="AL896" s="221"/>
      <c r="AM896" s="221"/>
    </row>
    <row r="897" spans="2:39">
      <c r="B897" s="223"/>
      <c r="C897" s="221"/>
      <c r="D897" s="221"/>
      <c r="E897" s="160" t="s">
        <v>2304</v>
      </c>
      <c r="F897" s="221"/>
      <c r="G897" s="221">
        <f>F897-D897</f>
        <v>0</v>
      </c>
      <c r="H897" s="221"/>
      <c r="J897" s="65" t="s">
        <v>614</v>
      </c>
      <c r="K897" s="94"/>
      <c r="M897" s="221"/>
      <c r="N897" s="221"/>
      <c r="O897" s="221"/>
      <c r="R897" s="221"/>
      <c r="S897" s="221"/>
      <c r="T897" s="221"/>
      <c r="U897" s="221"/>
      <c r="V897" s="221"/>
      <c r="Y897" s="221"/>
      <c r="Z897" s="221"/>
      <c r="AA897" s="221"/>
      <c r="AB897" s="221"/>
      <c r="AC897" s="226">
        <f t="shared" si="47"/>
        <v>0</v>
      </c>
      <c r="AD897" s="221"/>
      <c r="AE897" s="221"/>
      <c r="AF897" s="221"/>
      <c r="AG897" s="221"/>
      <c r="AH897" s="64"/>
      <c r="AI897" s="221"/>
      <c r="AJ897" s="221"/>
      <c r="AK897" s="221"/>
      <c r="AL897" s="221"/>
      <c r="AM897" s="221"/>
    </row>
    <row r="898" spans="2:39">
      <c r="B898" s="223"/>
      <c r="C898" s="221"/>
      <c r="D898" s="221"/>
      <c r="E898" s="160" t="s">
        <v>2304</v>
      </c>
      <c r="F898" s="221"/>
      <c r="G898" s="221"/>
      <c r="H898" s="221"/>
      <c r="K898" s="94"/>
      <c r="M898" s="221"/>
      <c r="N898" s="221"/>
      <c r="O898" s="221"/>
      <c r="R898" s="221"/>
      <c r="S898" s="221"/>
      <c r="T898" s="221"/>
      <c r="U898" s="221"/>
      <c r="V898" s="221"/>
      <c r="Y898" s="221"/>
      <c r="Z898" s="221"/>
      <c r="AA898" s="221"/>
      <c r="AB898" s="221"/>
      <c r="AC898" s="221"/>
      <c r="AD898" s="221"/>
      <c r="AE898" s="221"/>
      <c r="AF898" s="221"/>
      <c r="AG898" s="221"/>
      <c r="AH898" s="64"/>
      <c r="AI898" s="221"/>
      <c r="AJ898" s="221"/>
      <c r="AK898" s="221"/>
      <c r="AL898" s="221"/>
      <c r="AM898" s="221"/>
    </row>
    <row r="899" spans="2:39">
      <c r="B899" s="223"/>
      <c r="C899" s="221"/>
      <c r="D899" s="221"/>
      <c r="E899" s="221"/>
      <c r="F899" s="221"/>
      <c r="G899" s="221"/>
      <c r="H899" s="221"/>
      <c r="K899" s="221"/>
      <c r="M899" s="221"/>
      <c r="N899" s="221"/>
      <c r="O899" s="221"/>
      <c r="R899" s="221"/>
      <c r="S899" s="221"/>
      <c r="T899" s="221"/>
      <c r="U899" s="221"/>
      <c r="V899" s="221"/>
      <c r="Y899" s="221"/>
      <c r="Z899" s="221"/>
      <c r="AA899" s="221"/>
      <c r="AB899" s="221"/>
      <c r="AC899" s="221"/>
      <c r="AD899" s="221"/>
      <c r="AE899" s="221"/>
      <c r="AF899" s="221"/>
      <c r="AG899" s="221"/>
      <c r="AH899" s="64"/>
      <c r="AI899" s="221"/>
      <c r="AJ899" s="221"/>
      <c r="AK899" s="221"/>
      <c r="AL899" s="221"/>
      <c r="AM899" s="221"/>
    </row>
    <row r="900" spans="2:39">
      <c r="C900" s="314"/>
      <c r="T900" s="65"/>
      <c r="U900" s="65"/>
      <c r="V900" s="65"/>
    </row>
    <row r="901" spans="2:39">
      <c r="C901" s="117"/>
      <c r="F901" s="184"/>
    </row>
    <row r="902" spans="2:39">
      <c r="C902" s="117"/>
      <c r="F902" s="184"/>
      <c r="G902" s="165"/>
      <c r="H902" s="165"/>
      <c r="V902" s="179"/>
    </row>
    <row r="903" spans="2:39">
      <c r="C903" s="117"/>
      <c r="F903" s="165"/>
      <c r="G903" s="165"/>
      <c r="H903" s="165"/>
    </row>
    <row r="904" spans="2:39">
      <c r="C904" s="117"/>
      <c r="F904" s="165"/>
    </row>
    <row r="905" spans="2:39">
      <c r="C905" s="117"/>
    </row>
    <row r="906" spans="2:39">
      <c r="C906" s="117"/>
      <c r="E906" s="165"/>
      <c r="I906" s="184"/>
      <c r="V906" s="53" t="s">
        <v>84</v>
      </c>
    </row>
    <row r="907" spans="2:39">
      <c r="C907" s="117"/>
      <c r="E907" s="165"/>
      <c r="I907" s="184"/>
      <c r="J907" s="165"/>
    </row>
    <row r="908" spans="2:39">
      <c r="C908" s="117"/>
      <c r="E908" s="165"/>
      <c r="I908" s="165"/>
      <c r="J908" s="165"/>
    </row>
    <row r="909" spans="2:39">
      <c r="C909" s="117"/>
      <c r="I909" s="165"/>
    </row>
    <row r="910" spans="2:39">
      <c r="C910" s="117"/>
    </row>
    <row r="911" spans="2:39">
      <c r="C911" s="117"/>
      <c r="F911" s="165"/>
    </row>
    <row r="912" spans="2:39">
      <c r="C912" s="117"/>
      <c r="F912" s="165"/>
    </row>
    <row r="913" spans="3:6">
      <c r="C913" s="117"/>
      <c r="F913" s="165"/>
    </row>
    <row r="914" spans="3:6">
      <c r="C914" s="117"/>
    </row>
    <row r="915" spans="3:6">
      <c r="C915" s="117"/>
    </row>
    <row r="916" spans="3:6">
      <c r="C916" s="117"/>
    </row>
    <row r="917" spans="3:6">
      <c r="C917" s="117"/>
    </row>
    <row r="918" spans="3:6">
      <c r="C918" s="117"/>
    </row>
    <row r="919" spans="3:6">
      <c r="C919" s="117"/>
    </row>
    <row r="920" spans="3:6">
      <c r="C920" s="117"/>
    </row>
    <row r="921" spans="3:6">
      <c r="C921" s="117"/>
    </row>
    <row r="922" spans="3:6">
      <c r="C922" s="117"/>
    </row>
    <row r="923" spans="3:6">
      <c r="C923" s="117"/>
    </row>
    <row r="924" spans="3:6">
      <c r="C924" s="117"/>
    </row>
    <row r="925" spans="3:6">
      <c r="C925" s="117"/>
    </row>
    <row r="926" spans="3:6">
      <c r="C926" s="117"/>
    </row>
    <row r="927" spans="3:6">
      <c r="C927" s="117"/>
    </row>
    <row r="928" spans="3:6">
      <c r="C928" s="117"/>
    </row>
    <row r="929" spans="3:3">
      <c r="C929" s="117"/>
    </row>
    <row r="930" spans="3:3">
      <c r="C930" s="117"/>
    </row>
    <row r="931" spans="3:3">
      <c r="C931" s="117"/>
    </row>
    <row r="932" spans="3:3">
      <c r="C932" s="117"/>
    </row>
    <row r="933" spans="3:3">
      <c r="C933" s="117"/>
    </row>
    <row r="934" spans="3:3">
      <c r="C934" s="117"/>
    </row>
    <row r="935" spans="3:3">
      <c r="C935" s="117"/>
    </row>
    <row r="936" spans="3:3">
      <c r="C936" s="117"/>
    </row>
    <row r="937" spans="3:3">
      <c r="C937" s="117"/>
    </row>
    <row r="938" spans="3:3">
      <c r="C938" s="117"/>
    </row>
    <row r="939" spans="3:3">
      <c r="C939" s="117"/>
    </row>
    <row r="940" spans="3:3">
      <c r="C940" s="117"/>
    </row>
    <row r="941" spans="3:3">
      <c r="C941" s="117"/>
    </row>
    <row r="942" spans="3:3">
      <c r="C942" s="117"/>
    </row>
    <row r="943" spans="3:3">
      <c r="C943" s="117"/>
    </row>
    <row r="944" spans="3:3">
      <c r="C944" s="117"/>
    </row>
    <row r="945" spans="3:3">
      <c r="C945" s="117"/>
    </row>
    <row r="946" spans="3:3">
      <c r="C946" s="117"/>
    </row>
    <row r="947" spans="3:3">
      <c r="C947" s="117"/>
    </row>
    <row r="948" spans="3:3">
      <c r="C948" s="117"/>
    </row>
    <row r="949" spans="3:3">
      <c r="C949" s="117"/>
    </row>
    <row r="950" spans="3:3">
      <c r="C950" s="117"/>
    </row>
    <row r="951" spans="3:3">
      <c r="C951" s="117"/>
    </row>
    <row r="952" spans="3:3">
      <c r="C952" s="117"/>
    </row>
    <row r="953" spans="3:3">
      <c r="C953" s="117"/>
    </row>
    <row r="954" spans="3:3">
      <c r="C954" s="117"/>
    </row>
    <row r="955" spans="3:3">
      <c r="C955" s="117"/>
    </row>
    <row r="956" spans="3:3">
      <c r="C956" s="117"/>
    </row>
    <row r="957" spans="3:3">
      <c r="C957" s="117"/>
    </row>
    <row r="958" spans="3:3">
      <c r="C958" s="117"/>
    </row>
    <row r="959" spans="3:3">
      <c r="C959" s="117"/>
    </row>
    <row r="960" spans="3:3">
      <c r="C960" s="117"/>
    </row>
    <row r="961" spans="3:3">
      <c r="C961" s="117"/>
    </row>
    <row r="962" spans="3:3">
      <c r="C962" s="117"/>
    </row>
    <row r="963" spans="3:3">
      <c r="C963" s="117"/>
    </row>
    <row r="964" spans="3:3">
      <c r="C964" s="117"/>
    </row>
    <row r="965" spans="3:3">
      <c r="C965" s="117"/>
    </row>
    <row r="966" spans="3:3">
      <c r="C966" s="117"/>
    </row>
    <row r="967" spans="3:3">
      <c r="C967" s="117"/>
    </row>
    <row r="968" spans="3:3">
      <c r="C968" s="117"/>
    </row>
    <row r="969" spans="3:3">
      <c r="C969" s="117"/>
    </row>
    <row r="970" spans="3:3">
      <c r="C970" s="117"/>
    </row>
    <row r="971" spans="3:3">
      <c r="C971" s="117"/>
    </row>
    <row r="972" spans="3:3">
      <c r="C972" s="117"/>
    </row>
    <row r="973" spans="3:3">
      <c r="C973" s="117"/>
    </row>
    <row r="974" spans="3:3">
      <c r="C974" s="117"/>
    </row>
    <row r="975" spans="3:3">
      <c r="C975" s="117"/>
    </row>
    <row r="976" spans="3:3">
      <c r="C976" s="117"/>
    </row>
    <row r="977" spans="3:3">
      <c r="C977" s="117"/>
    </row>
    <row r="978" spans="3:3">
      <c r="C978" s="117"/>
    </row>
    <row r="979" spans="3:3">
      <c r="C979" s="117"/>
    </row>
    <row r="980" spans="3:3">
      <c r="C980" s="117"/>
    </row>
    <row r="981" spans="3:3">
      <c r="C981" s="117"/>
    </row>
    <row r="982" spans="3:3">
      <c r="C982" s="117"/>
    </row>
    <row r="983" spans="3:3">
      <c r="C983" s="117"/>
    </row>
    <row r="984" spans="3:3">
      <c r="C984" s="117"/>
    </row>
    <row r="985" spans="3:3">
      <c r="C985" s="117"/>
    </row>
    <row r="986" spans="3:3">
      <c r="C986" s="117"/>
    </row>
    <row r="987" spans="3:3">
      <c r="C987" s="117"/>
    </row>
    <row r="988" spans="3:3">
      <c r="C988" s="117"/>
    </row>
    <row r="989" spans="3:3">
      <c r="C989" s="117"/>
    </row>
    <row r="990" spans="3:3">
      <c r="C990" s="117"/>
    </row>
    <row r="991" spans="3:3">
      <c r="C991" s="117"/>
    </row>
    <row r="992" spans="3:3">
      <c r="C992" s="117"/>
    </row>
    <row r="993" spans="3:3">
      <c r="C993" s="117"/>
    </row>
    <row r="994" spans="3:3">
      <c r="C994" s="117"/>
    </row>
    <row r="995" spans="3:3">
      <c r="C995" s="117"/>
    </row>
    <row r="996" spans="3:3">
      <c r="C996" s="117"/>
    </row>
    <row r="997" spans="3:3">
      <c r="C997" s="117"/>
    </row>
    <row r="998" spans="3:3">
      <c r="C998" s="117"/>
    </row>
    <row r="999" spans="3:3">
      <c r="C999" s="117"/>
    </row>
    <row r="1000" spans="3:3">
      <c r="C1000" s="117"/>
    </row>
    <row r="1001" spans="3:3">
      <c r="C1001" s="117"/>
    </row>
    <row r="1002" spans="3:3">
      <c r="C1002" s="117"/>
    </row>
    <row r="1003" spans="3:3">
      <c r="C1003" s="117"/>
    </row>
    <row r="1004" spans="3:3">
      <c r="C1004" s="117"/>
    </row>
    <row r="1005" spans="3:3">
      <c r="C1005" s="117"/>
    </row>
    <row r="1006" spans="3:3">
      <c r="C1006" s="117"/>
    </row>
    <row r="1007" spans="3:3">
      <c r="C1007" s="117"/>
    </row>
    <row r="1008" spans="3:3">
      <c r="C1008" s="117"/>
    </row>
    <row r="1009" spans="3:3">
      <c r="C1009" s="117"/>
    </row>
    <row r="1010" spans="3:3">
      <c r="C1010" s="117"/>
    </row>
    <row r="1011" spans="3:3">
      <c r="C1011" s="117"/>
    </row>
    <row r="1012" spans="3:3">
      <c r="C1012" s="117"/>
    </row>
    <row r="1013" spans="3:3">
      <c r="C1013" s="117"/>
    </row>
    <row r="1014" spans="3:3">
      <c r="C1014" s="117"/>
    </row>
    <row r="1015" spans="3:3">
      <c r="C1015" s="117"/>
    </row>
    <row r="1016" spans="3:3">
      <c r="C1016" s="117"/>
    </row>
    <row r="1017" spans="3:3">
      <c r="C1017" s="117"/>
    </row>
    <row r="1018" spans="3:3">
      <c r="C1018" s="117"/>
    </row>
    <row r="1019" spans="3:3">
      <c r="C1019" s="117"/>
    </row>
    <row r="1020" spans="3:3">
      <c r="C1020" s="117"/>
    </row>
    <row r="1021" spans="3:3">
      <c r="C1021" s="117"/>
    </row>
    <row r="1022" spans="3:3">
      <c r="C1022" s="117"/>
    </row>
    <row r="1023" spans="3:3">
      <c r="C1023" s="117"/>
    </row>
    <row r="1024" spans="3:3">
      <c r="C1024" s="117"/>
    </row>
    <row r="1025" spans="3:3">
      <c r="C1025" s="117"/>
    </row>
    <row r="1026" spans="3:3">
      <c r="C1026" s="117"/>
    </row>
    <row r="1027" spans="3:3">
      <c r="C1027" s="117"/>
    </row>
    <row r="1028" spans="3:3">
      <c r="C1028" s="117"/>
    </row>
    <row r="1029" spans="3:3">
      <c r="C1029" s="117"/>
    </row>
    <row r="1030" spans="3:3">
      <c r="C1030" s="117"/>
    </row>
    <row r="1031" spans="3:3">
      <c r="C1031" s="117"/>
    </row>
    <row r="1032" spans="3:3">
      <c r="C1032" s="117"/>
    </row>
    <row r="1033" spans="3:3">
      <c r="C1033" s="117"/>
    </row>
    <row r="1034" spans="3:3">
      <c r="C1034" s="117"/>
    </row>
    <row r="1035" spans="3:3">
      <c r="C1035" s="117"/>
    </row>
    <row r="1036" spans="3:3">
      <c r="C1036" s="117"/>
    </row>
    <row r="1037" spans="3:3">
      <c r="C1037" s="117"/>
    </row>
    <row r="1038" spans="3:3">
      <c r="C1038" s="117"/>
    </row>
    <row r="1039" spans="3:3">
      <c r="C1039" s="117"/>
    </row>
    <row r="1040" spans="3:3">
      <c r="C1040" s="117"/>
    </row>
    <row r="1041" spans="3:3">
      <c r="C1041" s="117"/>
    </row>
    <row r="1042" spans="3:3">
      <c r="C1042" s="117"/>
    </row>
    <row r="1043" spans="3:3">
      <c r="C1043" s="117"/>
    </row>
    <row r="1044" spans="3:3">
      <c r="C1044" s="117"/>
    </row>
    <row r="1045" spans="3:3">
      <c r="C1045" s="117"/>
    </row>
    <row r="1046" spans="3:3">
      <c r="C1046" s="117"/>
    </row>
    <row r="1047" spans="3:3">
      <c r="C1047" s="117"/>
    </row>
    <row r="1048" spans="3:3">
      <c r="C1048" s="117"/>
    </row>
    <row r="1049" spans="3:3">
      <c r="C1049" s="117"/>
    </row>
    <row r="1050" spans="3:3">
      <c r="C1050" s="117"/>
    </row>
    <row r="1051" spans="3:3">
      <c r="C1051" s="117"/>
    </row>
    <row r="1052" spans="3:3">
      <c r="C1052" s="117"/>
    </row>
    <row r="1053" spans="3:3">
      <c r="C1053" s="117"/>
    </row>
    <row r="1054" spans="3:3">
      <c r="C1054" s="117"/>
    </row>
    <row r="1055" spans="3:3">
      <c r="C1055" s="117"/>
    </row>
    <row r="1056" spans="3:3">
      <c r="C1056" s="117"/>
    </row>
    <row r="1057" spans="3:3">
      <c r="C1057" s="117"/>
    </row>
    <row r="1058" spans="3:3">
      <c r="C1058" s="117"/>
    </row>
    <row r="1059" spans="3:3">
      <c r="C1059" s="117"/>
    </row>
    <row r="1060" spans="3:3">
      <c r="C1060" s="117"/>
    </row>
    <row r="1061" spans="3:3">
      <c r="C1061" s="117"/>
    </row>
    <row r="1062" spans="3:3">
      <c r="C1062" s="117"/>
    </row>
    <row r="1063" spans="3:3">
      <c r="C1063" s="117"/>
    </row>
    <row r="1064" spans="3:3">
      <c r="C1064" s="117"/>
    </row>
    <row r="1065" spans="3:3">
      <c r="C1065" s="117"/>
    </row>
    <row r="1066" spans="3:3">
      <c r="C1066" s="117"/>
    </row>
    <row r="1067" spans="3:3">
      <c r="C1067" s="117"/>
    </row>
    <row r="1068" spans="3:3">
      <c r="C1068" s="117"/>
    </row>
    <row r="1069" spans="3:3">
      <c r="C1069" s="117"/>
    </row>
    <row r="1070" spans="3:3">
      <c r="C1070" s="117"/>
    </row>
    <row r="1071" spans="3:3">
      <c r="C1071" s="117"/>
    </row>
    <row r="1072" spans="3:3">
      <c r="C1072" s="117"/>
    </row>
    <row r="1073" spans="3:3">
      <c r="C1073" s="117"/>
    </row>
    <row r="1074" spans="3:3">
      <c r="C1074" s="117"/>
    </row>
    <row r="1075" spans="3:3">
      <c r="C1075" s="117"/>
    </row>
    <row r="1076" spans="3:3">
      <c r="C1076" s="117"/>
    </row>
    <row r="1077" spans="3:3">
      <c r="C1077" s="117"/>
    </row>
    <row r="1078" spans="3:3">
      <c r="C1078" s="117"/>
    </row>
    <row r="1079" spans="3:3">
      <c r="C1079" s="117"/>
    </row>
    <row r="1080" spans="3:3">
      <c r="C1080" s="117"/>
    </row>
    <row r="1081" spans="3:3">
      <c r="C1081" s="117"/>
    </row>
    <row r="1082" spans="3:3">
      <c r="C1082" s="117"/>
    </row>
    <row r="1083" spans="3:3">
      <c r="C1083" s="117"/>
    </row>
    <row r="1084" spans="3:3">
      <c r="C1084" s="117"/>
    </row>
    <row r="1085" spans="3:3">
      <c r="C1085" s="117"/>
    </row>
    <row r="1086" spans="3:3">
      <c r="C1086" s="117"/>
    </row>
    <row r="1087" spans="3:3">
      <c r="C1087" s="117"/>
    </row>
    <row r="1088" spans="3:3">
      <c r="C1088" s="117"/>
    </row>
    <row r="1089" spans="3:3">
      <c r="C1089" s="117"/>
    </row>
    <row r="1090" spans="3:3">
      <c r="C1090" s="117"/>
    </row>
    <row r="1091" spans="3:3">
      <c r="C1091" s="117"/>
    </row>
    <row r="1092" spans="3:3">
      <c r="C1092" s="117"/>
    </row>
    <row r="1093" spans="3:3">
      <c r="C1093" s="117"/>
    </row>
    <row r="1094" spans="3:3">
      <c r="C1094" s="117"/>
    </row>
    <row r="1095" spans="3:3">
      <c r="C1095" s="117"/>
    </row>
    <row r="1096" spans="3:3">
      <c r="C1096" s="117"/>
    </row>
    <row r="1097" spans="3:3">
      <c r="C1097" s="117"/>
    </row>
    <row r="1098" spans="3:3">
      <c r="C1098" s="117"/>
    </row>
    <row r="1099" spans="3:3">
      <c r="C1099" s="117"/>
    </row>
    <row r="1100" spans="3:3">
      <c r="C1100" s="117"/>
    </row>
    <row r="1101" spans="3:3">
      <c r="C1101" s="117"/>
    </row>
    <row r="1102" spans="3:3">
      <c r="C1102" s="117"/>
    </row>
    <row r="1103" spans="3:3">
      <c r="C1103" s="117"/>
    </row>
    <row r="1104" spans="3:3">
      <c r="C1104" s="117"/>
    </row>
    <row r="1105" spans="3:3">
      <c r="C1105" s="117"/>
    </row>
    <row r="1106" spans="3:3">
      <c r="C1106" s="117"/>
    </row>
    <row r="1107" spans="3:3">
      <c r="C1107" s="117"/>
    </row>
    <row r="1108" spans="3:3">
      <c r="C1108" s="117"/>
    </row>
    <row r="1109" spans="3:3">
      <c r="C1109" s="117"/>
    </row>
    <row r="1110" spans="3:3">
      <c r="C1110" s="117"/>
    </row>
    <row r="1111" spans="3:3">
      <c r="C1111" s="117"/>
    </row>
    <row r="1112" spans="3:3">
      <c r="C1112" s="117"/>
    </row>
    <row r="1113" spans="3:3">
      <c r="C1113" s="117"/>
    </row>
    <row r="1114" spans="3:3">
      <c r="C1114" s="117"/>
    </row>
  </sheetData>
  <protectedRanges>
    <protectedRange sqref="B151" name="Rango1_1" securityDescriptor="O:WDG:WDD:(A;;CC;;;S-1-5-21-725345543-1677128483-682003330-248965)"/>
    <protectedRange sqref="B180:B183 B210:B212 D210:D212 R211:R213 Z207:Z212 T211:U212 B217:B220 D217:D222 R217:R218 T218:V218 Z217:Z220 T223:U223 T224:T226 U224:V225 W224:W226 Z224:Z226 Z137 Z140 Z164 Z170:Z172 U230:V230 Z228 H227:I227 D224:D229 K227 V238 U216:W216 D237:D241 AH231 B236 F224 F227 T228:U229 F236:F248 F250:F255 Z249:Z255 B223:B231 T268:V268 AD227 F268:F294 T289:V289 Z280:Z294 Z270:Z278 B295:B297 D295:D297 F297 T295:T296 U295:U297 B238:B256 D245:D256 AH255 W228 T298:U298 T299 B299:B306 F299:F303 R300 V300 U303 U306:V306 B268:D294 R311 R315 R291:R295 B309:B320 D310:D320 B321:D327 B329:D331 F309:F327 V321 W321:W327 T332:U332 T312:U314 T278:W278 T320 T328 U337 F329:F345 U339 AH343 R346:R347 T346:U350 U351:U353 D346:D350 B332:B353 AH324 T354:U356 W355:W356 T357 T363:U363 B368:B372 F368:F370 V368 F372 F347:F366 B355:B366 U357:U358 AH363 U315:U317 T242:U242 B374:B380 F374:F381 U374 AH378 T382:U386 R287:R289 R324:R325 R327 R334:R335 R361 R220 P238:P239 T390 B396:B397 D392:D394 F383:F394 R389:R394 V396:V397 T394:V394 D396:D400 R396:R400 T396:U396 B382:B394 D405:D407 F396:F406 T411 D413:D417 AH407 B401:B422 F408:F421 AH422 B429:D435 Z347 Z403 Z405 Z413 Y425:Z426 Y430:Y431 Z423:Z424 W421 R429:R434 D436:D442 R437:R442 Z427:Z442 B436:B446 F429:F446 U443:U446 AH446 AH443 U376:U380 R446:R447 R452:R453 R455:R456 U281 T287:U287 V324:V326 U426:W426 W425 T433:W433 U429 T438:V438 V222 W227:AB227 V270:V271 P423:P427 T427:U427 W427 V273 T271 W269:W277 U285 T294:W294 U329:U330 W429:W431 T440:V442 T439:U439 W329:W330 T435:U435 W435 T282:U284 R461:R463 R465 R238 R242 R298 R268:R271 R244 R278:R280 R282:R284 P224:P225 P227:P228 P234 P236 P257:P258 P313 P309 P442 P210:P212 P241:P252 P260:P266 P268:P284 P288:P298 R309 P321:P335 R423:R427 R224:R225 R227:R228 M227:N227 V231 T233 T324:U324 V331:W331 U400:U413 U415:U419 B423:D427 F423:F427 U217 T327:U327 U423:W424 U434:W434 U226:U227 T238 T252:U253 U269:U270 U309:U311 T335:U335 U392:V393 U397 U210 U219:U220 T244:U244 U243 T246:U246 U245 U247:U251 T256:U256 U254 T275:U276 U272:U274 U277 U325:U326 U334 U360:U362 U364:U366 T388:U388 U387 U432:W432 U437 AF227:XFD227 U319:U322 U341:U345 T279:U280 W279:W288 T290:U293 W291:W293" name="Rango1" securityDescriptor="O:WDG:WDD:(A;;CC;;;S-1-5-21-725345543-1677128483-682003330-248965)"/>
    <protectedRange sqref="D180:D183" name="Rango1_2" securityDescriptor="O:WDG:WDD:(A;;CC;;;S-1-5-21-725345543-1677128483-682003330-248965)"/>
    <protectedRange sqref="F180:F183" name="Rango1_3" securityDescriptor="O:WDG:WDD:(A;;CC;;;S-1-5-21-725345543-1677128483-682003330-248965)"/>
    <protectedRange sqref="P180:P183" name="Rango1_4" securityDescriptor="O:WDG:WDD:(A;;CC;;;S-1-5-21-725345543-1677128483-682003330-248965)"/>
    <protectedRange sqref="U180:U182" name="Rango1_6" securityDescriptor="O:WDG:WDD:(A;;CC;;;S-1-5-21-725345543-1677128483-682003330-248965)"/>
    <protectedRange sqref="D184:D185" name="Rango1_7" securityDescriptor="O:WDG:WDD:(A;;CC;;;S-1-5-21-725345543-1677128483-682003330-248965)"/>
    <protectedRange sqref="P184" name="Rango1_9" securityDescriptor="O:WDG:WDD:(A;;CC;;;S-1-5-21-725345543-1677128483-682003330-248965)"/>
    <protectedRange sqref="T184:V184" name="Rango1_11" securityDescriptor="O:WDG:WDD:(A;;CC;;;S-1-5-21-725345543-1677128483-682003330-248965)"/>
    <protectedRange sqref="AH177" name="Rango1_12" securityDescriptor="O:WDG:WDD:(A;;CC;;;S-1-5-21-725345543-1677128483-682003330-248965)"/>
    <protectedRange sqref="B184" name="Rango1_13" securityDescriptor="O:WDG:WDD:(A;;CC;;;S-1-5-21-725345543-1677128483-682003330-248965)"/>
    <protectedRange sqref="B185" name="Rango1_14" securityDescriptor="O:WDG:WDD:(A;;CC;;;S-1-5-21-725345543-1677128483-682003330-248965)"/>
    <protectedRange sqref="F185" name="Rango1_15" securityDescriptor="O:WDG:WDD:(A;;CC;;;S-1-5-21-725345543-1677128483-682003330-248965)"/>
    <protectedRange sqref="F184" name="Rango1_16" securityDescriptor="O:WDG:WDD:(A;;CC;;;S-1-5-21-725345543-1677128483-682003330-248965)"/>
    <protectedRange sqref="P185" name="Rango1_17" securityDescriptor="O:WDG:WDD:(A;;CC;;;S-1-5-21-725345543-1677128483-682003330-248965)"/>
    <protectedRange sqref="V185" name="Rango1_18" securityDescriptor="O:WDG:WDD:(A;;CC;;;S-1-5-21-725345543-1677128483-682003330-248965)"/>
    <protectedRange sqref="B186" name="Rango1_8" securityDescriptor="O:WDG:WDD:(A;;CC;;;S-1-5-21-725345543-1677128483-682003330-248965)"/>
    <protectedRange sqref="D186" name="Rango1_19" securityDescriptor="O:WDG:WDD:(A;;CC;;;S-1-5-21-725345543-1677128483-682003330-248965)"/>
    <protectedRange sqref="F186" name="Rango1_20" securityDescriptor="O:WDG:WDD:(A;;CC;;;S-1-5-21-725345543-1677128483-682003330-248965)"/>
    <protectedRange sqref="P186 R186" name="Rango1_21" securityDescriptor="O:WDG:WDD:(A;;CC;;;S-1-5-21-725345543-1677128483-682003330-248965)"/>
    <protectedRange sqref="B187" name="Rango1_22" securityDescriptor="O:WDG:WDD:(A;;CC;;;S-1-5-21-725345543-1677128483-682003330-248965)"/>
    <protectedRange sqref="D187" name="Rango1_24" securityDescriptor="O:WDG:WDD:(A;;CC;;;S-1-5-21-725345543-1677128483-682003330-248965)"/>
    <protectedRange sqref="F187" name="Rango1_25" securityDescriptor="O:WDG:WDD:(A;;CC;;;S-1-5-21-725345543-1677128483-682003330-248965)"/>
    <protectedRange sqref="P187" name="Rango1_26" securityDescriptor="O:WDG:WDD:(A;;CC;;;S-1-5-21-725345543-1677128483-682003330-248965)"/>
    <protectedRange sqref="U187" name="Rango1_27" securityDescriptor="O:WDG:WDD:(A;;CC;;;S-1-5-21-725345543-1677128483-682003330-248965)"/>
    <protectedRange sqref="B188" name="Rango1_23" securityDescriptor="O:WDG:WDD:(A;;CC;;;S-1-5-21-725345543-1677128483-682003330-248965)"/>
    <protectedRange sqref="F188" name="Rango1_28" securityDescriptor="O:WDG:WDD:(A;;CC;;;S-1-5-21-725345543-1677128483-682003330-248965)"/>
    <protectedRange sqref="P188" name="Rango1_29" securityDescriptor="O:WDG:WDD:(A;;CC;;;S-1-5-21-725345543-1677128483-682003330-248965)"/>
    <protectedRange sqref="W188:X188 T188:U188 T217 T288 T325" name="Rango1_30" securityDescriptor="O:WDG:WDD:(A;;CC;;;S-1-5-21-725345543-1677128483-682003330-248965)"/>
    <protectedRange sqref="B189" name="Rango1_31" securityDescriptor="O:WDG:WDD:(A;;CC;;;S-1-5-21-725345543-1677128483-682003330-248965)"/>
    <protectedRange sqref="F189" name="Rango1_32" securityDescriptor="O:WDG:WDD:(A;;CC;;;S-1-5-21-725345543-1677128483-682003330-248965)"/>
    <protectedRange sqref="P189" name="Rango1_33" securityDescriptor="O:WDG:WDD:(A;;CC;;;S-1-5-21-725345543-1677128483-682003330-248965)"/>
    <protectedRange sqref="T189:U189" name="Rango1_34" securityDescriptor="O:WDG:WDD:(A;;CC;;;S-1-5-21-725345543-1677128483-682003330-248965)"/>
    <protectedRange sqref="Z189 W189" name="Rango1_35" securityDescriptor="O:WDG:WDD:(A;;CC;;;S-1-5-21-725345543-1677128483-682003330-248965)"/>
    <protectedRange sqref="B190" name="Rango1_36" securityDescriptor="O:WDG:WDD:(A;;CC;;;S-1-5-21-725345543-1677128483-682003330-248965)"/>
    <protectedRange sqref="D190:D194" name="Rango1_37" securityDescriptor="O:WDG:WDD:(A;;CC;;;S-1-5-21-725345543-1677128483-682003330-248965)"/>
    <protectedRange sqref="F190 F192" name="Rango1_38" securityDescriptor="O:WDG:WDD:(A;;CC;;;S-1-5-21-725345543-1677128483-682003330-248965)"/>
    <protectedRange sqref="P190" name="Rango1_39" securityDescriptor="O:WDG:WDD:(A;;CC;;;S-1-5-21-725345543-1677128483-682003330-248965)"/>
    <protectedRange sqref="B191" name="Rango1_41" securityDescriptor="O:WDG:WDD:(A;;CC;;;S-1-5-21-725345543-1677128483-682003330-248965)"/>
    <protectedRange sqref="F191" name="Rango1_42" securityDescriptor="O:WDG:WDD:(A;;CC;;;S-1-5-21-725345543-1677128483-682003330-248965)"/>
    <protectedRange sqref="P191 R191" name="Rango1_43" securityDescriptor="O:WDG:WDD:(A;;CC;;;S-1-5-21-725345543-1677128483-682003330-248965)"/>
    <protectedRange sqref="T191:U191" name="Rango1_44" securityDescriptor="O:WDG:WDD:(A;;CC;;;S-1-5-21-725345543-1677128483-682003330-248965)"/>
    <protectedRange sqref="AH192" name="Rango1_45" securityDescriptor="O:WDG:WDD:(A;;CC;;;S-1-5-21-725345543-1677128483-682003330-248965)"/>
    <protectedRange sqref="B193" name="Rango1_46" securityDescriptor="O:WDG:WDD:(A;;CC;;;S-1-5-21-725345543-1677128483-682003330-248965)"/>
    <protectedRange sqref="P193" name="Rango1_47" securityDescriptor="O:WDG:WDD:(A;;CC;;;S-1-5-21-725345543-1677128483-682003330-248965)"/>
    <protectedRange sqref="F193" name="Rango1_48" securityDescriptor="O:WDG:WDD:(A;;CC;;;S-1-5-21-725345543-1677128483-682003330-248965)"/>
    <protectedRange sqref="T193:V193" name="Rango1_49" securityDescriptor="O:WDG:WDD:(A;;CC;;;S-1-5-21-725345543-1677128483-682003330-248965)"/>
    <protectedRange sqref="B194" name="Rango1_50" securityDescriptor="O:WDG:WDD:(A;;CC;;;S-1-5-21-725345543-1677128483-682003330-248965)"/>
    <protectedRange sqref="F194" name="Rango1_52" securityDescriptor="O:WDG:WDD:(A;;CC;;;S-1-5-21-725345543-1677128483-682003330-248965)"/>
    <protectedRange sqref="P194 P215 R215 R194" name="Rango1_53" securityDescriptor="O:WDG:WDD:(A;;CC;;;S-1-5-21-725345543-1677128483-682003330-248965)"/>
    <protectedRange sqref="T194:U194" name="Rango1_54" securityDescriptor="O:WDG:WDD:(A;;CC;;;S-1-5-21-725345543-1677128483-682003330-248965)"/>
    <protectedRange sqref="B195" name="Rango1_51" securityDescriptor="O:WDG:WDD:(A;;CC;;;S-1-5-21-725345543-1677128483-682003330-248965)"/>
    <protectedRange sqref="F195" name="Rango1_55" securityDescriptor="O:WDG:WDD:(A;;CC;;;S-1-5-21-725345543-1677128483-682003330-248965)"/>
    <protectedRange sqref="R197 P195" name="Rango1_56" securityDescriptor="O:WDG:WDD:(A;;CC;;;S-1-5-21-725345543-1677128483-682003330-248965)"/>
    <protectedRange sqref="U195:V195" name="Rango1_57" securityDescriptor="O:WDG:WDD:(A;;CC;;;S-1-5-21-725345543-1677128483-682003330-248965)"/>
    <protectedRange sqref="B196:B197" name="Rango1_58" securityDescriptor="O:WDG:WDD:(A;;CC;;;S-1-5-21-725345543-1677128483-682003330-248965)"/>
    <protectedRange sqref="F196:F197" name="Rango1_59" securityDescriptor="O:WDG:WDD:(A;;CC;;;S-1-5-21-725345543-1677128483-682003330-248965)"/>
    <protectedRange sqref="T196:U197 T310" name="Rango1_62" securityDescriptor="O:WDG:WDD:(A;;CC;;;S-1-5-21-725345543-1677128483-682003330-248965)"/>
    <protectedRange sqref="W196:W197" name="Rango1_63" securityDescriptor="O:WDG:WDD:(A;;CC;;;S-1-5-21-725345543-1677128483-682003330-248965)"/>
    <protectedRange sqref="B198" name="Rango1_60" securityDescriptor="O:WDG:WDD:(A;;CC;;;S-1-5-21-725345543-1677128483-682003330-248965)"/>
    <protectedRange sqref="F198" name="Rango1_61" securityDescriptor="O:WDG:WDD:(A;;CC;;;S-1-5-21-725345543-1677128483-682003330-248965)"/>
    <protectedRange sqref="P198 R198" name="Rango1_64" securityDescriptor="O:WDG:WDD:(A;;CC;;;S-1-5-21-725345543-1677128483-682003330-248965)"/>
    <protectedRange sqref="U198" name="Rango1_65" securityDescriptor="O:WDG:WDD:(A;;CC;;;S-1-5-21-725345543-1677128483-682003330-248965)"/>
    <protectedRange sqref="B199" name="Rango1_66" securityDescriptor="O:WDG:WDD:(A;;CC;;;S-1-5-21-725345543-1677128483-682003330-248965)"/>
    <protectedRange sqref="F199" name="Rango1_67" securityDescriptor="O:WDG:WDD:(A;;CC;;;S-1-5-21-725345543-1677128483-682003330-248965)"/>
    <protectedRange sqref="T199 P199 P235 P237" name="Rango1_68" securityDescriptor="O:WDG:WDD:(A;;CC;;;S-1-5-21-725345543-1677128483-682003330-248965)"/>
    <protectedRange sqref="U199" name="Rango1_69" securityDescriptor="O:WDG:WDD:(A;;CC;;;S-1-5-21-725345543-1677128483-682003330-248965)"/>
    <protectedRange sqref="W199" name="Rango1_70" securityDescriptor="O:WDG:WDD:(A;;CC;;;S-1-5-21-725345543-1677128483-682003330-248965)"/>
    <protectedRange sqref="B201:B203" name="Rango1_71" securityDescriptor="O:WDG:WDD:(A;;CC;;;S-1-5-21-725345543-1677128483-682003330-248965)"/>
    <protectedRange sqref="B204" name="Rango1_72" securityDescriptor="O:WDG:WDD:(A;;CC;;;S-1-5-21-725345543-1677128483-682003330-248965)"/>
    <protectedRange sqref="D201:D205" name="Rango1_73" securityDescriptor="O:WDG:WDD:(A;;CC;;;S-1-5-21-725345543-1677128483-682003330-248965)"/>
    <protectedRange sqref="F201:F223 F225:F226 F228:F231" name="Rango1_74" securityDescriptor="O:WDG:WDD:(A;;CC;;;S-1-5-21-725345543-1677128483-682003330-248965)"/>
    <protectedRange sqref="P201:P203" name="Rango1_76" securityDescriptor="O:WDG:WDD:(A;;CC;;;S-1-5-21-725345543-1677128483-682003330-248965)"/>
    <protectedRange sqref="U202" name="Rango1_77" securityDescriptor="O:WDG:WDD:(A;;CC;;;S-1-5-21-725345543-1677128483-682003330-248965)"/>
    <protectedRange sqref="P204" name="Rango1_78" securityDescriptor="O:WDG:WDD:(A;;CC;;;S-1-5-21-725345543-1677128483-682003330-248965)"/>
    <protectedRange sqref="B205" name="Rango1_79" securityDescriptor="O:WDG:WDD:(A;;CC;;;S-1-5-21-725345543-1677128483-682003330-248965)"/>
    <protectedRange sqref="P205" name="Rango1_81" securityDescriptor="O:WDG:WDD:(A;;CC;;;S-1-5-21-725345543-1677128483-682003330-248965)"/>
    <protectedRange sqref="U205" name="Rango1_82" securityDescriptor="O:WDG:WDD:(A;;CC;;;S-1-5-21-725345543-1677128483-682003330-248965)"/>
    <protectedRange sqref="B206" name="Rango1_83" securityDescriptor="O:WDG:WDD:(A;;CC;;;S-1-5-21-725345543-1677128483-682003330-248965)"/>
    <protectedRange sqref="D206:D209" name="Rango1_84" securityDescriptor="O:WDG:WDD:(A;;CC;;;S-1-5-21-725345543-1677128483-682003330-248965)"/>
    <protectedRange sqref="P206" name="Rango1_86" securityDescriptor="O:WDG:WDD:(A;;CC;;;S-1-5-21-725345543-1677128483-682003330-248965)"/>
    <protectedRange sqref="U206" name="Rango1_87" securityDescriptor="O:WDG:WDD:(A;;CC;;;S-1-5-21-725345543-1677128483-682003330-248965)"/>
    <protectedRange sqref="H200:I200 W200:AD200 N200 AF200:XFD200" name="Rango1_89" securityDescriptor="O:WDG:WDD:(A;;CC;;;S-1-5-21-725345543-1677128483-682003330-248965)"/>
    <protectedRange sqref="B200" name="Rango1_90" securityDescriptor="O:WDG:WDD:(A;;CC;;;S-1-5-21-725345543-1677128483-682003330-248965)"/>
    <protectedRange sqref="D200" name="Rango1_91" securityDescriptor="O:WDG:WDD:(A;;CC;;;S-1-5-21-725345543-1677128483-682003330-248965)"/>
    <protectedRange sqref="F200" name="Rango1_92" securityDescriptor="O:WDG:WDD:(A;;CC;;;S-1-5-21-725345543-1677128483-682003330-248965)"/>
    <protectedRange sqref="P200 R200" name="Rango1_93" securityDescriptor="O:WDG:WDD:(A;;CC;;;S-1-5-21-725345543-1677128483-682003330-248965)"/>
    <protectedRange sqref="U200" name="Rango1_95" securityDescriptor="O:WDG:WDD:(A;;CC;;;S-1-5-21-725345543-1677128483-682003330-248965)"/>
    <protectedRange sqref="B207:B209" name="Rango1_96" securityDescriptor="O:WDG:WDD:(A;;CC;;;S-1-5-21-725345543-1677128483-682003330-248965)"/>
    <protectedRange sqref="R221 P216:P223 R216 P226 P229 P231:P233 P285:P287 P207:P209 R229" name="Rango1_97" securityDescriptor="O:WDG:WDD:(A;;CC;;;S-1-5-21-725345543-1677128483-682003330-248965)"/>
    <protectedRange sqref="U207 U209 U262" name="Rango1_98" securityDescriptor="O:WDG:WDD:(A;;CC;;;S-1-5-21-725345543-1677128483-682003330-248965)"/>
    <protectedRange sqref="B216" name="Rango1_88" securityDescriptor="O:WDG:WDD:(A;;CC;;;S-1-5-21-725345543-1677128483-682003330-248965)"/>
    <protectedRange sqref="U221" name="Rango1_1_1" securityDescriptor="O:WDG:WDD:(A;;CC;;;S-1-5-21-725345543-1677128483-682003330-248965)"/>
    <protectedRange sqref="D232:D236" name="Rango1_75" securityDescriptor="O:WDG:WDD:(A;;CC;;;S-1-5-21-725345543-1677128483-682003330-248965)"/>
    <protectedRange sqref="F232:F235" name="Rango1_80" securityDescriptor="O:WDG:WDD:(A;;CC;;;S-1-5-21-725345543-1677128483-682003330-248965)"/>
    <protectedRange sqref="R233:R234" name="Rango1_85" securityDescriptor="O:WDG:WDD:(A;;CC;;;S-1-5-21-725345543-1677128483-682003330-248965)"/>
    <protectedRange sqref="U389:U391" name="Rango1_5" securityDescriptor="O:WDG:WDD:(A;;CC;;;S-1-5-21-725345543-1677128483-682003330-248965)"/>
    <protectedRange sqref="B398:B400" name="Rango1_10" securityDescriptor="O:WDG:WDD:(A;;CC;;;S-1-5-21-725345543-1677128483-682003330-248965)"/>
  </protectedRanges>
  <autoFilter ref="A1:AM898">
    <filterColumn colId="7">
      <filters blank="1">
        <filter val="Aprobado"/>
        <filter val="Busqueda"/>
        <filter val="Pendiente x Aprobacion"/>
      </filters>
    </filterColumn>
  </autoFilter>
  <sortState ref="A2:AK278">
    <sortCondition ref="A276"/>
  </sortState>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14:formula1>
            <xm:f>Hoja2!$B$3:$B$6</xm:f>
          </x14:formula1>
          <xm:sqref>C2:C163 C174:C267 C295:C320 C332:C422 C428 C436:C1114</xm:sqref>
        </x14:dataValidation>
        <x14:dataValidation type="list" allowBlank="1" showInputMessage="1" showErrorMessage="1">
          <x14:formula1>
            <xm:f>Hoja2!$D$3:$D$9</xm:f>
          </x14:formula1>
          <xm:sqref>H2:H199 H201:H226 H228:H297</xm:sqref>
        </x14:dataValidation>
        <x14:dataValidation type="list" allowBlank="1" showInputMessage="1" showErrorMessage="1">
          <x14:formula1>
            <xm:f>Hoja2!$D$3:$D$10</xm:f>
          </x14:formula1>
          <xm:sqref>H298:H710 H712:H897</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N419"/>
  <sheetViews>
    <sheetView topLeftCell="AC1" zoomScale="80" zoomScaleNormal="80" workbookViewId="0">
      <pane ySplit="1" topLeftCell="A364" activePane="bottomLeft" state="frozen"/>
      <selection pane="bottomLeft" sqref="A1:AM388"/>
    </sheetView>
  </sheetViews>
  <sheetFormatPr baseColWidth="10" defaultRowHeight="15"/>
  <cols>
    <col min="1" max="2" width="11.42578125" style="154"/>
    <col min="3" max="3" width="15.5703125" style="154" customWidth="1"/>
    <col min="4" max="4" width="13.7109375" style="154" customWidth="1"/>
    <col min="5" max="6" width="11.42578125" style="154" customWidth="1"/>
    <col min="7" max="7" width="13.5703125" style="154" customWidth="1"/>
    <col min="8" max="8" width="17.140625" style="154" customWidth="1"/>
    <col min="9" max="9" width="6.85546875" style="324" hidden="1" customWidth="1"/>
    <col min="10" max="10" width="18.140625" style="324" hidden="1" customWidth="1"/>
    <col min="11" max="11" width="11.42578125" style="400" customWidth="1"/>
    <col min="12" max="12" width="11.42578125" style="10" customWidth="1"/>
    <col min="13" max="17" width="11.42578125" style="154" customWidth="1"/>
    <col min="18" max="18" width="15.85546875" style="154" bestFit="1" customWidth="1"/>
    <col min="19" max="19" width="11.42578125" style="157"/>
    <col min="20" max="20" width="11.42578125" style="154"/>
    <col min="21" max="21" width="21.5703125" style="154" bestFit="1" customWidth="1"/>
    <col min="22" max="22" width="25" style="154" customWidth="1"/>
    <col min="23" max="23" width="12.85546875" style="324" hidden="1" customWidth="1"/>
    <col min="24" max="24" width="11.42578125" style="324" hidden="1" customWidth="1"/>
    <col min="25" max="25" width="24.28515625" style="154" bestFit="1" customWidth="1"/>
    <col min="26" max="26" width="20.28515625" style="221" customWidth="1"/>
    <col min="27" max="27" width="11.42578125" style="222"/>
    <col min="28" max="28" width="14.28515625" style="154" bestFit="1" customWidth="1"/>
    <col min="29" max="29" width="11.42578125" style="154"/>
    <col min="30" max="31" width="11.42578125" style="147"/>
    <col min="32" max="32" width="25.5703125" style="154" bestFit="1" customWidth="1"/>
    <col min="33" max="33" width="12.85546875" style="324" bestFit="1" customWidth="1"/>
    <col min="34" max="34" width="60.5703125" style="154" bestFit="1" customWidth="1"/>
    <col min="35" max="39" width="11.42578125" style="324"/>
  </cols>
  <sheetData>
    <row r="1" spans="1:39" ht="53.25" customHeight="1">
      <c r="A1" s="114" t="s">
        <v>34</v>
      </c>
      <c r="B1" s="166" t="s">
        <v>27</v>
      </c>
      <c r="C1" s="113" t="s">
        <v>43</v>
      </c>
      <c r="D1" s="113" t="s">
        <v>44</v>
      </c>
      <c r="E1" s="113" t="s">
        <v>470</v>
      </c>
      <c r="F1" s="329" t="s">
        <v>45</v>
      </c>
      <c r="G1" s="113" t="s">
        <v>208</v>
      </c>
      <c r="H1" s="113" t="s">
        <v>607</v>
      </c>
      <c r="I1" s="328" t="s">
        <v>607</v>
      </c>
      <c r="J1" s="320" t="s">
        <v>823</v>
      </c>
      <c r="K1" s="115" t="s">
        <v>30</v>
      </c>
      <c r="L1" s="113" t="s">
        <v>35</v>
      </c>
      <c r="M1" s="113" t="s">
        <v>606</v>
      </c>
      <c r="N1" s="115" t="s">
        <v>48</v>
      </c>
      <c r="O1" s="318" t="s">
        <v>2305</v>
      </c>
      <c r="P1" s="113" t="s">
        <v>260</v>
      </c>
      <c r="Q1" s="113" t="s">
        <v>1340</v>
      </c>
      <c r="R1" s="114" t="s">
        <v>29</v>
      </c>
      <c r="S1" s="113" t="s">
        <v>321</v>
      </c>
      <c r="T1" s="113" t="s">
        <v>46</v>
      </c>
      <c r="U1" s="114" t="s">
        <v>28</v>
      </c>
      <c r="V1" s="114" t="s">
        <v>32</v>
      </c>
      <c r="W1" s="322" t="s">
        <v>31</v>
      </c>
      <c r="X1" s="322" t="s">
        <v>33</v>
      </c>
      <c r="Y1" s="113" t="s">
        <v>1730</v>
      </c>
      <c r="Z1" s="113" t="s">
        <v>50</v>
      </c>
      <c r="AA1" s="113" t="s">
        <v>524</v>
      </c>
      <c r="AB1" s="116" t="s">
        <v>126</v>
      </c>
      <c r="AC1" s="113" t="s">
        <v>285</v>
      </c>
      <c r="AD1" s="113" t="s">
        <v>386</v>
      </c>
      <c r="AE1" s="113" t="s">
        <v>216</v>
      </c>
      <c r="AF1" s="113" t="s">
        <v>224</v>
      </c>
      <c r="AG1" s="322" t="s">
        <v>213</v>
      </c>
      <c r="AH1" s="113" t="s">
        <v>47</v>
      </c>
      <c r="AI1" s="320" t="s">
        <v>81</v>
      </c>
      <c r="AJ1" s="320" t="s">
        <v>809</v>
      </c>
      <c r="AK1" s="320" t="s">
        <v>575</v>
      </c>
      <c r="AL1" s="320" t="s">
        <v>644</v>
      </c>
      <c r="AM1" s="320" t="s">
        <v>808</v>
      </c>
    </row>
    <row r="2" spans="1:39" ht="15" customHeight="1">
      <c r="A2" s="147">
        <v>1</v>
      </c>
      <c r="B2" s="223">
        <v>214682</v>
      </c>
      <c r="C2" s="221" t="s">
        <v>128</v>
      </c>
      <c r="D2" s="57">
        <v>43102</v>
      </c>
      <c r="E2" s="160" t="s">
        <v>1629</v>
      </c>
      <c r="F2" s="222">
        <v>43113</v>
      </c>
      <c r="G2" s="221">
        <v>11</v>
      </c>
      <c r="H2" s="221" t="s">
        <v>133</v>
      </c>
      <c r="I2" s="129"/>
      <c r="J2" s="129" t="s">
        <v>614</v>
      </c>
      <c r="K2" s="319">
        <v>4299</v>
      </c>
      <c r="L2" s="221"/>
      <c r="M2" s="221"/>
      <c r="N2" s="227">
        <f t="shared" ref="N2:N65" si="0">IF(AE2="Reemplazo",0,K2-(K2*0.12*0.5)-(MAX(L2,M2)))</f>
        <v>0</v>
      </c>
      <c r="O2" s="226"/>
      <c r="P2" s="224" t="s">
        <v>262</v>
      </c>
      <c r="Q2" s="230" t="s">
        <v>1342</v>
      </c>
      <c r="R2" s="147" t="s">
        <v>237</v>
      </c>
      <c r="S2" s="145" t="s">
        <v>465</v>
      </c>
      <c r="T2" s="221" t="s">
        <v>144</v>
      </c>
      <c r="U2" s="221" t="s">
        <v>1634</v>
      </c>
      <c r="V2" s="221" t="s">
        <v>1635</v>
      </c>
      <c r="W2" s="129"/>
      <c r="X2" s="129"/>
      <c r="Y2" s="221"/>
      <c r="Z2" s="221" t="s">
        <v>137</v>
      </c>
      <c r="AB2" s="221"/>
      <c r="AC2" s="226">
        <f t="shared" ref="AC2:AC65" si="1">+IF(N2&gt;0,1,0)</f>
        <v>0</v>
      </c>
      <c r="AE2" s="147" t="s">
        <v>217</v>
      </c>
      <c r="AF2" s="147" t="s">
        <v>2353</v>
      </c>
      <c r="AG2" s="129"/>
      <c r="AH2" s="64"/>
      <c r="AI2" s="129"/>
      <c r="AJ2" s="129"/>
      <c r="AK2" s="129"/>
      <c r="AL2" s="129"/>
      <c r="AM2" s="129"/>
    </row>
    <row r="3" spans="1:39" ht="15" customHeight="1">
      <c r="A3" s="147">
        <v>2</v>
      </c>
      <c r="B3" s="223">
        <v>214715</v>
      </c>
      <c r="C3" s="221" t="s">
        <v>1628</v>
      </c>
      <c r="D3" s="57">
        <v>43103</v>
      </c>
      <c r="E3" s="160" t="s">
        <v>1629</v>
      </c>
      <c r="F3" s="222">
        <v>43114</v>
      </c>
      <c r="G3" s="221">
        <v>11</v>
      </c>
      <c r="H3" s="221" t="s">
        <v>133</v>
      </c>
      <c r="I3" s="129"/>
      <c r="J3" s="129" t="s">
        <v>614</v>
      </c>
      <c r="K3" s="319">
        <v>5975</v>
      </c>
      <c r="L3" s="221">
        <v>787</v>
      </c>
      <c r="M3" s="221">
        <v>514</v>
      </c>
      <c r="N3" s="227">
        <f t="shared" si="0"/>
        <v>0</v>
      </c>
      <c r="O3" s="226"/>
      <c r="P3" s="224" t="s">
        <v>264</v>
      </c>
      <c r="Q3" s="230" t="s">
        <v>1342</v>
      </c>
      <c r="R3" s="147" t="s">
        <v>134</v>
      </c>
      <c r="S3" s="145" t="s">
        <v>465</v>
      </c>
      <c r="T3" s="221" t="s">
        <v>164</v>
      </c>
      <c r="U3" s="221" t="s">
        <v>1630</v>
      </c>
      <c r="V3" s="221" t="s">
        <v>1700</v>
      </c>
      <c r="W3" s="129"/>
      <c r="X3" s="129"/>
      <c r="Y3" s="221" t="s">
        <v>1942</v>
      </c>
      <c r="Z3" s="221" t="s">
        <v>202</v>
      </c>
      <c r="AA3" s="222">
        <v>43110</v>
      </c>
      <c r="AB3" s="221" t="s">
        <v>140</v>
      </c>
      <c r="AC3" s="226">
        <f t="shared" si="1"/>
        <v>0</v>
      </c>
      <c r="AE3" s="147" t="s">
        <v>217</v>
      </c>
      <c r="AF3" s="148" t="s">
        <v>2265</v>
      </c>
      <c r="AG3" s="129"/>
      <c r="AH3" s="64" t="s">
        <v>1812</v>
      </c>
      <c r="AI3" s="129" t="s">
        <v>184</v>
      </c>
      <c r="AJ3" s="130">
        <v>43108</v>
      </c>
      <c r="AK3" s="129" t="s">
        <v>1659</v>
      </c>
      <c r="AL3" s="129" t="s">
        <v>609</v>
      </c>
      <c r="AM3" s="130">
        <v>43108</v>
      </c>
    </row>
    <row r="4" spans="1:39" ht="15" customHeight="1">
      <c r="A4" s="147">
        <v>3</v>
      </c>
      <c r="B4" s="223">
        <v>214568</v>
      </c>
      <c r="C4" s="221" t="s">
        <v>1628</v>
      </c>
      <c r="D4" s="57">
        <v>43103</v>
      </c>
      <c r="E4" s="160" t="s">
        <v>1629</v>
      </c>
      <c r="F4" s="222">
        <v>43113</v>
      </c>
      <c r="G4" s="221">
        <v>10</v>
      </c>
      <c r="H4" s="221" t="s">
        <v>363</v>
      </c>
      <c r="I4" s="129"/>
      <c r="J4" s="129" t="s">
        <v>614</v>
      </c>
      <c r="K4" s="319"/>
      <c r="L4" s="221"/>
      <c r="M4" s="221"/>
      <c r="N4" s="227">
        <f t="shared" si="0"/>
        <v>0</v>
      </c>
      <c r="O4" s="226"/>
      <c r="P4" s="224" t="s">
        <v>262</v>
      </c>
      <c r="Q4" s="230" t="s">
        <v>1342</v>
      </c>
      <c r="R4" s="147" t="s">
        <v>143</v>
      </c>
      <c r="S4" s="145" t="s">
        <v>465</v>
      </c>
      <c r="T4" s="221" t="s">
        <v>164</v>
      </c>
      <c r="U4" s="221" t="s">
        <v>1631</v>
      </c>
      <c r="V4" s="221" t="s">
        <v>425</v>
      </c>
      <c r="W4" s="129"/>
      <c r="X4" s="129"/>
      <c r="Y4" s="221"/>
      <c r="Z4" s="221" t="s">
        <v>202</v>
      </c>
      <c r="AB4" s="221" t="s">
        <v>872</v>
      </c>
      <c r="AC4" s="226">
        <f t="shared" si="1"/>
        <v>0</v>
      </c>
      <c r="AF4" s="221"/>
      <c r="AG4" s="129"/>
      <c r="AH4" s="64" t="s">
        <v>1802</v>
      </c>
      <c r="AI4" s="129"/>
      <c r="AJ4" s="129"/>
      <c r="AK4" s="129"/>
      <c r="AL4" s="129"/>
      <c r="AM4" s="129"/>
    </row>
    <row r="5" spans="1:39" ht="15" customHeight="1">
      <c r="A5" s="147">
        <v>4</v>
      </c>
      <c r="B5" s="223">
        <v>214554</v>
      </c>
      <c r="C5" s="221" t="s">
        <v>1628</v>
      </c>
      <c r="D5" s="57">
        <v>43103</v>
      </c>
      <c r="E5" s="160" t="s">
        <v>1629</v>
      </c>
      <c r="F5" s="222">
        <v>43113</v>
      </c>
      <c r="G5" s="221">
        <v>10</v>
      </c>
      <c r="H5" s="221" t="s">
        <v>133</v>
      </c>
      <c r="I5" s="129"/>
      <c r="J5" s="129" t="s">
        <v>614</v>
      </c>
      <c r="K5" s="319">
        <v>1399</v>
      </c>
      <c r="L5" s="221">
        <v>592</v>
      </c>
      <c r="M5" s="221">
        <v>80</v>
      </c>
      <c r="N5" s="227">
        <f t="shared" si="0"/>
        <v>723.06</v>
      </c>
      <c r="O5" s="226"/>
      <c r="P5" s="224" t="s">
        <v>264</v>
      </c>
      <c r="Q5" s="230" t="s">
        <v>1342</v>
      </c>
      <c r="R5" s="147" t="s">
        <v>143</v>
      </c>
      <c r="S5" s="145" t="s">
        <v>465</v>
      </c>
      <c r="T5" s="221" t="s">
        <v>164</v>
      </c>
      <c r="U5" s="221" t="s">
        <v>1631</v>
      </c>
      <c r="V5" s="221" t="s">
        <v>1698</v>
      </c>
      <c r="W5" s="129"/>
      <c r="X5" s="129"/>
      <c r="Y5" s="221" t="s">
        <v>1942</v>
      </c>
      <c r="Z5" s="221" t="s">
        <v>202</v>
      </c>
      <c r="AA5" s="222">
        <v>43110</v>
      </c>
      <c r="AB5" s="221" t="s">
        <v>140</v>
      </c>
      <c r="AC5" s="226">
        <f t="shared" si="1"/>
        <v>1</v>
      </c>
      <c r="AD5" s="147" t="s">
        <v>217</v>
      </c>
      <c r="AE5" s="147" t="s">
        <v>218</v>
      </c>
      <c r="AF5" s="221"/>
      <c r="AG5" s="129"/>
      <c r="AH5" s="64"/>
      <c r="AI5" s="129" t="s">
        <v>184</v>
      </c>
      <c r="AJ5" s="130">
        <v>43115</v>
      </c>
      <c r="AK5" s="129" t="s">
        <v>1801</v>
      </c>
      <c r="AL5" s="129" t="s">
        <v>609</v>
      </c>
      <c r="AM5" s="130">
        <v>43115</v>
      </c>
    </row>
    <row r="6" spans="1:39" ht="15" customHeight="1">
      <c r="A6" s="147">
        <v>5</v>
      </c>
      <c r="B6" s="138">
        <v>214542</v>
      </c>
      <c r="C6" s="221" t="s">
        <v>1628</v>
      </c>
      <c r="D6" s="57">
        <v>43103</v>
      </c>
      <c r="E6" s="160" t="s">
        <v>1629</v>
      </c>
      <c r="F6" s="222">
        <v>43113</v>
      </c>
      <c r="G6" s="221">
        <v>10</v>
      </c>
      <c r="H6" s="221" t="s">
        <v>133</v>
      </c>
      <c r="I6" s="129"/>
      <c r="J6" s="129" t="s">
        <v>614</v>
      </c>
      <c r="K6" s="319">
        <v>1839</v>
      </c>
      <c r="L6" s="221">
        <v>668</v>
      </c>
      <c r="M6" s="221">
        <v>80</v>
      </c>
      <c r="N6" s="227">
        <f t="shared" si="0"/>
        <v>1060.6600000000001</v>
      </c>
      <c r="O6" s="226"/>
      <c r="P6" s="224" t="s">
        <v>264</v>
      </c>
      <c r="Q6" s="230" t="s">
        <v>1342</v>
      </c>
      <c r="R6" s="147" t="s">
        <v>143</v>
      </c>
      <c r="S6" s="145" t="s">
        <v>465</v>
      </c>
      <c r="T6" s="221" t="s">
        <v>164</v>
      </c>
      <c r="U6" s="221" t="s">
        <v>1072</v>
      </c>
      <c r="V6" s="221" t="s">
        <v>1632</v>
      </c>
      <c r="W6" s="129"/>
      <c r="X6" s="129"/>
      <c r="Y6" s="221" t="s">
        <v>1942</v>
      </c>
      <c r="Z6" s="221" t="s">
        <v>202</v>
      </c>
      <c r="AA6" s="222">
        <v>43105</v>
      </c>
      <c r="AB6" s="221" t="s">
        <v>140</v>
      </c>
      <c r="AC6" s="226">
        <f t="shared" si="1"/>
        <v>1</v>
      </c>
      <c r="AD6" s="147" t="s">
        <v>217</v>
      </c>
      <c r="AE6" s="147" t="s">
        <v>218</v>
      </c>
      <c r="AF6" s="221"/>
      <c r="AG6" s="129"/>
      <c r="AH6" s="64"/>
      <c r="AI6" s="129" t="s">
        <v>184</v>
      </c>
      <c r="AJ6" s="130">
        <v>43108</v>
      </c>
      <c r="AK6" s="129" t="s">
        <v>1658</v>
      </c>
      <c r="AL6" s="129" t="s">
        <v>609</v>
      </c>
      <c r="AM6" s="130">
        <v>43108</v>
      </c>
    </row>
    <row r="7" spans="1:39" ht="15" customHeight="1">
      <c r="A7" s="147">
        <v>6</v>
      </c>
      <c r="B7" s="138">
        <v>214615</v>
      </c>
      <c r="C7" s="221" t="s">
        <v>1628</v>
      </c>
      <c r="D7" s="57">
        <v>43103</v>
      </c>
      <c r="E7" s="160" t="s">
        <v>1629</v>
      </c>
      <c r="F7" s="222">
        <v>43113</v>
      </c>
      <c r="G7" s="221">
        <v>10</v>
      </c>
      <c r="H7" s="221" t="s">
        <v>133</v>
      </c>
      <c r="I7" s="129"/>
      <c r="J7" s="129" t="s">
        <v>614</v>
      </c>
      <c r="K7" s="319">
        <v>999</v>
      </c>
      <c r="L7" s="221">
        <v>420</v>
      </c>
      <c r="M7" s="221">
        <v>195</v>
      </c>
      <c r="N7" s="227">
        <f t="shared" si="0"/>
        <v>519.05999999999995</v>
      </c>
      <c r="O7" s="226"/>
      <c r="P7" s="224" t="s">
        <v>264</v>
      </c>
      <c r="Q7" s="230" t="s">
        <v>1342</v>
      </c>
      <c r="R7" s="147" t="s">
        <v>143</v>
      </c>
      <c r="S7" s="145" t="s">
        <v>465</v>
      </c>
      <c r="T7" s="221" t="s">
        <v>164</v>
      </c>
      <c r="U7" s="221" t="s">
        <v>1633</v>
      </c>
      <c r="V7" s="221" t="s">
        <v>90</v>
      </c>
      <c r="W7" s="129"/>
      <c r="X7" s="129"/>
      <c r="Y7" s="221" t="s">
        <v>1942</v>
      </c>
      <c r="Z7" s="221" t="s">
        <v>202</v>
      </c>
      <c r="AA7" s="222">
        <v>43105</v>
      </c>
      <c r="AB7" s="221" t="s">
        <v>195</v>
      </c>
      <c r="AC7" s="226">
        <f t="shared" si="1"/>
        <v>1</v>
      </c>
      <c r="AD7" s="147" t="s">
        <v>217</v>
      </c>
      <c r="AE7" s="147" t="s">
        <v>218</v>
      </c>
      <c r="AF7" s="221"/>
      <c r="AG7" s="129"/>
      <c r="AH7" s="64"/>
      <c r="AI7" s="129" t="s">
        <v>184</v>
      </c>
      <c r="AJ7" s="130">
        <v>43115</v>
      </c>
      <c r="AK7" s="129" t="s">
        <v>1797</v>
      </c>
      <c r="AL7" s="129" t="s">
        <v>609</v>
      </c>
      <c r="AM7" s="130">
        <v>42750</v>
      </c>
    </row>
    <row r="8" spans="1:39" ht="15" customHeight="1">
      <c r="A8" s="147">
        <v>7</v>
      </c>
      <c r="B8" s="223">
        <v>214597</v>
      </c>
      <c r="C8" s="221" t="s">
        <v>1130</v>
      </c>
      <c r="D8" s="57">
        <v>43103</v>
      </c>
      <c r="E8" s="160" t="s">
        <v>1629</v>
      </c>
      <c r="F8" s="222">
        <v>43115</v>
      </c>
      <c r="G8" s="221">
        <v>12</v>
      </c>
      <c r="H8" s="221" t="s">
        <v>133</v>
      </c>
      <c r="I8" s="129"/>
      <c r="J8" s="129" t="s">
        <v>614</v>
      </c>
      <c r="K8" s="319">
        <v>899</v>
      </c>
      <c r="L8" s="221">
        <v>190</v>
      </c>
      <c r="M8" s="221">
        <v>80</v>
      </c>
      <c r="N8" s="227">
        <f t="shared" si="0"/>
        <v>0</v>
      </c>
      <c r="O8" s="226"/>
      <c r="P8" s="224" t="s">
        <v>261</v>
      </c>
      <c r="Q8" s="224" t="s">
        <v>1341</v>
      </c>
      <c r="R8" s="221" t="s">
        <v>143</v>
      </c>
      <c r="S8" s="145" t="s">
        <v>465</v>
      </c>
      <c r="T8" s="221" t="s">
        <v>88</v>
      </c>
      <c r="U8" s="221" t="s">
        <v>548</v>
      </c>
      <c r="V8" s="221" t="s">
        <v>432</v>
      </c>
      <c r="W8" s="129"/>
      <c r="X8" s="129"/>
      <c r="Y8" s="221" t="s">
        <v>316</v>
      </c>
      <c r="Z8" s="221" t="s">
        <v>189</v>
      </c>
      <c r="AA8" s="222">
        <v>43110</v>
      </c>
      <c r="AB8" s="221" t="s">
        <v>872</v>
      </c>
      <c r="AC8" s="226">
        <f t="shared" si="1"/>
        <v>0</v>
      </c>
      <c r="AE8" s="147" t="s">
        <v>217</v>
      </c>
      <c r="AF8" s="221" t="s">
        <v>2265</v>
      </c>
      <c r="AG8" s="129"/>
      <c r="AH8" s="64"/>
      <c r="AI8" s="129" t="s">
        <v>184</v>
      </c>
      <c r="AJ8" s="130">
        <v>43115</v>
      </c>
      <c r="AK8" s="129" t="s">
        <v>1791</v>
      </c>
      <c r="AL8" s="129" t="s">
        <v>609</v>
      </c>
      <c r="AM8" s="130">
        <v>43118</v>
      </c>
    </row>
    <row r="9" spans="1:39" ht="15" customHeight="1">
      <c r="A9" s="147">
        <v>8</v>
      </c>
      <c r="B9" s="221">
        <v>213820</v>
      </c>
      <c r="C9" s="221" t="s">
        <v>1628</v>
      </c>
      <c r="D9" s="57">
        <v>43103</v>
      </c>
      <c r="E9" s="160" t="s">
        <v>1629</v>
      </c>
      <c r="F9" s="222">
        <v>43108</v>
      </c>
      <c r="G9" s="221">
        <v>5</v>
      </c>
      <c r="H9" s="221" t="s">
        <v>363</v>
      </c>
      <c r="I9" s="129"/>
      <c r="J9" s="129" t="s">
        <v>614</v>
      </c>
      <c r="K9" s="319"/>
      <c r="L9" s="221"/>
      <c r="M9" s="221"/>
      <c r="N9" s="227">
        <f t="shared" si="0"/>
        <v>0</v>
      </c>
      <c r="O9" s="226"/>
      <c r="P9" s="224" t="s">
        <v>264</v>
      </c>
      <c r="Q9" s="230" t="s">
        <v>1342</v>
      </c>
      <c r="R9" s="147" t="s">
        <v>134</v>
      </c>
      <c r="S9" s="145" t="s">
        <v>465</v>
      </c>
      <c r="T9" s="221" t="s">
        <v>164</v>
      </c>
      <c r="U9" s="221" t="s">
        <v>479</v>
      </c>
      <c r="V9" s="221" t="s">
        <v>1636</v>
      </c>
      <c r="W9" s="129" t="s">
        <v>1637</v>
      </c>
      <c r="X9" s="129"/>
      <c r="Y9" s="221" t="s">
        <v>1942</v>
      </c>
      <c r="Z9" s="221" t="s">
        <v>202</v>
      </c>
      <c r="AB9" s="221" t="s">
        <v>195</v>
      </c>
      <c r="AC9" s="226">
        <f t="shared" si="1"/>
        <v>0</v>
      </c>
      <c r="AF9" s="221"/>
      <c r="AG9" s="129"/>
      <c r="AH9" s="64"/>
      <c r="AI9" s="129"/>
      <c r="AJ9" s="129"/>
      <c r="AK9" s="129"/>
      <c r="AL9" s="129"/>
      <c r="AM9" s="129"/>
    </row>
    <row r="10" spans="1:39" ht="15" customHeight="1">
      <c r="A10" s="147">
        <v>9</v>
      </c>
      <c r="B10" s="221">
        <v>213852</v>
      </c>
      <c r="C10" s="221" t="s">
        <v>1628</v>
      </c>
      <c r="D10" s="57">
        <v>43103</v>
      </c>
      <c r="E10" s="160" t="s">
        <v>1629</v>
      </c>
      <c r="F10" s="222">
        <v>43110</v>
      </c>
      <c r="G10" s="221">
        <v>7</v>
      </c>
      <c r="H10" s="221" t="s">
        <v>363</v>
      </c>
      <c r="I10" s="129"/>
      <c r="J10" s="129" t="s">
        <v>614</v>
      </c>
      <c r="K10" s="319"/>
      <c r="L10" s="221"/>
      <c r="M10" s="221"/>
      <c r="N10" s="227">
        <f t="shared" si="0"/>
        <v>0</v>
      </c>
      <c r="O10" s="226"/>
      <c r="P10" s="224" t="s">
        <v>263</v>
      </c>
      <c r="Q10" s="224" t="s">
        <v>1341</v>
      </c>
      <c r="R10" s="221" t="s">
        <v>143</v>
      </c>
      <c r="S10" s="145" t="s">
        <v>465</v>
      </c>
      <c r="T10" s="221" t="s">
        <v>164</v>
      </c>
      <c r="U10" s="221" t="s">
        <v>797</v>
      </c>
      <c r="V10" s="221" t="s">
        <v>90</v>
      </c>
      <c r="W10" s="129" t="s">
        <v>798</v>
      </c>
      <c r="X10" s="129"/>
      <c r="Y10" s="221"/>
      <c r="Z10" s="221" t="s">
        <v>202</v>
      </c>
      <c r="AB10" s="221" t="s">
        <v>872</v>
      </c>
      <c r="AC10" s="226">
        <f t="shared" si="1"/>
        <v>0</v>
      </c>
      <c r="AF10" s="221"/>
      <c r="AG10" s="129"/>
      <c r="AH10" s="64"/>
      <c r="AI10" s="129"/>
      <c r="AJ10" s="129"/>
      <c r="AK10" s="129"/>
      <c r="AL10" s="129"/>
      <c r="AM10" s="129"/>
    </row>
    <row r="11" spans="1:39" ht="15" customHeight="1">
      <c r="A11" s="147">
        <v>10</v>
      </c>
      <c r="B11" s="221">
        <v>213764</v>
      </c>
      <c r="C11" s="221" t="s">
        <v>1628</v>
      </c>
      <c r="D11" s="57">
        <v>43103</v>
      </c>
      <c r="E11" s="160" t="s">
        <v>1629</v>
      </c>
      <c r="F11" s="222">
        <v>43107</v>
      </c>
      <c r="G11" s="221">
        <v>4</v>
      </c>
      <c r="H11" s="221" t="s">
        <v>363</v>
      </c>
      <c r="I11" s="129"/>
      <c r="J11" s="129" t="s">
        <v>614</v>
      </c>
      <c r="K11" s="319"/>
      <c r="L11" s="221"/>
      <c r="M11" s="221"/>
      <c r="N11" s="227">
        <f t="shared" si="0"/>
        <v>0</v>
      </c>
      <c r="O11" s="226"/>
      <c r="P11" s="224" t="s">
        <v>264</v>
      </c>
      <c r="Q11" s="230" t="s">
        <v>1342</v>
      </c>
      <c r="R11" s="221" t="s">
        <v>143</v>
      </c>
      <c r="S11" s="145" t="s">
        <v>465</v>
      </c>
      <c r="T11" s="221" t="s">
        <v>164</v>
      </c>
      <c r="U11" s="221" t="s">
        <v>475</v>
      </c>
      <c r="V11" s="221" t="s">
        <v>1272</v>
      </c>
      <c r="W11" s="129" t="s">
        <v>1638</v>
      </c>
      <c r="X11" s="129"/>
      <c r="Y11" s="221" t="s">
        <v>1942</v>
      </c>
      <c r="Z11" s="221" t="s">
        <v>202</v>
      </c>
      <c r="AB11" s="221" t="s">
        <v>1641</v>
      </c>
      <c r="AC11" s="226">
        <f t="shared" si="1"/>
        <v>0</v>
      </c>
      <c r="AF11" s="221"/>
      <c r="AG11" s="129"/>
      <c r="AH11" s="64"/>
      <c r="AI11" s="129"/>
      <c r="AJ11" s="129"/>
      <c r="AK11" s="129"/>
      <c r="AL11" s="129"/>
      <c r="AM11" s="129"/>
    </row>
    <row r="12" spans="1:39" ht="15" customHeight="1">
      <c r="A12" s="147">
        <v>11</v>
      </c>
      <c r="B12" s="221">
        <v>214303</v>
      </c>
      <c r="C12" s="221" t="s">
        <v>1628</v>
      </c>
      <c r="D12" s="57">
        <v>43103</v>
      </c>
      <c r="E12" s="160" t="s">
        <v>1629</v>
      </c>
      <c r="F12" s="222">
        <v>43112</v>
      </c>
      <c r="G12" s="221">
        <v>9</v>
      </c>
      <c r="H12" s="221" t="s">
        <v>363</v>
      </c>
      <c r="I12" s="129"/>
      <c r="J12" s="129" t="s">
        <v>614</v>
      </c>
      <c r="K12" s="319"/>
      <c r="L12" s="221"/>
      <c r="M12" s="221"/>
      <c r="N12" s="227">
        <f t="shared" si="0"/>
        <v>0</v>
      </c>
      <c r="O12" s="226"/>
      <c r="P12" s="224" t="s">
        <v>264</v>
      </c>
      <c r="Q12" s="230" t="s">
        <v>1342</v>
      </c>
      <c r="R12" s="221" t="s">
        <v>143</v>
      </c>
      <c r="S12" s="145" t="s">
        <v>465</v>
      </c>
      <c r="T12" s="221" t="s">
        <v>164</v>
      </c>
      <c r="U12" s="221" t="s">
        <v>1639</v>
      </c>
      <c r="V12" s="221" t="s">
        <v>1640</v>
      </c>
      <c r="W12" s="129"/>
      <c r="X12" s="129"/>
      <c r="Y12" s="221" t="s">
        <v>1942</v>
      </c>
      <c r="Z12" s="221" t="s">
        <v>202</v>
      </c>
      <c r="AB12" s="221" t="s">
        <v>140</v>
      </c>
      <c r="AC12" s="226">
        <f t="shared" si="1"/>
        <v>0</v>
      </c>
      <c r="AF12" s="221"/>
      <c r="AG12" s="129"/>
      <c r="AH12" s="64"/>
      <c r="AI12" s="129"/>
      <c r="AJ12" s="129"/>
      <c r="AK12" s="129"/>
      <c r="AL12" s="129"/>
      <c r="AM12" s="129"/>
    </row>
    <row r="13" spans="1:39" ht="15" customHeight="1">
      <c r="A13" s="147">
        <v>12</v>
      </c>
      <c r="B13" s="223">
        <v>214744</v>
      </c>
      <c r="C13" s="221" t="s">
        <v>128</v>
      </c>
      <c r="D13" s="57">
        <v>43103</v>
      </c>
      <c r="E13" s="160" t="s">
        <v>1629</v>
      </c>
      <c r="F13" s="222">
        <v>43113</v>
      </c>
      <c r="G13" s="221">
        <v>10</v>
      </c>
      <c r="H13" s="221" t="s">
        <v>133</v>
      </c>
      <c r="I13" s="129"/>
      <c r="J13" s="129" t="s">
        <v>614</v>
      </c>
      <c r="K13" s="319">
        <v>1265</v>
      </c>
      <c r="L13" s="221"/>
      <c r="M13" s="221"/>
      <c r="N13" s="227">
        <f t="shared" si="0"/>
        <v>0</v>
      </c>
      <c r="O13" s="226"/>
      <c r="P13" s="224" t="s">
        <v>264</v>
      </c>
      <c r="Q13" s="230" t="s">
        <v>1342</v>
      </c>
      <c r="R13" s="221" t="s">
        <v>143</v>
      </c>
      <c r="S13" s="145" t="s">
        <v>465</v>
      </c>
      <c r="T13" s="221" t="s">
        <v>144</v>
      </c>
      <c r="U13" s="221" t="s">
        <v>1663</v>
      </c>
      <c r="V13" s="221" t="s">
        <v>425</v>
      </c>
      <c r="W13" s="129"/>
      <c r="X13" s="129"/>
      <c r="Y13" s="221"/>
      <c r="Z13" s="221" t="s">
        <v>137</v>
      </c>
      <c r="AB13" s="221"/>
      <c r="AC13" s="226">
        <f t="shared" si="1"/>
        <v>0</v>
      </c>
      <c r="AE13" s="147" t="s">
        <v>217</v>
      </c>
      <c r="AF13" s="147" t="s">
        <v>2353</v>
      </c>
      <c r="AG13" s="129"/>
      <c r="AH13" s="64"/>
      <c r="AI13" s="129"/>
      <c r="AJ13" s="129"/>
      <c r="AK13" s="129"/>
      <c r="AL13" s="129"/>
      <c r="AM13" s="129"/>
    </row>
    <row r="14" spans="1:39" ht="15" customHeight="1">
      <c r="A14" s="147">
        <v>13</v>
      </c>
      <c r="B14" s="223">
        <v>214227</v>
      </c>
      <c r="C14" s="221" t="s">
        <v>129</v>
      </c>
      <c r="D14" s="57">
        <v>43104</v>
      </c>
      <c r="E14" s="160" t="s">
        <v>1629</v>
      </c>
      <c r="F14" s="222">
        <v>43110</v>
      </c>
      <c r="G14" s="221">
        <v>6</v>
      </c>
      <c r="H14" s="221" t="s">
        <v>133</v>
      </c>
      <c r="I14" s="129"/>
      <c r="J14" s="129" t="s">
        <v>614</v>
      </c>
      <c r="K14" s="319">
        <v>1120</v>
      </c>
      <c r="L14" s="221"/>
      <c r="M14" s="221"/>
      <c r="N14" s="227">
        <f t="shared" si="0"/>
        <v>0</v>
      </c>
      <c r="O14" s="226"/>
      <c r="P14" s="224" t="s">
        <v>264</v>
      </c>
      <c r="Q14" s="230" t="s">
        <v>1342</v>
      </c>
      <c r="R14" s="221" t="s">
        <v>237</v>
      </c>
      <c r="S14" s="145" t="s">
        <v>465</v>
      </c>
      <c r="T14" s="221" t="s">
        <v>120</v>
      </c>
      <c r="U14" s="221" t="s">
        <v>1642</v>
      </c>
      <c r="V14" s="221" t="s">
        <v>1643</v>
      </c>
      <c r="W14" s="129"/>
      <c r="X14" s="129"/>
      <c r="Y14" s="221"/>
      <c r="Z14" s="221" t="s">
        <v>434</v>
      </c>
      <c r="AB14" s="221"/>
      <c r="AC14" s="226">
        <f t="shared" si="1"/>
        <v>0</v>
      </c>
      <c r="AE14" s="147" t="s">
        <v>217</v>
      </c>
      <c r="AF14" s="148" t="s">
        <v>2265</v>
      </c>
      <c r="AG14" s="129"/>
      <c r="AH14" s="64"/>
      <c r="AI14" s="129"/>
      <c r="AJ14" s="129"/>
      <c r="AK14" s="129"/>
      <c r="AL14" s="129"/>
      <c r="AM14" s="129"/>
    </row>
    <row r="15" spans="1:39" ht="15" customHeight="1">
      <c r="A15" s="147">
        <v>14</v>
      </c>
      <c r="B15" s="138">
        <v>214186</v>
      </c>
      <c r="C15" s="221" t="s">
        <v>1628</v>
      </c>
      <c r="D15" s="57">
        <v>43104</v>
      </c>
      <c r="E15" s="160" t="s">
        <v>1629</v>
      </c>
      <c r="F15" s="222">
        <v>43116</v>
      </c>
      <c r="G15" s="221">
        <v>12</v>
      </c>
      <c r="H15" s="221" t="s">
        <v>133</v>
      </c>
      <c r="I15" s="129"/>
      <c r="J15" s="129" t="s">
        <v>614</v>
      </c>
      <c r="K15" s="319">
        <v>5999</v>
      </c>
      <c r="L15" s="221">
        <v>315</v>
      </c>
      <c r="M15" s="221">
        <v>35</v>
      </c>
      <c r="N15" s="227">
        <f t="shared" si="0"/>
        <v>5324.06</v>
      </c>
      <c r="O15" s="226"/>
      <c r="P15" s="82" t="s">
        <v>264</v>
      </c>
      <c r="Q15" s="82" t="s">
        <v>1342</v>
      </c>
      <c r="R15" s="221" t="s">
        <v>122</v>
      </c>
      <c r="S15" s="145" t="s">
        <v>469</v>
      </c>
      <c r="T15" s="221" t="s">
        <v>376</v>
      </c>
      <c r="U15" s="221" t="s">
        <v>351</v>
      </c>
      <c r="V15" s="221" t="s">
        <v>293</v>
      </c>
      <c r="W15" s="129"/>
      <c r="X15" s="129"/>
      <c r="Y15" s="221" t="s">
        <v>1942</v>
      </c>
      <c r="Z15" s="221" t="s">
        <v>253</v>
      </c>
      <c r="AA15" s="222">
        <v>43110</v>
      </c>
      <c r="AB15" s="221" t="s">
        <v>140</v>
      </c>
      <c r="AC15" s="226">
        <f t="shared" si="1"/>
        <v>1</v>
      </c>
      <c r="AD15" s="147" t="s">
        <v>217</v>
      </c>
      <c r="AE15" s="147" t="s">
        <v>218</v>
      </c>
      <c r="AF15" s="221"/>
      <c r="AG15" s="129"/>
      <c r="AH15" s="64"/>
      <c r="AI15" s="129" t="s">
        <v>184</v>
      </c>
      <c r="AJ15" s="130">
        <v>43115</v>
      </c>
      <c r="AK15" s="129" t="s">
        <v>1800</v>
      </c>
      <c r="AL15" s="129" t="s">
        <v>609</v>
      </c>
      <c r="AM15" s="130">
        <v>43115</v>
      </c>
    </row>
    <row r="16" spans="1:39" ht="15" customHeight="1">
      <c r="A16" s="147">
        <v>15</v>
      </c>
      <c r="B16" s="223">
        <v>214980</v>
      </c>
      <c r="C16" s="221" t="s">
        <v>128</v>
      </c>
      <c r="D16" s="57">
        <v>43104</v>
      </c>
      <c r="E16" s="160" t="s">
        <v>1629</v>
      </c>
      <c r="F16" s="222">
        <v>43145</v>
      </c>
      <c r="G16" s="221">
        <v>41</v>
      </c>
      <c r="H16" s="221" t="s">
        <v>133</v>
      </c>
      <c r="I16" s="129"/>
      <c r="J16" s="129" t="s">
        <v>614</v>
      </c>
      <c r="K16" s="319"/>
      <c r="L16" s="221"/>
      <c r="M16" s="221"/>
      <c r="N16" s="227">
        <f t="shared" si="0"/>
        <v>0</v>
      </c>
      <c r="O16" s="226"/>
      <c r="P16" s="224" t="s">
        <v>263</v>
      </c>
      <c r="Q16" s="224" t="s">
        <v>1341</v>
      </c>
      <c r="R16" s="221" t="s">
        <v>254</v>
      </c>
      <c r="S16" s="145" t="s">
        <v>466</v>
      </c>
      <c r="T16" s="221" t="s">
        <v>255</v>
      </c>
      <c r="U16" s="221" t="s">
        <v>1644</v>
      </c>
      <c r="V16" s="221" t="s">
        <v>257</v>
      </c>
      <c r="W16" s="129"/>
      <c r="X16" s="129"/>
      <c r="Y16" s="221"/>
      <c r="Z16" s="221" t="s">
        <v>726</v>
      </c>
      <c r="AB16" s="221"/>
      <c r="AC16" s="226">
        <f t="shared" si="1"/>
        <v>0</v>
      </c>
      <c r="AE16" s="147" t="s">
        <v>217</v>
      </c>
      <c r="AF16" s="147" t="s">
        <v>2353</v>
      </c>
      <c r="AG16" s="129"/>
      <c r="AH16" s="64"/>
      <c r="AI16" s="129"/>
      <c r="AJ16" s="129"/>
      <c r="AK16" s="129"/>
      <c r="AL16" s="129"/>
      <c r="AM16" s="129"/>
    </row>
    <row r="17" spans="1:39" ht="15" customHeight="1">
      <c r="A17" s="147">
        <v>16</v>
      </c>
      <c r="B17" s="223">
        <v>213166</v>
      </c>
      <c r="C17" s="221" t="s">
        <v>128</v>
      </c>
      <c r="D17" s="57">
        <v>43104</v>
      </c>
      <c r="E17" s="160" t="s">
        <v>1629</v>
      </c>
      <c r="F17" s="222">
        <v>43145</v>
      </c>
      <c r="G17" s="221">
        <v>41</v>
      </c>
      <c r="H17" s="221" t="s">
        <v>133</v>
      </c>
      <c r="I17" s="129"/>
      <c r="J17" s="129" t="s">
        <v>614</v>
      </c>
      <c r="K17" s="319"/>
      <c r="L17" s="221"/>
      <c r="M17" s="221"/>
      <c r="N17" s="227">
        <f t="shared" si="0"/>
        <v>0</v>
      </c>
      <c r="O17" s="226"/>
      <c r="P17" s="224" t="s">
        <v>263</v>
      </c>
      <c r="Q17" s="224" t="s">
        <v>1341</v>
      </c>
      <c r="R17" s="221" t="s">
        <v>254</v>
      </c>
      <c r="S17" s="145" t="s">
        <v>466</v>
      </c>
      <c r="T17" s="221" t="s">
        <v>255</v>
      </c>
      <c r="U17" s="221" t="s">
        <v>1644</v>
      </c>
      <c r="V17" s="221" t="s">
        <v>257</v>
      </c>
      <c r="W17" s="129"/>
      <c r="X17" s="129"/>
      <c r="Y17" s="221"/>
      <c r="Z17" s="221" t="s">
        <v>269</v>
      </c>
      <c r="AB17" s="221"/>
      <c r="AC17" s="226">
        <f t="shared" si="1"/>
        <v>0</v>
      </c>
      <c r="AE17" s="147" t="s">
        <v>217</v>
      </c>
      <c r="AF17" s="147" t="s">
        <v>2353</v>
      </c>
      <c r="AG17" s="129"/>
      <c r="AH17" s="64"/>
      <c r="AI17" s="129"/>
      <c r="AJ17" s="129"/>
      <c r="AK17" s="129"/>
      <c r="AL17" s="129"/>
      <c r="AM17" s="129"/>
    </row>
    <row r="18" spans="1:39" ht="15" customHeight="1">
      <c r="A18" s="147">
        <v>17</v>
      </c>
      <c r="B18" s="223">
        <v>214546</v>
      </c>
      <c r="C18" s="221" t="s">
        <v>1628</v>
      </c>
      <c r="D18" s="57">
        <v>43105</v>
      </c>
      <c r="E18" s="160" t="s">
        <v>1629</v>
      </c>
      <c r="F18" s="222">
        <v>43116</v>
      </c>
      <c r="G18" s="221">
        <v>11</v>
      </c>
      <c r="H18" s="221" t="s">
        <v>133</v>
      </c>
      <c r="I18" s="129"/>
      <c r="J18" s="129" t="s">
        <v>614</v>
      </c>
      <c r="K18" s="319">
        <v>2510</v>
      </c>
      <c r="L18" s="221">
        <v>75</v>
      </c>
      <c r="M18" s="221">
        <v>70</v>
      </c>
      <c r="N18" s="227">
        <f t="shared" si="0"/>
        <v>2284.4</v>
      </c>
      <c r="O18" s="226"/>
      <c r="P18" s="224" t="s">
        <v>264</v>
      </c>
      <c r="Q18" s="230" t="s">
        <v>1342</v>
      </c>
      <c r="R18" s="147" t="s">
        <v>237</v>
      </c>
      <c r="S18" s="145" t="s">
        <v>465</v>
      </c>
      <c r="T18" s="221" t="s">
        <v>1011</v>
      </c>
      <c r="U18" s="221" t="s">
        <v>1620</v>
      </c>
      <c r="V18" s="221" t="s">
        <v>1656</v>
      </c>
      <c r="W18" s="129"/>
      <c r="X18" s="129"/>
      <c r="Y18" s="221" t="s">
        <v>203</v>
      </c>
      <c r="Z18" s="221" t="s">
        <v>434</v>
      </c>
      <c r="AA18" s="222">
        <v>43110</v>
      </c>
      <c r="AB18" s="221" t="s">
        <v>1102</v>
      </c>
      <c r="AC18" s="226">
        <f t="shared" si="1"/>
        <v>1</v>
      </c>
      <c r="AD18" s="147" t="s">
        <v>217</v>
      </c>
      <c r="AE18" s="147" t="s">
        <v>218</v>
      </c>
      <c r="AF18" s="221"/>
      <c r="AG18" s="129"/>
      <c r="AH18" s="64"/>
      <c r="AI18" s="129"/>
      <c r="AJ18" s="129"/>
      <c r="AK18" s="129"/>
      <c r="AL18" s="129"/>
      <c r="AM18" s="129"/>
    </row>
    <row r="19" spans="1:39" ht="15" customHeight="1">
      <c r="A19" s="147">
        <v>18</v>
      </c>
      <c r="B19" s="223">
        <v>214573</v>
      </c>
      <c r="C19" s="221" t="s">
        <v>1130</v>
      </c>
      <c r="D19" s="57">
        <v>43105</v>
      </c>
      <c r="E19" s="160" t="s">
        <v>1629</v>
      </c>
      <c r="F19" s="222">
        <v>43113</v>
      </c>
      <c r="G19" s="221">
        <v>8</v>
      </c>
      <c r="H19" s="221" t="s">
        <v>363</v>
      </c>
      <c r="I19" s="129"/>
      <c r="J19" s="129" t="s">
        <v>614</v>
      </c>
      <c r="K19" s="319"/>
      <c r="L19" s="221"/>
      <c r="M19" s="221"/>
      <c r="N19" s="227">
        <f t="shared" si="0"/>
        <v>0</v>
      </c>
      <c r="O19" s="226"/>
      <c r="P19" s="224" t="s">
        <v>261</v>
      </c>
      <c r="Q19" s="224" t="s">
        <v>1341</v>
      </c>
      <c r="R19" s="221" t="s">
        <v>134</v>
      </c>
      <c r="S19" s="145" t="s">
        <v>465</v>
      </c>
      <c r="T19" s="221" t="s">
        <v>88</v>
      </c>
      <c r="U19" s="221" t="s">
        <v>1466</v>
      </c>
      <c r="V19" s="221" t="s">
        <v>139</v>
      </c>
      <c r="W19" s="129"/>
      <c r="X19" s="129"/>
      <c r="Y19" s="221"/>
      <c r="Z19" s="221" t="s">
        <v>189</v>
      </c>
      <c r="AB19" s="221"/>
      <c r="AC19" s="226">
        <f t="shared" si="1"/>
        <v>0</v>
      </c>
      <c r="AF19" s="221"/>
      <c r="AG19" s="129"/>
      <c r="AH19" s="64" t="s">
        <v>1660</v>
      </c>
      <c r="AI19" s="129"/>
      <c r="AJ19" s="129"/>
      <c r="AK19" s="129"/>
      <c r="AL19" s="129"/>
      <c r="AM19" s="129"/>
    </row>
    <row r="20" spans="1:39" ht="15" customHeight="1">
      <c r="A20" s="147">
        <v>19</v>
      </c>
      <c r="B20" s="223">
        <v>215150</v>
      </c>
      <c r="C20" s="221" t="s">
        <v>128</v>
      </c>
      <c r="D20" s="57">
        <v>43108</v>
      </c>
      <c r="E20" s="160" t="s">
        <v>1629</v>
      </c>
      <c r="F20" s="222">
        <v>43121</v>
      </c>
      <c r="G20" s="221">
        <v>13</v>
      </c>
      <c r="H20" s="221" t="s">
        <v>133</v>
      </c>
      <c r="I20" s="129"/>
      <c r="J20" s="129" t="s">
        <v>614</v>
      </c>
      <c r="K20" s="319"/>
      <c r="L20" s="125"/>
      <c r="M20" s="221"/>
      <c r="N20" s="227">
        <f t="shared" si="0"/>
        <v>0</v>
      </c>
      <c r="O20" s="226"/>
      <c r="P20" s="224" t="s">
        <v>263</v>
      </c>
      <c r="Q20" s="224" t="s">
        <v>1341</v>
      </c>
      <c r="R20" s="221" t="s">
        <v>122</v>
      </c>
      <c r="S20" s="145" t="s">
        <v>469</v>
      </c>
      <c r="T20" s="221" t="s">
        <v>164</v>
      </c>
      <c r="U20" s="221" t="s">
        <v>1661</v>
      </c>
      <c r="V20" s="221" t="s">
        <v>222</v>
      </c>
      <c r="W20" s="129"/>
      <c r="X20" s="129"/>
      <c r="Y20" s="221"/>
      <c r="Z20" s="221" t="s">
        <v>565</v>
      </c>
      <c r="AB20" s="221"/>
      <c r="AC20" s="226">
        <f t="shared" si="1"/>
        <v>0</v>
      </c>
      <c r="AE20" s="147" t="s">
        <v>217</v>
      </c>
      <c r="AF20" s="147" t="s">
        <v>2353</v>
      </c>
      <c r="AG20" s="129"/>
      <c r="AH20" s="64"/>
      <c r="AI20" s="129"/>
      <c r="AJ20" s="129"/>
      <c r="AK20" s="129"/>
      <c r="AL20" s="129"/>
      <c r="AM20" s="129"/>
    </row>
    <row r="21" spans="1:39" ht="15" customHeight="1">
      <c r="A21" s="147">
        <v>20</v>
      </c>
      <c r="B21" s="299">
        <v>214144</v>
      </c>
      <c r="C21" s="221" t="s">
        <v>1628</v>
      </c>
      <c r="D21" s="57">
        <v>43108</v>
      </c>
      <c r="E21" s="160" t="s">
        <v>1629</v>
      </c>
      <c r="F21" s="222">
        <v>43119</v>
      </c>
      <c r="G21" s="221">
        <v>11</v>
      </c>
      <c r="H21" s="221" t="s">
        <v>133</v>
      </c>
      <c r="I21" s="129"/>
      <c r="J21" s="129" t="s">
        <v>614</v>
      </c>
      <c r="K21" s="319">
        <v>1199</v>
      </c>
      <c r="L21" s="221">
        <v>168</v>
      </c>
      <c r="M21" s="221">
        <v>80</v>
      </c>
      <c r="N21" s="227">
        <f t="shared" si="0"/>
        <v>959.06</v>
      </c>
      <c r="O21" s="226"/>
      <c r="P21" s="224" t="s">
        <v>261</v>
      </c>
      <c r="Q21" s="224" t="s">
        <v>1341</v>
      </c>
      <c r="R21" s="221" t="s">
        <v>143</v>
      </c>
      <c r="S21" s="145" t="s">
        <v>465</v>
      </c>
      <c r="T21" s="221" t="s">
        <v>164</v>
      </c>
      <c r="U21" s="221" t="s">
        <v>1639</v>
      </c>
      <c r="V21" s="221" t="s">
        <v>453</v>
      </c>
      <c r="W21" s="129"/>
      <c r="X21" s="129"/>
      <c r="Y21" s="221" t="s">
        <v>1942</v>
      </c>
      <c r="Z21" s="221" t="s">
        <v>404</v>
      </c>
      <c r="AA21" s="222">
        <v>43109</v>
      </c>
      <c r="AB21" s="221" t="s">
        <v>140</v>
      </c>
      <c r="AC21" s="226">
        <f t="shared" si="1"/>
        <v>1</v>
      </c>
      <c r="AD21" s="147" t="s">
        <v>217</v>
      </c>
      <c r="AE21" s="147" t="s">
        <v>218</v>
      </c>
      <c r="AF21" s="221"/>
      <c r="AG21" s="129"/>
      <c r="AH21" s="64"/>
      <c r="AI21" s="129" t="s">
        <v>184</v>
      </c>
      <c r="AJ21" s="130">
        <v>43115</v>
      </c>
      <c r="AK21" s="129" t="s">
        <v>1798</v>
      </c>
      <c r="AL21" s="129" t="s">
        <v>609</v>
      </c>
      <c r="AM21" s="130">
        <v>43115</v>
      </c>
    </row>
    <row r="22" spans="1:39" ht="15" customHeight="1">
      <c r="A22" s="147">
        <v>21</v>
      </c>
      <c r="B22" s="223">
        <v>214165</v>
      </c>
      <c r="C22" s="221" t="s">
        <v>1628</v>
      </c>
      <c r="D22" s="57">
        <v>43108</v>
      </c>
      <c r="E22" s="160" t="s">
        <v>1629</v>
      </c>
      <c r="F22" s="222">
        <v>43114</v>
      </c>
      <c r="G22" s="221">
        <v>6</v>
      </c>
      <c r="H22" s="221" t="s">
        <v>133</v>
      </c>
      <c r="I22" s="129"/>
      <c r="J22" s="129" t="s">
        <v>614</v>
      </c>
      <c r="K22" s="319"/>
      <c r="L22" s="221"/>
      <c r="M22" s="221"/>
      <c r="N22" s="227">
        <f t="shared" si="0"/>
        <v>0</v>
      </c>
      <c r="O22" s="226"/>
      <c r="P22" s="224" t="s">
        <v>264</v>
      </c>
      <c r="Q22" s="230" t="s">
        <v>1342</v>
      </c>
      <c r="R22" s="147" t="s">
        <v>134</v>
      </c>
      <c r="S22" s="145" t="s">
        <v>465</v>
      </c>
      <c r="T22" s="221" t="s">
        <v>164</v>
      </c>
      <c r="U22" s="221" t="s">
        <v>1485</v>
      </c>
      <c r="V22" s="221" t="s">
        <v>1662</v>
      </c>
      <c r="W22" s="129"/>
      <c r="X22" s="129"/>
      <c r="Y22" s="221"/>
      <c r="Z22" s="221" t="s">
        <v>202</v>
      </c>
      <c r="AB22" s="221"/>
      <c r="AC22" s="226">
        <f t="shared" si="1"/>
        <v>0</v>
      </c>
      <c r="AE22" s="147" t="s">
        <v>217</v>
      </c>
      <c r="AF22" s="147" t="s">
        <v>2353</v>
      </c>
      <c r="AG22" s="129"/>
      <c r="AH22" s="64"/>
      <c r="AI22" s="129"/>
      <c r="AJ22" s="129"/>
      <c r="AK22" s="129"/>
      <c r="AL22" s="129"/>
      <c r="AM22" s="129"/>
    </row>
    <row r="23" spans="1:39" ht="15" customHeight="1">
      <c r="A23" s="147">
        <v>22</v>
      </c>
      <c r="B23" s="138">
        <v>214390</v>
      </c>
      <c r="C23" s="221" t="s">
        <v>1628</v>
      </c>
      <c r="D23" s="57">
        <v>43108</v>
      </c>
      <c r="E23" s="160" t="s">
        <v>1629</v>
      </c>
      <c r="F23" s="222">
        <v>43113</v>
      </c>
      <c r="G23" s="221">
        <v>5</v>
      </c>
      <c r="H23" s="221" t="s">
        <v>133</v>
      </c>
      <c r="I23" s="129"/>
      <c r="J23" s="129" t="s">
        <v>614</v>
      </c>
      <c r="K23" s="319">
        <v>2060</v>
      </c>
      <c r="L23" s="221">
        <v>770</v>
      </c>
      <c r="M23" s="221">
        <v>172</v>
      </c>
      <c r="N23" s="227">
        <f t="shared" si="0"/>
        <v>1166.4000000000001</v>
      </c>
      <c r="O23" s="226"/>
      <c r="P23" s="82" t="s">
        <v>264</v>
      </c>
      <c r="Q23" s="82" t="s">
        <v>1342</v>
      </c>
      <c r="R23" s="221" t="s">
        <v>122</v>
      </c>
      <c r="S23" s="145" t="s">
        <v>469</v>
      </c>
      <c r="T23" s="221" t="s">
        <v>114</v>
      </c>
      <c r="U23" s="221" t="s">
        <v>1669</v>
      </c>
      <c r="V23" s="221" t="s">
        <v>90</v>
      </c>
      <c r="W23" s="129"/>
      <c r="X23" s="129"/>
      <c r="Y23" s="221" t="s">
        <v>1942</v>
      </c>
      <c r="Z23" s="221" t="s">
        <v>203</v>
      </c>
      <c r="AA23" s="222">
        <v>43110</v>
      </c>
      <c r="AB23" s="221" t="s">
        <v>195</v>
      </c>
      <c r="AC23" s="226">
        <f t="shared" si="1"/>
        <v>1</v>
      </c>
      <c r="AD23" s="147" t="s">
        <v>217</v>
      </c>
      <c r="AE23" s="147" t="s">
        <v>218</v>
      </c>
      <c r="AF23" s="221"/>
      <c r="AG23" s="129"/>
      <c r="AH23" s="64"/>
      <c r="AI23" s="129" t="s">
        <v>184</v>
      </c>
      <c r="AJ23" s="130">
        <v>43115</v>
      </c>
      <c r="AK23" s="129" t="s">
        <v>1799</v>
      </c>
      <c r="AL23" s="129" t="s">
        <v>609</v>
      </c>
      <c r="AM23" s="130">
        <v>43115</v>
      </c>
    </row>
    <row r="24" spans="1:39" ht="15" customHeight="1">
      <c r="A24" s="147">
        <v>23</v>
      </c>
      <c r="B24" s="223">
        <v>214026</v>
      </c>
      <c r="C24" s="221" t="s">
        <v>1628</v>
      </c>
      <c r="D24" s="57">
        <v>43108</v>
      </c>
      <c r="E24" s="160" t="s">
        <v>1629</v>
      </c>
      <c r="F24" s="222">
        <v>43109</v>
      </c>
      <c r="G24" s="221">
        <v>1</v>
      </c>
      <c r="H24" s="221" t="s">
        <v>363</v>
      </c>
      <c r="I24" s="129"/>
      <c r="J24" s="129" t="s">
        <v>614</v>
      </c>
      <c r="K24" s="319"/>
      <c r="L24" s="221"/>
      <c r="M24" s="221"/>
      <c r="N24" s="227">
        <f t="shared" si="0"/>
        <v>0</v>
      </c>
      <c r="O24" s="226"/>
      <c r="P24" s="224" t="s">
        <v>264</v>
      </c>
      <c r="Q24" s="230" t="s">
        <v>1342</v>
      </c>
      <c r="R24" s="147" t="s">
        <v>134</v>
      </c>
      <c r="S24" s="145" t="s">
        <v>465</v>
      </c>
      <c r="T24" s="221" t="s">
        <v>164</v>
      </c>
      <c r="U24" s="221" t="s">
        <v>1674</v>
      </c>
      <c r="V24" s="222" t="s">
        <v>169</v>
      </c>
      <c r="W24" s="129"/>
      <c r="X24" s="129"/>
      <c r="Y24" s="221"/>
      <c r="Z24" s="221" t="s">
        <v>202</v>
      </c>
      <c r="AB24" s="221"/>
      <c r="AC24" s="226">
        <f t="shared" si="1"/>
        <v>0</v>
      </c>
      <c r="AF24" s="221"/>
      <c r="AG24" s="129"/>
      <c r="AH24" s="126" t="s">
        <v>1684</v>
      </c>
      <c r="AI24" s="129"/>
      <c r="AJ24" s="129"/>
      <c r="AK24" s="129"/>
      <c r="AL24" s="129"/>
      <c r="AM24" s="129"/>
    </row>
    <row r="25" spans="1:39" ht="15" customHeight="1">
      <c r="A25" s="147">
        <v>24</v>
      </c>
      <c r="B25" s="223">
        <v>214056</v>
      </c>
      <c r="C25" s="221" t="s">
        <v>1628</v>
      </c>
      <c r="D25" s="57">
        <v>43108</v>
      </c>
      <c r="E25" s="160" t="s">
        <v>1629</v>
      </c>
      <c r="F25" s="222">
        <v>43109</v>
      </c>
      <c r="G25" s="221">
        <v>1</v>
      </c>
      <c r="H25" s="221" t="s">
        <v>363</v>
      </c>
      <c r="I25" s="129"/>
      <c r="J25" s="129" t="s">
        <v>614</v>
      </c>
      <c r="K25" s="319"/>
      <c r="L25" s="221"/>
      <c r="M25" s="221"/>
      <c r="N25" s="227">
        <f t="shared" si="0"/>
        <v>0</v>
      </c>
      <c r="O25" s="226"/>
      <c r="P25" s="224" t="s">
        <v>264</v>
      </c>
      <c r="Q25" s="230" t="s">
        <v>1342</v>
      </c>
      <c r="R25" s="147" t="s">
        <v>134</v>
      </c>
      <c r="S25" s="145" t="s">
        <v>465</v>
      </c>
      <c r="T25" s="221" t="s">
        <v>164</v>
      </c>
      <c r="U25" s="221" t="s">
        <v>797</v>
      </c>
      <c r="V25" s="221" t="s">
        <v>90</v>
      </c>
      <c r="W25" s="129"/>
      <c r="X25" s="129"/>
      <c r="Y25" s="221"/>
      <c r="Z25" s="221" t="s">
        <v>202</v>
      </c>
      <c r="AB25" s="221"/>
      <c r="AC25" s="226">
        <f t="shared" si="1"/>
        <v>0</v>
      </c>
      <c r="AF25" s="148"/>
      <c r="AG25" s="129"/>
      <c r="AH25" s="64" t="s">
        <v>1685</v>
      </c>
      <c r="AI25" s="129"/>
      <c r="AJ25" s="129"/>
      <c r="AK25" s="129"/>
      <c r="AL25" s="129"/>
      <c r="AM25" s="129"/>
    </row>
    <row r="26" spans="1:39" ht="15" customHeight="1">
      <c r="A26" s="147">
        <v>25</v>
      </c>
      <c r="B26" s="223">
        <v>214308</v>
      </c>
      <c r="C26" s="221" t="s">
        <v>1628</v>
      </c>
      <c r="D26" s="57">
        <v>43108</v>
      </c>
      <c r="E26" s="160" t="s">
        <v>1629</v>
      </c>
      <c r="F26" s="222">
        <v>43121</v>
      </c>
      <c r="G26" s="221">
        <v>13</v>
      </c>
      <c r="H26" s="221" t="s">
        <v>133</v>
      </c>
      <c r="I26" s="129"/>
      <c r="J26" s="129" t="s">
        <v>614</v>
      </c>
      <c r="K26" s="319">
        <v>3324</v>
      </c>
      <c r="L26" s="221">
        <v>688</v>
      </c>
      <c r="M26" s="221">
        <v>120</v>
      </c>
      <c r="N26" s="227">
        <f t="shared" si="0"/>
        <v>0</v>
      </c>
      <c r="O26" s="226"/>
      <c r="P26" s="224" t="s">
        <v>264</v>
      </c>
      <c r="Q26" s="230" t="s">
        <v>1342</v>
      </c>
      <c r="R26" s="147" t="s">
        <v>134</v>
      </c>
      <c r="S26" s="145" t="s">
        <v>465</v>
      </c>
      <c r="T26" s="221" t="s">
        <v>164</v>
      </c>
      <c r="U26" s="221" t="s">
        <v>479</v>
      </c>
      <c r="V26" s="221" t="s">
        <v>1675</v>
      </c>
      <c r="W26" s="129"/>
      <c r="X26" s="129"/>
      <c r="Y26" s="221" t="s">
        <v>1942</v>
      </c>
      <c r="Z26" s="221" t="s">
        <v>202</v>
      </c>
      <c r="AB26" s="221" t="s">
        <v>872</v>
      </c>
      <c r="AC26" s="226">
        <f t="shared" si="1"/>
        <v>0</v>
      </c>
      <c r="AE26" s="147" t="s">
        <v>217</v>
      </c>
      <c r="AF26" s="148" t="s">
        <v>2265</v>
      </c>
      <c r="AG26" s="129"/>
      <c r="AH26" s="64"/>
      <c r="AI26" s="129"/>
      <c r="AJ26" s="129"/>
      <c r="AK26" s="129"/>
      <c r="AL26" s="129"/>
      <c r="AM26" s="129"/>
    </row>
    <row r="27" spans="1:39" ht="15" customHeight="1">
      <c r="A27" s="147">
        <v>26</v>
      </c>
      <c r="B27" s="178">
        <v>214381</v>
      </c>
      <c r="C27" s="301" t="s">
        <v>1628</v>
      </c>
      <c r="D27" s="57">
        <v>43108</v>
      </c>
      <c r="E27" s="160" t="s">
        <v>1629</v>
      </c>
      <c r="F27" s="302">
        <v>43113</v>
      </c>
      <c r="G27" s="301">
        <v>5</v>
      </c>
      <c r="H27" s="301" t="s">
        <v>133</v>
      </c>
      <c r="I27" s="321"/>
      <c r="J27" s="321" t="s">
        <v>614</v>
      </c>
      <c r="K27" s="213">
        <v>2699</v>
      </c>
      <c r="L27" s="301">
        <v>360</v>
      </c>
      <c r="M27" s="301">
        <v>160</v>
      </c>
      <c r="N27" s="227">
        <f t="shared" si="0"/>
        <v>2177.06</v>
      </c>
      <c r="O27" s="301"/>
      <c r="P27" s="304" t="s">
        <v>264</v>
      </c>
      <c r="Q27" s="304" t="s">
        <v>1342</v>
      </c>
      <c r="R27" s="301" t="s">
        <v>122</v>
      </c>
      <c r="S27" s="145" t="s">
        <v>465</v>
      </c>
      <c r="T27" s="301" t="s">
        <v>164</v>
      </c>
      <c r="U27" s="301" t="s">
        <v>1670</v>
      </c>
      <c r="V27" s="301" t="s">
        <v>249</v>
      </c>
      <c r="W27" s="321"/>
      <c r="X27" s="321"/>
      <c r="Y27" s="301" t="s">
        <v>316</v>
      </c>
      <c r="Z27" s="301" t="s">
        <v>202</v>
      </c>
      <c r="AA27" s="222">
        <v>43109</v>
      </c>
      <c r="AB27" s="301" t="s">
        <v>195</v>
      </c>
      <c r="AC27" s="226">
        <f t="shared" si="1"/>
        <v>1</v>
      </c>
      <c r="AD27" s="326" t="s">
        <v>217</v>
      </c>
      <c r="AE27" s="326" t="s">
        <v>218</v>
      </c>
      <c r="AF27" s="301"/>
      <c r="AG27" s="321"/>
      <c r="AH27" s="305"/>
      <c r="AI27" s="321" t="s">
        <v>184</v>
      </c>
      <c r="AJ27" s="323">
        <v>43131</v>
      </c>
      <c r="AK27" s="321" t="s">
        <v>2161</v>
      </c>
      <c r="AL27" s="321" t="s">
        <v>609</v>
      </c>
      <c r="AM27" s="323">
        <v>43131</v>
      </c>
    </row>
    <row r="28" spans="1:39" ht="15" customHeight="1">
      <c r="A28" s="147">
        <v>27</v>
      </c>
      <c r="B28" s="223">
        <v>214844</v>
      </c>
      <c r="C28" s="221" t="s">
        <v>1628</v>
      </c>
      <c r="D28" s="57">
        <v>43108</v>
      </c>
      <c r="E28" s="160" t="s">
        <v>1629</v>
      </c>
      <c r="F28" s="222">
        <v>43116</v>
      </c>
      <c r="G28" s="221">
        <v>8</v>
      </c>
      <c r="H28" s="221" t="s">
        <v>363</v>
      </c>
      <c r="I28" s="129"/>
      <c r="J28" s="129" t="s">
        <v>614</v>
      </c>
      <c r="K28" s="319"/>
      <c r="L28" s="221"/>
      <c r="M28" s="221"/>
      <c r="N28" s="227">
        <f t="shared" si="0"/>
        <v>0</v>
      </c>
      <c r="O28" s="226"/>
      <c r="P28" s="224" t="s">
        <v>264</v>
      </c>
      <c r="Q28" s="230" t="s">
        <v>1342</v>
      </c>
      <c r="R28" s="147" t="s">
        <v>143</v>
      </c>
      <c r="S28" s="145" t="s">
        <v>465</v>
      </c>
      <c r="T28" s="221" t="s">
        <v>164</v>
      </c>
      <c r="U28" s="221" t="s">
        <v>447</v>
      </c>
      <c r="V28" s="221" t="s">
        <v>1671</v>
      </c>
      <c r="W28" s="129"/>
      <c r="X28" s="129"/>
      <c r="Y28" s="221"/>
      <c r="Z28" s="221" t="s">
        <v>202</v>
      </c>
      <c r="AB28" s="221"/>
      <c r="AC28" s="226">
        <f t="shared" si="1"/>
        <v>0</v>
      </c>
      <c r="AF28" s="221"/>
      <c r="AG28" s="129"/>
      <c r="AH28" s="64" t="s">
        <v>1690</v>
      </c>
      <c r="AI28" s="129"/>
      <c r="AJ28" s="129"/>
      <c r="AK28" s="321"/>
      <c r="AL28" s="129"/>
      <c r="AM28" s="129"/>
    </row>
    <row r="29" spans="1:39" ht="15" customHeight="1">
      <c r="A29" s="147">
        <v>28</v>
      </c>
      <c r="B29" s="223">
        <v>214928</v>
      </c>
      <c r="C29" s="221" t="s">
        <v>1628</v>
      </c>
      <c r="D29" s="57">
        <v>43108</v>
      </c>
      <c r="E29" s="160" t="s">
        <v>1629</v>
      </c>
      <c r="F29" s="222">
        <v>43113</v>
      </c>
      <c r="G29" s="221">
        <v>5</v>
      </c>
      <c r="H29" s="221" t="s">
        <v>363</v>
      </c>
      <c r="I29" s="129"/>
      <c r="J29" s="129" t="s">
        <v>614</v>
      </c>
      <c r="K29" s="319"/>
      <c r="L29" s="221"/>
      <c r="M29" s="221"/>
      <c r="N29" s="227">
        <f t="shared" si="0"/>
        <v>0</v>
      </c>
      <c r="O29" s="226"/>
      <c r="P29" s="224" t="s">
        <v>264</v>
      </c>
      <c r="Q29" s="230" t="s">
        <v>1342</v>
      </c>
      <c r="R29" s="147" t="s">
        <v>134</v>
      </c>
      <c r="S29" s="145" t="s">
        <v>465</v>
      </c>
      <c r="T29" s="221" t="s">
        <v>164</v>
      </c>
      <c r="U29" s="221" t="s">
        <v>1672</v>
      </c>
      <c r="V29" s="221" t="s">
        <v>1673</v>
      </c>
      <c r="W29" s="129"/>
      <c r="X29" s="129"/>
      <c r="Y29" s="221"/>
      <c r="Z29" s="221" t="s">
        <v>202</v>
      </c>
      <c r="AB29" s="221" t="s">
        <v>140</v>
      </c>
      <c r="AC29" s="226">
        <f t="shared" si="1"/>
        <v>0</v>
      </c>
      <c r="AF29" s="221"/>
      <c r="AG29" s="129"/>
      <c r="AH29" s="64" t="s">
        <v>1783</v>
      </c>
      <c r="AI29" s="129"/>
      <c r="AJ29" s="129"/>
      <c r="AK29" s="321"/>
      <c r="AL29" s="129"/>
      <c r="AM29" s="129"/>
    </row>
    <row r="30" spans="1:39" ht="15" customHeight="1">
      <c r="A30" s="147">
        <v>29</v>
      </c>
      <c r="B30" s="223">
        <v>214626</v>
      </c>
      <c r="C30" s="221" t="s">
        <v>1628</v>
      </c>
      <c r="D30" s="57">
        <v>43108</v>
      </c>
      <c r="E30" s="160" t="s">
        <v>1629</v>
      </c>
      <c r="F30" s="222">
        <v>43115</v>
      </c>
      <c r="G30" s="221">
        <v>7</v>
      </c>
      <c r="H30" s="221" t="s">
        <v>133</v>
      </c>
      <c r="I30" s="129"/>
      <c r="J30" s="129" t="s">
        <v>614</v>
      </c>
      <c r="K30" s="319"/>
      <c r="L30" s="221"/>
      <c r="M30" s="221"/>
      <c r="N30" s="227">
        <f t="shared" si="0"/>
        <v>0</v>
      </c>
      <c r="O30" s="226"/>
      <c r="P30" s="82" t="s">
        <v>264</v>
      </c>
      <c r="Q30" s="82" t="s">
        <v>1342</v>
      </c>
      <c r="R30" s="221" t="s">
        <v>210</v>
      </c>
      <c r="S30" s="145" t="s">
        <v>469</v>
      </c>
      <c r="T30" s="221" t="s">
        <v>114</v>
      </c>
      <c r="U30" s="221" t="s">
        <v>1688</v>
      </c>
      <c r="V30" s="221" t="s">
        <v>90</v>
      </c>
      <c r="W30" s="129"/>
      <c r="X30" s="129"/>
      <c r="Y30" s="221"/>
      <c r="Z30" s="221" t="s">
        <v>124</v>
      </c>
      <c r="AB30" s="221"/>
      <c r="AC30" s="226">
        <f t="shared" si="1"/>
        <v>0</v>
      </c>
      <c r="AE30" s="147" t="s">
        <v>217</v>
      </c>
      <c r="AF30" s="147" t="s">
        <v>2353</v>
      </c>
      <c r="AG30" s="129"/>
      <c r="AH30" s="64"/>
      <c r="AI30" s="129"/>
      <c r="AJ30" s="129"/>
      <c r="AK30" s="321"/>
      <c r="AL30" s="129"/>
      <c r="AM30" s="129"/>
    </row>
    <row r="31" spans="1:39" ht="15" customHeight="1">
      <c r="A31" s="147">
        <v>30</v>
      </c>
      <c r="B31" s="223">
        <v>214785</v>
      </c>
      <c r="C31" s="221" t="s">
        <v>1628</v>
      </c>
      <c r="D31" s="57">
        <v>43108</v>
      </c>
      <c r="E31" s="160" t="s">
        <v>1629</v>
      </c>
      <c r="F31" s="222">
        <v>43120</v>
      </c>
      <c r="G31" s="221">
        <v>12</v>
      </c>
      <c r="H31" s="221" t="s">
        <v>363</v>
      </c>
      <c r="I31" s="129"/>
      <c r="J31" s="129" t="s">
        <v>614</v>
      </c>
      <c r="K31" s="319"/>
      <c r="L31" s="221"/>
      <c r="M31" s="221"/>
      <c r="N31" s="227">
        <f t="shared" si="0"/>
        <v>0</v>
      </c>
      <c r="O31" s="226"/>
      <c r="P31" s="224" t="s">
        <v>264</v>
      </c>
      <c r="Q31" s="224" t="s">
        <v>1342</v>
      </c>
      <c r="R31" s="221" t="s">
        <v>210</v>
      </c>
      <c r="S31" s="145" t="s">
        <v>469</v>
      </c>
      <c r="T31" s="221" t="s">
        <v>114</v>
      </c>
      <c r="U31" s="221" t="s">
        <v>1743</v>
      </c>
      <c r="V31" s="221" t="s">
        <v>1533</v>
      </c>
      <c r="W31" s="129"/>
      <c r="X31" s="129"/>
      <c r="Y31" s="221"/>
      <c r="Z31" s="221" t="s">
        <v>203</v>
      </c>
      <c r="AB31" s="221"/>
      <c r="AC31" s="226">
        <f t="shared" si="1"/>
        <v>0</v>
      </c>
      <c r="AF31" s="221"/>
      <c r="AG31" s="129"/>
      <c r="AH31" s="64" t="s">
        <v>1784</v>
      </c>
      <c r="AI31" s="129"/>
      <c r="AJ31" s="129"/>
      <c r="AK31" s="321"/>
      <c r="AL31" s="129"/>
      <c r="AM31" s="129"/>
    </row>
    <row r="32" spans="1:39" ht="15" customHeight="1">
      <c r="A32" s="147">
        <v>31</v>
      </c>
      <c r="B32" s="223">
        <v>214286</v>
      </c>
      <c r="C32" s="221" t="s">
        <v>1628</v>
      </c>
      <c r="D32" s="57">
        <v>43109</v>
      </c>
      <c r="E32" s="160" t="s">
        <v>1629</v>
      </c>
      <c r="F32" s="222">
        <v>43109</v>
      </c>
      <c r="G32" s="221">
        <v>0</v>
      </c>
      <c r="H32" s="221" t="s">
        <v>363</v>
      </c>
      <c r="I32" s="129"/>
      <c r="J32" s="129"/>
      <c r="K32" s="319"/>
      <c r="L32" s="221"/>
      <c r="M32" s="221"/>
      <c r="N32" s="227">
        <f t="shared" si="0"/>
        <v>0</v>
      </c>
      <c r="O32" s="226"/>
      <c r="P32" s="224" t="s">
        <v>264</v>
      </c>
      <c r="Q32" s="230" t="s">
        <v>1342</v>
      </c>
      <c r="R32" s="147" t="s">
        <v>134</v>
      </c>
      <c r="S32" s="145" t="s">
        <v>465</v>
      </c>
      <c r="T32" s="221" t="s">
        <v>358</v>
      </c>
      <c r="U32" s="221" t="s">
        <v>1676</v>
      </c>
      <c r="V32" s="224" t="s">
        <v>1677</v>
      </c>
      <c r="W32" s="129"/>
      <c r="X32" s="129"/>
      <c r="Y32" s="221"/>
      <c r="Z32" s="221" t="s">
        <v>124</v>
      </c>
      <c r="AB32" s="221"/>
      <c r="AC32" s="226">
        <f t="shared" si="1"/>
        <v>0</v>
      </c>
      <c r="AF32" s="221"/>
      <c r="AG32" s="129"/>
      <c r="AH32" s="64" t="s">
        <v>1689</v>
      </c>
      <c r="AI32" s="129"/>
      <c r="AJ32" s="129"/>
      <c r="AK32" s="321"/>
      <c r="AL32" s="129"/>
      <c r="AM32" s="129"/>
    </row>
    <row r="33" spans="1:39" ht="15" customHeight="1">
      <c r="A33" s="147">
        <v>32</v>
      </c>
      <c r="B33" s="223">
        <v>215197</v>
      </c>
      <c r="C33" s="221" t="s">
        <v>1628</v>
      </c>
      <c r="D33" s="57">
        <v>43109</v>
      </c>
      <c r="E33" s="160" t="s">
        <v>1629</v>
      </c>
      <c r="F33" s="222">
        <v>43109</v>
      </c>
      <c r="G33" s="221">
        <v>0</v>
      </c>
      <c r="H33" s="221" t="s">
        <v>133</v>
      </c>
      <c r="I33" s="129"/>
      <c r="J33" s="129" t="s">
        <v>614</v>
      </c>
      <c r="K33" s="319">
        <v>1689</v>
      </c>
      <c r="L33" s="221">
        <v>400</v>
      </c>
      <c r="M33" s="221">
        <v>250</v>
      </c>
      <c r="N33" s="227">
        <f t="shared" si="0"/>
        <v>1187.6600000000001</v>
      </c>
      <c r="O33" s="226"/>
      <c r="P33" s="224" t="s">
        <v>263</v>
      </c>
      <c r="Q33" s="224" t="s">
        <v>1341</v>
      </c>
      <c r="R33" s="147" t="s">
        <v>134</v>
      </c>
      <c r="S33" s="145" t="s">
        <v>465</v>
      </c>
      <c r="T33" s="221" t="s">
        <v>88</v>
      </c>
      <c r="U33" s="221" t="s">
        <v>756</v>
      </c>
      <c r="V33" s="221" t="s">
        <v>139</v>
      </c>
      <c r="W33" s="129"/>
      <c r="X33" s="129"/>
      <c r="Y33" s="221" t="s">
        <v>316</v>
      </c>
      <c r="Z33" s="221" t="s">
        <v>1118</v>
      </c>
      <c r="AA33" s="222">
        <v>43110</v>
      </c>
      <c r="AB33" s="221" t="s">
        <v>195</v>
      </c>
      <c r="AC33" s="226">
        <f t="shared" si="1"/>
        <v>1</v>
      </c>
      <c r="AD33" s="147" t="s">
        <v>217</v>
      </c>
      <c r="AE33" s="147" t="s">
        <v>218</v>
      </c>
      <c r="AF33" s="221"/>
      <c r="AG33" s="129"/>
      <c r="AH33" s="64"/>
      <c r="AI33" s="129" t="s">
        <v>184</v>
      </c>
      <c r="AJ33" s="130">
        <v>43115</v>
      </c>
      <c r="AK33" s="321" t="s">
        <v>1792</v>
      </c>
      <c r="AL33" s="129" t="s">
        <v>609</v>
      </c>
      <c r="AM33" s="130">
        <v>43118</v>
      </c>
    </row>
    <row r="34" spans="1:39" ht="15" customHeight="1">
      <c r="A34" s="147">
        <v>33</v>
      </c>
      <c r="B34" s="223">
        <v>213728</v>
      </c>
      <c r="C34" s="221" t="s">
        <v>1628</v>
      </c>
      <c r="D34" s="57">
        <v>43109</v>
      </c>
      <c r="E34" s="160" t="s">
        <v>1629</v>
      </c>
      <c r="F34" s="222">
        <v>43102</v>
      </c>
      <c r="G34" s="221">
        <v>-7</v>
      </c>
      <c r="H34" s="221" t="s">
        <v>363</v>
      </c>
      <c r="I34" s="129"/>
      <c r="J34" s="129" t="s">
        <v>614</v>
      </c>
      <c r="K34" s="319"/>
      <c r="L34" s="221"/>
      <c r="M34" s="221"/>
      <c r="N34" s="227">
        <f t="shared" si="0"/>
        <v>0</v>
      </c>
      <c r="O34" s="226"/>
      <c r="P34" s="224" t="s">
        <v>264</v>
      </c>
      <c r="Q34" s="224" t="s">
        <v>1342</v>
      </c>
      <c r="R34" s="221" t="s">
        <v>122</v>
      </c>
      <c r="S34" s="145" t="s">
        <v>469</v>
      </c>
      <c r="T34" s="221" t="s">
        <v>164</v>
      </c>
      <c r="U34" s="221" t="s">
        <v>1686</v>
      </c>
      <c r="V34" s="221" t="s">
        <v>249</v>
      </c>
      <c r="W34" s="129"/>
      <c r="X34" s="129"/>
      <c r="Y34" s="221"/>
      <c r="Z34" s="221" t="s">
        <v>202</v>
      </c>
      <c r="AB34" s="221"/>
      <c r="AC34" s="226">
        <f t="shared" si="1"/>
        <v>0</v>
      </c>
      <c r="AF34" s="221"/>
      <c r="AG34" s="129"/>
      <c r="AH34" s="64" t="s">
        <v>1699</v>
      </c>
      <c r="AI34" s="129"/>
      <c r="AJ34" s="129"/>
      <c r="AK34" s="321"/>
      <c r="AL34" s="129"/>
      <c r="AM34" s="129"/>
    </row>
    <row r="35" spans="1:39" ht="15" customHeight="1">
      <c r="A35" s="147">
        <v>34</v>
      </c>
      <c r="B35" s="223">
        <v>215273</v>
      </c>
      <c r="C35" s="221" t="s">
        <v>1130</v>
      </c>
      <c r="D35" s="57">
        <v>43109</v>
      </c>
      <c r="E35" s="160" t="s">
        <v>1629</v>
      </c>
      <c r="F35" s="222">
        <v>43116</v>
      </c>
      <c r="G35" s="221">
        <v>7</v>
      </c>
      <c r="H35" s="221" t="s">
        <v>363</v>
      </c>
      <c r="I35" s="129"/>
      <c r="J35" s="129" t="s">
        <v>614</v>
      </c>
      <c r="K35" s="319"/>
      <c r="L35" s="221"/>
      <c r="M35" s="221"/>
      <c r="N35" s="227">
        <f t="shared" si="0"/>
        <v>0</v>
      </c>
      <c r="O35" s="226"/>
      <c r="P35" s="224" t="s">
        <v>264</v>
      </c>
      <c r="Q35" s="230" t="s">
        <v>1342</v>
      </c>
      <c r="R35" s="221" t="s">
        <v>143</v>
      </c>
      <c r="S35" s="145" t="s">
        <v>465</v>
      </c>
      <c r="T35" s="221" t="s">
        <v>88</v>
      </c>
      <c r="U35" s="221" t="s">
        <v>297</v>
      </c>
      <c r="V35" s="221" t="s">
        <v>90</v>
      </c>
      <c r="W35" s="129"/>
      <c r="X35" s="129"/>
      <c r="Y35" s="221"/>
      <c r="Z35" s="221" t="s">
        <v>189</v>
      </c>
      <c r="AB35" s="221"/>
      <c r="AC35" s="226">
        <f t="shared" si="1"/>
        <v>0</v>
      </c>
      <c r="AF35" s="221"/>
      <c r="AG35" s="129"/>
      <c r="AH35" s="64" t="s">
        <v>1693</v>
      </c>
      <c r="AI35" s="129"/>
      <c r="AJ35" s="129"/>
      <c r="AK35" s="321"/>
      <c r="AL35" s="129"/>
      <c r="AM35" s="129"/>
    </row>
    <row r="36" spans="1:39" ht="15" customHeight="1">
      <c r="A36" s="147">
        <v>35</v>
      </c>
      <c r="B36" s="223">
        <v>214931</v>
      </c>
      <c r="C36" s="221" t="s">
        <v>1130</v>
      </c>
      <c r="D36" s="57">
        <v>43109</v>
      </c>
      <c r="E36" s="160" t="s">
        <v>1629</v>
      </c>
      <c r="F36" s="222">
        <v>43116</v>
      </c>
      <c r="G36" s="221">
        <v>7</v>
      </c>
      <c r="H36" s="221" t="s">
        <v>133</v>
      </c>
      <c r="I36" s="129"/>
      <c r="J36" s="129" t="s">
        <v>614</v>
      </c>
      <c r="K36" s="319">
        <v>899</v>
      </c>
      <c r="L36" s="221">
        <v>190</v>
      </c>
      <c r="M36" s="221">
        <v>80</v>
      </c>
      <c r="N36" s="227">
        <f t="shared" si="0"/>
        <v>655.05999999999995</v>
      </c>
      <c r="O36" s="226"/>
      <c r="P36" s="224" t="s">
        <v>262</v>
      </c>
      <c r="Q36" s="230" t="s">
        <v>1342</v>
      </c>
      <c r="R36" s="221" t="s">
        <v>87</v>
      </c>
      <c r="S36" s="145" t="s">
        <v>465</v>
      </c>
      <c r="T36" s="221" t="s">
        <v>88</v>
      </c>
      <c r="U36" s="221" t="s">
        <v>431</v>
      </c>
      <c r="V36" s="221" t="s">
        <v>432</v>
      </c>
      <c r="W36" s="129"/>
      <c r="X36" s="129"/>
      <c r="Y36" s="221" t="s">
        <v>316</v>
      </c>
      <c r="Z36" s="221" t="s">
        <v>189</v>
      </c>
      <c r="AA36" s="222">
        <v>43110</v>
      </c>
      <c r="AB36" s="221" t="s">
        <v>872</v>
      </c>
      <c r="AC36" s="226">
        <f t="shared" si="1"/>
        <v>1</v>
      </c>
      <c r="AD36" s="147" t="s">
        <v>217</v>
      </c>
      <c r="AE36" s="147" t="s">
        <v>218</v>
      </c>
      <c r="AF36" s="221"/>
      <c r="AG36" s="129"/>
      <c r="AH36" s="64"/>
      <c r="AI36" s="129" t="s">
        <v>184</v>
      </c>
      <c r="AJ36" s="130">
        <v>43115</v>
      </c>
      <c r="AK36" s="321" t="s">
        <v>1785</v>
      </c>
      <c r="AL36" s="129" t="s">
        <v>609</v>
      </c>
      <c r="AM36" s="130">
        <v>43118</v>
      </c>
    </row>
    <row r="37" spans="1:39" ht="15" customHeight="1">
      <c r="A37" s="147">
        <v>36</v>
      </c>
      <c r="B37" s="223">
        <v>215279</v>
      </c>
      <c r="C37" s="221" t="s">
        <v>128</v>
      </c>
      <c r="D37" s="57">
        <v>43109</v>
      </c>
      <c r="E37" s="160" t="s">
        <v>1629</v>
      </c>
      <c r="F37" s="222">
        <v>43151</v>
      </c>
      <c r="G37" s="221">
        <v>42</v>
      </c>
      <c r="H37" s="221" t="s">
        <v>133</v>
      </c>
      <c r="I37" s="129"/>
      <c r="J37" s="129" t="s">
        <v>614</v>
      </c>
      <c r="K37" s="319">
        <v>1919</v>
      </c>
      <c r="L37" s="221">
        <v>570</v>
      </c>
      <c r="M37" s="221">
        <v>320</v>
      </c>
      <c r="N37" s="227">
        <f t="shared" si="0"/>
        <v>1233.8599999999999</v>
      </c>
      <c r="O37" s="226"/>
      <c r="P37" s="224" t="s">
        <v>263</v>
      </c>
      <c r="Q37" s="224" t="s">
        <v>1341</v>
      </c>
      <c r="R37" s="221" t="s">
        <v>254</v>
      </c>
      <c r="S37" s="145" t="s">
        <v>466</v>
      </c>
      <c r="T37" s="221" t="s">
        <v>313</v>
      </c>
      <c r="U37" s="221" t="s">
        <v>1692</v>
      </c>
      <c r="V37" s="221" t="s">
        <v>1691</v>
      </c>
      <c r="W37" s="129"/>
      <c r="X37" s="129"/>
      <c r="Y37" s="221" t="s">
        <v>316</v>
      </c>
      <c r="Z37" s="221" t="s">
        <v>726</v>
      </c>
      <c r="AA37" s="222">
        <v>43111</v>
      </c>
      <c r="AB37" s="221" t="s">
        <v>140</v>
      </c>
      <c r="AC37" s="226">
        <f t="shared" si="1"/>
        <v>1</v>
      </c>
      <c r="AD37" s="147" t="s">
        <v>217</v>
      </c>
      <c r="AE37" s="147" t="s">
        <v>218</v>
      </c>
      <c r="AF37" s="221"/>
      <c r="AG37" s="129"/>
      <c r="AH37" s="64"/>
      <c r="AI37" s="129" t="s">
        <v>184</v>
      </c>
      <c r="AJ37" s="129"/>
      <c r="AK37" s="321"/>
      <c r="AL37" s="129"/>
      <c r="AM37" s="129"/>
    </row>
    <row r="38" spans="1:39" ht="15" customHeight="1">
      <c r="A38" s="147">
        <v>37</v>
      </c>
      <c r="B38" s="223">
        <v>214343</v>
      </c>
      <c r="C38" s="221" t="s">
        <v>1130</v>
      </c>
      <c r="D38" s="57">
        <v>43109</v>
      </c>
      <c r="E38" s="160" t="s">
        <v>1629</v>
      </c>
      <c r="F38" s="222">
        <v>43116</v>
      </c>
      <c r="G38" s="221">
        <v>7</v>
      </c>
      <c r="H38" s="221" t="s">
        <v>363</v>
      </c>
      <c r="I38" s="129"/>
      <c r="J38" s="129" t="s">
        <v>614</v>
      </c>
      <c r="K38" s="319"/>
      <c r="L38" s="221"/>
      <c r="M38" s="221"/>
      <c r="N38" s="227">
        <f t="shared" si="0"/>
        <v>0</v>
      </c>
      <c r="O38" s="226"/>
      <c r="P38" s="224" t="s">
        <v>264</v>
      </c>
      <c r="Q38" s="224" t="s">
        <v>1342</v>
      </c>
      <c r="R38" s="221" t="s">
        <v>1374</v>
      </c>
      <c r="S38" s="145" t="s">
        <v>469</v>
      </c>
      <c r="T38" s="221" t="s">
        <v>1694</v>
      </c>
      <c r="U38" s="221" t="s">
        <v>1695</v>
      </c>
      <c r="V38" s="221" t="s">
        <v>90</v>
      </c>
      <c r="W38" s="129"/>
      <c r="X38" s="129"/>
      <c r="Y38" s="221"/>
      <c r="Z38" s="221" t="s">
        <v>170</v>
      </c>
      <c r="AB38" s="221"/>
      <c r="AC38" s="226">
        <f t="shared" si="1"/>
        <v>0</v>
      </c>
      <c r="AF38" s="221"/>
      <c r="AG38" s="129"/>
      <c r="AH38" s="64" t="s">
        <v>1696</v>
      </c>
      <c r="AI38" s="129"/>
      <c r="AJ38" s="129"/>
      <c r="AK38" s="321"/>
      <c r="AL38" s="129"/>
      <c r="AM38" s="129"/>
    </row>
    <row r="39" spans="1:39" ht="15" customHeight="1">
      <c r="A39" s="147">
        <v>38</v>
      </c>
      <c r="B39" s="223">
        <v>215098</v>
      </c>
      <c r="C39" s="221" t="s">
        <v>128</v>
      </c>
      <c r="D39" s="57">
        <v>43109</v>
      </c>
      <c r="E39" s="160" t="s">
        <v>1629</v>
      </c>
      <c r="F39" s="222">
        <v>43123</v>
      </c>
      <c r="G39" s="221">
        <v>14</v>
      </c>
      <c r="H39" s="221" t="s">
        <v>133</v>
      </c>
      <c r="I39" s="129"/>
      <c r="J39" s="129" t="s">
        <v>614</v>
      </c>
      <c r="K39" s="319">
        <v>1299</v>
      </c>
      <c r="L39" s="221">
        <v>520</v>
      </c>
      <c r="M39" s="221">
        <v>107.1</v>
      </c>
      <c r="N39" s="227">
        <f t="shared" si="0"/>
        <v>701.06</v>
      </c>
      <c r="O39" s="226"/>
      <c r="P39" s="224" t="s">
        <v>264</v>
      </c>
      <c r="Q39" s="224" t="s">
        <v>1342</v>
      </c>
      <c r="R39" s="221" t="s">
        <v>254</v>
      </c>
      <c r="S39" s="145" t="s">
        <v>466</v>
      </c>
      <c r="T39" s="221" t="s">
        <v>313</v>
      </c>
      <c r="U39" s="221" t="s">
        <v>1697</v>
      </c>
      <c r="V39" s="221" t="s">
        <v>257</v>
      </c>
      <c r="W39" s="129"/>
      <c r="X39" s="129"/>
      <c r="Y39" s="221" t="s">
        <v>1459</v>
      </c>
      <c r="Z39" s="221" t="s">
        <v>259</v>
      </c>
      <c r="AA39" s="222">
        <v>43111</v>
      </c>
      <c r="AB39" s="221" t="s">
        <v>872</v>
      </c>
      <c r="AC39" s="226">
        <f t="shared" si="1"/>
        <v>1</v>
      </c>
      <c r="AD39" s="147" t="s">
        <v>217</v>
      </c>
      <c r="AE39" s="147" t="s">
        <v>218</v>
      </c>
      <c r="AF39" s="221"/>
      <c r="AG39" s="129"/>
      <c r="AH39" s="64"/>
      <c r="AI39" s="129"/>
      <c r="AJ39" s="129"/>
      <c r="AK39" s="321"/>
      <c r="AL39" s="129"/>
      <c r="AM39" s="129"/>
    </row>
    <row r="40" spans="1:39" ht="15" customHeight="1">
      <c r="A40" s="147">
        <v>39</v>
      </c>
      <c r="B40" s="223">
        <v>214541</v>
      </c>
      <c r="C40" s="221" t="s">
        <v>1130</v>
      </c>
      <c r="D40" s="57">
        <v>43109</v>
      </c>
      <c r="E40" s="160" t="s">
        <v>1629</v>
      </c>
      <c r="F40" s="222">
        <v>43115</v>
      </c>
      <c r="G40" s="221">
        <v>6</v>
      </c>
      <c r="H40" s="221" t="s">
        <v>133</v>
      </c>
      <c r="I40" s="129"/>
      <c r="J40" s="129" t="s">
        <v>614</v>
      </c>
      <c r="K40" s="319"/>
      <c r="L40" s="221"/>
      <c r="M40" s="221"/>
      <c r="N40" s="227">
        <f t="shared" si="0"/>
        <v>0</v>
      </c>
      <c r="O40" s="226"/>
      <c r="P40" s="224" t="s">
        <v>264</v>
      </c>
      <c r="Q40" s="224" t="s">
        <v>1342</v>
      </c>
      <c r="R40" s="221" t="s">
        <v>210</v>
      </c>
      <c r="S40" s="145" t="s">
        <v>469</v>
      </c>
      <c r="T40" s="221" t="s">
        <v>376</v>
      </c>
      <c r="U40" s="221" t="s">
        <v>1744</v>
      </c>
      <c r="V40" s="221" t="s">
        <v>382</v>
      </c>
      <c r="W40" s="129"/>
      <c r="X40" s="129"/>
      <c r="Y40" s="221"/>
      <c r="Z40" s="221" t="s">
        <v>170</v>
      </c>
      <c r="AB40" s="221"/>
      <c r="AC40" s="226">
        <f t="shared" si="1"/>
        <v>0</v>
      </c>
      <c r="AE40" s="147" t="s">
        <v>217</v>
      </c>
      <c r="AF40" s="147" t="s">
        <v>2353</v>
      </c>
      <c r="AG40" s="129"/>
      <c r="AH40" s="64"/>
      <c r="AI40" s="129"/>
      <c r="AJ40" s="129"/>
      <c r="AK40" s="321"/>
      <c r="AL40" s="129"/>
      <c r="AM40" s="129"/>
    </row>
    <row r="41" spans="1:39" ht="15" customHeight="1">
      <c r="A41" s="147">
        <v>40</v>
      </c>
      <c r="B41" s="223">
        <v>214775</v>
      </c>
      <c r="C41" s="221" t="s">
        <v>1130</v>
      </c>
      <c r="D41" s="57">
        <v>43109</v>
      </c>
      <c r="E41" s="160" t="s">
        <v>1629</v>
      </c>
      <c r="F41" s="222">
        <v>43115</v>
      </c>
      <c r="G41" s="221">
        <v>6</v>
      </c>
      <c r="H41" s="221" t="s">
        <v>133</v>
      </c>
      <c r="I41" s="129"/>
      <c r="J41" s="129" t="s">
        <v>614</v>
      </c>
      <c r="K41" s="319"/>
      <c r="L41" s="221"/>
      <c r="M41" s="221"/>
      <c r="N41" s="227">
        <f t="shared" si="0"/>
        <v>0</v>
      </c>
      <c r="O41" s="226"/>
      <c r="P41" s="224" t="s">
        <v>264</v>
      </c>
      <c r="Q41" s="224" t="s">
        <v>1342</v>
      </c>
      <c r="R41" s="221" t="s">
        <v>210</v>
      </c>
      <c r="S41" s="145" t="s">
        <v>469</v>
      </c>
      <c r="T41" s="221" t="s">
        <v>376</v>
      </c>
      <c r="U41" s="221" t="s">
        <v>1745</v>
      </c>
      <c r="V41" s="221" t="s">
        <v>382</v>
      </c>
      <c r="W41" s="129"/>
      <c r="X41" s="129"/>
      <c r="Y41" s="221"/>
      <c r="Z41" s="221" t="s">
        <v>170</v>
      </c>
      <c r="AB41" s="221"/>
      <c r="AC41" s="226">
        <f t="shared" si="1"/>
        <v>0</v>
      </c>
      <c r="AE41" s="147" t="s">
        <v>217</v>
      </c>
      <c r="AF41" s="147" t="s">
        <v>2353</v>
      </c>
      <c r="AG41" s="129"/>
      <c r="AH41" s="64"/>
      <c r="AI41" s="129"/>
      <c r="AJ41" s="129"/>
      <c r="AK41" s="321"/>
      <c r="AL41" s="129"/>
      <c r="AM41" s="129"/>
    </row>
    <row r="42" spans="1:39" ht="15" customHeight="1">
      <c r="A42" s="147">
        <v>41</v>
      </c>
      <c r="B42" s="223">
        <v>215348</v>
      </c>
      <c r="C42" s="221" t="s">
        <v>1130</v>
      </c>
      <c r="D42" s="57">
        <v>43110</v>
      </c>
      <c r="E42" s="160" t="s">
        <v>1629</v>
      </c>
      <c r="F42" s="222">
        <v>43117</v>
      </c>
      <c r="G42" s="221">
        <v>7</v>
      </c>
      <c r="H42" s="221" t="s">
        <v>133</v>
      </c>
      <c r="I42" s="129"/>
      <c r="J42" s="129" t="s">
        <v>614</v>
      </c>
      <c r="K42" s="319">
        <v>2849</v>
      </c>
      <c r="L42" s="221">
        <v>290</v>
      </c>
      <c r="M42" s="221">
        <v>120</v>
      </c>
      <c r="N42" s="227">
        <f t="shared" si="0"/>
        <v>2388.06</v>
      </c>
      <c r="O42" s="226"/>
      <c r="P42" s="224"/>
      <c r="Q42" s="224"/>
      <c r="R42" s="221" t="s">
        <v>134</v>
      </c>
      <c r="S42" s="145" t="s">
        <v>465</v>
      </c>
      <c r="T42" s="221" t="s">
        <v>88</v>
      </c>
      <c r="U42" s="221" t="s">
        <v>449</v>
      </c>
      <c r="V42" s="221" t="s">
        <v>429</v>
      </c>
      <c r="W42" s="129"/>
      <c r="X42" s="129"/>
      <c r="Y42" s="221" t="s">
        <v>1172</v>
      </c>
      <c r="Z42" s="221" t="s">
        <v>189</v>
      </c>
      <c r="AA42" s="222">
        <v>43110</v>
      </c>
      <c r="AB42" s="221"/>
      <c r="AC42" s="226">
        <f t="shared" si="1"/>
        <v>1</v>
      </c>
      <c r="AD42" s="147" t="s">
        <v>217</v>
      </c>
      <c r="AE42" s="147" t="s">
        <v>218</v>
      </c>
      <c r="AF42" s="221"/>
      <c r="AG42" s="129"/>
      <c r="AH42" s="64"/>
      <c r="AI42" s="129"/>
      <c r="AJ42" s="129"/>
      <c r="AK42" s="321"/>
      <c r="AL42" s="129"/>
      <c r="AM42" s="129"/>
    </row>
    <row r="43" spans="1:39" ht="15" customHeight="1">
      <c r="A43" s="147">
        <v>42</v>
      </c>
      <c r="B43" s="223">
        <v>215069</v>
      </c>
      <c r="C43" s="221" t="s">
        <v>128</v>
      </c>
      <c r="D43" s="57">
        <v>43112</v>
      </c>
      <c r="E43" s="160" t="s">
        <v>1629</v>
      </c>
      <c r="F43" s="222">
        <v>43119</v>
      </c>
      <c r="G43" s="221">
        <v>7</v>
      </c>
      <c r="H43" s="221" t="s">
        <v>133</v>
      </c>
      <c r="I43" s="129"/>
      <c r="J43" s="129" t="s">
        <v>614</v>
      </c>
      <c r="K43" s="319">
        <v>1499</v>
      </c>
      <c r="L43" s="221">
        <v>148</v>
      </c>
      <c r="M43" s="221">
        <v>550</v>
      </c>
      <c r="N43" s="227">
        <f t="shared" si="0"/>
        <v>859.06</v>
      </c>
      <c r="O43" s="226"/>
      <c r="P43" s="224" t="s">
        <v>262</v>
      </c>
      <c r="Q43" s="224" t="s">
        <v>1342</v>
      </c>
      <c r="R43" s="221" t="s">
        <v>143</v>
      </c>
      <c r="S43" s="145" t="s">
        <v>465</v>
      </c>
      <c r="T43" s="221" t="s">
        <v>164</v>
      </c>
      <c r="U43" s="221" t="s">
        <v>1768</v>
      </c>
      <c r="V43" s="221" t="s">
        <v>453</v>
      </c>
      <c r="W43" s="129"/>
      <c r="X43" s="129"/>
      <c r="Y43" s="221" t="s">
        <v>1942</v>
      </c>
      <c r="Z43" s="221" t="s">
        <v>202</v>
      </c>
      <c r="AA43" s="222">
        <v>43118</v>
      </c>
      <c r="AB43" s="221" t="s">
        <v>872</v>
      </c>
      <c r="AC43" s="226">
        <f t="shared" si="1"/>
        <v>1</v>
      </c>
      <c r="AD43" s="147" t="s">
        <v>217</v>
      </c>
      <c r="AE43" s="147" t="s">
        <v>218</v>
      </c>
      <c r="AF43" s="221"/>
      <c r="AG43" s="129"/>
      <c r="AH43" s="64"/>
      <c r="AI43" s="129" t="s">
        <v>184</v>
      </c>
      <c r="AJ43" s="130">
        <v>43129</v>
      </c>
      <c r="AK43" s="321" t="s">
        <v>1934</v>
      </c>
      <c r="AL43" s="129" t="s">
        <v>609</v>
      </c>
      <c r="AM43" s="129"/>
    </row>
    <row r="44" spans="1:39" ht="15" customHeight="1">
      <c r="A44" s="147">
        <v>43</v>
      </c>
      <c r="B44" s="223">
        <v>215756</v>
      </c>
      <c r="C44" s="221" t="s">
        <v>128</v>
      </c>
      <c r="D44" s="57">
        <v>43115</v>
      </c>
      <c r="E44" s="160" t="s">
        <v>1629</v>
      </c>
      <c r="F44" s="222">
        <v>43130</v>
      </c>
      <c r="G44" s="221">
        <v>15</v>
      </c>
      <c r="H44" s="221" t="s">
        <v>133</v>
      </c>
      <c r="I44" s="129"/>
      <c r="J44" s="129" t="s">
        <v>614</v>
      </c>
      <c r="K44" s="319">
        <v>2799</v>
      </c>
      <c r="L44" s="221">
        <v>230</v>
      </c>
      <c r="M44" s="221">
        <v>120</v>
      </c>
      <c r="N44" s="227">
        <f t="shared" si="0"/>
        <v>0</v>
      </c>
      <c r="O44" s="226"/>
      <c r="P44" s="224" t="s">
        <v>263</v>
      </c>
      <c r="Q44" s="224" t="s">
        <v>1341</v>
      </c>
      <c r="R44" s="147" t="s">
        <v>134</v>
      </c>
      <c r="S44" s="145" t="s">
        <v>465</v>
      </c>
      <c r="T44" s="221" t="s">
        <v>120</v>
      </c>
      <c r="U44" s="221" t="s">
        <v>1217</v>
      </c>
      <c r="V44" s="221" t="s">
        <v>429</v>
      </c>
      <c r="W44" s="129"/>
      <c r="X44" s="129"/>
      <c r="Y44" s="221" t="s">
        <v>316</v>
      </c>
      <c r="Z44" s="221" t="s">
        <v>137</v>
      </c>
      <c r="AA44" s="222">
        <v>43117</v>
      </c>
      <c r="AB44" s="221" t="s">
        <v>872</v>
      </c>
      <c r="AC44" s="226">
        <f t="shared" si="1"/>
        <v>0</v>
      </c>
      <c r="AE44" s="147" t="s">
        <v>217</v>
      </c>
      <c r="AF44" s="147" t="s">
        <v>2353</v>
      </c>
      <c r="AG44" s="129"/>
      <c r="AH44" s="64"/>
      <c r="AI44" s="129"/>
      <c r="AJ44" s="129"/>
      <c r="AK44" s="321"/>
      <c r="AL44" s="129"/>
      <c r="AM44" s="129"/>
    </row>
    <row r="45" spans="1:39" ht="15" customHeight="1">
      <c r="A45" s="147">
        <v>44</v>
      </c>
      <c r="B45" s="223">
        <v>215557</v>
      </c>
      <c r="C45" s="221" t="s">
        <v>128</v>
      </c>
      <c r="D45" s="57">
        <v>43115</v>
      </c>
      <c r="E45" s="160" t="s">
        <v>1629</v>
      </c>
      <c r="F45" s="222">
        <v>43130</v>
      </c>
      <c r="G45" s="221">
        <v>15</v>
      </c>
      <c r="H45" s="221" t="s">
        <v>133</v>
      </c>
      <c r="I45" s="129"/>
      <c r="J45" s="129" t="s">
        <v>614</v>
      </c>
      <c r="K45" s="319">
        <v>1099</v>
      </c>
      <c r="L45" s="221">
        <v>180</v>
      </c>
      <c r="M45" s="221">
        <v>80</v>
      </c>
      <c r="N45" s="227">
        <f t="shared" si="0"/>
        <v>853.06</v>
      </c>
      <c r="O45" s="226"/>
      <c r="P45" s="224" t="s">
        <v>263</v>
      </c>
      <c r="Q45" s="224" t="s">
        <v>1341</v>
      </c>
      <c r="R45" s="221" t="s">
        <v>143</v>
      </c>
      <c r="S45" s="145" t="s">
        <v>465</v>
      </c>
      <c r="T45" s="221" t="s">
        <v>120</v>
      </c>
      <c r="U45" s="221" t="s">
        <v>1613</v>
      </c>
      <c r="V45" s="221" t="s">
        <v>519</v>
      </c>
      <c r="W45" s="129"/>
      <c r="X45" s="129"/>
      <c r="Y45" s="221" t="s">
        <v>316</v>
      </c>
      <c r="Z45" s="221" t="s">
        <v>137</v>
      </c>
      <c r="AA45" s="222">
        <v>43118</v>
      </c>
      <c r="AB45" s="221" t="s">
        <v>140</v>
      </c>
      <c r="AC45" s="226">
        <f t="shared" si="1"/>
        <v>1</v>
      </c>
      <c r="AD45" s="147" t="s">
        <v>217</v>
      </c>
      <c r="AE45" s="147" t="s">
        <v>218</v>
      </c>
      <c r="AF45" s="221"/>
      <c r="AG45" s="129"/>
      <c r="AH45" s="64"/>
      <c r="AI45" s="129" t="s">
        <v>184</v>
      </c>
      <c r="AJ45" s="130">
        <v>43131</v>
      </c>
      <c r="AK45" s="321" t="s">
        <v>2155</v>
      </c>
      <c r="AL45" s="129" t="s">
        <v>645</v>
      </c>
      <c r="AM45" s="130">
        <v>43131</v>
      </c>
    </row>
    <row r="46" spans="1:39" ht="15" customHeight="1">
      <c r="A46" s="147">
        <v>45</v>
      </c>
      <c r="B46" s="223">
        <v>214976</v>
      </c>
      <c r="C46" s="221" t="s">
        <v>1628</v>
      </c>
      <c r="D46" s="57">
        <v>43115</v>
      </c>
      <c r="E46" s="160" t="s">
        <v>1629</v>
      </c>
      <c r="F46" s="222">
        <v>43119</v>
      </c>
      <c r="G46" s="221">
        <v>4</v>
      </c>
      <c r="H46" s="221" t="s">
        <v>133</v>
      </c>
      <c r="I46" s="129"/>
      <c r="J46" s="129" t="s">
        <v>614</v>
      </c>
      <c r="K46" s="319"/>
      <c r="L46" s="221"/>
      <c r="M46" s="221"/>
      <c r="N46" s="227">
        <f t="shared" si="0"/>
        <v>0</v>
      </c>
      <c r="O46" s="226"/>
      <c r="P46" s="224" t="s">
        <v>264</v>
      </c>
      <c r="Q46" s="224" t="s">
        <v>1342</v>
      </c>
      <c r="R46" s="221" t="s">
        <v>254</v>
      </c>
      <c r="S46" s="145" t="s">
        <v>466</v>
      </c>
      <c r="T46" s="221" t="s">
        <v>255</v>
      </c>
      <c r="U46" s="221" t="s">
        <v>1787</v>
      </c>
      <c r="V46" s="221" t="s">
        <v>1356</v>
      </c>
      <c r="W46" s="129"/>
      <c r="X46" s="129"/>
      <c r="Y46" s="221"/>
      <c r="Z46" s="221" t="s">
        <v>489</v>
      </c>
      <c r="AB46" s="221"/>
      <c r="AC46" s="226">
        <f t="shared" si="1"/>
        <v>0</v>
      </c>
      <c r="AE46" s="147" t="s">
        <v>217</v>
      </c>
      <c r="AF46" s="147" t="s">
        <v>2353</v>
      </c>
      <c r="AG46" s="129"/>
      <c r="AH46" s="64"/>
      <c r="AI46" s="129"/>
      <c r="AJ46" s="129"/>
      <c r="AK46" s="321"/>
      <c r="AL46" s="129"/>
      <c r="AM46" s="129"/>
    </row>
    <row r="47" spans="1:39" ht="15" customHeight="1">
      <c r="A47" s="147">
        <v>46</v>
      </c>
      <c r="B47" s="223">
        <v>214962</v>
      </c>
      <c r="C47" s="221" t="s">
        <v>1628</v>
      </c>
      <c r="D47" s="57">
        <v>43115</v>
      </c>
      <c r="E47" s="160" t="s">
        <v>1629</v>
      </c>
      <c r="F47" s="222">
        <v>43120</v>
      </c>
      <c r="G47" s="221">
        <v>5</v>
      </c>
      <c r="H47" s="221" t="s">
        <v>133</v>
      </c>
      <c r="I47" s="129"/>
      <c r="J47" s="129" t="s">
        <v>614</v>
      </c>
      <c r="K47" s="319"/>
      <c r="L47" s="221"/>
      <c r="M47" s="221"/>
      <c r="N47" s="227">
        <f t="shared" si="0"/>
        <v>0</v>
      </c>
      <c r="O47" s="226"/>
      <c r="P47" s="224" t="s">
        <v>262</v>
      </c>
      <c r="Q47" s="224" t="s">
        <v>1342</v>
      </c>
      <c r="R47" s="221" t="s">
        <v>1374</v>
      </c>
      <c r="S47" s="145" t="s">
        <v>469</v>
      </c>
      <c r="T47" s="221" t="s">
        <v>376</v>
      </c>
      <c r="U47" s="221" t="s">
        <v>461</v>
      </c>
      <c r="V47" s="221" t="s">
        <v>1070</v>
      </c>
      <c r="W47" s="129"/>
      <c r="X47" s="129"/>
      <c r="Y47" s="221"/>
      <c r="Z47" s="221" t="s">
        <v>367</v>
      </c>
      <c r="AB47" s="221"/>
      <c r="AC47" s="226">
        <f t="shared" si="1"/>
        <v>0</v>
      </c>
      <c r="AE47" s="147" t="s">
        <v>217</v>
      </c>
      <c r="AF47" s="147" t="s">
        <v>2353</v>
      </c>
      <c r="AG47" s="129"/>
      <c r="AH47" s="64"/>
      <c r="AI47" s="129"/>
      <c r="AJ47" s="129"/>
      <c r="AK47" s="321"/>
      <c r="AL47" s="129"/>
      <c r="AM47" s="129"/>
    </row>
    <row r="48" spans="1:39" ht="15" customHeight="1">
      <c r="A48" s="147">
        <v>47</v>
      </c>
      <c r="B48" s="223">
        <v>215163</v>
      </c>
      <c r="C48" s="221" t="s">
        <v>1628</v>
      </c>
      <c r="D48" s="57">
        <v>43115</v>
      </c>
      <c r="E48" s="160" t="s">
        <v>1629</v>
      </c>
      <c r="F48" s="222">
        <v>43121</v>
      </c>
      <c r="G48" s="221">
        <v>6</v>
      </c>
      <c r="H48" s="221" t="s">
        <v>133</v>
      </c>
      <c r="I48" s="129"/>
      <c r="J48" s="129" t="s">
        <v>614</v>
      </c>
      <c r="K48" s="319"/>
      <c r="L48" s="221"/>
      <c r="M48" s="221"/>
      <c r="N48" s="227">
        <f t="shared" si="0"/>
        <v>0</v>
      </c>
      <c r="O48" s="226"/>
      <c r="P48" s="224" t="s">
        <v>264</v>
      </c>
      <c r="Q48" s="230" t="s">
        <v>1342</v>
      </c>
      <c r="R48" s="221" t="s">
        <v>237</v>
      </c>
      <c r="S48" s="145" t="s">
        <v>465</v>
      </c>
      <c r="T48" s="221" t="s">
        <v>1804</v>
      </c>
      <c r="U48" s="221" t="s">
        <v>1805</v>
      </c>
      <c r="V48" s="221" t="s">
        <v>1806</v>
      </c>
      <c r="W48" s="129"/>
      <c r="X48" s="129"/>
      <c r="Y48" s="221"/>
      <c r="Z48" s="221" t="s">
        <v>434</v>
      </c>
      <c r="AB48" s="221"/>
      <c r="AC48" s="226">
        <f t="shared" si="1"/>
        <v>0</v>
      </c>
      <c r="AE48" s="147" t="s">
        <v>217</v>
      </c>
      <c r="AF48" s="147" t="s">
        <v>2353</v>
      </c>
      <c r="AG48" s="129"/>
      <c r="AH48" s="64"/>
      <c r="AI48" s="129"/>
      <c r="AJ48" s="129"/>
      <c r="AK48" s="321"/>
      <c r="AL48" s="129"/>
      <c r="AM48" s="129"/>
    </row>
    <row r="49" spans="1:39" ht="15" customHeight="1">
      <c r="A49" s="147">
        <v>48</v>
      </c>
      <c r="B49" s="223">
        <v>215246</v>
      </c>
      <c r="C49" s="221" t="s">
        <v>1130</v>
      </c>
      <c r="D49" s="57">
        <v>43115</v>
      </c>
      <c r="E49" s="160" t="s">
        <v>1629</v>
      </c>
      <c r="F49" s="222">
        <v>43118</v>
      </c>
      <c r="G49" s="221">
        <v>3</v>
      </c>
      <c r="H49" s="221" t="s">
        <v>133</v>
      </c>
      <c r="I49" s="129"/>
      <c r="J49" s="129" t="s">
        <v>614</v>
      </c>
      <c r="K49" s="319">
        <v>2899</v>
      </c>
      <c r="L49" s="221">
        <v>290</v>
      </c>
      <c r="M49" s="221">
        <v>220</v>
      </c>
      <c r="N49" s="227">
        <f t="shared" si="0"/>
        <v>2435.06</v>
      </c>
      <c r="O49" s="226"/>
      <c r="P49" s="224"/>
      <c r="Q49" s="224"/>
      <c r="R49" s="221" t="s">
        <v>134</v>
      </c>
      <c r="S49" s="145" t="s">
        <v>465</v>
      </c>
      <c r="T49" s="221" t="s">
        <v>88</v>
      </c>
      <c r="U49" s="221" t="s">
        <v>741</v>
      </c>
      <c r="V49" s="221" t="s">
        <v>429</v>
      </c>
      <c r="W49" s="129"/>
      <c r="X49" s="129"/>
      <c r="Y49" s="221" t="s">
        <v>1172</v>
      </c>
      <c r="Z49" s="221" t="s">
        <v>189</v>
      </c>
      <c r="AA49" s="222">
        <v>43115</v>
      </c>
      <c r="AB49" s="221"/>
      <c r="AC49" s="226">
        <f t="shared" si="1"/>
        <v>1</v>
      </c>
      <c r="AD49" s="147" t="s">
        <v>217</v>
      </c>
      <c r="AE49" s="147" t="s">
        <v>218</v>
      </c>
      <c r="AF49" s="221"/>
      <c r="AG49" s="129"/>
      <c r="AH49" s="64"/>
      <c r="AI49" s="129"/>
      <c r="AJ49" s="129"/>
      <c r="AK49" s="321"/>
      <c r="AL49" s="129"/>
      <c r="AM49" s="129"/>
    </row>
    <row r="50" spans="1:39" ht="15" customHeight="1">
      <c r="A50" s="147">
        <v>49</v>
      </c>
      <c r="B50" s="223">
        <v>215715</v>
      </c>
      <c r="C50" s="221" t="s">
        <v>1130</v>
      </c>
      <c r="D50" s="57">
        <v>43115</v>
      </c>
      <c r="E50" s="160" t="s">
        <v>1629</v>
      </c>
      <c r="F50" s="222">
        <v>43122</v>
      </c>
      <c r="G50" s="221">
        <v>7</v>
      </c>
      <c r="H50" s="221" t="s">
        <v>133</v>
      </c>
      <c r="I50" s="129"/>
      <c r="J50" s="129" t="s">
        <v>614</v>
      </c>
      <c r="K50" s="319">
        <v>2650</v>
      </c>
      <c r="L50" s="221">
        <v>290</v>
      </c>
      <c r="M50" s="221">
        <v>220</v>
      </c>
      <c r="N50" s="227">
        <f t="shared" si="0"/>
        <v>2201</v>
      </c>
      <c r="O50" s="226"/>
      <c r="P50" s="224"/>
      <c r="Q50" s="224"/>
      <c r="R50" s="221" t="s">
        <v>134</v>
      </c>
      <c r="S50" s="145" t="s">
        <v>465</v>
      </c>
      <c r="T50" s="221" t="s">
        <v>88</v>
      </c>
      <c r="U50" s="221" t="s">
        <v>1461</v>
      </c>
      <c r="V50" s="221" t="s">
        <v>429</v>
      </c>
      <c r="W50" s="129"/>
      <c r="X50" s="129"/>
      <c r="Y50" s="221" t="s">
        <v>1172</v>
      </c>
      <c r="Z50" s="221" t="s">
        <v>189</v>
      </c>
      <c r="AA50" s="222">
        <v>43115</v>
      </c>
      <c r="AB50" s="221"/>
      <c r="AC50" s="226">
        <f t="shared" si="1"/>
        <v>1</v>
      </c>
      <c r="AD50" s="147" t="s">
        <v>217</v>
      </c>
      <c r="AE50" s="147" t="s">
        <v>218</v>
      </c>
      <c r="AF50" s="221"/>
      <c r="AG50" s="129"/>
      <c r="AH50" s="64"/>
      <c r="AI50" s="129"/>
      <c r="AJ50" s="129"/>
      <c r="AK50" s="321"/>
      <c r="AL50" s="129"/>
      <c r="AM50" s="129"/>
    </row>
    <row r="51" spans="1:39" ht="15" customHeight="1">
      <c r="A51" s="147">
        <v>50</v>
      </c>
      <c r="B51" s="223">
        <v>215302</v>
      </c>
      <c r="C51" s="221" t="s">
        <v>1628</v>
      </c>
      <c r="D51" s="57">
        <v>43116</v>
      </c>
      <c r="E51" s="160" t="s">
        <v>1629</v>
      </c>
      <c r="F51" s="222">
        <v>43125</v>
      </c>
      <c r="G51" s="221">
        <v>9</v>
      </c>
      <c r="H51" s="221" t="s">
        <v>363</v>
      </c>
      <c r="I51" s="129"/>
      <c r="J51" s="129" t="s">
        <v>614</v>
      </c>
      <c r="K51" s="319"/>
      <c r="L51" s="221"/>
      <c r="M51" s="221"/>
      <c r="N51" s="227">
        <f t="shared" si="0"/>
        <v>0</v>
      </c>
      <c r="O51" s="226"/>
      <c r="P51" s="224" t="s">
        <v>264</v>
      </c>
      <c r="Q51" s="224" t="s">
        <v>1342</v>
      </c>
      <c r="R51" s="221" t="s">
        <v>210</v>
      </c>
      <c r="S51" s="145" t="s">
        <v>469</v>
      </c>
      <c r="T51" s="221" t="s">
        <v>380</v>
      </c>
      <c r="U51" s="221" t="s">
        <v>1788</v>
      </c>
      <c r="V51" s="221" t="s">
        <v>1789</v>
      </c>
      <c r="W51" s="129"/>
      <c r="X51" s="129"/>
      <c r="Y51" s="221"/>
      <c r="Z51" s="221" t="s">
        <v>252</v>
      </c>
      <c r="AB51" s="221"/>
      <c r="AC51" s="226">
        <f t="shared" si="1"/>
        <v>0</v>
      </c>
      <c r="AF51" s="221"/>
      <c r="AG51" s="129"/>
      <c r="AH51" s="64" t="s">
        <v>2310</v>
      </c>
      <c r="AI51" s="129"/>
      <c r="AJ51" s="129"/>
      <c r="AK51" s="321"/>
      <c r="AL51" s="129"/>
      <c r="AM51" s="129"/>
    </row>
    <row r="52" spans="1:39" ht="15" customHeight="1">
      <c r="A52" s="147">
        <v>51</v>
      </c>
      <c r="B52" s="223">
        <v>215165</v>
      </c>
      <c r="C52" s="221" t="s">
        <v>1628</v>
      </c>
      <c r="D52" s="57">
        <v>43116</v>
      </c>
      <c r="E52" s="160" t="s">
        <v>1629</v>
      </c>
      <c r="F52" s="222">
        <v>43121</v>
      </c>
      <c r="G52" s="221">
        <v>5</v>
      </c>
      <c r="H52" s="221" t="s">
        <v>133</v>
      </c>
      <c r="I52" s="129"/>
      <c r="J52" s="129" t="s">
        <v>614</v>
      </c>
      <c r="K52" s="319"/>
      <c r="L52" s="221"/>
      <c r="M52" s="221"/>
      <c r="N52" s="227">
        <f t="shared" si="0"/>
        <v>0</v>
      </c>
      <c r="O52" s="226"/>
      <c r="P52" s="224" t="s">
        <v>264</v>
      </c>
      <c r="Q52" s="230" t="s">
        <v>1342</v>
      </c>
      <c r="R52" s="147" t="s">
        <v>134</v>
      </c>
      <c r="S52" s="145" t="s">
        <v>465</v>
      </c>
      <c r="T52" s="221" t="s">
        <v>114</v>
      </c>
      <c r="U52" s="221" t="s">
        <v>1790</v>
      </c>
      <c r="V52" s="221" t="s">
        <v>1468</v>
      </c>
      <c r="W52" s="129"/>
      <c r="X52" s="129"/>
      <c r="Y52" s="221"/>
      <c r="Z52" s="221" t="s">
        <v>367</v>
      </c>
      <c r="AB52" s="221"/>
      <c r="AC52" s="226">
        <f t="shared" si="1"/>
        <v>0</v>
      </c>
      <c r="AE52" s="147" t="s">
        <v>217</v>
      </c>
      <c r="AF52" s="147" t="s">
        <v>2353</v>
      </c>
      <c r="AG52" s="129"/>
      <c r="AH52" s="64"/>
      <c r="AI52" s="129"/>
      <c r="AJ52" s="129"/>
      <c r="AK52" s="321"/>
      <c r="AL52" s="129"/>
      <c r="AM52" s="129"/>
    </row>
    <row r="53" spans="1:39" ht="15" customHeight="1">
      <c r="A53" s="147">
        <v>52</v>
      </c>
      <c r="B53" s="223">
        <v>214912</v>
      </c>
      <c r="C53" s="221" t="s">
        <v>1628</v>
      </c>
      <c r="D53" s="57">
        <v>43116</v>
      </c>
      <c r="E53" s="160" t="s">
        <v>1629</v>
      </c>
      <c r="F53" s="222">
        <v>43134</v>
      </c>
      <c r="G53" s="221">
        <v>18</v>
      </c>
      <c r="H53" s="221" t="s">
        <v>363</v>
      </c>
      <c r="I53" s="129"/>
      <c r="J53" s="129" t="s">
        <v>614</v>
      </c>
      <c r="K53" s="319"/>
      <c r="L53" s="221"/>
      <c r="M53" s="221"/>
      <c r="N53" s="227">
        <f t="shared" si="0"/>
        <v>0</v>
      </c>
      <c r="O53" s="226"/>
      <c r="P53" s="224" t="s">
        <v>263</v>
      </c>
      <c r="Q53" s="224" t="s">
        <v>1341</v>
      </c>
      <c r="R53" s="221" t="s">
        <v>254</v>
      </c>
      <c r="S53" s="145" t="s">
        <v>466</v>
      </c>
      <c r="T53" s="221" t="s">
        <v>1795</v>
      </c>
      <c r="U53" s="221" t="s">
        <v>1793</v>
      </c>
      <c r="V53" s="221" t="s">
        <v>257</v>
      </c>
      <c r="W53" s="129"/>
      <c r="X53" s="129"/>
      <c r="Y53" s="221"/>
      <c r="Z53" s="221" t="s">
        <v>203</v>
      </c>
      <c r="AB53" s="221"/>
      <c r="AC53" s="226">
        <f t="shared" si="1"/>
        <v>0</v>
      </c>
      <c r="AF53" s="221"/>
      <c r="AG53" s="129"/>
      <c r="AH53" s="64" t="s">
        <v>1852</v>
      </c>
      <c r="AI53" s="129"/>
      <c r="AJ53" s="129"/>
      <c r="AK53" s="321"/>
      <c r="AL53" s="129"/>
      <c r="AM53" s="129"/>
    </row>
    <row r="54" spans="1:39" ht="15" customHeight="1">
      <c r="A54" s="147">
        <v>53</v>
      </c>
      <c r="B54" s="168">
        <v>215924</v>
      </c>
      <c r="C54" s="221" t="s">
        <v>128</v>
      </c>
      <c r="D54" s="57">
        <v>43116</v>
      </c>
      <c r="E54" s="160" t="s">
        <v>1629</v>
      </c>
      <c r="F54" s="222">
        <v>43127</v>
      </c>
      <c r="G54" s="221">
        <v>11</v>
      </c>
      <c r="H54" s="221" t="s">
        <v>133</v>
      </c>
      <c r="I54" s="129"/>
      <c r="J54" s="129" t="s">
        <v>614</v>
      </c>
      <c r="K54" s="319">
        <v>1899</v>
      </c>
      <c r="L54" s="221">
        <v>350</v>
      </c>
      <c r="M54" s="221">
        <v>230</v>
      </c>
      <c r="N54" s="227">
        <f t="shared" si="0"/>
        <v>1435.06</v>
      </c>
      <c r="O54" s="226"/>
      <c r="P54" s="224" t="s">
        <v>262</v>
      </c>
      <c r="Q54" s="230" t="s">
        <v>1342</v>
      </c>
      <c r="R54" s="221" t="s">
        <v>122</v>
      </c>
      <c r="S54" s="145" t="s">
        <v>469</v>
      </c>
      <c r="T54" s="221" t="s">
        <v>114</v>
      </c>
      <c r="U54" s="221" t="s">
        <v>1794</v>
      </c>
      <c r="V54" s="221" t="s">
        <v>90</v>
      </c>
      <c r="W54" s="129"/>
      <c r="X54" s="129"/>
      <c r="Y54" s="221" t="s">
        <v>316</v>
      </c>
      <c r="Z54" s="221" t="s">
        <v>687</v>
      </c>
      <c r="AA54" s="222">
        <v>43118</v>
      </c>
      <c r="AB54" s="221" t="s">
        <v>1102</v>
      </c>
      <c r="AC54" s="226">
        <f t="shared" si="1"/>
        <v>1</v>
      </c>
      <c r="AD54" s="147" t="s">
        <v>217</v>
      </c>
      <c r="AE54" s="147" t="s">
        <v>218</v>
      </c>
      <c r="AF54" s="221"/>
      <c r="AG54" s="129"/>
      <c r="AH54" s="64"/>
      <c r="AI54" s="129" t="s">
        <v>184</v>
      </c>
      <c r="AJ54" s="130">
        <v>43131</v>
      </c>
      <c r="AK54" s="321" t="s">
        <v>2156</v>
      </c>
      <c r="AL54" s="129" t="s">
        <v>645</v>
      </c>
      <c r="AM54" s="130">
        <v>43131</v>
      </c>
    </row>
    <row r="55" spans="1:39" ht="15" customHeight="1">
      <c r="A55" s="147">
        <v>54</v>
      </c>
      <c r="B55" s="223">
        <v>215310</v>
      </c>
      <c r="C55" s="221" t="s">
        <v>128</v>
      </c>
      <c r="D55" s="57">
        <v>43116</v>
      </c>
      <c r="E55" s="160" t="s">
        <v>1629</v>
      </c>
      <c r="F55" s="222">
        <v>43125</v>
      </c>
      <c r="G55" s="221">
        <v>9</v>
      </c>
      <c r="H55" s="221" t="s">
        <v>133</v>
      </c>
      <c r="I55" s="129"/>
      <c r="J55" s="129" t="s">
        <v>614</v>
      </c>
      <c r="K55" s="319">
        <v>1499</v>
      </c>
      <c r="L55" s="221">
        <v>130</v>
      </c>
      <c r="M55" s="221">
        <v>145</v>
      </c>
      <c r="N55" s="227">
        <f t="shared" si="0"/>
        <v>1264.06</v>
      </c>
      <c r="O55" s="226"/>
      <c r="P55" s="224" t="s">
        <v>262</v>
      </c>
      <c r="Q55" s="224" t="s">
        <v>1342</v>
      </c>
      <c r="R55" s="221" t="s">
        <v>134</v>
      </c>
      <c r="S55" s="145" t="s">
        <v>465</v>
      </c>
      <c r="T55" s="221" t="s">
        <v>114</v>
      </c>
      <c r="U55" s="221" t="s">
        <v>1796</v>
      </c>
      <c r="V55" s="221" t="s">
        <v>862</v>
      </c>
      <c r="W55" s="129"/>
      <c r="X55" s="129"/>
      <c r="Y55" s="221" t="s">
        <v>316</v>
      </c>
      <c r="Z55" s="221" t="s">
        <v>203</v>
      </c>
      <c r="AA55" s="222">
        <v>43117</v>
      </c>
      <c r="AB55" s="221" t="s">
        <v>140</v>
      </c>
      <c r="AC55" s="226">
        <f t="shared" si="1"/>
        <v>1</v>
      </c>
      <c r="AD55" s="147" t="s">
        <v>217</v>
      </c>
      <c r="AE55" s="147" t="s">
        <v>218</v>
      </c>
      <c r="AF55" s="221"/>
      <c r="AG55" s="129"/>
      <c r="AH55" s="64"/>
      <c r="AI55" s="129"/>
      <c r="AJ55" s="129"/>
      <c r="AK55" s="321"/>
      <c r="AL55" s="129"/>
      <c r="AM55" s="129"/>
    </row>
    <row r="56" spans="1:39" ht="15" customHeight="1">
      <c r="A56" s="147">
        <v>55</v>
      </c>
      <c r="B56" s="223">
        <v>215570</v>
      </c>
      <c r="C56" s="221" t="s">
        <v>128</v>
      </c>
      <c r="D56" s="57">
        <v>43117</v>
      </c>
      <c r="E56" s="160" t="s">
        <v>1629</v>
      </c>
      <c r="F56" s="222">
        <v>43128</v>
      </c>
      <c r="G56" s="221">
        <v>11</v>
      </c>
      <c r="H56" s="221" t="s">
        <v>133</v>
      </c>
      <c r="I56" s="129"/>
      <c r="J56" s="129" t="s">
        <v>614</v>
      </c>
      <c r="K56" s="319"/>
      <c r="L56" s="221"/>
      <c r="M56" s="221"/>
      <c r="N56" s="227">
        <f t="shared" si="0"/>
        <v>0</v>
      </c>
      <c r="O56" s="226"/>
      <c r="P56" s="224" t="s">
        <v>263</v>
      </c>
      <c r="Q56" s="224" t="s">
        <v>1341</v>
      </c>
      <c r="R56" s="221" t="s">
        <v>143</v>
      </c>
      <c r="S56" s="145" t="s">
        <v>465</v>
      </c>
      <c r="T56" s="221" t="s">
        <v>144</v>
      </c>
      <c r="U56" s="221" t="s">
        <v>1417</v>
      </c>
      <c r="V56" s="221" t="s">
        <v>1807</v>
      </c>
      <c r="W56" s="129"/>
      <c r="X56" s="129"/>
      <c r="Y56" s="221"/>
      <c r="Z56" s="221" t="s">
        <v>137</v>
      </c>
      <c r="AB56" s="221"/>
      <c r="AC56" s="226">
        <f t="shared" si="1"/>
        <v>0</v>
      </c>
      <c r="AE56" s="147" t="s">
        <v>217</v>
      </c>
      <c r="AF56" s="147" t="s">
        <v>2353</v>
      </c>
      <c r="AG56" s="129"/>
      <c r="AH56" s="64"/>
      <c r="AI56" s="129"/>
      <c r="AJ56" s="129"/>
      <c r="AK56" s="321"/>
      <c r="AL56" s="129"/>
      <c r="AM56" s="129"/>
    </row>
    <row r="57" spans="1:39" ht="15" customHeight="1">
      <c r="A57" s="147">
        <v>56</v>
      </c>
      <c r="B57" s="138">
        <v>215838</v>
      </c>
      <c r="C57" s="221" t="s">
        <v>1628</v>
      </c>
      <c r="D57" s="57">
        <v>43118</v>
      </c>
      <c r="E57" s="160" t="s">
        <v>1629</v>
      </c>
      <c r="F57" s="222">
        <v>43128</v>
      </c>
      <c r="G57" s="221">
        <v>10</v>
      </c>
      <c r="H57" s="221" t="s">
        <v>133</v>
      </c>
      <c r="I57" s="129"/>
      <c r="J57" s="129" t="s">
        <v>614</v>
      </c>
      <c r="K57" s="319">
        <v>999</v>
      </c>
      <c r="L57" s="221">
        <v>420</v>
      </c>
      <c r="M57" s="221">
        <v>245</v>
      </c>
      <c r="N57" s="227">
        <f t="shared" si="0"/>
        <v>519.05999999999995</v>
      </c>
      <c r="O57" s="226"/>
      <c r="P57" s="224" t="s">
        <v>264</v>
      </c>
      <c r="Q57" s="230" t="s">
        <v>1342</v>
      </c>
      <c r="R57" s="147" t="s">
        <v>143</v>
      </c>
      <c r="S57" s="145" t="s">
        <v>465</v>
      </c>
      <c r="T57" s="221" t="s">
        <v>164</v>
      </c>
      <c r="U57" s="221" t="s">
        <v>1633</v>
      </c>
      <c r="V57" s="221" t="s">
        <v>90</v>
      </c>
      <c r="W57" s="129"/>
      <c r="X57" s="129"/>
      <c r="Y57" s="221" t="s">
        <v>1942</v>
      </c>
      <c r="Z57" s="221" t="s">
        <v>202</v>
      </c>
      <c r="AA57" s="222">
        <v>43122</v>
      </c>
      <c r="AB57" s="221" t="s">
        <v>140</v>
      </c>
      <c r="AC57" s="226">
        <f t="shared" si="1"/>
        <v>1</v>
      </c>
      <c r="AD57" s="147" t="s">
        <v>217</v>
      </c>
      <c r="AE57" s="147" t="s">
        <v>218</v>
      </c>
      <c r="AF57" s="221"/>
      <c r="AG57" s="129"/>
      <c r="AH57" s="64"/>
      <c r="AI57" s="129"/>
      <c r="AJ57" s="129"/>
      <c r="AK57" s="321" t="s">
        <v>2142</v>
      </c>
      <c r="AL57" s="129"/>
      <c r="AM57" s="129"/>
    </row>
    <row r="58" spans="1:39" ht="15" customHeight="1">
      <c r="A58" s="147">
        <v>57</v>
      </c>
      <c r="B58" s="223">
        <v>215230</v>
      </c>
      <c r="C58" s="221" t="s">
        <v>1130</v>
      </c>
      <c r="D58" s="57">
        <v>43118</v>
      </c>
      <c r="E58" s="160" t="s">
        <v>1629</v>
      </c>
      <c r="F58" s="222">
        <v>43123</v>
      </c>
      <c r="G58" s="221">
        <v>5</v>
      </c>
      <c r="H58" s="221" t="s">
        <v>133</v>
      </c>
      <c r="I58" s="129"/>
      <c r="J58" s="129" t="s">
        <v>614</v>
      </c>
      <c r="K58" s="319"/>
      <c r="L58" s="221"/>
      <c r="M58" s="221"/>
      <c r="N58" s="227">
        <f t="shared" si="0"/>
        <v>0</v>
      </c>
      <c r="O58" s="226"/>
      <c r="P58" s="224" t="s">
        <v>264</v>
      </c>
      <c r="Q58" s="224" t="s">
        <v>1342</v>
      </c>
      <c r="R58" s="221" t="s">
        <v>134</v>
      </c>
      <c r="S58" s="145" t="s">
        <v>466</v>
      </c>
      <c r="T58" s="221" t="s">
        <v>88</v>
      </c>
      <c r="U58" s="221" t="s">
        <v>1808</v>
      </c>
      <c r="V58" s="221" t="s">
        <v>90</v>
      </c>
      <c r="W58" s="129"/>
      <c r="X58" s="129"/>
      <c r="Y58" s="221"/>
      <c r="Z58" s="221" t="s">
        <v>189</v>
      </c>
      <c r="AB58" s="221"/>
      <c r="AC58" s="226">
        <f t="shared" si="1"/>
        <v>0</v>
      </c>
      <c r="AE58" s="147" t="s">
        <v>217</v>
      </c>
      <c r="AF58" s="147" t="s">
        <v>2353</v>
      </c>
      <c r="AG58" s="129"/>
      <c r="AH58" s="64"/>
      <c r="AI58" s="129"/>
      <c r="AJ58" s="129"/>
      <c r="AK58" s="321"/>
      <c r="AL58" s="129"/>
      <c r="AM58" s="129"/>
    </row>
    <row r="59" spans="1:39" ht="15" customHeight="1">
      <c r="A59" s="147">
        <v>58</v>
      </c>
      <c r="B59" s="223">
        <v>211727</v>
      </c>
      <c r="C59" s="221" t="s">
        <v>1130</v>
      </c>
      <c r="D59" s="57">
        <v>43118</v>
      </c>
      <c r="E59" s="160" t="s">
        <v>1629</v>
      </c>
      <c r="F59" s="222">
        <v>43130</v>
      </c>
      <c r="G59" s="221">
        <v>12</v>
      </c>
      <c r="H59" s="221" t="s">
        <v>363</v>
      </c>
      <c r="I59" s="129"/>
      <c r="J59" s="129" t="s">
        <v>614</v>
      </c>
      <c r="K59" s="319"/>
      <c r="L59" s="221"/>
      <c r="M59" s="221"/>
      <c r="N59" s="227">
        <f t="shared" si="0"/>
        <v>0</v>
      </c>
      <c r="O59" s="226"/>
      <c r="P59" s="224" t="s">
        <v>262</v>
      </c>
      <c r="Q59" s="224" t="s">
        <v>1342</v>
      </c>
      <c r="R59" s="221" t="s">
        <v>143</v>
      </c>
      <c r="S59" s="145" t="s">
        <v>469</v>
      </c>
      <c r="T59" s="221" t="s">
        <v>88</v>
      </c>
      <c r="U59" s="221" t="s">
        <v>488</v>
      </c>
      <c r="V59" s="221" t="s">
        <v>90</v>
      </c>
      <c r="W59" s="129"/>
      <c r="X59" s="129"/>
      <c r="Y59" s="221"/>
      <c r="Z59" s="221" t="s">
        <v>189</v>
      </c>
      <c r="AB59" s="221"/>
      <c r="AC59" s="226">
        <f t="shared" si="1"/>
        <v>0</v>
      </c>
      <c r="AF59" s="221"/>
      <c r="AG59" s="129"/>
      <c r="AH59" s="64" t="s">
        <v>1811</v>
      </c>
      <c r="AI59" s="129"/>
      <c r="AJ59" s="129"/>
      <c r="AK59" s="321"/>
      <c r="AL59" s="129"/>
      <c r="AM59" s="129"/>
    </row>
    <row r="60" spans="1:39" ht="15" customHeight="1">
      <c r="A60" s="147">
        <v>59</v>
      </c>
      <c r="B60" s="223">
        <v>215992</v>
      </c>
      <c r="C60" s="221" t="s">
        <v>128</v>
      </c>
      <c r="D60" s="57">
        <v>43118</v>
      </c>
      <c r="E60" s="160" t="s">
        <v>1629</v>
      </c>
      <c r="F60" s="222">
        <v>43133</v>
      </c>
      <c r="G60" s="221">
        <v>15</v>
      </c>
      <c r="H60" s="221" t="s">
        <v>133</v>
      </c>
      <c r="I60" s="129"/>
      <c r="J60" s="129" t="s">
        <v>614</v>
      </c>
      <c r="K60" s="319"/>
      <c r="L60" s="221"/>
      <c r="M60" s="221"/>
      <c r="N60" s="227">
        <f t="shared" si="0"/>
        <v>0</v>
      </c>
      <c r="O60" s="226"/>
      <c r="P60" s="224" t="s">
        <v>264</v>
      </c>
      <c r="Q60" s="224" t="s">
        <v>1342</v>
      </c>
      <c r="R60" s="221" t="s">
        <v>501</v>
      </c>
      <c r="S60" s="145" t="s">
        <v>466</v>
      </c>
      <c r="T60" s="221" t="s">
        <v>405</v>
      </c>
      <c r="U60" s="221" t="s">
        <v>1277</v>
      </c>
      <c r="V60" s="221" t="s">
        <v>1092</v>
      </c>
      <c r="W60" s="129"/>
      <c r="X60" s="129"/>
      <c r="Y60" s="221"/>
      <c r="Z60" s="221" t="s">
        <v>259</v>
      </c>
      <c r="AB60" s="221"/>
      <c r="AC60" s="226">
        <f t="shared" si="1"/>
        <v>0</v>
      </c>
      <c r="AE60" s="147" t="s">
        <v>217</v>
      </c>
      <c r="AF60" s="147" t="s">
        <v>2353</v>
      </c>
      <c r="AG60" s="129"/>
      <c r="AH60" s="64"/>
      <c r="AI60" s="129"/>
      <c r="AJ60" s="129"/>
      <c r="AK60" s="321"/>
      <c r="AL60" s="129"/>
      <c r="AM60" s="129"/>
    </row>
    <row r="61" spans="1:39" ht="15" customHeight="1">
      <c r="A61" s="147">
        <v>60</v>
      </c>
      <c r="B61" s="223">
        <v>215861</v>
      </c>
      <c r="C61" s="221" t="s">
        <v>1130</v>
      </c>
      <c r="D61" s="57">
        <v>43118</v>
      </c>
      <c r="E61" s="160" t="s">
        <v>1629</v>
      </c>
      <c r="F61" s="222">
        <v>43125</v>
      </c>
      <c r="G61" s="221">
        <v>7</v>
      </c>
      <c r="H61" s="221" t="s">
        <v>133</v>
      </c>
      <c r="I61" s="129"/>
      <c r="J61" s="129" t="s">
        <v>614</v>
      </c>
      <c r="K61" s="319">
        <v>1999</v>
      </c>
      <c r="L61" s="221">
        <v>290</v>
      </c>
      <c r="M61" s="221">
        <v>220</v>
      </c>
      <c r="N61" s="227">
        <f t="shared" si="0"/>
        <v>1589.06</v>
      </c>
      <c r="O61" s="226"/>
      <c r="P61" s="224"/>
      <c r="Q61" s="224"/>
      <c r="R61" s="221" t="s">
        <v>134</v>
      </c>
      <c r="S61" s="145" t="s">
        <v>465</v>
      </c>
      <c r="T61" s="221" t="s">
        <v>88</v>
      </c>
      <c r="U61" s="221" t="s">
        <v>1461</v>
      </c>
      <c r="V61" s="221" t="s">
        <v>429</v>
      </c>
      <c r="W61" s="129"/>
      <c r="X61" s="129"/>
      <c r="Y61" s="221" t="s">
        <v>1172</v>
      </c>
      <c r="Z61" s="221" t="s">
        <v>189</v>
      </c>
      <c r="AA61" s="222">
        <v>43118</v>
      </c>
      <c r="AB61" s="221"/>
      <c r="AC61" s="226">
        <f t="shared" si="1"/>
        <v>1</v>
      </c>
      <c r="AD61" s="147" t="s">
        <v>217</v>
      </c>
      <c r="AE61" s="147" t="s">
        <v>218</v>
      </c>
      <c r="AF61" s="221"/>
      <c r="AG61" s="129"/>
      <c r="AH61" s="64"/>
      <c r="AI61" s="129"/>
      <c r="AJ61" s="129"/>
      <c r="AK61" s="321"/>
      <c r="AL61" s="129"/>
      <c r="AM61" s="129"/>
    </row>
    <row r="62" spans="1:39" ht="15" customHeight="1">
      <c r="A62" s="147">
        <v>61</v>
      </c>
      <c r="B62" s="223">
        <v>216048</v>
      </c>
      <c r="C62" s="221" t="s">
        <v>128</v>
      </c>
      <c r="D62" s="57">
        <v>43119</v>
      </c>
      <c r="E62" s="160" t="s">
        <v>1629</v>
      </c>
      <c r="F62" s="222">
        <v>43128</v>
      </c>
      <c r="G62" s="221">
        <v>9</v>
      </c>
      <c r="H62" s="221" t="s">
        <v>133</v>
      </c>
      <c r="I62" s="129"/>
      <c r="J62" s="129" t="s">
        <v>614</v>
      </c>
      <c r="K62" s="319"/>
      <c r="L62" s="221"/>
      <c r="M62" s="221"/>
      <c r="N62" s="227">
        <f t="shared" si="0"/>
        <v>0</v>
      </c>
      <c r="O62" s="226"/>
      <c r="P62" s="224" t="s">
        <v>264</v>
      </c>
      <c r="Q62" s="224" t="s">
        <v>1342</v>
      </c>
      <c r="R62" s="221" t="s">
        <v>1374</v>
      </c>
      <c r="S62" s="145" t="s">
        <v>469</v>
      </c>
      <c r="T62" s="221" t="s">
        <v>376</v>
      </c>
      <c r="U62" s="221" t="s">
        <v>1813</v>
      </c>
      <c r="V62" s="221" t="s">
        <v>90</v>
      </c>
      <c r="W62" s="129"/>
      <c r="X62" s="129"/>
      <c r="Y62" s="221"/>
      <c r="Z62" s="221" t="s">
        <v>253</v>
      </c>
      <c r="AB62" s="221"/>
      <c r="AC62" s="226">
        <f t="shared" si="1"/>
        <v>0</v>
      </c>
      <c r="AE62" s="147" t="s">
        <v>217</v>
      </c>
      <c r="AF62" s="147" t="s">
        <v>2353</v>
      </c>
      <c r="AG62" s="129"/>
      <c r="AH62" s="64"/>
      <c r="AI62" s="129"/>
      <c r="AJ62" s="129"/>
      <c r="AK62" s="321"/>
      <c r="AL62" s="129"/>
      <c r="AM62" s="129"/>
    </row>
    <row r="63" spans="1:39" ht="15" customHeight="1">
      <c r="A63" s="147">
        <v>62</v>
      </c>
      <c r="B63" s="168">
        <v>216011</v>
      </c>
      <c r="C63" s="221" t="s">
        <v>1130</v>
      </c>
      <c r="D63" s="57">
        <v>43119</v>
      </c>
      <c r="E63" s="160" t="s">
        <v>1629</v>
      </c>
      <c r="F63" s="222">
        <v>43131</v>
      </c>
      <c r="G63" s="221">
        <v>12</v>
      </c>
      <c r="H63" s="221" t="s">
        <v>133</v>
      </c>
      <c r="I63" s="129"/>
      <c r="J63" s="129" t="s">
        <v>614</v>
      </c>
      <c r="K63" s="319">
        <v>1499</v>
      </c>
      <c r="L63" s="221">
        <v>115</v>
      </c>
      <c r="M63" s="221">
        <v>80</v>
      </c>
      <c r="N63" s="227">
        <f t="shared" si="0"/>
        <v>1294.06</v>
      </c>
      <c r="O63" s="226"/>
      <c r="P63" s="224" t="s">
        <v>261</v>
      </c>
      <c r="Q63" s="224" t="s">
        <v>1341</v>
      </c>
      <c r="R63" s="221" t="s">
        <v>134</v>
      </c>
      <c r="S63" s="145" t="s">
        <v>465</v>
      </c>
      <c r="T63" s="221" t="s">
        <v>162</v>
      </c>
      <c r="U63" s="221" t="s">
        <v>1595</v>
      </c>
      <c r="V63" s="221" t="s">
        <v>1643</v>
      </c>
      <c r="W63" s="129"/>
      <c r="X63" s="129"/>
      <c r="Y63" s="221" t="s">
        <v>316</v>
      </c>
      <c r="Z63" s="221" t="s">
        <v>1118</v>
      </c>
      <c r="AA63" s="222">
        <v>43122</v>
      </c>
      <c r="AB63" s="221" t="s">
        <v>140</v>
      </c>
      <c r="AC63" s="226">
        <f t="shared" si="1"/>
        <v>1</v>
      </c>
      <c r="AD63" s="147" t="s">
        <v>217</v>
      </c>
      <c r="AE63" s="147" t="s">
        <v>218</v>
      </c>
      <c r="AF63" s="221"/>
      <c r="AG63" s="129"/>
      <c r="AH63" s="64"/>
      <c r="AI63" s="129" t="s">
        <v>184</v>
      </c>
      <c r="AJ63" s="130">
        <v>43131</v>
      </c>
      <c r="AK63" s="321" t="s">
        <v>2157</v>
      </c>
      <c r="AL63" s="129" t="s">
        <v>645</v>
      </c>
      <c r="AM63" s="130">
        <v>43131</v>
      </c>
    </row>
    <row r="64" spans="1:39" ht="15" customHeight="1">
      <c r="A64" s="147">
        <v>63</v>
      </c>
      <c r="B64" s="223">
        <v>215321</v>
      </c>
      <c r="C64" s="221" t="s">
        <v>129</v>
      </c>
      <c r="D64" s="57">
        <v>43122</v>
      </c>
      <c r="E64" s="160" t="s">
        <v>1629</v>
      </c>
      <c r="F64" s="222">
        <v>43127</v>
      </c>
      <c r="G64" s="221">
        <v>5</v>
      </c>
      <c r="H64" s="221" t="s">
        <v>363</v>
      </c>
      <c r="I64" s="129"/>
      <c r="J64" s="129" t="s">
        <v>614</v>
      </c>
      <c r="K64" s="319"/>
      <c r="L64" s="221"/>
      <c r="M64" s="221"/>
      <c r="N64" s="227">
        <f t="shared" si="0"/>
        <v>0</v>
      </c>
      <c r="O64" s="226"/>
      <c r="P64" s="224" t="s">
        <v>264</v>
      </c>
      <c r="Q64" s="230" t="s">
        <v>1342</v>
      </c>
      <c r="R64" s="147" t="s">
        <v>134</v>
      </c>
      <c r="S64" s="145" t="s">
        <v>465</v>
      </c>
      <c r="T64" s="221" t="s">
        <v>120</v>
      </c>
      <c r="U64" s="221" t="s">
        <v>704</v>
      </c>
      <c r="V64" s="221" t="s">
        <v>1814</v>
      </c>
      <c r="W64" s="129"/>
      <c r="X64" s="129"/>
      <c r="Y64" s="221" t="s">
        <v>1616</v>
      </c>
      <c r="Z64" s="221" t="s">
        <v>137</v>
      </c>
      <c r="AB64" s="221" t="s">
        <v>872</v>
      </c>
      <c r="AC64" s="226">
        <f t="shared" si="1"/>
        <v>0</v>
      </c>
      <c r="AF64" s="221"/>
      <c r="AG64" s="129"/>
      <c r="AH64" s="64" t="s">
        <v>2309</v>
      </c>
      <c r="AI64" s="129"/>
      <c r="AJ64" s="129"/>
      <c r="AK64" s="321"/>
      <c r="AL64" s="129"/>
      <c r="AM64" s="129"/>
    </row>
    <row r="65" spans="1:39" ht="15" customHeight="1">
      <c r="A65" s="147">
        <v>64</v>
      </c>
      <c r="B65" s="138">
        <v>216384</v>
      </c>
      <c r="C65" s="221" t="s">
        <v>128</v>
      </c>
      <c r="D65" s="57">
        <v>43122</v>
      </c>
      <c r="E65" s="160" t="s">
        <v>1629</v>
      </c>
      <c r="F65" s="222">
        <v>43138</v>
      </c>
      <c r="G65" s="221">
        <v>16</v>
      </c>
      <c r="H65" s="221" t="s">
        <v>133</v>
      </c>
      <c r="I65" s="129"/>
      <c r="J65" s="129" t="s">
        <v>614</v>
      </c>
      <c r="K65" s="319">
        <v>1599</v>
      </c>
      <c r="L65" s="221">
        <v>202</v>
      </c>
      <c r="M65" s="221">
        <v>100</v>
      </c>
      <c r="N65" s="227">
        <f t="shared" si="0"/>
        <v>1301.06</v>
      </c>
      <c r="O65" s="226"/>
      <c r="P65" s="224" t="s">
        <v>262</v>
      </c>
      <c r="Q65" s="224" t="s">
        <v>1342</v>
      </c>
      <c r="R65" s="221" t="s">
        <v>134</v>
      </c>
      <c r="S65" s="145" t="s">
        <v>465</v>
      </c>
      <c r="T65" s="221" t="s">
        <v>271</v>
      </c>
      <c r="U65" s="221" t="s">
        <v>1850</v>
      </c>
      <c r="V65" s="221" t="s">
        <v>90</v>
      </c>
      <c r="W65" s="129"/>
      <c r="X65" s="129"/>
      <c r="Y65" s="221" t="s">
        <v>1942</v>
      </c>
      <c r="Z65" s="221" t="s">
        <v>510</v>
      </c>
      <c r="AA65" s="222">
        <v>43125</v>
      </c>
      <c r="AB65" s="221" t="s">
        <v>591</v>
      </c>
      <c r="AC65" s="226">
        <f t="shared" si="1"/>
        <v>1</v>
      </c>
      <c r="AD65" s="147" t="s">
        <v>217</v>
      </c>
      <c r="AE65" s="147" t="s">
        <v>218</v>
      </c>
      <c r="AF65" s="221"/>
      <c r="AG65" s="129"/>
      <c r="AH65" s="64"/>
      <c r="AI65" s="129"/>
      <c r="AJ65" s="129"/>
      <c r="AK65" s="321" t="s">
        <v>2144</v>
      </c>
      <c r="AL65" s="129"/>
      <c r="AM65" s="129"/>
    </row>
    <row r="66" spans="1:39" ht="15" customHeight="1">
      <c r="A66" s="147">
        <v>65</v>
      </c>
      <c r="B66" s="223">
        <v>216232</v>
      </c>
      <c r="C66" s="221" t="s">
        <v>1130</v>
      </c>
      <c r="D66" s="57">
        <v>43123</v>
      </c>
      <c r="E66" s="160" t="s">
        <v>1629</v>
      </c>
      <c r="F66" s="222">
        <v>43131</v>
      </c>
      <c r="G66" s="221">
        <v>8</v>
      </c>
      <c r="H66" s="221" t="s">
        <v>363</v>
      </c>
      <c r="I66" s="129"/>
      <c r="J66" s="129" t="s">
        <v>614</v>
      </c>
      <c r="K66" s="319"/>
      <c r="L66" s="221"/>
      <c r="M66" s="221"/>
      <c r="N66" s="227">
        <f t="shared" ref="N66:N129" si="2">IF(AE66="Reemplazo",0,K66-(K66*0.12*0.5)-(MAX(L66,M66)))</f>
        <v>0</v>
      </c>
      <c r="O66" s="226"/>
      <c r="P66" s="224" t="s">
        <v>262</v>
      </c>
      <c r="Q66" s="224" t="s">
        <v>1342</v>
      </c>
      <c r="R66" s="221" t="s">
        <v>143</v>
      </c>
      <c r="S66" s="145" t="s">
        <v>465</v>
      </c>
      <c r="T66" s="221" t="s">
        <v>88</v>
      </c>
      <c r="U66" s="221" t="s">
        <v>976</v>
      </c>
      <c r="V66" s="221" t="s">
        <v>432</v>
      </c>
      <c r="W66" s="129"/>
      <c r="X66" s="129"/>
      <c r="Y66" s="221"/>
      <c r="Z66" s="221" t="s">
        <v>189</v>
      </c>
      <c r="AB66" s="221"/>
      <c r="AC66" s="226">
        <f t="shared" ref="AC66:AC129" si="3">+IF(N66&gt;0,1,0)</f>
        <v>0</v>
      </c>
      <c r="AF66" s="221"/>
      <c r="AG66" s="129"/>
      <c r="AH66" s="64" t="s">
        <v>1854</v>
      </c>
      <c r="AI66" s="129"/>
      <c r="AJ66" s="129"/>
      <c r="AK66" s="321"/>
      <c r="AL66" s="129"/>
      <c r="AM66" s="129"/>
    </row>
    <row r="67" spans="1:39" ht="15" customHeight="1">
      <c r="A67" s="147">
        <v>66</v>
      </c>
      <c r="B67" s="223">
        <v>216430</v>
      </c>
      <c r="C67" s="221" t="s">
        <v>1130</v>
      </c>
      <c r="D67" s="57">
        <v>43123</v>
      </c>
      <c r="E67" s="160" t="s">
        <v>1629</v>
      </c>
      <c r="F67" s="222">
        <v>43131</v>
      </c>
      <c r="G67" s="221">
        <v>8</v>
      </c>
      <c r="H67" s="221" t="s">
        <v>363</v>
      </c>
      <c r="I67" s="129"/>
      <c r="J67" s="129" t="s">
        <v>614</v>
      </c>
      <c r="K67" s="319"/>
      <c r="L67" s="221"/>
      <c r="M67" s="221"/>
      <c r="N67" s="227">
        <f t="shared" si="2"/>
        <v>0</v>
      </c>
      <c r="O67" s="226"/>
      <c r="P67" s="224" t="s">
        <v>262</v>
      </c>
      <c r="Q67" s="224" t="s">
        <v>1342</v>
      </c>
      <c r="R67" s="221" t="s">
        <v>143</v>
      </c>
      <c r="S67" s="145" t="s">
        <v>465</v>
      </c>
      <c r="T67" s="221" t="s">
        <v>88</v>
      </c>
      <c r="U67" s="221" t="s">
        <v>963</v>
      </c>
      <c r="V67" s="221" t="s">
        <v>432</v>
      </c>
      <c r="W67" s="129"/>
      <c r="X67" s="129"/>
      <c r="Y67" s="221"/>
      <c r="Z67" s="221" t="s">
        <v>189</v>
      </c>
      <c r="AB67" s="221"/>
      <c r="AC67" s="226">
        <f t="shared" si="3"/>
        <v>0</v>
      </c>
      <c r="AF67" s="221"/>
      <c r="AG67" s="129"/>
      <c r="AH67" s="64" t="s">
        <v>1854</v>
      </c>
      <c r="AI67" s="129"/>
      <c r="AJ67" s="129"/>
      <c r="AK67" s="321"/>
      <c r="AL67" s="129"/>
      <c r="AM67" s="129"/>
    </row>
    <row r="68" spans="1:39" ht="15" customHeight="1">
      <c r="A68" s="147">
        <v>67</v>
      </c>
      <c r="B68" s="223">
        <v>215066</v>
      </c>
      <c r="C68" s="221" t="s">
        <v>1628</v>
      </c>
      <c r="D68" s="57">
        <v>43124</v>
      </c>
      <c r="E68" s="160" t="s">
        <v>1629</v>
      </c>
      <c r="F68" s="222">
        <v>43126</v>
      </c>
      <c r="G68" s="221">
        <v>2</v>
      </c>
      <c r="H68" s="221" t="s">
        <v>133</v>
      </c>
      <c r="I68" s="129"/>
      <c r="J68" s="129" t="s">
        <v>614</v>
      </c>
      <c r="K68" s="319">
        <v>1699</v>
      </c>
      <c r="L68" s="221">
        <v>365</v>
      </c>
      <c r="M68" s="221">
        <v>130</v>
      </c>
      <c r="N68" s="227">
        <f t="shared" si="2"/>
        <v>0</v>
      </c>
      <c r="O68" s="226"/>
      <c r="P68" s="224" t="s">
        <v>264</v>
      </c>
      <c r="Q68" s="224" t="s">
        <v>1342</v>
      </c>
      <c r="R68" s="221" t="s">
        <v>210</v>
      </c>
      <c r="S68" s="145" t="s">
        <v>469</v>
      </c>
      <c r="T68" s="221" t="s">
        <v>114</v>
      </c>
      <c r="U68" s="221" t="s">
        <v>1849</v>
      </c>
      <c r="V68" s="221" t="s">
        <v>249</v>
      </c>
      <c r="W68" s="129"/>
      <c r="X68" s="129"/>
      <c r="Y68" s="221" t="s">
        <v>316</v>
      </c>
      <c r="Z68" s="221" t="s">
        <v>124</v>
      </c>
      <c r="AA68" s="222">
        <v>43125</v>
      </c>
      <c r="AB68" s="221" t="s">
        <v>140</v>
      </c>
      <c r="AC68" s="226">
        <f t="shared" si="3"/>
        <v>0</v>
      </c>
      <c r="AE68" s="147" t="s">
        <v>217</v>
      </c>
      <c r="AF68" s="148" t="s">
        <v>2265</v>
      </c>
      <c r="AG68" s="129"/>
      <c r="AH68" s="64"/>
      <c r="AI68" s="129"/>
      <c r="AJ68" s="129"/>
      <c r="AK68" s="321"/>
      <c r="AL68" s="129"/>
      <c r="AM68" s="129"/>
    </row>
    <row r="69" spans="1:39" ht="15" customHeight="1">
      <c r="A69" s="147">
        <v>68</v>
      </c>
      <c r="B69" s="138">
        <v>215329</v>
      </c>
      <c r="C69" s="221" t="s">
        <v>1628</v>
      </c>
      <c r="D69" s="57">
        <v>43124</v>
      </c>
      <c r="E69" s="160" t="s">
        <v>1629</v>
      </c>
      <c r="F69" s="222">
        <v>43126</v>
      </c>
      <c r="G69" s="221">
        <v>2</v>
      </c>
      <c r="H69" s="221" t="s">
        <v>133</v>
      </c>
      <c r="I69" s="129"/>
      <c r="J69" s="129" t="s">
        <v>614</v>
      </c>
      <c r="K69" s="319">
        <v>5699</v>
      </c>
      <c r="L69" s="221">
        <v>497</v>
      </c>
      <c r="M69" s="221">
        <v>120</v>
      </c>
      <c r="N69" s="227">
        <f t="shared" si="2"/>
        <v>4860.0600000000004</v>
      </c>
      <c r="O69" s="226"/>
      <c r="P69" s="224" t="s">
        <v>264</v>
      </c>
      <c r="Q69" s="224" t="s">
        <v>1342</v>
      </c>
      <c r="R69" s="221" t="s">
        <v>134</v>
      </c>
      <c r="S69" s="145" t="s">
        <v>465</v>
      </c>
      <c r="T69" s="221" t="s">
        <v>164</v>
      </c>
      <c r="U69" s="221" t="s">
        <v>1851</v>
      </c>
      <c r="V69" s="221" t="s">
        <v>1809</v>
      </c>
      <c r="W69" s="129"/>
      <c r="X69" s="129"/>
      <c r="Y69" s="221" t="s">
        <v>1942</v>
      </c>
      <c r="Z69" s="221" t="s">
        <v>202</v>
      </c>
      <c r="AA69" s="222">
        <v>43125</v>
      </c>
      <c r="AB69" s="221" t="s">
        <v>872</v>
      </c>
      <c r="AC69" s="226">
        <f t="shared" si="3"/>
        <v>1</v>
      </c>
      <c r="AD69" s="147" t="s">
        <v>217</v>
      </c>
      <c r="AE69" s="147" t="s">
        <v>218</v>
      </c>
      <c r="AF69" s="221"/>
      <c r="AG69" s="129"/>
      <c r="AH69" s="64"/>
      <c r="AI69" s="129"/>
      <c r="AJ69" s="129"/>
      <c r="AK69" s="321" t="s">
        <v>2143</v>
      </c>
      <c r="AL69" s="129"/>
      <c r="AM69" s="129"/>
    </row>
    <row r="70" spans="1:39" ht="15" customHeight="1">
      <c r="A70" s="147">
        <v>69</v>
      </c>
      <c r="B70" s="223">
        <v>215863</v>
      </c>
      <c r="C70" s="221" t="s">
        <v>1130</v>
      </c>
      <c r="D70" s="57">
        <v>43124</v>
      </c>
      <c r="E70" s="160" t="s">
        <v>1629</v>
      </c>
      <c r="F70" s="222">
        <v>43131</v>
      </c>
      <c r="G70" s="221">
        <v>7</v>
      </c>
      <c r="H70" s="221" t="s">
        <v>363</v>
      </c>
      <c r="I70" s="129"/>
      <c r="J70" s="129" t="s">
        <v>614</v>
      </c>
      <c r="K70" s="319"/>
      <c r="L70" s="221"/>
      <c r="M70" s="221"/>
      <c r="N70" s="227">
        <f t="shared" si="2"/>
        <v>0</v>
      </c>
      <c r="O70" s="226"/>
      <c r="P70" s="224" t="s">
        <v>261</v>
      </c>
      <c r="Q70" s="224" t="s">
        <v>1341</v>
      </c>
      <c r="R70" s="221" t="s">
        <v>143</v>
      </c>
      <c r="S70" s="145" t="s">
        <v>465</v>
      </c>
      <c r="T70" s="221" t="s">
        <v>88</v>
      </c>
      <c r="U70" s="221" t="s">
        <v>1297</v>
      </c>
      <c r="V70" s="221" t="s">
        <v>432</v>
      </c>
      <c r="W70" s="129"/>
      <c r="X70" s="129"/>
      <c r="Y70" s="221"/>
      <c r="Z70" s="221" t="s">
        <v>189</v>
      </c>
      <c r="AB70" s="221"/>
      <c r="AC70" s="226">
        <f t="shared" si="3"/>
        <v>0</v>
      </c>
      <c r="AF70" s="221"/>
      <c r="AG70" s="129"/>
      <c r="AH70" s="64" t="s">
        <v>1854</v>
      </c>
      <c r="AI70" s="129"/>
      <c r="AJ70" s="129"/>
      <c r="AK70" s="321"/>
      <c r="AL70" s="129"/>
      <c r="AM70" s="129"/>
    </row>
    <row r="71" spans="1:39" ht="15" customHeight="1">
      <c r="A71" s="147">
        <v>70</v>
      </c>
      <c r="B71" s="223">
        <v>215798</v>
      </c>
      <c r="C71" s="221" t="s">
        <v>1130</v>
      </c>
      <c r="D71" s="57">
        <v>43124</v>
      </c>
      <c r="E71" s="160" t="s">
        <v>1629</v>
      </c>
      <c r="F71" s="222">
        <v>43131</v>
      </c>
      <c r="G71" s="221">
        <v>7</v>
      </c>
      <c r="H71" s="221" t="s">
        <v>133</v>
      </c>
      <c r="I71" s="129"/>
      <c r="J71" s="129" t="s">
        <v>614</v>
      </c>
      <c r="K71" s="319">
        <v>1399</v>
      </c>
      <c r="L71" s="221">
        <v>170</v>
      </c>
      <c r="M71" s="221">
        <v>80</v>
      </c>
      <c r="N71" s="227">
        <f t="shared" si="2"/>
        <v>1145.06</v>
      </c>
      <c r="O71" s="226"/>
      <c r="P71" s="224" t="s">
        <v>262</v>
      </c>
      <c r="Q71" s="230" t="s">
        <v>1342</v>
      </c>
      <c r="R71" s="221" t="s">
        <v>143</v>
      </c>
      <c r="S71" s="145" t="s">
        <v>465</v>
      </c>
      <c r="T71" s="221" t="s">
        <v>88</v>
      </c>
      <c r="U71" s="221" t="s">
        <v>1419</v>
      </c>
      <c r="V71" s="221" t="s">
        <v>432</v>
      </c>
      <c r="W71" s="129"/>
      <c r="X71" s="129"/>
      <c r="Y71" s="221" t="s">
        <v>316</v>
      </c>
      <c r="Z71" s="221" t="s">
        <v>189</v>
      </c>
      <c r="AA71" s="222">
        <v>43124</v>
      </c>
      <c r="AB71" s="221" t="s">
        <v>782</v>
      </c>
      <c r="AC71" s="226">
        <f t="shared" si="3"/>
        <v>1</v>
      </c>
      <c r="AD71" s="147" t="s">
        <v>217</v>
      </c>
      <c r="AE71" s="147" t="s">
        <v>218</v>
      </c>
      <c r="AF71" s="221"/>
      <c r="AG71" s="129"/>
      <c r="AH71" s="64"/>
      <c r="AI71" s="129"/>
      <c r="AJ71" s="129"/>
      <c r="AK71" s="321"/>
      <c r="AL71" s="129"/>
      <c r="AM71" s="129"/>
    </row>
    <row r="72" spans="1:39" ht="15" customHeight="1">
      <c r="A72" s="147">
        <v>71</v>
      </c>
      <c r="B72" s="223">
        <v>215955</v>
      </c>
      <c r="C72" s="221" t="s">
        <v>1130</v>
      </c>
      <c r="D72" s="57">
        <v>43124</v>
      </c>
      <c r="E72" s="160" t="s">
        <v>1629</v>
      </c>
      <c r="F72" s="222">
        <v>43130</v>
      </c>
      <c r="G72" s="221">
        <v>6</v>
      </c>
      <c r="H72" s="221" t="s">
        <v>133</v>
      </c>
      <c r="I72" s="129"/>
      <c r="J72" s="129" t="s">
        <v>614</v>
      </c>
      <c r="K72" s="319">
        <v>999</v>
      </c>
      <c r="L72" s="221">
        <v>170</v>
      </c>
      <c r="M72" s="221">
        <v>80</v>
      </c>
      <c r="N72" s="227">
        <f t="shared" si="2"/>
        <v>769.06</v>
      </c>
      <c r="O72" s="226"/>
      <c r="P72" s="224" t="s">
        <v>264</v>
      </c>
      <c r="Q72" s="224" t="s">
        <v>1342</v>
      </c>
      <c r="R72" s="221" t="s">
        <v>143</v>
      </c>
      <c r="S72" s="145" t="s">
        <v>465</v>
      </c>
      <c r="T72" s="221" t="s">
        <v>88</v>
      </c>
      <c r="U72" s="221" t="s">
        <v>952</v>
      </c>
      <c r="V72" s="221" t="s">
        <v>432</v>
      </c>
      <c r="W72" s="129"/>
      <c r="X72" s="129"/>
      <c r="Y72" s="221" t="s">
        <v>316</v>
      </c>
      <c r="Z72" s="221" t="s">
        <v>189</v>
      </c>
      <c r="AA72" s="222">
        <v>43125</v>
      </c>
      <c r="AB72" s="221" t="s">
        <v>872</v>
      </c>
      <c r="AC72" s="226">
        <f t="shared" si="3"/>
        <v>1</v>
      </c>
      <c r="AD72" s="147" t="s">
        <v>217</v>
      </c>
      <c r="AE72" s="147" t="s">
        <v>218</v>
      </c>
      <c r="AF72" s="221"/>
      <c r="AG72" s="129"/>
      <c r="AH72" s="64"/>
      <c r="AI72" s="129" t="s">
        <v>184</v>
      </c>
      <c r="AJ72" s="130">
        <v>43131</v>
      </c>
      <c r="AK72" s="321" t="s">
        <v>2158</v>
      </c>
      <c r="AL72" s="129" t="s">
        <v>645</v>
      </c>
      <c r="AM72" s="130">
        <v>43131</v>
      </c>
    </row>
    <row r="73" spans="1:39" ht="15" customHeight="1">
      <c r="A73" s="147">
        <v>72</v>
      </c>
      <c r="B73" s="223">
        <v>216421</v>
      </c>
      <c r="C73" s="221" t="s">
        <v>128</v>
      </c>
      <c r="D73" s="57">
        <v>43124</v>
      </c>
      <c r="E73" s="160" t="s">
        <v>1629</v>
      </c>
      <c r="F73" s="222">
        <v>43139</v>
      </c>
      <c r="G73" s="221">
        <v>15</v>
      </c>
      <c r="H73" s="221" t="s">
        <v>133</v>
      </c>
      <c r="I73" s="129"/>
      <c r="J73" s="129" t="s">
        <v>614</v>
      </c>
      <c r="K73" s="319"/>
      <c r="L73" s="221"/>
      <c r="M73" s="221"/>
      <c r="N73" s="227">
        <f t="shared" si="2"/>
        <v>0</v>
      </c>
      <c r="O73" s="226"/>
      <c r="P73" s="224" t="s">
        <v>264</v>
      </c>
      <c r="Q73" s="224" t="s">
        <v>1342</v>
      </c>
      <c r="R73" s="221" t="s">
        <v>501</v>
      </c>
      <c r="S73" s="145" t="s">
        <v>466</v>
      </c>
      <c r="T73" s="221" t="s">
        <v>313</v>
      </c>
      <c r="U73" s="221" t="s">
        <v>1853</v>
      </c>
      <c r="V73" s="221" t="s">
        <v>257</v>
      </c>
      <c r="W73" s="129"/>
      <c r="X73" s="129"/>
      <c r="Y73" s="221"/>
      <c r="Z73" s="221" t="s">
        <v>259</v>
      </c>
      <c r="AB73" s="221"/>
      <c r="AC73" s="226">
        <f t="shared" si="3"/>
        <v>0</v>
      </c>
      <c r="AE73" s="147" t="s">
        <v>217</v>
      </c>
      <c r="AF73" s="147" t="s">
        <v>2353</v>
      </c>
      <c r="AG73" s="129"/>
      <c r="AH73" s="64"/>
      <c r="AI73" s="129"/>
      <c r="AJ73" s="129"/>
      <c r="AK73" s="321"/>
      <c r="AL73" s="129"/>
      <c r="AM73" s="129"/>
    </row>
    <row r="74" spans="1:39" ht="15" customHeight="1">
      <c r="A74" s="147">
        <v>73</v>
      </c>
      <c r="B74" s="223">
        <v>216215</v>
      </c>
      <c r="C74" s="221" t="s">
        <v>1130</v>
      </c>
      <c r="D74" s="57">
        <v>43124</v>
      </c>
      <c r="E74" s="160" t="s">
        <v>1629</v>
      </c>
      <c r="F74" s="222">
        <v>43137</v>
      </c>
      <c r="G74" s="221">
        <v>13</v>
      </c>
      <c r="H74" s="221" t="s">
        <v>133</v>
      </c>
      <c r="I74" s="129"/>
      <c r="J74" s="129" t="s">
        <v>614</v>
      </c>
      <c r="K74" s="319">
        <v>2770</v>
      </c>
      <c r="L74" s="221">
        <v>290</v>
      </c>
      <c r="M74" s="221">
        <v>270</v>
      </c>
      <c r="N74" s="227">
        <f t="shared" si="2"/>
        <v>2313.8000000000002</v>
      </c>
      <c r="O74" s="226"/>
      <c r="P74" s="224"/>
      <c r="Q74" s="224"/>
      <c r="R74" s="221" t="s">
        <v>134</v>
      </c>
      <c r="S74" s="145" t="s">
        <v>465</v>
      </c>
      <c r="T74" s="221" t="s">
        <v>88</v>
      </c>
      <c r="U74" s="221" t="s">
        <v>1460</v>
      </c>
      <c r="V74" s="221" t="s">
        <v>429</v>
      </c>
      <c r="W74" s="129"/>
      <c r="X74" s="129"/>
      <c r="Y74" s="221" t="s">
        <v>1172</v>
      </c>
      <c r="Z74" s="221" t="s">
        <v>189</v>
      </c>
      <c r="AA74" s="222">
        <v>43124</v>
      </c>
      <c r="AB74" s="221"/>
      <c r="AC74" s="226">
        <f t="shared" si="3"/>
        <v>1</v>
      </c>
      <c r="AD74" s="147" t="s">
        <v>217</v>
      </c>
      <c r="AE74" s="147" t="s">
        <v>218</v>
      </c>
      <c r="AF74" s="221"/>
      <c r="AG74" s="129"/>
      <c r="AH74" s="64"/>
      <c r="AI74" s="129"/>
      <c r="AJ74" s="129"/>
      <c r="AK74" s="321"/>
      <c r="AL74" s="129"/>
      <c r="AM74" s="129"/>
    </row>
    <row r="75" spans="1:39" ht="15" customHeight="1">
      <c r="A75" s="147">
        <v>74</v>
      </c>
      <c r="B75" s="223">
        <v>216876</v>
      </c>
      <c r="C75" s="221" t="s">
        <v>1130</v>
      </c>
      <c r="D75" s="57">
        <v>43126</v>
      </c>
      <c r="E75" s="160" t="s">
        <v>1629</v>
      </c>
      <c r="F75" s="222">
        <v>43141</v>
      </c>
      <c r="G75" s="221">
        <v>15</v>
      </c>
      <c r="H75" s="221" t="s">
        <v>133</v>
      </c>
      <c r="I75" s="129"/>
      <c r="J75" s="129"/>
      <c r="K75" s="319"/>
      <c r="L75" s="221"/>
      <c r="M75" s="221"/>
      <c r="N75" s="227">
        <f t="shared" si="2"/>
        <v>0</v>
      </c>
      <c r="O75" s="226"/>
      <c r="P75" s="224"/>
      <c r="Q75" s="224"/>
      <c r="R75" s="221" t="s">
        <v>122</v>
      </c>
      <c r="S75" s="145" t="s">
        <v>469</v>
      </c>
      <c r="T75" s="221" t="s">
        <v>114</v>
      </c>
      <c r="U75" s="221" t="s">
        <v>1855</v>
      </c>
      <c r="V75" s="221" t="s">
        <v>222</v>
      </c>
      <c r="W75" s="129"/>
      <c r="X75" s="129"/>
      <c r="Y75" s="221"/>
      <c r="Z75" s="221" t="s">
        <v>170</v>
      </c>
      <c r="AB75" s="221"/>
      <c r="AC75" s="226">
        <f t="shared" si="3"/>
        <v>0</v>
      </c>
      <c r="AE75" s="147" t="s">
        <v>217</v>
      </c>
      <c r="AF75" s="147" t="s">
        <v>2353</v>
      </c>
      <c r="AG75" s="129"/>
      <c r="AH75" s="64"/>
      <c r="AI75" s="129"/>
      <c r="AJ75" s="129"/>
      <c r="AK75" s="321"/>
      <c r="AL75" s="129"/>
      <c r="AM75" s="129"/>
    </row>
    <row r="76" spans="1:39" ht="15" customHeight="1">
      <c r="A76" s="147">
        <v>75</v>
      </c>
      <c r="B76" s="223">
        <v>216423</v>
      </c>
      <c r="C76" s="221" t="s">
        <v>1130</v>
      </c>
      <c r="D76" s="57">
        <v>43126</v>
      </c>
      <c r="E76" s="160" t="s">
        <v>1629</v>
      </c>
      <c r="F76" s="222">
        <v>43135</v>
      </c>
      <c r="G76" s="221">
        <v>9</v>
      </c>
      <c r="H76" s="221" t="s">
        <v>133</v>
      </c>
      <c r="I76" s="129"/>
      <c r="J76" s="129" t="s">
        <v>614</v>
      </c>
      <c r="K76" s="319">
        <v>1799</v>
      </c>
      <c r="L76" s="221">
        <v>250</v>
      </c>
      <c r="M76" s="221">
        <v>230</v>
      </c>
      <c r="N76" s="227">
        <f t="shared" si="2"/>
        <v>1441.06</v>
      </c>
      <c r="O76" s="226"/>
      <c r="P76" s="224"/>
      <c r="Q76" s="224"/>
      <c r="R76" s="221" t="s">
        <v>122</v>
      </c>
      <c r="S76" s="145" t="s">
        <v>469</v>
      </c>
      <c r="T76" s="221" t="s">
        <v>114</v>
      </c>
      <c r="U76" s="221" t="s">
        <v>1856</v>
      </c>
      <c r="V76" s="222" t="s">
        <v>169</v>
      </c>
      <c r="W76" s="129"/>
      <c r="X76" s="129"/>
      <c r="Y76" s="221" t="s">
        <v>316</v>
      </c>
      <c r="Z76" s="221" t="s">
        <v>170</v>
      </c>
      <c r="AA76" s="222">
        <v>43130</v>
      </c>
      <c r="AB76" s="221" t="s">
        <v>140</v>
      </c>
      <c r="AC76" s="226">
        <f t="shared" si="3"/>
        <v>1</v>
      </c>
      <c r="AD76" s="147" t="s">
        <v>217</v>
      </c>
      <c r="AE76" s="147" t="s">
        <v>218</v>
      </c>
      <c r="AF76" s="221"/>
      <c r="AG76" s="129"/>
      <c r="AH76" s="64"/>
      <c r="AI76" s="129" t="s">
        <v>184</v>
      </c>
      <c r="AJ76" s="130">
        <v>43131</v>
      </c>
      <c r="AK76" s="321" t="s">
        <v>2159</v>
      </c>
      <c r="AL76" s="129" t="s">
        <v>645</v>
      </c>
      <c r="AM76" s="130">
        <v>43131</v>
      </c>
    </row>
    <row r="77" spans="1:39" ht="15" customHeight="1">
      <c r="A77" s="147">
        <v>76</v>
      </c>
      <c r="B77" s="223">
        <v>216660</v>
      </c>
      <c r="C77" s="221" t="s">
        <v>1130</v>
      </c>
      <c r="D77" s="57">
        <v>43129</v>
      </c>
      <c r="E77" s="160" t="s">
        <v>1629</v>
      </c>
      <c r="F77" s="222">
        <v>43135</v>
      </c>
      <c r="G77" s="221">
        <v>6</v>
      </c>
      <c r="H77" s="221" t="s">
        <v>133</v>
      </c>
      <c r="I77" s="129"/>
      <c r="J77" s="129" t="s">
        <v>614</v>
      </c>
      <c r="K77" s="319"/>
      <c r="L77" s="221"/>
      <c r="M77" s="221"/>
      <c r="N77" s="227">
        <f t="shared" si="2"/>
        <v>0</v>
      </c>
      <c r="O77" s="226"/>
      <c r="P77" s="224"/>
      <c r="Q77" s="224"/>
      <c r="R77" s="221" t="s">
        <v>122</v>
      </c>
      <c r="S77" s="145" t="s">
        <v>469</v>
      </c>
      <c r="T77" s="221" t="s">
        <v>114</v>
      </c>
      <c r="U77" s="221" t="s">
        <v>444</v>
      </c>
      <c r="V77" s="222" t="s">
        <v>169</v>
      </c>
      <c r="W77" s="129"/>
      <c r="X77" s="129"/>
      <c r="Y77" s="221"/>
      <c r="Z77" s="221" t="s">
        <v>170</v>
      </c>
      <c r="AB77" s="221"/>
      <c r="AC77" s="226">
        <f t="shared" si="3"/>
        <v>0</v>
      </c>
      <c r="AE77" s="147" t="s">
        <v>217</v>
      </c>
      <c r="AF77" s="147" t="s">
        <v>2353</v>
      </c>
      <c r="AG77" s="129"/>
      <c r="AH77" s="64"/>
      <c r="AI77" s="129"/>
      <c r="AJ77" s="129"/>
      <c r="AK77" s="321"/>
      <c r="AL77" s="129"/>
      <c r="AM77" s="129"/>
    </row>
    <row r="78" spans="1:39" ht="15" customHeight="1">
      <c r="A78" s="147">
        <v>77</v>
      </c>
      <c r="B78" s="223">
        <v>216844</v>
      </c>
      <c r="C78" s="221" t="s">
        <v>128</v>
      </c>
      <c r="D78" s="57">
        <v>43130</v>
      </c>
      <c r="E78" s="160" t="s">
        <v>1629</v>
      </c>
      <c r="F78" s="222">
        <v>43140</v>
      </c>
      <c r="G78" s="221">
        <v>10</v>
      </c>
      <c r="H78" s="221" t="s">
        <v>133</v>
      </c>
      <c r="I78" s="129"/>
      <c r="J78" s="129" t="s">
        <v>614</v>
      </c>
      <c r="K78" s="319">
        <v>3999</v>
      </c>
      <c r="L78" s="221">
        <v>500</v>
      </c>
      <c r="M78" s="221">
        <v>255</v>
      </c>
      <c r="N78" s="227">
        <f t="shared" si="2"/>
        <v>3259.06</v>
      </c>
      <c r="O78" s="226"/>
      <c r="P78" s="224"/>
      <c r="Q78" s="224"/>
      <c r="R78" s="221" t="s">
        <v>1922</v>
      </c>
      <c r="S78" s="145" t="s">
        <v>465</v>
      </c>
      <c r="T78" s="221" t="s">
        <v>1923</v>
      </c>
      <c r="U78" s="221" t="s">
        <v>1924</v>
      </c>
      <c r="V78" s="221" t="s">
        <v>90</v>
      </c>
      <c r="W78" s="129"/>
      <c r="X78" s="129"/>
      <c r="Y78" s="221" t="s">
        <v>1616</v>
      </c>
      <c r="Z78" s="221" t="s">
        <v>246</v>
      </c>
      <c r="AA78" s="222">
        <v>43130</v>
      </c>
      <c r="AB78" s="221" t="s">
        <v>195</v>
      </c>
      <c r="AC78" s="226">
        <f t="shared" si="3"/>
        <v>1</v>
      </c>
      <c r="AD78" s="147" t="s">
        <v>217</v>
      </c>
      <c r="AE78" s="147" t="s">
        <v>218</v>
      </c>
      <c r="AF78" s="221"/>
      <c r="AG78" s="129"/>
      <c r="AH78" s="64"/>
      <c r="AI78" s="129"/>
      <c r="AJ78" s="129"/>
      <c r="AK78" s="321"/>
      <c r="AL78" s="129"/>
      <c r="AM78" s="129"/>
    </row>
    <row r="79" spans="1:39" ht="15" customHeight="1">
      <c r="A79" s="147">
        <v>78</v>
      </c>
      <c r="B79" s="223">
        <v>216828</v>
      </c>
      <c r="C79" s="221" t="s">
        <v>1130</v>
      </c>
      <c r="D79" s="57">
        <v>43130</v>
      </c>
      <c r="E79" s="160" t="s">
        <v>1629</v>
      </c>
      <c r="F79" s="222">
        <v>43136</v>
      </c>
      <c r="G79" s="221">
        <v>6</v>
      </c>
      <c r="H79" s="221" t="s">
        <v>133</v>
      </c>
      <c r="I79" s="129"/>
      <c r="J79" s="129" t="s">
        <v>614</v>
      </c>
      <c r="K79" s="319">
        <v>960</v>
      </c>
      <c r="L79" s="221">
        <v>170</v>
      </c>
      <c r="M79" s="221">
        <v>80</v>
      </c>
      <c r="N79" s="227">
        <f t="shared" si="2"/>
        <v>732.4</v>
      </c>
      <c r="O79" s="226"/>
      <c r="P79" s="224"/>
      <c r="Q79" s="224"/>
      <c r="R79" s="221" t="s">
        <v>134</v>
      </c>
      <c r="S79" s="145" t="s">
        <v>465</v>
      </c>
      <c r="T79" s="221" t="s">
        <v>88</v>
      </c>
      <c r="U79" s="221" t="s">
        <v>1285</v>
      </c>
      <c r="V79" s="221" t="s">
        <v>432</v>
      </c>
      <c r="W79" s="129"/>
      <c r="X79" s="129"/>
      <c r="Y79" s="221" t="s">
        <v>316</v>
      </c>
      <c r="Z79" s="221" t="s">
        <v>189</v>
      </c>
      <c r="AA79" s="222">
        <v>43131</v>
      </c>
      <c r="AB79" s="221" t="s">
        <v>872</v>
      </c>
      <c r="AC79" s="226">
        <f t="shared" si="3"/>
        <v>1</v>
      </c>
      <c r="AD79" s="147" t="s">
        <v>217</v>
      </c>
      <c r="AE79" s="147" t="s">
        <v>218</v>
      </c>
      <c r="AF79" s="221"/>
      <c r="AG79" s="129"/>
      <c r="AH79" s="64"/>
      <c r="AI79" s="129" t="s">
        <v>184</v>
      </c>
      <c r="AJ79" s="130">
        <v>43131</v>
      </c>
      <c r="AK79" s="321" t="s">
        <v>2160</v>
      </c>
      <c r="AL79" s="129" t="s">
        <v>645</v>
      </c>
      <c r="AM79" s="130">
        <v>43131</v>
      </c>
    </row>
    <row r="80" spans="1:39" ht="15" customHeight="1">
      <c r="A80" s="147">
        <v>79</v>
      </c>
      <c r="B80" s="223">
        <v>217003</v>
      </c>
      <c r="C80" s="221" t="s">
        <v>1130</v>
      </c>
      <c r="D80" s="57">
        <v>43130</v>
      </c>
      <c r="E80" s="160" t="s">
        <v>1629</v>
      </c>
      <c r="F80" s="222">
        <v>43141</v>
      </c>
      <c r="G80" s="221">
        <v>11</v>
      </c>
      <c r="H80" s="221" t="s">
        <v>133</v>
      </c>
      <c r="I80" s="129"/>
      <c r="J80" s="129" t="s">
        <v>614</v>
      </c>
      <c r="K80" s="319"/>
      <c r="L80" s="221"/>
      <c r="M80" s="221"/>
      <c r="N80" s="227">
        <f t="shared" si="2"/>
        <v>0</v>
      </c>
      <c r="O80" s="226"/>
      <c r="P80" s="224"/>
      <c r="Q80" s="224"/>
      <c r="R80" s="221" t="s">
        <v>134</v>
      </c>
      <c r="S80" s="145" t="s">
        <v>465</v>
      </c>
      <c r="T80" s="221" t="s">
        <v>164</v>
      </c>
      <c r="U80" s="221" t="s">
        <v>1672</v>
      </c>
      <c r="V80" s="221" t="s">
        <v>1920</v>
      </c>
      <c r="W80" s="129"/>
      <c r="X80" s="129"/>
      <c r="Y80" s="221"/>
      <c r="Z80" s="221" t="s">
        <v>379</v>
      </c>
      <c r="AB80" s="221"/>
      <c r="AC80" s="226">
        <f t="shared" si="3"/>
        <v>0</v>
      </c>
      <c r="AE80" s="147" t="s">
        <v>217</v>
      </c>
      <c r="AF80" s="147" t="s">
        <v>2353</v>
      </c>
      <c r="AG80" s="129"/>
      <c r="AH80" s="64"/>
      <c r="AI80" s="129"/>
      <c r="AJ80" s="129"/>
      <c r="AK80" s="129"/>
      <c r="AL80" s="129"/>
      <c r="AM80" s="129"/>
    </row>
    <row r="81" spans="1:39" ht="15" customHeight="1">
      <c r="A81" s="147">
        <v>80</v>
      </c>
      <c r="B81" s="223">
        <v>214953</v>
      </c>
      <c r="C81" s="221" t="s">
        <v>128</v>
      </c>
      <c r="D81" s="57">
        <v>43130</v>
      </c>
      <c r="E81" s="160" t="s">
        <v>1629</v>
      </c>
      <c r="F81" s="222">
        <v>43143</v>
      </c>
      <c r="G81" s="221">
        <v>13</v>
      </c>
      <c r="H81" s="221" t="s">
        <v>133</v>
      </c>
      <c r="I81" s="129"/>
      <c r="J81" s="129" t="s">
        <v>614</v>
      </c>
      <c r="K81" s="319">
        <v>1899</v>
      </c>
      <c r="L81" s="221">
        <v>660</v>
      </c>
      <c r="M81" s="221">
        <v>160</v>
      </c>
      <c r="N81" s="227">
        <f t="shared" si="2"/>
        <v>1125.06</v>
      </c>
      <c r="O81" s="226"/>
      <c r="P81" s="224"/>
      <c r="Q81" s="224"/>
      <c r="R81" s="221" t="s">
        <v>122</v>
      </c>
      <c r="S81" s="145" t="s">
        <v>469</v>
      </c>
      <c r="T81" s="221" t="s">
        <v>829</v>
      </c>
      <c r="U81" s="221" t="s">
        <v>1921</v>
      </c>
      <c r="V81" s="221" t="s">
        <v>90</v>
      </c>
      <c r="W81" s="129"/>
      <c r="X81" s="129"/>
      <c r="Y81" s="221" t="s">
        <v>1941</v>
      </c>
      <c r="Z81" s="221" t="s">
        <v>296</v>
      </c>
      <c r="AA81" s="222">
        <v>43133</v>
      </c>
      <c r="AB81" s="221" t="s">
        <v>1102</v>
      </c>
      <c r="AC81" s="226">
        <f t="shared" si="3"/>
        <v>1</v>
      </c>
      <c r="AD81" s="147" t="s">
        <v>217</v>
      </c>
      <c r="AE81" s="147" t="s">
        <v>218</v>
      </c>
      <c r="AF81" s="221"/>
      <c r="AG81" s="129"/>
      <c r="AH81" s="64"/>
      <c r="AI81" s="129"/>
      <c r="AJ81" s="129"/>
      <c r="AK81" s="129"/>
      <c r="AL81" s="129"/>
      <c r="AM81" s="129"/>
    </row>
    <row r="82" spans="1:39" ht="15" customHeight="1">
      <c r="A82" s="147">
        <v>81</v>
      </c>
      <c r="B82" s="223">
        <v>216641</v>
      </c>
      <c r="C82" s="221" t="s">
        <v>1628</v>
      </c>
      <c r="D82" s="57">
        <v>43130</v>
      </c>
      <c r="E82" s="160" t="s">
        <v>1629</v>
      </c>
      <c r="F82" s="222">
        <v>43139</v>
      </c>
      <c r="G82" s="221">
        <v>9</v>
      </c>
      <c r="H82" s="221" t="s">
        <v>133</v>
      </c>
      <c r="I82" s="129"/>
      <c r="J82" s="129" t="s">
        <v>614</v>
      </c>
      <c r="K82" s="319">
        <v>2399</v>
      </c>
      <c r="L82" s="221">
        <v>120</v>
      </c>
      <c r="M82" s="221">
        <v>80</v>
      </c>
      <c r="N82" s="227">
        <f t="shared" si="2"/>
        <v>2135.06</v>
      </c>
      <c r="O82" s="226"/>
      <c r="P82" s="224"/>
      <c r="Q82" s="224"/>
      <c r="R82" s="221" t="s">
        <v>143</v>
      </c>
      <c r="S82" s="145" t="s">
        <v>465</v>
      </c>
      <c r="T82" s="221" t="s">
        <v>164</v>
      </c>
      <c r="U82" s="221" t="s">
        <v>1197</v>
      </c>
      <c r="V82" s="221" t="s">
        <v>453</v>
      </c>
      <c r="W82" s="129"/>
      <c r="X82" s="129"/>
      <c r="Y82" s="221" t="s">
        <v>1942</v>
      </c>
      <c r="Z82" s="221" t="s">
        <v>202</v>
      </c>
      <c r="AA82" s="222">
        <v>43131</v>
      </c>
      <c r="AB82" s="221" t="s">
        <v>140</v>
      </c>
      <c r="AC82" s="226">
        <f t="shared" si="3"/>
        <v>1</v>
      </c>
      <c r="AD82" s="147" t="s">
        <v>217</v>
      </c>
      <c r="AE82" s="147" t="s">
        <v>218</v>
      </c>
      <c r="AF82" s="221"/>
      <c r="AG82" s="129"/>
      <c r="AH82" s="64"/>
      <c r="AI82" s="129"/>
      <c r="AJ82" s="129"/>
      <c r="AK82" s="129"/>
      <c r="AL82" s="129"/>
      <c r="AM82" s="129"/>
    </row>
    <row r="83" spans="1:39" ht="15" customHeight="1">
      <c r="A83" s="147">
        <v>82</v>
      </c>
      <c r="B83" s="223">
        <v>216715</v>
      </c>
      <c r="C83" s="221" t="s">
        <v>1628</v>
      </c>
      <c r="D83" s="57">
        <v>43131</v>
      </c>
      <c r="E83" s="160" t="s">
        <v>1629</v>
      </c>
      <c r="F83" s="222">
        <v>43136</v>
      </c>
      <c r="G83" s="221">
        <v>5</v>
      </c>
      <c r="H83" s="221" t="s">
        <v>133</v>
      </c>
      <c r="I83" s="129"/>
      <c r="J83" s="129" t="s">
        <v>614</v>
      </c>
      <c r="K83" s="319">
        <v>3099</v>
      </c>
      <c r="L83" s="221">
        <v>437</v>
      </c>
      <c r="M83" s="221">
        <v>0</v>
      </c>
      <c r="N83" s="227">
        <f t="shared" si="2"/>
        <v>0</v>
      </c>
      <c r="O83" s="226"/>
      <c r="P83" s="224"/>
      <c r="Q83" s="224"/>
      <c r="R83" s="221" t="s">
        <v>134</v>
      </c>
      <c r="S83" s="145" t="s">
        <v>465</v>
      </c>
      <c r="T83" s="221" t="s">
        <v>164</v>
      </c>
      <c r="U83" s="221" t="s">
        <v>1672</v>
      </c>
      <c r="V83" s="221" t="s">
        <v>1322</v>
      </c>
      <c r="W83" s="129"/>
      <c r="X83" s="129"/>
      <c r="Y83" s="221" t="s">
        <v>1942</v>
      </c>
      <c r="Z83" s="221" t="s">
        <v>202</v>
      </c>
      <c r="AA83" s="222">
        <v>43138</v>
      </c>
      <c r="AB83" s="221" t="s">
        <v>1939</v>
      </c>
      <c r="AC83" s="226">
        <f t="shared" si="3"/>
        <v>0</v>
      </c>
      <c r="AE83" s="147" t="s">
        <v>217</v>
      </c>
      <c r="AF83" s="148" t="s">
        <v>2265</v>
      </c>
      <c r="AG83" s="129"/>
      <c r="AH83" s="64"/>
      <c r="AI83" s="129"/>
      <c r="AJ83" s="129"/>
      <c r="AK83" s="129"/>
      <c r="AL83" s="129"/>
      <c r="AM83" s="129"/>
    </row>
    <row r="84" spans="1:39" ht="15" customHeight="1">
      <c r="A84" s="147">
        <v>83</v>
      </c>
      <c r="B84" s="223">
        <v>217139</v>
      </c>
      <c r="C84" s="221" t="s">
        <v>1130</v>
      </c>
      <c r="D84" s="57">
        <v>43131</v>
      </c>
      <c r="E84" s="160" t="s">
        <v>1629</v>
      </c>
      <c r="F84" s="222">
        <v>43141</v>
      </c>
      <c r="G84" s="221">
        <v>10</v>
      </c>
      <c r="H84" s="221" t="s">
        <v>133</v>
      </c>
      <c r="I84" s="129"/>
      <c r="J84" s="129" t="s">
        <v>614</v>
      </c>
      <c r="K84" s="319">
        <v>3740</v>
      </c>
      <c r="L84" s="221">
        <v>290</v>
      </c>
      <c r="M84" s="221">
        <v>120</v>
      </c>
      <c r="N84" s="227">
        <f t="shared" si="2"/>
        <v>3225.6</v>
      </c>
      <c r="O84" s="226"/>
      <c r="P84" s="224"/>
      <c r="Q84" s="224"/>
      <c r="R84" s="221" t="s">
        <v>134</v>
      </c>
      <c r="S84" s="145" t="s">
        <v>465</v>
      </c>
      <c r="T84" s="221" t="s">
        <v>88</v>
      </c>
      <c r="U84" s="221" t="s">
        <v>1460</v>
      </c>
      <c r="V84" s="221" t="s">
        <v>429</v>
      </c>
      <c r="W84" s="129"/>
      <c r="X84" s="129"/>
      <c r="Y84" s="221" t="s">
        <v>316</v>
      </c>
      <c r="Z84" s="221" t="s">
        <v>189</v>
      </c>
      <c r="AA84" s="222">
        <v>43133</v>
      </c>
      <c r="AB84" s="221" t="s">
        <v>1102</v>
      </c>
      <c r="AC84" s="226">
        <f t="shared" si="3"/>
        <v>1</v>
      </c>
      <c r="AD84" s="147" t="s">
        <v>217</v>
      </c>
      <c r="AE84" s="147" t="s">
        <v>218</v>
      </c>
      <c r="AF84" s="221"/>
      <c r="AG84" s="129"/>
      <c r="AH84" s="64"/>
      <c r="AI84" s="129" t="s">
        <v>184</v>
      </c>
      <c r="AJ84" s="130">
        <v>43147</v>
      </c>
      <c r="AK84" s="129" t="s">
        <v>2181</v>
      </c>
      <c r="AL84" s="129"/>
      <c r="AM84" s="130">
        <v>43147</v>
      </c>
    </row>
    <row r="85" spans="1:39" ht="15" customHeight="1">
      <c r="A85" s="147">
        <v>84</v>
      </c>
      <c r="B85" s="223">
        <v>217025</v>
      </c>
      <c r="C85" s="221" t="s">
        <v>1130</v>
      </c>
      <c r="D85" s="57">
        <v>43131</v>
      </c>
      <c r="E85" s="160" t="s">
        <v>1629</v>
      </c>
      <c r="F85" s="222">
        <v>43136</v>
      </c>
      <c r="G85" s="221">
        <v>5</v>
      </c>
      <c r="H85" s="221" t="s">
        <v>133</v>
      </c>
      <c r="I85" s="129"/>
      <c r="J85" s="129" t="s">
        <v>614</v>
      </c>
      <c r="K85" s="319">
        <v>2909</v>
      </c>
      <c r="L85" s="221">
        <v>290</v>
      </c>
      <c r="M85" s="221">
        <v>120</v>
      </c>
      <c r="N85" s="227">
        <f t="shared" si="2"/>
        <v>2444.46</v>
      </c>
      <c r="O85" s="226"/>
      <c r="P85" s="224"/>
      <c r="Q85" s="224"/>
      <c r="R85" s="221" t="s">
        <v>134</v>
      </c>
      <c r="S85" s="145" t="s">
        <v>465</v>
      </c>
      <c r="T85" s="221" t="s">
        <v>88</v>
      </c>
      <c r="U85" s="221" t="s">
        <v>1460</v>
      </c>
      <c r="V85" s="221" t="s">
        <v>429</v>
      </c>
      <c r="W85" s="129"/>
      <c r="X85" s="129"/>
      <c r="Y85" s="221" t="s">
        <v>1172</v>
      </c>
      <c r="Z85" s="221" t="s">
        <v>189</v>
      </c>
      <c r="AA85" s="222">
        <v>43131</v>
      </c>
      <c r="AB85" s="221"/>
      <c r="AC85" s="226">
        <f t="shared" si="3"/>
        <v>1</v>
      </c>
      <c r="AD85" s="147" t="s">
        <v>217</v>
      </c>
      <c r="AE85" s="147" t="s">
        <v>218</v>
      </c>
      <c r="AF85" s="221"/>
      <c r="AG85" s="129"/>
      <c r="AH85" s="64"/>
      <c r="AI85" s="129"/>
      <c r="AJ85" s="129"/>
      <c r="AK85" s="129"/>
      <c r="AL85" s="129"/>
      <c r="AM85" s="129"/>
    </row>
    <row r="86" spans="1:39" ht="15" customHeight="1">
      <c r="A86" s="147">
        <v>85</v>
      </c>
      <c r="B86" s="223">
        <v>217469</v>
      </c>
      <c r="C86" s="221" t="s">
        <v>1130</v>
      </c>
      <c r="D86" s="57">
        <v>43133</v>
      </c>
      <c r="E86" s="160" t="s">
        <v>1931</v>
      </c>
      <c r="F86" s="222">
        <v>43141</v>
      </c>
      <c r="G86" s="221">
        <v>8</v>
      </c>
      <c r="H86" s="221" t="s">
        <v>133</v>
      </c>
      <c r="I86" s="129"/>
      <c r="J86" s="129" t="s">
        <v>614</v>
      </c>
      <c r="K86" s="319">
        <v>1899</v>
      </c>
      <c r="L86" s="221">
        <v>280</v>
      </c>
      <c r="M86" s="221">
        <v>230</v>
      </c>
      <c r="N86" s="227">
        <f t="shared" si="2"/>
        <v>1505.06</v>
      </c>
      <c r="O86" s="226"/>
      <c r="P86" s="224"/>
      <c r="Q86" s="224"/>
      <c r="R86" s="221" t="s">
        <v>122</v>
      </c>
      <c r="S86" s="145" t="s">
        <v>469</v>
      </c>
      <c r="T86" s="221" t="s">
        <v>114</v>
      </c>
      <c r="U86" s="221" t="s">
        <v>1932</v>
      </c>
      <c r="V86" s="222" t="s">
        <v>169</v>
      </c>
      <c r="W86" s="129"/>
      <c r="X86" s="129"/>
      <c r="Y86" s="221" t="s">
        <v>316</v>
      </c>
      <c r="Z86" s="221" t="s">
        <v>170</v>
      </c>
      <c r="AA86" s="222">
        <v>43136</v>
      </c>
      <c r="AB86" s="221" t="s">
        <v>872</v>
      </c>
      <c r="AC86" s="226">
        <f t="shared" si="3"/>
        <v>1</v>
      </c>
      <c r="AD86" s="147" t="s">
        <v>217</v>
      </c>
      <c r="AE86" s="147" t="s">
        <v>218</v>
      </c>
      <c r="AF86" s="221"/>
      <c r="AG86" s="129"/>
      <c r="AH86" s="64"/>
      <c r="AI86" s="129" t="s">
        <v>184</v>
      </c>
      <c r="AJ86" s="130">
        <v>43147</v>
      </c>
      <c r="AK86" s="129" t="s">
        <v>2180</v>
      </c>
      <c r="AL86" s="129"/>
      <c r="AM86" s="130">
        <v>43147</v>
      </c>
    </row>
    <row r="87" spans="1:39" ht="15" customHeight="1">
      <c r="A87" s="147">
        <v>86</v>
      </c>
      <c r="B87" s="223">
        <v>217494</v>
      </c>
      <c r="C87" s="221" t="s">
        <v>1130</v>
      </c>
      <c r="D87" s="57">
        <v>43136</v>
      </c>
      <c r="E87" s="160" t="s">
        <v>1931</v>
      </c>
      <c r="F87" s="222">
        <v>43141</v>
      </c>
      <c r="G87" s="221">
        <v>5</v>
      </c>
      <c r="H87" s="221" t="s">
        <v>133</v>
      </c>
      <c r="I87" s="129"/>
      <c r="J87" s="129" t="s">
        <v>614</v>
      </c>
      <c r="K87" s="319">
        <v>999</v>
      </c>
      <c r="L87" s="221">
        <v>190</v>
      </c>
      <c r="M87" s="221">
        <v>80</v>
      </c>
      <c r="N87" s="227">
        <f t="shared" si="2"/>
        <v>749.06</v>
      </c>
      <c r="O87" s="226"/>
      <c r="P87" s="224"/>
      <c r="Q87" s="224"/>
      <c r="R87" s="221" t="s">
        <v>143</v>
      </c>
      <c r="S87" s="145" t="s">
        <v>465</v>
      </c>
      <c r="T87" s="221" t="s">
        <v>88</v>
      </c>
      <c r="U87" s="221" t="s">
        <v>1285</v>
      </c>
      <c r="V87" s="221" t="s">
        <v>432</v>
      </c>
      <c r="W87" s="129"/>
      <c r="X87" s="129"/>
      <c r="Y87" s="221" t="s">
        <v>316</v>
      </c>
      <c r="Z87" s="221" t="s">
        <v>189</v>
      </c>
      <c r="AA87" s="222">
        <v>43137</v>
      </c>
      <c r="AB87" s="221" t="s">
        <v>872</v>
      </c>
      <c r="AC87" s="226">
        <f t="shared" si="3"/>
        <v>1</v>
      </c>
      <c r="AD87" s="147" t="s">
        <v>217</v>
      </c>
      <c r="AE87" s="147" t="s">
        <v>218</v>
      </c>
      <c r="AF87" s="221"/>
      <c r="AG87" s="129"/>
      <c r="AH87" s="64"/>
      <c r="AI87" s="129" t="s">
        <v>184</v>
      </c>
      <c r="AJ87" s="130">
        <v>43147</v>
      </c>
      <c r="AK87" s="129" t="s">
        <v>2182</v>
      </c>
      <c r="AL87" s="129"/>
      <c r="AM87" s="130">
        <v>43147</v>
      </c>
    </row>
    <row r="88" spans="1:39" ht="15" customHeight="1">
      <c r="A88" s="147">
        <v>87</v>
      </c>
      <c r="B88" s="223">
        <v>217547</v>
      </c>
      <c r="C88" s="221" t="s">
        <v>1130</v>
      </c>
      <c r="D88" s="57">
        <v>43136</v>
      </c>
      <c r="E88" s="160" t="s">
        <v>1931</v>
      </c>
      <c r="F88" s="222">
        <v>43142</v>
      </c>
      <c r="G88" s="221">
        <v>6</v>
      </c>
      <c r="H88" s="221" t="s">
        <v>133</v>
      </c>
      <c r="I88" s="129"/>
      <c r="J88" s="129" t="s">
        <v>614</v>
      </c>
      <c r="K88" s="319">
        <v>1099</v>
      </c>
      <c r="L88" s="221">
        <v>190</v>
      </c>
      <c r="M88" s="221">
        <v>400</v>
      </c>
      <c r="N88" s="227">
        <f t="shared" si="2"/>
        <v>633.05999999999995</v>
      </c>
      <c r="O88" s="226"/>
      <c r="P88" s="224"/>
      <c r="Q88" s="224"/>
      <c r="R88" s="221" t="s">
        <v>143</v>
      </c>
      <c r="S88" s="145" t="s">
        <v>465</v>
      </c>
      <c r="T88" s="221" t="s">
        <v>88</v>
      </c>
      <c r="U88" s="221" t="s">
        <v>1227</v>
      </c>
      <c r="V88" s="221" t="s">
        <v>432</v>
      </c>
      <c r="W88" s="129"/>
      <c r="X88" s="129"/>
      <c r="Y88" s="221" t="s">
        <v>316</v>
      </c>
      <c r="Z88" s="221" t="s">
        <v>189</v>
      </c>
      <c r="AA88" s="222">
        <v>43137</v>
      </c>
      <c r="AB88" s="221" t="s">
        <v>872</v>
      </c>
      <c r="AC88" s="226">
        <f t="shared" si="3"/>
        <v>1</v>
      </c>
      <c r="AD88" s="147" t="s">
        <v>217</v>
      </c>
      <c r="AE88" s="147" t="s">
        <v>218</v>
      </c>
      <c r="AF88" s="221"/>
      <c r="AG88" s="129"/>
      <c r="AH88" s="64"/>
      <c r="AI88" s="129" t="s">
        <v>184</v>
      </c>
      <c r="AJ88" s="130">
        <v>43147</v>
      </c>
      <c r="AK88" s="129" t="s">
        <v>2183</v>
      </c>
      <c r="AL88" s="129"/>
      <c r="AM88" s="130">
        <v>43147</v>
      </c>
    </row>
    <row r="89" spans="1:39" ht="15" customHeight="1">
      <c r="A89" s="147">
        <v>88</v>
      </c>
      <c r="B89" s="223">
        <v>217363</v>
      </c>
      <c r="C89" s="221" t="s">
        <v>1130</v>
      </c>
      <c r="D89" s="57">
        <v>43136</v>
      </c>
      <c r="E89" s="160" t="s">
        <v>1931</v>
      </c>
      <c r="F89" s="222">
        <v>43145</v>
      </c>
      <c r="G89" s="221">
        <v>9</v>
      </c>
      <c r="H89" s="221" t="s">
        <v>133</v>
      </c>
      <c r="I89" s="129"/>
      <c r="J89" s="129" t="s">
        <v>614</v>
      </c>
      <c r="K89" s="319"/>
      <c r="L89" s="221"/>
      <c r="M89" s="221"/>
      <c r="N89" s="227">
        <f t="shared" si="2"/>
        <v>0</v>
      </c>
      <c r="O89" s="226"/>
      <c r="P89" s="224"/>
      <c r="Q89" s="224"/>
      <c r="R89" s="221" t="s">
        <v>134</v>
      </c>
      <c r="S89" s="145" t="s">
        <v>465</v>
      </c>
      <c r="T89" s="221" t="s">
        <v>114</v>
      </c>
      <c r="U89" s="221" t="s">
        <v>1935</v>
      </c>
      <c r="V89" s="221" t="s">
        <v>187</v>
      </c>
      <c r="W89" s="129"/>
      <c r="X89" s="129"/>
      <c r="Y89" s="221"/>
      <c r="Z89" s="221" t="s">
        <v>147</v>
      </c>
      <c r="AB89" s="221"/>
      <c r="AC89" s="226">
        <f t="shared" si="3"/>
        <v>0</v>
      </c>
      <c r="AE89" s="147" t="s">
        <v>217</v>
      </c>
      <c r="AF89" s="147" t="s">
        <v>2353</v>
      </c>
      <c r="AG89" s="129"/>
      <c r="AH89" s="64"/>
      <c r="AI89" s="129"/>
      <c r="AJ89" s="129"/>
      <c r="AK89" s="129"/>
      <c r="AL89" s="129"/>
      <c r="AM89" s="129"/>
    </row>
    <row r="90" spans="1:39" ht="15" customHeight="1">
      <c r="A90" s="147">
        <v>89</v>
      </c>
      <c r="B90" s="223">
        <v>216820</v>
      </c>
      <c r="C90" s="221" t="s">
        <v>1628</v>
      </c>
      <c r="D90" s="57">
        <v>43136</v>
      </c>
      <c r="E90" s="160" t="s">
        <v>1931</v>
      </c>
      <c r="F90" s="222">
        <v>43140</v>
      </c>
      <c r="G90" s="221">
        <v>4</v>
      </c>
      <c r="H90" s="221" t="s">
        <v>133</v>
      </c>
      <c r="I90" s="129"/>
      <c r="J90" s="129" t="s">
        <v>614</v>
      </c>
      <c r="K90" s="319">
        <v>1446</v>
      </c>
      <c r="L90" s="221"/>
      <c r="M90" s="221"/>
      <c r="N90" s="227">
        <f t="shared" si="2"/>
        <v>0</v>
      </c>
      <c r="O90" s="226"/>
      <c r="P90" s="224"/>
      <c r="Q90" s="224"/>
      <c r="R90" s="221" t="s">
        <v>787</v>
      </c>
      <c r="S90" s="145" t="s">
        <v>466</v>
      </c>
      <c r="T90" s="221" t="s">
        <v>313</v>
      </c>
      <c r="U90" s="221" t="s">
        <v>1943</v>
      </c>
      <c r="V90" s="221" t="s">
        <v>222</v>
      </c>
      <c r="W90" s="129"/>
      <c r="X90" s="129"/>
      <c r="Y90" s="221"/>
      <c r="Z90" s="221" t="s">
        <v>489</v>
      </c>
      <c r="AB90" s="221"/>
      <c r="AC90" s="226">
        <f t="shared" si="3"/>
        <v>0</v>
      </c>
      <c r="AE90" s="147" t="s">
        <v>217</v>
      </c>
      <c r="AF90" s="147" t="s">
        <v>2353</v>
      </c>
      <c r="AG90" s="129"/>
      <c r="AH90" s="64"/>
      <c r="AI90" s="129"/>
      <c r="AJ90" s="129"/>
      <c r="AK90" s="129"/>
      <c r="AL90" s="129"/>
      <c r="AM90" s="129"/>
    </row>
    <row r="91" spans="1:39" ht="15" customHeight="1">
      <c r="A91" s="147">
        <v>90</v>
      </c>
      <c r="B91" s="223">
        <v>217878</v>
      </c>
      <c r="C91" s="221" t="s">
        <v>1130</v>
      </c>
      <c r="D91" s="57">
        <v>43138</v>
      </c>
      <c r="E91" s="160" t="s">
        <v>1931</v>
      </c>
      <c r="F91" s="222">
        <v>43148</v>
      </c>
      <c r="G91" s="221">
        <v>10</v>
      </c>
      <c r="H91" s="221" t="s">
        <v>133</v>
      </c>
      <c r="I91" s="129"/>
      <c r="J91" s="129" t="s">
        <v>614</v>
      </c>
      <c r="K91" s="319">
        <v>1838</v>
      </c>
      <c r="L91" s="221">
        <v>270</v>
      </c>
      <c r="M91" s="221">
        <v>250</v>
      </c>
      <c r="N91" s="227">
        <f t="shared" si="2"/>
        <v>1457.72</v>
      </c>
      <c r="O91" s="226"/>
      <c r="P91" s="224"/>
      <c r="Q91" s="224"/>
      <c r="R91" s="221" t="s">
        <v>122</v>
      </c>
      <c r="S91" s="145" t="s">
        <v>469</v>
      </c>
      <c r="T91" s="221" t="s">
        <v>114</v>
      </c>
      <c r="U91" s="221" t="s">
        <v>1940</v>
      </c>
      <c r="V91" s="222" t="s">
        <v>169</v>
      </c>
      <c r="W91" s="129"/>
      <c r="X91" s="129"/>
      <c r="Y91" s="221" t="s">
        <v>316</v>
      </c>
      <c r="Z91" s="221" t="s">
        <v>170</v>
      </c>
      <c r="AA91" s="222">
        <v>43139</v>
      </c>
      <c r="AB91" s="221" t="s">
        <v>140</v>
      </c>
      <c r="AC91" s="226">
        <f t="shared" si="3"/>
        <v>1</v>
      </c>
      <c r="AD91" s="147" t="s">
        <v>217</v>
      </c>
      <c r="AE91" s="147" t="s">
        <v>218</v>
      </c>
      <c r="AF91" s="221"/>
      <c r="AG91" s="129"/>
      <c r="AH91" s="64"/>
      <c r="AI91" s="129" t="s">
        <v>184</v>
      </c>
      <c r="AJ91" s="130">
        <v>43147</v>
      </c>
      <c r="AK91" s="129" t="s">
        <v>2184</v>
      </c>
      <c r="AL91" s="129"/>
      <c r="AM91" s="130">
        <v>43147</v>
      </c>
    </row>
    <row r="92" spans="1:39" ht="15" customHeight="1">
      <c r="A92" s="147">
        <v>91</v>
      </c>
      <c r="B92" s="223">
        <v>217999</v>
      </c>
      <c r="C92" s="221" t="s">
        <v>1130</v>
      </c>
      <c r="D92" s="57">
        <v>43138</v>
      </c>
      <c r="E92" s="160" t="s">
        <v>1931</v>
      </c>
      <c r="F92" s="222">
        <v>43146</v>
      </c>
      <c r="G92" s="221">
        <v>8</v>
      </c>
      <c r="H92" s="221" t="s">
        <v>133</v>
      </c>
      <c r="I92" s="129"/>
      <c r="J92" s="129" t="s">
        <v>614</v>
      </c>
      <c r="K92" s="319">
        <v>1799</v>
      </c>
      <c r="L92" s="221">
        <v>160</v>
      </c>
      <c r="M92" s="221">
        <v>80</v>
      </c>
      <c r="N92" s="227">
        <f t="shared" si="2"/>
        <v>1531.06</v>
      </c>
      <c r="O92" s="226"/>
      <c r="P92" s="224"/>
      <c r="Q92" s="224"/>
      <c r="R92" s="221" t="s">
        <v>134</v>
      </c>
      <c r="S92" s="145" t="s">
        <v>465</v>
      </c>
      <c r="T92" s="221" t="s">
        <v>861</v>
      </c>
      <c r="U92" s="221" t="s">
        <v>863</v>
      </c>
      <c r="V92" s="221" t="s">
        <v>429</v>
      </c>
      <c r="W92" s="129"/>
      <c r="X92" s="129"/>
      <c r="Y92" s="221" t="s">
        <v>2138</v>
      </c>
      <c r="Z92" s="221" t="s">
        <v>1228</v>
      </c>
      <c r="AA92" s="222">
        <v>43144</v>
      </c>
      <c r="AB92" s="221" t="s">
        <v>140</v>
      </c>
      <c r="AC92" s="226">
        <f t="shared" si="3"/>
        <v>1</v>
      </c>
      <c r="AD92" s="147" t="s">
        <v>217</v>
      </c>
      <c r="AE92" s="147" t="s">
        <v>218</v>
      </c>
      <c r="AF92" s="221"/>
      <c r="AG92" s="129"/>
      <c r="AH92" s="64"/>
      <c r="AI92" s="129" t="s">
        <v>184</v>
      </c>
      <c r="AJ92" s="130">
        <v>43147</v>
      </c>
      <c r="AK92" s="129" t="s">
        <v>2185</v>
      </c>
      <c r="AL92" s="129"/>
      <c r="AM92" s="130">
        <v>43147</v>
      </c>
    </row>
    <row r="93" spans="1:39" ht="15" customHeight="1">
      <c r="A93" s="147">
        <v>92</v>
      </c>
      <c r="B93" s="223">
        <v>217626</v>
      </c>
      <c r="C93" s="221" t="s">
        <v>1628</v>
      </c>
      <c r="D93" s="57">
        <v>43143</v>
      </c>
      <c r="E93" s="160" t="s">
        <v>1931</v>
      </c>
      <c r="F93" s="222">
        <v>43153</v>
      </c>
      <c r="G93" s="221">
        <v>10</v>
      </c>
      <c r="H93" s="221" t="s">
        <v>133</v>
      </c>
      <c r="I93" s="129"/>
      <c r="J93" s="129" t="s">
        <v>614</v>
      </c>
      <c r="K93" s="319">
        <v>1549</v>
      </c>
      <c r="L93" s="221">
        <v>205</v>
      </c>
      <c r="M93" s="221">
        <v>95</v>
      </c>
      <c r="N93" s="227">
        <f t="shared" si="2"/>
        <v>1251.06</v>
      </c>
      <c r="O93" s="226"/>
      <c r="P93" s="224"/>
      <c r="Q93" s="224"/>
      <c r="R93" s="221" t="s">
        <v>143</v>
      </c>
      <c r="S93" s="145" t="s">
        <v>465</v>
      </c>
      <c r="T93" s="221" t="s">
        <v>88</v>
      </c>
      <c r="U93" s="221" t="s">
        <v>334</v>
      </c>
      <c r="V93" s="221" t="s">
        <v>432</v>
      </c>
      <c r="W93" s="129"/>
      <c r="X93" s="129"/>
      <c r="Y93" s="221" t="s">
        <v>316</v>
      </c>
      <c r="Z93" s="221" t="s">
        <v>203</v>
      </c>
      <c r="AA93" s="222">
        <v>43143</v>
      </c>
      <c r="AB93" s="221" t="s">
        <v>140</v>
      </c>
      <c r="AC93" s="226">
        <f t="shared" si="3"/>
        <v>1</v>
      </c>
      <c r="AD93" s="147" t="s">
        <v>217</v>
      </c>
      <c r="AE93" s="147" t="s">
        <v>218</v>
      </c>
      <c r="AF93" s="221"/>
      <c r="AG93" s="129"/>
      <c r="AH93" s="64"/>
      <c r="AI93" s="129"/>
      <c r="AJ93" s="129"/>
      <c r="AK93" s="129"/>
      <c r="AL93" s="129"/>
      <c r="AM93" s="129"/>
    </row>
    <row r="94" spans="1:39" ht="15" customHeight="1">
      <c r="A94" s="147">
        <v>93</v>
      </c>
      <c r="B94" s="223">
        <v>218100</v>
      </c>
      <c r="C94" s="221" t="s">
        <v>1628</v>
      </c>
      <c r="D94" s="57">
        <v>43144</v>
      </c>
      <c r="E94" s="160" t="s">
        <v>1931</v>
      </c>
      <c r="F94" s="222">
        <v>43157</v>
      </c>
      <c r="G94" s="221">
        <v>13</v>
      </c>
      <c r="H94" s="221" t="s">
        <v>133</v>
      </c>
      <c r="I94" s="129"/>
      <c r="J94" s="129" t="s">
        <v>614</v>
      </c>
      <c r="K94" s="319">
        <v>1699</v>
      </c>
      <c r="L94" s="221">
        <v>310</v>
      </c>
      <c r="M94" s="221">
        <v>493</v>
      </c>
      <c r="N94" s="227">
        <f t="shared" si="2"/>
        <v>1104.06</v>
      </c>
      <c r="O94" s="226"/>
      <c r="P94" s="224"/>
      <c r="Q94" s="224"/>
      <c r="R94" s="221" t="s">
        <v>122</v>
      </c>
      <c r="S94" s="145" t="s">
        <v>469</v>
      </c>
      <c r="T94" s="221" t="s">
        <v>164</v>
      </c>
      <c r="U94" s="221" t="s">
        <v>214</v>
      </c>
      <c r="V94" s="221" t="s">
        <v>90</v>
      </c>
      <c r="W94" s="129"/>
      <c r="X94" s="129"/>
      <c r="Y94" s="221" t="s">
        <v>316</v>
      </c>
      <c r="Z94" s="221" t="s">
        <v>202</v>
      </c>
      <c r="AA94" s="222">
        <v>43145</v>
      </c>
      <c r="AB94" s="221" t="s">
        <v>872</v>
      </c>
      <c r="AC94" s="226">
        <f t="shared" si="3"/>
        <v>1</v>
      </c>
      <c r="AD94" s="147" t="s">
        <v>217</v>
      </c>
      <c r="AE94" s="147" t="s">
        <v>218</v>
      </c>
      <c r="AF94" s="221"/>
      <c r="AG94" s="129"/>
      <c r="AH94" s="64"/>
      <c r="AI94" s="129" t="s">
        <v>184</v>
      </c>
      <c r="AJ94" s="130">
        <v>43147</v>
      </c>
      <c r="AK94" s="129" t="s">
        <v>2186</v>
      </c>
      <c r="AL94" s="129"/>
      <c r="AM94" s="130">
        <v>43147</v>
      </c>
    </row>
    <row r="95" spans="1:39" ht="15" customHeight="1">
      <c r="A95" s="147">
        <v>94</v>
      </c>
      <c r="B95" s="223">
        <v>217797</v>
      </c>
      <c r="C95" s="221" t="s">
        <v>1130</v>
      </c>
      <c r="D95" s="57">
        <v>43144</v>
      </c>
      <c r="E95" s="160" t="s">
        <v>1931</v>
      </c>
      <c r="F95" s="222">
        <v>43162</v>
      </c>
      <c r="G95" s="221">
        <v>18</v>
      </c>
      <c r="H95" s="221" t="s">
        <v>133</v>
      </c>
      <c r="I95" s="129"/>
      <c r="J95" s="129" t="s">
        <v>614</v>
      </c>
      <c r="K95" s="319">
        <v>1199</v>
      </c>
      <c r="L95" s="221">
        <v>355</v>
      </c>
      <c r="M95" s="221">
        <v>80</v>
      </c>
      <c r="N95" s="227">
        <f t="shared" si="2"/>
        <v>772.06</v>
      </c>
      <c r="O95" s="226"/>
      <c r="P95" s="224"/>
      <c r="Q95" s="224"/>
      <c r="R95" s="221" t="s">
        <v>143</v>
      </c>
      <c r="S95" s="145" t="s">
        <v>465</v>
      </c>
      <c r="T95" s="221" t="s">
        <v>88</v>
      </c>
      <c r="U95" s="221" t="s">
        <v>2139</v>
      </c>
      <c r="V95" s="221" t="s">
        <v>90</v>
      </c>
      <c r="W95" s="129"/>
      <c r="X95" s="129"/>
      <c r="Y95" s="221" t="s">
        <v>3</v>
      </c>
      <c r="Z95" s="221" t="s">
        <v>189</v>
      </c>
      <c r="AA95" s="222">
        <v>43146</v>
      </c>
      <c r="AB95" s="221" t="s">
        <v>195</v>
      </c>
      <c r="AC95" s="226">
        <f t="shared" si="3"/>
        <v>1</v>
      </c>
      <c r="AD95" s="147" t="s">
        <v>217</v>
      </c>
      <c r="AE95" s="147" t="s">
        <v>218</v>
      </c>
      <c r="AF95" s="221"/>
      <c r="AG95" s="129"/>
      <c r="AH95" s="64"/>
      <c r="AI95" s="129"/>
      <c r="AJ95" s="129"/>
      <c r="AK95" s="129"/>
      <c r="AL95" s="129"/>
      <c r="AM95" s="129"/>
    </row>
    <row r="96" spans="1:39" ht="15" customHeight="1">
      <c r="A96" s="147">
        <v>95</v>
      </c>
      <c r="B96" s="223">
        <v>217715</v>
      </c>
      <c r="C96" s="221" t="s">
        <v>1130</v>
      </c>
      <c r="D96" s="57">
        <v>43144</v>
      </c>
      <c r="E96" s="160" t="s">
        <v>1931</v>
      </c>
      <c r="F96" s="222">
        <v>43151</v>
      </c>
      <c r="G96" s="221">
        <v>7</v>
      </c>
      <c r="H96" s="221" t="s">
        <v>133</v>
      </c>
      <c r="I96" s="129"/>
      <c r="J96" s="129" t="s">
        <v>614</v>
      </c>
      <c r="K96" s="319"/>
      <c r="L96" s="221"/>
      <c r="M96" s="221"/>
      <c r="N96" s="227">
        <f t="shared" si="2"/>
        <v>0</v>
      </c>
      <c r="O96" s="226"/>
      <c r="P96" s="224"/>
      <c r="Q96" s="224"/>
      <c r="R96" s="221" t="s">
        <v>300</v>
      </c>
      <c r="S96" s="145" t="s">
        <v>469</v>
      </c>
      <c r="T96" s="221" t="s">
        <v>164</v>
      </c>
      <c r="U96" s="221" t="s">
        <v>2140</v>
      </c>
      <c r="V96" s="221" t="s">
        <v>1188</v>
      </c>
      <c r="W96" s="129"/>
      <c r="X96" s="129"/>
      <c r="Y96" s="221"/>
      <c r="Z96" s="221" t="s">
        <v>253</v>
      </c>
      <c r="AB96" s="221"/>
      <c r="AC96" s="226">
        <f t="shared" si="3"/>
        <v>0</v>
      </c>
      <c r="AE96" s="147" t="s">
        <v>217</v>
      </c>
      <c r="AF96" s="147" t="s">
        <v>2353</v>
      </c>
      <c r="AG96" s="129"/>
      <c r="AH96" s="64"/>
      <c r="AI96" s="129"/>
      <c r="AJ96" s="129"/>
      <c r="AK96" s="129"/>
      <c r="AL96" s="129"/>
      <c r="AM96" s="129"/>
    </row>
    <row r="97" spans="1:39" ht="15" customHeight="1">
      <c r="A97" s="147">
        <v>96</v>
      </c>
      <c r="B97" s="223">
        <v>217563</v>
      </c>
      <c r="C97" s="221" t="s">
        <v>1130</v>
      </c>
      <c r="D97" s="57">
        <v>43144</v>
      </c>
      <c r="E97" s="160" t="s">
        <v>1931</v>
      </c>
      <c r="F97" s="222">
        <v>43154</v>
      </c>
      <c r="G97" s="221">
        <v>10</v>
      </c>
      <c r="H97" s="221" t="s">
        <v>133</v>
      </c>
      <c r="I97" s="129"/>
      <c r="J97" s="129" t="s">
        <v>614</v>
      </c>
      <c r="K97" s="319"/>
      <c r="L97" s="221"/>
      <c r="M97" s="221"/>
      <c r="N97" s="227">
        <f t="shared" si="2"/>
        <v>0</v>
      </c>
      <c r="O97" s="226"/>
      <c r="P97" s="224"/>
      <c r="Q97" s="224"/>
      <c r="R97" s="221" t="s">
        <v>122</v>
      </c>
      <c r="S97" s="145" t="s">
        <v>469</v>
      </c>
      <c r="T97" s="221" t="s">
        <v>376</v>
      </c>
      <c r="U97" s="221" t="s">
        <v>1220</v>
      </c>
      <c r="V97" s="221" t="s">
        <v>222</v>
      </c>
      <c r="W97" s="129"/>
      <c r="X97" s="129"/>
      <c r="Y97" s="221"/>
      <c r="Z97" s="221" t="s">
        <v>170</v>
      </c>
      <c r="AB97" s="221"/>
      <c r="AC97" s="226">
        <f t="shared" si="3"/>
        <v>0</v>
      </c>
      <c r="AE97" s="147" t="s">
        <v>217</v>
      </c>
      <c r="AF97" s="147" t="s">
        <v>2353</v>
      </c>
      <c r="AG97" s="129"/>
      <c r="AH97" s="64"/>
      <c r="AI97" s="129"/>
      <c r="AJ97" s="129"/>
      <c r="AK97" s="129"/>
      <c r="AL97" s="129"/>
      <c r="AM97" s="129"/>
    </row>
    <row r="98" spans="1:39" ht="15" customHeight="1">
      <c r="A98" s="147">
        <v>97</v>
      </c>
      <c r="B98" s="223">
        <v>218318</v>
      </c>
      <c r="C98" s="221" t="s">
        <v>1130</v>
      </c>
      <c r="D98" s="57">
        <v>43144</v>
      </c>
      <c r="E98" s="160" t="s">
        <v>1931</v>
      </c>
      <c r="F98" s="222">
        <v>43156</v>
      </c>
      <c r="G98" s="221">
        <v>12</v>
      </c>
      <c r="H98" s="221" t="s">
        <v>133</v>
      </c>
      <c r="I98" s="129"/>
      <c r="J98" s="129" t="s">
        <v>614</v>
      </c>
      <c r="K98" s="319"/>
      <c r="L98" s="221"/>
      <c r="M98" s="221"/>
      <c r="N98" s="227">
        <f t="shared" si="2"/>
        <v>0</v>
      </c>
      <c r="O98" s="226"/>
      <c r="P98" s="224"/>
      <c r="Q98" s="224"/>
      <c r="R98" s="221" t="s">
        <v>122</v>
      </c>
      <c r="S98" s="145" t="s">
        <v>469</v>
      </c>
      <c r="T98" s="221" t="s">
        <v>114</v>
      </c>
      <c r="U98" s="221" t="s">
        <v>2147</v>
      </c>
      <c r="V98" s="221" t="s">
        <v>222</v>
      </c>
      <c r="W98" s="129"/>
      <c r="X98" s="129"/>
      <c r="Y98" s="221"/>
      <c r="Z98" s="221" t="s">
        <v>170</v>
      </c>
      <c r="AB98" s="221"/>
      <c r="AC98" s="226">
        <f t="shared" si="3"/>
        <v>0</v>
      </c>
      <c r="AE98" s="147" t="s">
        <v>217</v>
      </c>
      <c r="AF98" s="147" t="s">
        <v>2353</v>
      </c>
      <c r="AG98" s="129"/>
      <c r="AH98" s="64"/>
      <c r="AI98" s="129"/>
      <c r="AJ98" s="129"/>
      <c r="AK98" s="129"/>
      <c r="AL98" s="129"/>
      <c r="AM98" s="129"/>
    </row>
    <row r="99" spans="1:39" ht="15" customHeight="1">
      <c r="A99" s="147">
        <v>98</v>
      </c>
      <c r="B99" s="223">
        <v>218211</v>
      </c>
      <c r="C99" s="221" t="s">
        <v>1130</v>
      </c>
      <c r="D99" s="57">
        <v>43144</v>
      </c>
      <c r="E99" s="160" t="s">
        <v>1931</v>
      </c>
      <c r="F99" s="222">
        <v>43154</v>
      </c>
      <c r="G99" s="221">
        <v>10</v>
      </c>
      <c r="H99" s="221" t="s">
        <v>133</v>
      </c>
      <c r="I99" s="129"/>
      <c r="J99" s="129" t="s">
        <v>614</v>
      </c>
      <c r="K99" s="319"/>
      <c r="L99" s="221"/>
      <c r="M99" s="221"/>
      <c r="N99" s="227">
        <f t="shared" si="2"/>
        <v>0</v>
      </c>
      <c r="O99" s="226"/>
      <c r="P99" s="224"/>
      <c r="Q99" s="224"/>
      <c r="R99" s="221" t="s">
        <v>122</v>
      </c>
      <c r="S99" s="145" t="s">
        <v>469</v>
      </c>
      <c r="T99" s="221" t="s">
        <v>1541</v>
      </c>
      <c r="U99" s="221" t="s">
        <v>1542</v>
      </c>
      <c r="V99" s="221" t="s">
        <v>222</v>
      </c>
      <c r="W99" s="129"/>
      <c r="X99" s="129"/>
      <c r="Y99" s="221"/>
      <c r="Z99" s="221" t="s">
        <v>1118</v>
      </c>
      <c r="AB99" s="221"/>
      <c r="AC99" s="226">
        <f t="shared" si="3"/>
        <v>0</v>
      </c>
      <c r="AE99" s="147" t="s">
        <v>217</v>
      </c>
      <c r="AF99" s="147" t="s">
        <v>2353</v>
      </c>
      <c r="AG99" s="129"/>
      <c r="AH99" s="64"/>
      <c r="AI99" s="129"/>
      <c r="AJ99" s="129"/>
      <c r="AK99" s="129"/>
      <c r="AL99" s="129"/>
      <c r="AM99" s="129"/>
    </row>
    <row r="100" spans="1:39" ht="15" customHeight="1">
      <c r="A100" s="147">
        <v>99</v>
      </c>
      <c r="B100" s="223">
        <v>218040</v>
      </c>
      <c r="C100" s="221" t="s">
        <v>1628</v>
      </c>
      <c r="D100" s="57">
        <v>43145</v>
      </c>
      <c r="E100" s="160" t="s">
        <v>1931</v>
      </c>
      <c r="F100" s="222">
        <v>43156</v>
      </c>
      <c r="G100" s="221">
        <v>11</v>
      </c>
      <c r="H100" s="221" t="s">
        <v>133</v>
      </c>
      <c r="I100" s="129"/>
      <c r="J100" s="129" t="s">
        <v>614</v>
      </c>
      <c r="K100" s="319">
        <v>3280</v>
      </c>
      <c r="L100" s="221">
        <v>315</v>
      </c>
      <c r="M100" s="221">
        <v>120</v>
      </c>
      <c r="N100" s="227">
        <f t="shared" si="2"/>
        <v>2768.2</v>
      </c>
      <c r="O100" s="226"/>
      <c r="P100" s="224"/>
      <c r="Q100" s="224"/>
      <c r="R100" s="221" t="s">
        <v>134</v>
      </c>
      <c r="S100" s="145" t="s">
        <v>465</v>
      </c>
      <c r="T100" s="221" t="s">
        <v>88</v>
      </c>
      <c r="U100" s="221" t="s">
        <v>1460</v>
      </c>
      <c r="V100" s="221" t="s">
        <v>429</v>
      </c>
      <c r="W100" s="129"/>
      <c r="X100" s="129"/>
      <c r="Y100" s="221" t="s">
        <v>316</v>
      </c>
      <c r="Z100" s="221" t="s">
        <v>434</v>
      </c>
      <c r="AA100" s="222">
        <v>43146</v>
      </c>
      <c r="AB100" s="221" t="s">
        <v>195</v>
      </c>
      <c r="AC100" s="226">
        <f t="shared" si="3"/>
        <v>1</v>
      </c>
      <c r="AD100" s="147" t="s">
        <v>217</v>
      </c>
      <c r="AE100" s="147" t="s">
        <v>218</v>
      </c>
      <c r="AF100" s="221"/>
      <c r="AG100" s="129"/>
      <c r="AH100" s="64"/>
      <c r="AI100" s="129"/>
      <c r="AJ100" s="129"/>
      <c r="AK100" s="129"/>
      <c r="AL100" s="129"/>
      <c r="AM100" s="129"/>
    </row>
    <row r="101" spans="1:39" ht="15" customHeight="1">
      <c r="A101" s="147">
        <v>100</v>
      </c>
      <c r="B101" s="223">
        <v>217605</v>
      </c>
      <c r="C101" s="221" t="s">
        <v>128</v>
      </c>
      <c r="D101" s="57">
        <v>43146</v>
      </c>
      <c r="E101" s="160" t="s">
        <v>1931</v>
      </c>
      <c r="F101" s="222">
        <v>43150</v>
      </c>
      <c r="G101" s="221">
        <v>4</v>
      </c>
      <c r="H101" s="221" t="s">
        <v>133</v>
      </c>
      <c r="I101" s="129"/>
      <c r="J101" s="129" t="s">
        <v>614</v>
      </c>
      <c r="K101" s="319">
        <v>1299</v>
      </c>
      <c r="L101" s="221">
        <v>438</v>
      </c>
      <c r="M101" s="221">
        <v>200</v>
      </c>
      <c r="N101" s="227">
        <f t="shared" si="2"/>
        <v>783.06</v>
      </c>
      <c r="O101" s="226"/>
      <c r="P101" s="224"/>
      <c r="Q101" s="224"/>
      <c r="R101" s="221" t="s">
        <v>134</v>
      </c>
      <c r="S101" s="145" t="s">
        <v>465</v>
      </c>
      <c r="T101" s="221" t="s">
        <v>164</v>
      </c>
      <c r="U101" s="221" t="s">
        <v>2146</v>
      </c>
      <c r="V101" s="221" t="s">
        <v>90</v>
      </c>
      <c r="W101" s="129"/>
      <c r="X101" s="129"/>
      <c r="Y101" s="221" t="s">
        <v>1942</v>
      </c>
      <c r="Z101" s="221" t="s">
        <v>510</v>
      </c>
      <c r="AA101" s="222">
        <v>43146</v>
      </c>
      <c r="AB101" s="221" t="s">
        <v>872</v>
      </c>
      <c r="AC101" s="226">
        <f t="shared" si="3"/>
        <v>1</v>
      </c>
      <c r="AD101" s="147" t="s">
        <v>217</v>
      </c>
      <c r="AE101" s="147" t="s">
        <v>218</v>
      </c>
      <c r="AF101" s="221"/>
      <c r="AG101" s="129"/>
      <c r="AH101" s="64"/>
      <c r="AI101" s="129"/>
      <c r="AJ101" s="129"/>
      <c r="AK101" s="129"/>
      <c r="AL101" s="129"/>
      <c r="AM101" s="129"/>
    </row>
    <row r="102" spans="1:39" ht="15" customHeight="1">
      <c r="A102" s="147">
        <v>101</v>
      </c>
      <c r="B102" s="223">
        <v>218203</v>
      </c>
      <c r="C102" s="221" t="s">
        <v>1628</v>
      </c>
      <c r="D102" s="57">
        <v>43146</v>
      </c>
      <c r="E102" s="160" t="s">
        <v>1931</v>
      </c>
      <c r="F102" s="222">
        <v>43159</v>
      </c>
      <c r="G102" s="221">
        <v>13</v>
      </c>
      <c r="H102" s="221" t="s">
        <v>133</v>
      </c>
      <c r="I102" s="129"/>
      <c r="J102" s="129" t="s">
        <v>614</v>
      </c>
      <c r="K102" s="319"/>
      <c r="L102" s="221"/>
      <c r="M102" s="221"/>
      <c r="N102" s="227">
        <f t="shared" si="2"/>
        <v>0</v>
      </c>
      <c r="O102" s="226"/>
      <c r="P102" s="224"/>
      <c r="Q102" s="224"/>
      <c r="R102" s="221" t="s">
        <v>134</v>
      </c>
      <c r="S102" s="145" t="s">
        <v>465</v>
      </c>
      <c r="T102" s="221" t="s">
        <v>164</v>
      </c>
      <c r="U102" s="221" t="s">
        <v>479</v>
      </c>
      <c r="V102" s="221" t="s">
        <v>429</v>
      </c>
      <c r="W102" s="129"/>
      <c r="X102" s="129"/>
      <c r="Y102" s="221"/>
      <c r="Z102" s="221" t="s">
        <v>202</v>
      </c>
      <c r="AB102" s="221"/>
      <c r="AC102" s="226">
        <f t="shared" si="3"/>
        <v>0</v>
      </c>
      <c r="AE102" s="147" t="s">
        <v>217</v>
      </c>
      <c r="AF102" s="148" t="s">
        <v>2265</v>
      </c>
      <c r="AG102" s="129"/>
      <c r="AH102" s="64"/>
      <c r="AI102" s="129"/>
      <c r="AJ102" s="129"/>
      <c r="AK102" s="129"/>
      <c r="AL102" s="129"/>
      <c r="AM102" s="129"/>
    </row>
    <row r="103" spans="1:39" ht="15" customHeight="1">
      <c r="A103" s="147">
        <v>102</v>
      </c>
      <c r="B103" s="223">
        <v>218222</v>
      </c>
      <c r="C103" s="221" t="s">
        <v>128</v>
      </c>
      <c r="D103" s="57">
        <v>43150</v>
      </c>
      <c r="E103" s="160" t="s">
        <v>1931</v>
      </c>
      <c r="F103" s="222">
        <v>43188</v>
      </c>
      <c r="G103" s="221">
        <v>38</v>
      </c>
      <c r="H103" s="221" t="s">
        <v>133</v>
      </c>
      <c r="I103" s="129"/>
      <c r="J103" s="129" t="s">
        <v>614</v>
      </c>
      <c r="K103" s="319">
        <v>2099</v>
      </c>
      <c r="L103" s="221">
        <v>458</v>
      </c>
      <c r="M103" s="221">
        <v>115</v>
      </c>
      <c r="N103" s="227">
        <f t="shared" si="2"/>
        <v>1515.06</v>
      </c>
      <c r="O103" s="226"/>
      <c r="P103" s="224"/>
      <c r="Q103" s="224"/>
      <c r="R103" s="221" t="s">
        <v>134</v>
      </c>
      <c r="S103" s="145" t="s">
        <v>465</v>
      </c>
      <c r="T103" s="221" t="s">
        <v>164</v>
      </c>
      <c r="U103" s="221" t="s">
        <v>2152</v>
      </c>
      <c r="V103" s="221" t="s">
        <v>90</v>
      </c>
      <c r="W103" s="129"/>
      <c r="X103" s="129"/>
      <c r="Y103" s="221" t="s">
        <v>1942</v>
      </c>
      <c r="Z103" s="221" t="s">
        <v>1097</v>
      </c>
      <c r="AA103" s="222">
        <v>43152</v>
      </c>
      <c r="AB103" s="221" t="s">
        <v>1102</v>
      </c>
      <c r="AC103" s="226">
        <f t="shared" si="3"/>
        <v>1</v>
      </c>
      <c r="AD103" s="147" t="s">
        <v>217</v>
      </c>
      <c r="AE103" s="147" t="s">
        <v>218</v>
      </c>
      <c r="AF103" s="221"/>
      <c r="AG103" s="129"/>
      <c r="AH103" s="64"/>
      <c r="AI103" s="129"/>
      <c r="AJ103" s="129"/>
      <c r="AK103" s="129"/>
      <c r="AL103" s="129"/>
      <c r="AM103" s="129"/>
    </row>
    <row r="104" spans="1:39" ht="15" customHeight="1">
      <c r="A104" s="147">
        <v>103</v>
      </c>
      <c r="B104" s="223">
        <v>218727</v>
      </c>
      <c r="C104" s="221" t="s">
        <v>1130</v>
      </c>
      <c r="D104" s="57">
        <v>43150</v>
      </c>
      <c r="E104" s="160" t="s">
        <v>1931</v>
      </c>
      <c r="F104" s="222">
        <v>43159</v>
      </c>
      <c r="G104" s="221">
        <v>9</v>
      </c>
      <c r="H104" s="221" t="s">
        <v>133</v>
      </c>
      <c r="I104" s="129"/>
      <c r="J104" s="129" t="s">
        <v>614</v>
      </c>
      <c r="K104" s="319">
        <v>2840</v>
      </c>
      <c r="L104" s="221"/>
      <c r="M104" s="221"/>
      <c r="N104" s="227">
        <f t="shared" si="2"/>
        <v>0</v>
      </c>
      <c r="O104" s="226"/>
      <c r="P104" s="224"/>
      <c r="Q104" s="224"/>
      <c r="R104" s="221" t="s">
        <v>134</v>
      </c>
      <c r="S104" s="145" t="s">
        <v>465</v>
      </c>
      <c r="T104" s="221" t="s">
        <v>88</v>
      </c>
      <c r="U104" s="221" t="s">
        <v>2153</v>
      </c>
      <c r="V104" s="221" t="s">
        <v>429</v>
      </c>
      <c r="W104" s="129"/>
      <c r="X104" s="129"/>
      <c r="Y104" s="221"/>
      <c r="Z104" s="221" t="s">
        <v>189</v>
      </c>
      <c r="AB104" s="221"/>
      <c r="AC104" s="226">
        <f t="shared" si="3"/>
        <v>0</v>
      </c>
      <c r="AE104" s="147" t="s">
        <v>217</v>
      </c>
      <c r="AF104" s="147" t="s">
        <v>2353</v>
      </c>
      <c r="AG104" s="129"/>
      <c r="AH104" s="64"/>
      <c r="AI104" s="129"/>
      <c r="AJ104" s="129"/>
      <c r="AK104" s="129"/>
      <c r="AL104" s="129"/>
      <c r="AM104" s="129"/>
    </row>
    <row r="105" spans="1:39" ht="15" customHeight="1">
      <c r="A105" s="147">
        <v>104</v>
      </c>
      <c r="B105" s="223">
        <v>218724</v>
      </c>
      <c r="C105" s="221" t="s">
        <v>1130</v>
      </c>
      <c r="D105" s="57">
        <v>43150</v>
      </c>
      <c r="E105" s="160" t="s">
        <v>1931</v>
      </c>
      <c r="F105" s="222">
        <v>43159</v>
      </c>
      <c r="G105" s="221">
        <v>9</v>
      </c>
      <c r="H105" s="221" t="s">
        <v>133</v>
      </c>
      <c r="I105" s="129"/>
      <c r="J105" s="129" t="s">
        <v>614</v>
      </c>
      <c r="K105" s="319">
        <v>799</v>
      </c>
      <c r="L105" s="221">
        <v>170</v>
      </c>
      <c r="M105" s="221">
        <v>120</v>
      </c>
      <c r="N105" s="227">
        <f t="shared" si="2"/>
        <v>581.05999999999995</v>
      </c>
      <c r="O105" s="226"/>
      <c r="P105" s="224"/>
      <c r="Q105" s="224"/>
      <c r="R105" s="221" t="s">
        <v>143</v>
      </c>
      <c r="S105" s="145" t="s">
        <v>465</v>
      </c>
      <c r="T105" s="221" t="s">
        <v>88</v>
      </c>
      <c r="U105" s="221" t="s">
        <v>548</v>
      </c>
      <c r="V105" s="221" t="s">
        <v>2154</v>
      </c>
      <c r="W105" s="129"/>
      <c r="X105" s="129"/>
      <c r="Y105" s="221" t="s">
        <v>316</v>
      </c>
      <c r="Z105" s="221" t="s">
        <v>189</v>
      </c>
      <c r="AA105" s="222">
        <v>43151</v>
      </c>
      <c r="AB105" s="221" t="s">
        <v>872</v>
      </c>
      <c r="AC105" s="226">
        <f t="shared" si="3"/>
        <v>1</v>
      </c>
      <c r="AD105" s="147" t="s">
        <v>217</v>
      </c>
      <c r="AE105" s="147" t="s">
        <v>218</v>
      </c>
      <c r="AF105" s="221"/>
      <c r="AG105" s="129"/>
      <c r="AH105" s="64"/>
      <c r="AI105" s="129"/>
      <c r="AJ105" s="129"/>
      <c r="AK105" s="129"/>
      <c r="AL105" s="129"/>
      <c r="AM105" s="129"/>
    </row>
    <row r="106" spans="1:39" ht="15" customHeight="1">
      <c r="A106" s="147">
        <v>105</v>
      </c>
      <c r="B106" s="223">
        <v>218842</v>
      </c>
      <c r="C106" s="221" t="s">
        <v>1130</v>
      </c>
      <c r="D106" s="57">
        <v>43150</v>
      </c>
      <c r="E106" s="160" t="s">
        <v>1931</v>
      </c>
      <c r="F106" s="222">
        <v>43166</v>
      </c>
      <c r="G106" s="221">
        <v>16</v>
      </c>
      <c r="H106" s="221" t="s">
        <v>133</v>
      </c>
      <c r="I106" s="129"/>
      <c r="J106" s="129" t="s">
        <v>614</v>
      </c>
      <c r="K106" s="319">
        <v>15299</v>
      </c>
      <c r="L106" s="221"/>
      <c r="M106" s="221"/>
      <c r="N106" s="227">
        <f t="shared" si="2"/>
        <v>0</v>
      </c>
      <c r="O106" s="226"/>
      <c r="P106" s="224"/>
      <c r="Q106" s="224"/>
      <c r="R106" s="221" t="s">
        <v>122</v>
      </c>
      <c r="S106" s="145" t="s">
        <v>469</v>
      </c>
      <c r="T106" s="221" t="s">
        <v>114</v>
      </c>
      <c r="U106" s="221" t="s">
        <v>2162</v>
      </c>
      <c r="V106" s="221" t="s">
        <v>222</v>
      </c>
      <c r="W106" s="129"/>
      <c r="X106" s="129"/>
      <c r="Y106" s="221"/>
      <c r="Z106" s="221" t="s">
        <v>170</v>
      </c>
      <c r="AB106" s="221"/>
      <c r="AC106" s="226">
        <f t="shared" si="3"/>
        <v>0</v>
      </c>
      <c r="AE106" s="147" t="s">
        <v>217</v>
      </c>
      <c r="AF106" s="221" t="s">
        <v>1021</v>
      </c>
      <c r="AG106" s="129"/>
      <c r="AH106" s="64"/>
      <c r="AI106" s="129"/>
      <c r="AJ106" s="129"/>
      <c r="AK106" s="129"/>
      <c r="AL106" s="129"/>
      <c r="AM106" s="129"/>
    </row>
    <row r="107" spans="1:39" ht="15" customHeight="1">
      <c r="A107" s="147">
        <v>106</v>
      </c>
      <c r="B107" s="223">
        <v>218503</v>
      </c>
      <c r="C107" s="221" t="s">
        <v>128</v>
      </c>
      <c r="D107" s="57">
        <v>43150</v>
      </c>
      <c r="E107" s="160" t="s">
        <v>1931</v>
      </c>
      <c r="F107" s="222">
        <v>43165</v>
      </c>
      <c r="G107" s="221">
        <v>15</v>
      </c>
      <c r="H107" s="221" t="s">
        <v>133</v>
      </c>
      <c r="I107" s="129"/>
      <c r="J107" s="129" t="s">
        <v>614</v>
      </c>
      <c r="K107" s="319">
        <v>2999</v>
      </c>
      <c r="L107" s="221"/>
      <c r="M107" s="221"/>
      <c r="N107" s="227">
        <f t="shared" si="2"/>
        <v>0</v>
      </c>
      <c r="O107" s="226"/>
      <c r="P107" s="224"/>
      <c r="Q107" s="224"/>
      <c r="R107" s="221" t="s">
        <v>691</v>
      </c>
      <c r="S107" s="145" t="s">
        <v>466</v>
      </c>
      <c r="T107" s="221" t="s">
        <v>405</v>
      </c>
      <c r="U107" s="221" t="s">
        <v>2166</v>
      </c>
      <c r="V107" s="221" t="s">
        <v>257</v>
      </c>
      <c r="W107" s="129"/>
      <c r="X107" s="129"/>
      <c r="Y107" s="221"/>
      <c r="Z107" s="221" t="s">
        <v>2167</v>
      </c>
      <c r="AA107" s="222">
        <v>43150</v>
      </c>
      <c r="AB107" s="221"/>
      <c r="AC107" s="226">
        <f t="shared" si="3"/>
        <v>0</v>
      </c>
      <c r="AE107" s="147" t="s">
        <v>217</v>
      </c>
      <c r="AF107" s="147" t="s">
        <v>2353</v>
      </c>
      <c r="AG107" s="129"/>
      <c r="AH107" s="64"/>
      <c r="AI107" s="129"/>
      <c r="AJ107" s="129"/>
      <c r="AK107" s="129"/>
      <c r="AL107" s="129"/>
      <c r="AM107" s="129"/>
    </row>
    <row r="108" spans="1:39" ht="15" customHeight="1">
      <c r="A108" s="147">
        <v>107</v>
      </c>
      <c r="B108" s="223">
        <v>218512</v>
      </c>
      <c r="C108" s="221" t="s">
        <v>128</v>
      </c>
      <c r="D108" s="57">
        <v>43150</v>
      </c>
      <c r="E108" s="160" t="s">
        <v>1931</v>
      </c>
      <c r="F108" s="222">
        <v>43174</v>
      </c>
      <c r="G108" s="221">
        <v>24</v>
      </c>
      <c r="H108" s="221" t="s">
        <v>133</v>
      </c>
      <c r="I108" s="129"/>
      <c r="J108" s="129" t="s">
        <v>614</v>
      </c>
      <c r="K108" s="319">
        <v>1199</v>
      </c>
      <c r="L108" s="221"/>
      <c r="M108" s="221"/>
      <c r="N108" s="227">
        <f t="shared" si="2"/>
        <v>0</v>
      </c>
      <c r="O108" s="226"/>
      <c r="P108" s="224"/>
      <c r="Q108" s="224"/>
      <c r="R108" s="221" t="s">
        <v>691</v>
      </c>
      <c r="S108" s="145" t="s">
        <v>466</v>
      </c>
      <c r="T108" s="221" t="s">
        <v>405</v>
      </c>
      <c r="U108" s="221" t="s">
        <v>2168</v>
      </c>
      <c r="V108" s="221" t="s">
        <v>257</v>
      </c>
      <c r="W108" s="129"/>
      <c r="X108" s="129"/>
      <c r="Y108" s="221"/>
      <c r="Z108" s="221" t="s">
        <v>2167</v>
      </c>
      <c r="AB108" s="221"/>
      <c r="AC108" s="226">
        <f t="shared" si="3"/>
        <v>0</v>
      </c>
      <c r="AE108" s="147" t="s">
        <v>217</v>
      </c>
      <c r="AF108" s="147" t="s">
        <v>2353</v>
      </c>
      <c r="AG108" s="129"/>
      <c r="AH108" s="64"/>
      <c r="AI108" s="129"/>
      <c r="AJ108" s="129"/>
      <c r="AK108" s="129"/>
      <c r="AL108" s="129"/>
      <c r="AM108" s="129"/>
    </row>
    <row r="109" spans="1:39" ht="15" customHeight="1">
      <c r="A109" s="147">
        <v>108</v>
      </c>
      <c r="B109" s="223">
        <v>218683</v>
      </c>
      <c r="C109" s="221" t="s">
        <v>1130</v>
      </c>
      <c r="D109" s="57">
        <v>43151</v>
      </c>
      <c r="E109" s="160" t="s">
        <v>1931</v>
      </c>
      <c r="F109" s="222">
        <v>43162</v>
      </c>
      <c r="G109" s="221">
        <v>11</v>
      </c>
      <c r="H109" s="221" t="s">
        <v>133</v>
      </c>
      <c r="I109" s="129"/>
      <c r="J109" s="129" t="s">
        <v>614</v>
      </c>
      <c r="K109" s="319">
        <v>2899</v>
      </c>
      <c r="L109" s="221"/>
      <c r="M109" s="221"/>
      <c r="N109" s="227">
        <f t="shared" si="2"/>
        <v>0</v>
      </c>
      <c r="O109" s="226"/>
      <c r="P109" s="224"/>
      <c r="Q109" s="224"/>
      <c r="R109" s="221" t="s">
        <v>134</v>
      </c>
      <c r="S109" s="145" t="s">
        <v>465</v>
      </c>
      <c r="T109" s="221" t="s">
        <v>144</v>
      </c>
      <c r="U109" s="221" t="s">
        <v>2163</v>
      </c>
      <c r="V109" s="221" t="s">
        <v>429</v>
      </c>
      <c r="W109" s="129"/>
      <c r="X109" s="129"/>
      <c r="Y109" s="221"/>
      <c r="Z109" s="221" t="s">
        <v>137</v>
      </c>
      <c r="AB109" s="221"/>
      <c r="AC109" s="226">
        <f t="shared" si="3"/>
        <v>0</v>
      </c>
      <c r="AE109" s="147" t="s">
        <v>217</v>
      </c>
      <c r="AF109" s="147" t="s">
        <v>2353</v>
      </c>
      <c r="AG109" s="129"/>
      <c r="AH109" s="64"/>
      <c r="AI109" s="129"/>
      <c r="AJ109" s="129"/>
      <c r="AK109" s="129"/>
      <c r="AL109" s="129"/>
      <c r="AM109" s="129"/>
    </row>
    <row r="110" spans="1:39" ht="15" customHeight="1">
      <c r="A110" s="147">
        <v>109</v>
      </c>
      <c r="B110" s="223">
        <v>218258</v>
      </c>
      <c r="C110" s="221" t="s">
        <v>1130</v>
      </c>
      <c r="D110" s="57">
        <v>43151</v>
      </c>
      <c r="E110" s="160" t="s">
        <v>1931</v>
      </c>
      <c r="F110" s="222">
        <v>43162</v>
      </c>
      <c r="G110" s="221">
        <v>11</v>
      </c>
      <c r="H110" s="221" t="s">
        <v>133</v>
      </c>
      <c r="I110" s="129"/>
      <c r="J110" s="129" t="s">
        <v>614</v>
      </c>
      <c r="K110" s="319">
        <v>1699</v>
      </c>
      <c r="L110" s="221"/>
      <c r="M110" s="221"/>
      <c r="N110" s="227">
        <f t="shared" si="2"/>
        <v>0</v>
      </c>
      <c r="O110" s="226"/>
      <c r="P110" s="224"/>
      <c r="Q110" s="224"/>
      <c r="R110" s="221" t="s">
        <v>220</v>
      </c>
      <c r="S110" s="145" t="s">
        <v>469</v>
      </c>
      <c r="T110" s="221" t="s">
        <v>1106</v>
      </c>
      <c r="U110" s="221" t="s">
        <v>2169</v>
      </c>
      <c r="V110" s="221" t="s">
        <v>2170</v>
      </c>
      <c r="W110" s="129"/>
      <c r="X110" s="129"/>
      <c r="Y110" s="221"/>
      <c r="Z110" s="221" t="s">
        <v>379</v>
      </c>
      <c r="AB110" s="221"/>
      <c r="AC110" s="226">
        <f t="shared" si="3"/>
        <v>0</v>
      </c>
      <c r="AE110" s="147" t="s">
        <v>217</v>
      </c>
      <c r="AF110" s="221" t="s">
        <v>1021</v>
      </c>
      <c r="AG110" s="129"/>
      <c r="AH110" s="64"/>
      <c r="AI110" s="129"/>
      <c r="AJ110" s="129"/>
      <c r="AK110" s="129"/>
      <c r="AL110" s="129"/>
      <c r="AM110" s="129"/>
    </row>
    <row r="111" spans="1:39" ht="15" customHeight="1">
      <c r="A111" s="147">
        <v>110</v>
      </c>
      <c r="B111" s="223">
        <v>218811</v>
      </c>
      <c r="C111" s="221" t="s">
        <v>1628</v>
      </c>
      <c r="D111" s="57">
        <v>43152</v>
      </c>
      <c r="E111" s="160" t="s">
        <v>1931</v>
      </c>
      <c r="F111" s="222">
        <v>43162</v>
      </c>
      <c r="G111" s="221">
        <v>10</v>
      </c>
      <c r="H111" s="221" t="s">
        <v>133</v>
      </c>
      <c r="I111" s="129"/>
      <c r="J111" s="129" t="s">
        <v>614</v>
      </c>
      <c r="K111" s="319">
        <v>1599</v>
      </c>
      <c r="L111" s="221">
        <v>335</v>
      </c>
      <c r="M111" s="221">
        <v>310</v>
      </c>
      <c r="N111" s="227">
        <f t="shared" si="2"/>
        <v>1168.06</v>
      </c>
      <c r="O111" s="226"/>
      <c r="P111" s="224"/>
      <c r="Q111" s="224"/>
      <c r="R111" s="221" t="s">
        <v>122</v>
      </c>
      <c r="S111" s="145" t="s">
        <v>469</v>
      </c>
      <c r="T111" s="221" t="s">
        <v>164</v>
      </c>
      <c r="U111" s="221" t="s">
        <v>1463</v>
      </c>
      <c r="V111" s="221" t="s">
        <v>90</v>
      </c>
      <c r="W111" s="129"/>
      <c r="X111" s="129"/>
      <c r="Y111" s="221" t="s">
        <v>316</v>
      </c>
      <c r="Z111" s="221" t="s">
        <v>202</v>
      </c>
      <c r="AA111" s="222">
        <v>43154</v>
      </c>
      <c r="AB111" s="221" t="s">
        <v>140</v>
      </c>
      <c r="AC111" s="226">
        <f t="shared" si="3"/>
        <v>1</v>
      </c>
      <c r="AD111" s="147" t="s">
        <v>217</v>
      </c>
      <c r="AE111" s="147" t="s">
        <v>218</v>
      </c>
      <c r="AF111" s="221"/>
      <c r="AG111" s="129"/>
      <c r="AH111" s="64"/>
      <c r="AI111" s="129"/>
      <c r="AJ111" s="129"/>
      <c r="AK111" s="129"/>
      <c r="AL111" s="129"/>
      <c r="AM111" s="129"/>
    </row>
    <row r="112" spans="1:39" ht="15" customHeight="1">
      <c r="A112" s="147">
        <v>111</v>
      </c>
      <c r="B112" s="173">
        <v>218949</v>
      </c>
      <c r="C112" s="221" t="s">
        <v>1130</v>
      </c>
      <c r="D112" s="57">
        <v>43152</v>
      </c>
      <c r="E112" s="160" t="s">
        <v>1931</v>
      </c>
      <c r="F112" s="222">
        <v>43159</v>
      </c>
      <c r="G112" s="221">
        <v>7</v>
      </c>
      <c r="H112" s="221" t="s">
        <v>133</v>
      </c>
      <c r="I112" s="129"/>
      <c r="J112" s="129" t="s">
        <v>614</v>
      </c>
      <c r="K112" s="319">
        <v>2999</v>
      </c>
      <c r="L112" s="221">
        <v>345</v>
      </c>
      <c r="M112" s="221">
        <v>220</v>
      </c>
      <c r="N112" s="227">
        <f t="shared" si="2"/>
        <v>2474.06</v>
      </c>
      <c r="O112" s="226"/>
      <c r="P112" s="224"/>
      <c r="Q112" s="224"/>
      <c r="R112" s="221" t="s">
        <v>134</v>
      </c>
      <c r="S112" s="145" t="s">
        <v>465</v>
      </c>
      <c r="T112" s="221" t="s">
        <v>88</v>
      </c>
      <c r="U112" s="221" t="s">
        <v>2164</v>
      </c>
      <c r="V112" s="221" t="s">
        <v>429</v>
      </c>
      <c r="W112" s="129"/>
      <c r="X112" s="129"/>
      <c r="Y112" s="221" t="s">
        <v>3</v>
      </c>
      <c r="Z112" s="221" t="s">
        <v>189</v>
      </c>
      <c r="AA112" s="222">
        <v>43157</v>
      </c>
      <c r="AB112" s="221" t="s">
        <v>140</v>
      </c>
      <c r="AC112" s="226">
        <f t="shared" si="3"/>
        <v>1</v>
      </c>
      <c r="AD112" s="147" t="s">
        <v>217</v>
      </c>
      <c r="AE112" s="147" t="s">
        <v>218</v>
      </c>
      <c r="AF112" s="221"/>
      <c r="AG112" s="129"/>
      <c r="AH112" s="64"/>
      <c r="AI112" s="129"/>
      <c r="AJ112" s="129"/>
      <c r="AK112" s="129"/>
      <c r="AL112" s="129"/>
      <c r="AM112" s="129"/>
    </row>
    <row r="113" spans="1:39" ht="15" customHeight="1">
      <c r="A113" s="147">
        <v>112</v>
      </c>
      <c r="B113" s="223">
        <v>218953</v>
      </c>
      <c r="C113" s="221" t="s">
        <v>1130</v>
      </c>
      <c r="D113" s="57">
        <v>43152</v>
      </c>
      <c r="E113" s="160" t="s">
        <v>1931</v>
      </c>
      <c r="F113" s="222">
        <v>43159</v>
      </c>
      <c r="G113" s="221">
        <v>7</v>
      </c>
      <c r="H113" s="221" t="s">
        <v>133</v>
      </c>
      <c r="I113" s="129"/>
      <c r="J113" s="129" t="s">
        <v>614</v>
      </c>
      <c r="K113" s="319">
        <v>2948</v>
      </c>
      <c r="L113" s="221">
        <v>345</v>
      </c>
      <c r="M113" s="221">
        <v>220</v>
      </c>
      <c r="N113" s="227">
        <f t="shared" si="2"/>
        <v>2426.12</v>
      </c>
      <c r="O113" s="226"/>
      <c r="P113" s="224"/>
      <c r="Q113" s="224"/>
      <c r="R113" s="221" t="s">
        <v>134</v>
      </c>
      <c r="S113" s="145" t="s">
        <v>465</v>
      </c>
      <c r="T113" s="221" t="s">
        <v>88</v>
      </c>
      <c r="U113" s="221" t="s">
        <v>1617</v>
      </c>
      <c r="V113" s="221" t="s">
        <v>429</v>
      </c>
      <c r="W113" s="129"/>
      <c r="X113" s="129"/>
      <c r="Y113" s="221" t="s">
        <v>3</v>
      </c>
      <c r="Z113" s="221" t="s">
        <v>189</v>
      </c>
      <c r="AA113" s="222">
        <v>43157</v>
      </c>
      <c r="AB113" s="221" t="s">
        <v>140</v>
      </c>
      <c r="AC113" s="226">
        <f t="shared" si="3"/>
        <v>1</v>
      </c>
      <c r="AD113" s="147" t="s">
        <v>217</v>
      </c>
      <c r="AE113" s="147" t="s">
        <v>218</v>
      </c>
      <c r="AF113" s="221"/>
      <c r="AG113" s="129"/>
      <c r="AH113" s="64"/>
      <c r="AI113" s="129"/>
      <c r="AJ113" s="129"/>
      <c r="AK113" s="129"/>
      <c r="AL113" s="129"/>
      <c r="AM113" s="129"/>
    </row>
    <row r="114" spans="1:39" ht="15" customHeight="1">
      <c r="A114" s="147">
        <v>113</v>
      </c>
      <c r="B114" s="223">
        <v>219004</v>
      </c>
      <c r="C114" s="221" t="s">
        <v>1130</v>
      </c>
      <c r="D114" s="57">
        <v>43152</v>
      </c>
      <c r="E114" s="160" t="s">
        <v>1931</v>
      </c>
      <c r="F114" s="222">
        <v>43159</v>
      </c>
      <c r="G114" s="221">
        <v>7</v>
      </c>
      <c r="H114" s="221" t="s">
        <v>363</v>
      </c>
      <c r="I114" s="129"/>
      <c r="J114" s="129" t="s">
        <v>614</v>
      </c>
      <c r="K114" s="319"/>
      <c r="L114" s="221"/>
      <c r="M114" s="221"/>
      <c r="N114" s="227">
        <f t="shared" si="2"/>
        <v>0</v>
      </c>
      <c r="O114" s="226"/>
      <c r="P114" s="224"/>
      <c r="Q114" s="224"/>
      <c r="R114" s="221" t="s">
        <v>143</v>
      </c>
      <c r="S114" s="145" t="s">
        <v>465</v>
      </c>
      <c r="T114" s="221" t="s">
        <v>88</v>
      </c>
      <c r="U114" s="221" t="s">
        <v>334</v>
      </c>
      <c r="V114" s="221" t="s">
        <v>432</v>
      </c>
      <c r="W114" s="129"/>
      <c r="X114" s="129"/>
      <c r="Y114" s="221"/>
      <c r="Z114" s="221" t="s">
        <v>189</v>
      </c>
      <c r="AB114" s="221"/>
      <c r="AC114" s="226">
        <f t="shared" si="3"/>
        <v>0</v>
      </c>
      <c r="AF114" s="221"/>
      <c r="AG114" s="129"/>
      <c r="AH114" s="64" t="s">
        <v>2308</v>
      </c>
      <c r="AI114" s="129"/>
      <c r="AJ114" s="129"/>
      <c r="AK114" s="129"/>
      <c r="AL114" s="129"/>
      <c r="AM114" s="129"/>
    </row>
    <row r="115" spans="1:39" ht="15" customHeight="1">
      <c r="A115" s="147">
        <v>114</v>
      </c>
      <c r="B115" s="223">
        <v>219020</v>
      </c>
      <c r="C115" s="221" t="s">
        <v>1130</v>
      </c>
      <c r="D115" s="57">
        <v>43152</v>
      </c>
      <c r="E115" s="160" t="s">
        <v>1931</v>
      </c>
      <c r="F115" s="222">
        <v>43161</v>
      </c>
      <c r="G115" s="221">
        <v>9</v>
      </c>
      <c r="H115" s="221" t="s">
        <v>133</v>
      </c>
      <c r="I115" s="129"/>
      <c r="J115" s="129" t="s">
        <v>614</v>
      </c>
      <c r="K115" s="319">
        <v>960</v>
      </c>
      <c r="L115" s="221">
        <v>170</v>
      </c>
      <c r="M115" s="221">
        <v>80</v>
      </c>
      <c r="N115" s="227">
        <f t="shared" si="2"/>
        <v>732.4</v>
      </c>
      <c r="O115" s="226"/>
      <c r="P115" s="224"/>
      <c r="Q115" s="224"/>
      <c r="R115" s="221" t="s">
        <v>143</v>
      </c>
      <c r="S115" s="145" t="s">
        <v>465</v>
      </c>
      <c r="T115" s="221" t="s">
        <v>88</v>
      </c>
      <c r="U115" s="221" t="s">
        <v>1285</v>
      </c>
      <c r="V115" s="221" t="s">
        <v>432</v>
      </c>
      <c r="W115" s="129"/>
      <c r="X115" s="129"/>
      <c r="Y115" s="221" t="s">
        <v>316</v>
      </c>
      <c r="Z115" s="221" t="s">
        <v>189</v>
      </c>
      <c r="AA115" s="222">
        <v>43154</v>
      </c>
      <c r="AB115" s="221" t="s">
        <v>872</v>
      </c>
      <c r="AC115" s="226">
        <f t="shared" si="3"/>
        <v>1</v>
      </c>
      <c r="AD115" s="147" t="s">
        <v>217</v>
      </c>
      <c r="AE115" s="147" t="s">
        <v>218</v>
      </c>
      <c r="AF115" s="221"/>
      <c r="AG115" s="129"/>
      <c r="AH115" s="64"/>
      <c r="AI115" s="129"/>
      <c r="AJ115" s="129"/>
      <c r="AK115" s="129"/>
      <c r="AL115" s="129"/>
      <c r="AM115" s="129"/>
    </row>
    <row r="116" spans="1:39" ht="15" customHeight="1">
      <c r="A116" s="147">
        <v>115</v>
      </c>
      <c r="B116" s="173">
        <v>219101</v>
      </c>
      <c r="C116" s="221" t="s">
        <v>1130</v>
      </c>
      <c r="D116" s="57">
        <v>43152</v>
      </c>
      <c r="E116" s="160" t="s">
        <v>1931</v>
      </c>
      <c r="F116" s="222">
        <v>43161</v>
      </c>
      <c r="G116" s="221">
        <v>9</v>
      </c>
      <c r="H116" s="221" t="s">
        <v>133</v>
      </c>
      <c r="I116" s="129"/>
      <c r="J116" s="129" t="s">
        <v>614</v>
      </c>
      <c r="K116" s="319">
        <v>1000</v>
      </c>
      <c r="L116" s="221">
        <v>170</v>
      </c>
      <c r="M116" s="221">
        <v>80</v>
      </c>
      <c r="N116" s="227">
        <f t="shared" si="2"/>
        <v>770</v>
      </c>
      <c r="O116" s="226"/>
      <c r="P116" s="224"/>
      <c r="Q116" s="224"/>
      <c r="R116" s="221" t="s">
        <v>143</v>
      </c>
      <c r="S116" s="145" t="s">
        <v>465</v>
      </c>
      <c r="T116" s="221" t="s">
        <v>88</v>
      </c>
      <c r="U116" s="221" t="s">
        <v>1419</v>
      </c>
      <c r="V116" s="221" t="s">
        <v>432</v>
      </c>
      <c r="W116" s="129"/>
      <c r="X116" s="129"/>
      <c r="Y116" s="221" t="s">
        <v>316</v>
      </c>
      <c r="Z116" s="221" t="s">
        <v>189</v>
      </c>
      <c r="AA116" s="222">
        <v>43154</v>
      </c>
      <c r="AB116" s="221" t="s">
        <v>872</v>
      </c>
      <c r="AC116" s="226">
        <f t="shared" si="3"/>
        <v>1</v>
      </c>
      <c r="AD116" s="147" t="s">
        <v>217</v>
      </c>
      <c r="AE116" s="147" t="s">
        <v>218</v>
      </c>
      <c r="AF116" s="221"/>
      <c r="AG116" s="129"/>
      <c r="AH116" s="64"/>
      <c r="AI116" s="129"/>
      <c r="AJ116" s="129"/>
      <c r="AK116" s="129"/>
      <c r="AL116" s="129"/>
      <c r="AM116" s="129"/>
    </row>
    <row r="117" spans="1:39" ht="15" customHeight="1">
      <c r="A117" s="147">
        <v>116</v>
      </c>
      <c r="B117" s="223">
        <v>219038</v>
      </c>
      <c r="C117" s="221" t="s">
        <v>128</v>
      </c>
      <c r="D117" s="57">
        <v>43153</v>
      </c>
      <c r="E117" s="160" t="s">
        <v>1931</v>
      </c>
      <c r="F117" s="222">
        <v>43171</v>
      </c>
      <c r="G117" s="221">
        <v>18</v>
      </c>
      <c r="H117" s="221" t="s">
        <v>133</v>
      </c>
      <c r="I117" s="129"/>
      <c r="J117" s="129" t="s">
        <v>614</v>
      </c>
      <c r="K117" s="319">
        <v>1549</v>
      </c>
      <c r="L117" s="221">
        <v>145</v>
      </c>
      <c r="M117" s="221">
        <v>100</v>
      </c>
      <c r="N117" s="227">
        <f t="shared" si="2"/>
        <v>1311.06</v>
      </c>
      <c r="O117" s="226"/>
      <c r="P117" s="224"/>
      <c r="Q117" s="224"/>
      <c r="R117" s="221" t="s">
        <v>134</v>
      </c>
      <c r="S117" s="145" t="s">
        <v>465</v>
      </c>
      <c r="T117" s="221" t="s">
        <v>162</v>
      </c>
      <c r="U117" s="221" t="s">
        <v>2165</v>
      </c>
      <c r="V117" s="221" t="s">
        <v>389</v>
      </c>
      <c r="W117" s="129"/>
      <c r="X117" s="129"/>
      <c r="Y117" s="221" t="s">
        <v>316</v>
      </c>
      <c r="Z117" s="221" t="s">
        <v>780</v>
      </c>
      <c r="AA117" s="222">
        <v>43158</v>
      </c>
      <c r="AB117" s="221" t="s">
        <v>140</v>
      </c>
      <c r="AC117" s="226">
        <f t="shared" si="3"/>
        <v>1</v>
      </c>
      <c r="AD117" s="147" t="s">
        <v>217</v>
      </c>
      <c r="AE117" s="147" t="s">
        <v>218</v>
      </c>
      <c r="AF117" s="221"/>
      <c r="AG117" s="129"/>
      <c r="AH117" s="64"/>
      <c r="AI117" s="129"/>
      <c r="AJ117" s="129"/>
      <c r="AK117" s="129"/>
      <c r="AL117" s="129"/>
      <c r="AM117" s="129"/>
    </row>
    <row r="118" spans="1:39" ht="15" customHeight="1">
      <c r="A118" s="147">
        <v>117</v>
      </c>
      <c r="B118" s="223">
        <v>218805</v>
      </c>
      <c r="C118" s="221" t="s">
        <v>1628</v>
      </c>
      <c r="D118" s="57">
        <v>43154</v>
      </c>
      <c r="E118" s="160" t="s">
        <v>1931</v>
      </c>
      <c r="F118" s="222">
        <v>43164</v>
      </c>
      <c r="G118" s="221">
        <v>10</v>
      </c>
      <c r="H118" s="221" t="s">
        <v>133</v>
      </c>
      <c r="I118" s="129"/>
      <c r="J118" s="129" t="s">
        <v>614</v>
      </c>
      <c r="K118" s="319">
        <v>999</v>
      </c>
      <c r="L118" s="221"/>
      <c r="M118" s="221"/>
      <c r="N118" s="227">
        <f t="shared" si="2"/>
        <v>0</v>
      </c>
      <c r="O118" s="226"/>
      <c r="P118" s="224"/>
      <c r="Q118" s="224"/>
      <c r="R118" s="221" t="s">
        <v>143</v>
      </c>
      <c r="S118" s="145" t="s">
        <v>465</v>
      </c>
      <c r="T118" s="221" t="s">
        <v>164</v>
      </c>
      <c r="U118" s="221" t="s">
        <v>1633</v>
      </c>
      <c r="V118" s="221" t="s">
        <v>90</v>
      </c>
      <c r="W118" s="129"/>
      <c r="X118" s="129"/>
      <c r="Y118" s="221"/>
      <c r="Z118" s="221" t="s">
        <v>404</v>
      </c>
      <c r="AB118" s="221"/>
      <c r="AC118" s="226">
        <f t="shared" si="3"/>
        <v>0</v>
      </c>
      <c r="AE118" s="147" t="s">
        <v>217</v>
      </c>
      <c r="AF118" s="147" t="s">
        <v>2353</v>
      </c>
      <c r="AG118" s="129"/>
      <c r="AH118" s="64"/>
      <c r="AI118" s="129"/>
      <c r="AJ118" s="129"/>
      <c r="AK118" s="129"/>
      <c r="AL118" s="129"/>
      <c r="AM118" s="129"/>
    </row>
    <row r="119" spans="1:39" ht="15" customHeight="1">
      <c r="A119" s="147">
        <v>118</v>
      </c>
      <c r="B119" s="223">
        <v>218845</v>
      </c>
      <c r="C119" s="221" t="s">
        <v>128</v>
      </c>
      <c r="D119" s="57">
        <v>43154</v>
      </c>
      <c r="E119" s="160" t="s">
        <v>1931</v>
      </c>
      <c r="F119" s="222">
        <v>43170</v>
      </c>
      <c r="G119" s="221">
        <v>16</v>
      </c>
      <c r="H119" s="221" t="s">
        <v>133</v>
      </c>
      <c r="I119" s="129"/>
      <c r="J119" s="129" t="s">
        <v>614</v>
      </c>
      <c r="K119" s="319">
        <v>1899</v>
      </c>
      <c r="L119" s="221">
        <v>290</v>
      </c>
      <c r="M119" s="221">
        <v>200</v>
      </c>
      <c r="N119" s="227">
        <f t="shared" si="2"/>
        <v>1495.06</v>
      </c>
      <c r="O119" s="226"/>
      <c r="P119" s="224"/>
      <c r="Q119" s="224"/>
      <c r="R119" s="221" t="s">
        <v>134</v>
      </c>
      <c r="S119" s="145" t="s">
        <v>465</v>
      </c>
      <c r="T119" s="221" t="s">
        <v>164</v>
      </c>
      <c r="U119" s="221" t="s">
        <v>2171</v>
      </c>
      <c r="V119" s="221" t="s">
        <v>90</v>
      </c>
      <c r="W119" s="129"/>
      <c r="X119" s="129"/>
      <c r="Y119" s="221" t="s">
        <v>316</v>
      </c>
      <c r="Z119" s="221" t="s">
        <v>510</v>
      </c>
      <c r="AA119" s="222">
        <v>43154</v>
      </c>
      <c r="AB119" s="221" t="s">
        <v>140</v>
      </c>
      <c r="AC119" s="226">
        <f t="shared" si="3"/>
        <v>1</v>
      </c>
      <c r="AD119" s="147" t="s">
        <v>217</v>
      </c>
      <c r="AE119" s="147" t="s">
        <v>218</v>
      </c>
      <c r="AF119" s="221"/>
      <c r="AG119" s="129"/>
      <c r="AH119" s="64"/>
      <c r="AI119" s="129"/>
      <c r="AJ119" s="129"/>
      <c r="AK119" s="129"/>
      <c r="AL119" s="129"/>
      <c r="AM119" s="129"/>
    </row>
    <row r="120" spans="1:39" ht="15" customHeight="1">
      <c r="A120" s="147">
        <v>119</v>
      </c>
      <c r="B120" s="223">
        <v>217737</v>
      </c>
      <c r="C120" s="221" t="s">
        <v>128</v>
      </c>
      <c r="D120" s="57">
        <v>43154</v>
      </c>
      <c r="E120" s="160" t="s">
        <v>2206</v>
      </c>
      <c r="F120" s="222">
        <v>43169</v>
      </c>
      <c r="G120" s="221">
        <v>15</v>
      </c>
      <c r="H120" s="221" t="s">
        <v>133</v>
      </c>
      <c r="I120" s="129"/>
      <c r="J120" s="129" t="s">
        <v>614</v>
      </c>
      <c r="K120" s="319">
        <v>999</v>
      </c>
      <c r="L120" s="221">
        <v>295</v>
      </c>
      <c r="M120" s="221">
        <v>25</v>
      </c>
      <c r="N120" s="227">
        <f t="shared" si="2"/>
        <v>0</v>
      </c>
      <c r="O120" s="226"/>
      <c r="P120" s="224"/>
      <c r="Q120" s="224"/>
      <c r="R120" s="221" t="s">
        <v>220</v>
      </c>
      <c r="S120" s="145" t="s">
        <v>469</v>
      </c>
      <c r="T120" s="221" t="s">
        <v>1106</v>
      </c>
      <c r="U120" s="221" t="s">
        <v>2228</v>
      </c>
      <c r="V120" s="221" t="s">
        <v>90</v>
      </c>
      <c r="W120" s="129"/>
      <c r="X120" s="129"/>
      <c r="Y120" s="221" t="s">
        <v>316</v>
      </c>
      <c r="Z120" s="221" t="s">
        <v>726</v>
      </c>
      <c r="AA120" s="222">
        <v>43167</v>
      </c>
      <c r="AB120" s="221" t="s">
        <v>195</v>
      </c>
      <c r="AC120" s="226">
        <f t="shared" si="3"/>
        <v>0</v>
      </c>
      <c r="AE120" s="147" t="s">
        <v>217</v>
      </c>
      <c r="AF120" s="148" t="s">
        <v>2265</v>
      </c>
      <c r="AG120" s="129"/>
      <c r="AH120" s="64"/>
      <c r="AI120" s="129"/>
      <c r="AJ120" s="129"/>
      <c r="AK120" s="129"/>
      <c r="AL120" s="129"/>
      <c r="AM120" s="129"/>
    </row>
    <row r="121" spans="1:39" ht="15" customHeight="1">
      <c r="A121" s="147">
        <v>120</v>
      </c>
      <c r="B121" s="223">
        <v>218488</v>
      </c>
      <c r="C121" s="221" t="s">
        <v>128</v>
      </c>
      <c r="D121" s="57">
        <v>43157</v>
      </c>
      <c r="E121" s="160" t="s">
        <v>1931</v>
      </c>
      <c r="F121" s="222">
        <v>43167</v>
      </c>
      <c r="G121" s="221">
        <v>10</v>
      </c>
      <c r="H121" s="221" t="s">
        <v>133</v>
      </c>
      <c r="I121" s="129"/>
      <c r="J121" s="129" t="s">
        <v>614</v>
      </c>
      <c r="K121" s="319">
        <v>2399</v>
      </c>
      <c r="L121" s="221">
        <v>450</v>
      </c>
      <c r="M121" s="221">
        <v>115</v>
      </c>
      <c r="N121" s="227">
        <f t="shared" si="2"/>
        <v>1805.06</v>
      </c>
      <c r="O121" s="226"/>
      <c r="P121" s="224"/>
      <c r="Q121" s="224"/>
      <c r="R121" s="221" t="s">
        <v>143</v>
      </c>
      <c r="S121" s="145" t="s">
        <v>465</v>
      </c>
      <c r="T121" s="221" t="s">
        <v>88</v>
      </c>
      <c r="U121" s="221" t="s">
        <v>695</v>
      </c>
      <c r="V121" s="221" t="s">
        <v>90</v>
      </c>
      <c r="W121" s="129"/>
      <c r="X121" s="129"/>
      <c r="Y121" s="221" t="s">
        <v>1228</v>
      </c>
      <c r="Z121" s="221" t="s">
        <v>315</v>
      </c>
      <c r="AA121" s="222">
        <v>43164</v>
      </c>
      <c r="AB121" s="221" t="s">
        <v>872</v>
      </c>
      <c r="AC121" s="226">
        <f t="shared" si="3"/>
        <v>1</v>
      </c>
      <c r="AD121" s="147" t="s">
        <v>217</v>
      </c>
      <c r="AE121" s="147" t="s">
        <v>218</v>
      </c>
      <c r="AF121" s="221"/>
      <c r="AG121" s="129"/>
      <c r="AH121" s="64"/>
      <c r="AI121" s="129"/>
      <c r="AJ121" s="129"/>
      <c r="AK121" s="129"/>
      <c r="AL121" s="129"/>
      <c r="AM121" s="129"/>
    </row>
    <row r="122" spans="1:39" ht="15" customHeight="1">
      <c r="A122" s="147">
        <v>121</v>
      </c>
      <c r="B122" s="223">
        <v>219308</v>
      </c>
      <c r="C122" s="221" t="s">
        <v>128</v>
      </c>
      <c r="D122" s="57">
        <v>43157</v>
      </c>
      <c r="E122" s="160" t="s">
        <v>1931</v>
      </c>
      <c r="F122" s="222">
        <v>43167</v>
      </c>
      <c r="G122" s="221">
        <v>10</v>
      </c>
      <c r="H122" s="221" t="s">
        <v>133</v>
      </c>
      <c r="I122" s="129"/>
      <c r="J122" s="129" t="s">
        <v>614</v>
      </c>
      <c r="K122" s="319">
        <v>1949</v>
      </c>
      <c r="L122" s="221"/>
      <c r="M122" s="221"/>
      <c r="N122" s="227">
        <f t="shared" si="2"/>
        <v>0</v>
      </c>
      <c r="O122" s="226"/>
      <c r="P122" s="224"/>
      <c r="Q122" s="224"/>
      <c r="R122" s="221" t="s">
        <v>691</v>
      </c>
      <c r="S122" s="145" t="s">
        <v>466</v>
      </c>
      <c r="T122" s="221" t="s">
        <v>313</v>
      </c>
      <c r="U122" s="221" t="s">
        <v>2187</v>
      </c>
      <c r="V122" s="221" t="s">
        <v>257</v>
      </c>
      <c r="W122" s="129"/>
      <c r="X122" s="129"/>
      <c r="Y122" s="221"/>
      <c r="Z122" s="221" t="s">
        <v>304</v>
      </c>
      <c r="AB122" s="221"/>
      <c r="AC122" s="226">
        <f t="shared" si="3"/>
        <v>0</v>
      </c>
      <c r="AE122" s="147" t="s">
        <v>217</v>
      </c>
      <c r="AF122" s="147" t="s">
        <v>2353</v>
      </c>
      <c r="AG122" s="129"/>
      <c r="AH122" s="64"/>
      <c r="AI122" s="129"/>
      <c r="AJ122" s="129"/>
      <c r="AK122" s="129"/>
      <c r="AL122" s="129"/>
      <c r="AM122" s="129"/>
    </row>
    <row r="123" spans="1:39" ht="15" customHeight="1">
      <c r="A123" s="147">
        <v>122</v>
      </c>
      <c r="B123" s="223">
        <v>219484</v>
      </c>
      <c r="C123" s="221" t="s">
        <v>128</v>
      </c>
      <c r="D123" s="57">
        <v>43158</v>
      </c>
      <c r="E123" s="160" t="s">
        <v>1931</v>
      </c>
      <c r="F123" s="222">
        <v>43175</v>
      </c>
      <c r="G123" s="221">
        <v>17</v>
      </c>
      <c r="H123" s="221" t="s">
        <v>133</v>
      </c>
      <c r="I123" s="129"/>
      <c r="J123" s="129" t="s">
        <v>614</v>
      </c>
      <c r="K123" s="319">
        <v>1599</v>
      </c>
      <c r="L123" s="221">
        <v>238</v>
      </c>
      <c r="M123" s="221">
        <v>330</v>
      </c>
      <c r="N123" s="227">
        <f t="shared" si="2"/>
        <v>0</v>
      </c>
      <c r="O123" s="226"/>
      <c r="P123" s="224"/>
      <c r="Q123" s="224"/>
      <c r="R123" s="221" t="s">
        <v>134</v>
      </c>
      <c r="S123" s="145" t="s">
        <v>465</v>
      </c>
      <c r="T123" s="221" t="s">
        <v>164</v>
      </c>
      <c r="U123" s="221" t="s">
        <v>2188</v>
      </c>
      <c r="V123" s="221" t="s">
        <v>2189</v>
      </c>
      <c r="W123" s="129"/>
      <c r="X123" s="129"/>
      <c r="Y123" s="221" t="s">
        <v>1942</v>
      </c>
      <c r="Z123" s="221" t="s">
        <v>780</v>
      </c>
      <c r="AA123" s="222">
        <v>43160</v>
      </c>
      <c r="AB123" s="221" t="s">
        <v>140</v>
      </c>
      <c r="AC123" s="226">
        <f t="shared" si="3"/>
        <v>0</v>
      </c>
      <c r="AE123" s="147" t="s">
        <v>217</v>
      </c>
      <c r="AF123" s="221" t="s">
        <v>2218</v>
      </c>
      <c r="AG123" s="129"/>
      <c r="AH123" s="64"/>
      <c r="AI123" s="129"/>
      <c r="AJ123" s="129"/>
      <c r="AK123" s="129"/>
      <c r="AL123" s="129"/>
      <c r="AM123" s="129"/>
    </row>
    <row r="124" spans="1:39" ht="15" customHeight="1">
      <c r="A124" s="147">
        <v>123</v>
      </c>
      <c r="B124" s="223">
        <v>218734</v>
      </c>
      <c r="C124" s="221" t="s">
        <v>1628</v>
      </c>
      <c r="D124" s="57">
        <v>43158</v>
      </c>
      <c r="E124" s="160" t="s">
        <v>1931</v>
      </c>
      <c r="F124" s="222">
        <v>43163</v>
      </c>
      <c r="G124" s="221">
        <v>5</v>
      </c>
      <c r="H124" s="221" t="s">
        <v>133</v>
      </c>
      <c r="I124" s="129"/>
      <c r="J124" s="129" t="s">
        <v>614</v>
      </c>
      <c r="K124" s="319">
        <v>979</v>
      </c>
      <c r="L124" s="221">
        <v>178</v>
      </c>
      <c r="M124" s="221">
        <v>160</v>
      </c>
      <c r="N124" s="227">
        <f t="shared" si="2"/>
        <v>0</v>
      </c>
      <c r="O124" s="226"/>
      <c r="P124" s="224"/>
      <c r="Q124" s="224"/>
      <c r="R124" s="221" t="s">
        <v>134</v>
      </c>
      <c r="S124" s="145" t="s">
        <v>465</v>
      </c>
      <c r="T124" s="221" t="s">
        <v>114</v>
      </c>
      <c r="U124" s="221" t="s">
        <v>2190</v>
      </c>
      <c r="V124" s="221" t="s">
        <v>862</v>
      </c>
      <c r="W124" s="129"/>
      <c r="X124" s="129"/>
      <c r="Y124" s="221" t="s">
        <v>1942</v>
      </c>
      <c r="Z124" s="221" t="s">
        <v>124</v>
      </c>
      <c r="AB124" s="221"/>
      <c r="AC124" s="226">
        <f t="shared" si="3"/>
        <v>0</v>
      </c>
      <c r="AE124" s="147" t="s">
        <v>217</v>
      </c>
      <c r="AF124" s="147" t="s">
        <v>2353</v>
      </c>
      <c r="AG124" s="129"/>
      <c r="AH124" s="64"/>
      <c r="AI124" s="129"/>
      <c r="AJ124" s="129"/>
      <c r="AK124" s="129"/>
      <c r="AL124" s="129"/>
      <c r="AM124" s="129"/>
    </row>
    <row r="125" spans="1:39" ht="15" customHeight="1">
      <c r="A125" s="147">
        <v>124</v>
      </c>
      <c r="B125" s="223">
        <v>219452</v>
      </c>
      <c r="C125" s="221" t="s">
        <v>1628</v>
      </c>
      <c r="D125" s="57">
        <v>43158</v>
      </c>
      <c r="E125" s="160" t="s">
        <v>1931</v>
      </c>
      <c r="F125" s="222">
        <v>43169</v>
      </c>
      <c r="G125" s="221">
        <v>11</v>
      </c>
      <c r="H125" s="221" t="s">
        <v>133</v>
      </c>
      <c r="I125" s="129"/>
      <c r="J125" s="129" t="s">
        <v>614</v>
      </c>
      <c r="K125" s="319"/>
      <c r="L125" s="221"/>
      <c r="M125" s="221"/>
      <c r="N125" s="227">
        <f t="shared" si="2"/>
        <v>0</v>
      </c>
      <c r="O125" s="226"/>
      <c r="P125" s="224"/>
      <c r="Q125" s="224"/>
      <c r="R125" s="221" t="s">
        <v>210</v>
      </c>
      <c r="S125" s="145" t="s">
        <v>469</v>
      </c>
      <c r="T125" s="221" t="s">
        <v>164</v>
      </c>
      <c r="U125" s="221" t="s">
        <v>821</v>
      </c>
      <c r="V125" s="221" t="s">
        <v>2191</v>
      </c>
      <c r="W125" s="129"/>
      <c r="X125" s="129"/>
      <c r="Y125" s="221"/>
      <c r="Z125" s="221" t="s">
        <v>292</v>
      </c>
      <c r="AB125" s="221"/>
      <c r="AC125" s="226">
        <f t="shared" si="3"/>
        <v>0</v>
      </c>
      <c r="AE125" s="147" t="s">
        <v>217</v>
      </c>
      <c r="AF125" s="147" t="s">
        <v>2353</v>
      </c>
      <c r="AG125" s="129"/>
      <c r="AH125" s="64"/>
      <c r="AI125" s="129"/>
      <c r="AJ125" s="129"/>
      <c r="AK125" s="129"/>
      <c r="AL125" s="129"/>
      <c r="AM125" s="129"/>
    </row>
    <row r="126" spans="1:39" ht="15" customHeight="1">
      <c r="A126" s="147">
        <v>125</v>
      </c>
      <c r="B126" s="223">
        <v>218727</v>
      </c>
      <c r="C126" s="221" t="s">
        <v>129</v>
      </c>
      <c r="D126" s="57">
        <v>43158</v>
      </c>
      <c r="E126" s="160" t="s">
        <v>1931</v>
      </c>
      <c r="F126" s="222">
        <v>43164</v>
      </c>
      <c r="G126" s="221">
        <v>6</v>
      </c>
      <c r="H126" s="221" t="s">
        <v>133</v>
      </c>
      <c r="I126" s="129"/>
      <c r="J126" s="129" t="s">
        <v>614</v>
      </c>
      <c r="K126" s="319">
        <v>2840</v>
      </c>
      <c r="L126" s="221"/>
      <c r="M126" s="221"/>
      <c r="N126" s="227">
        <f t="shared" si="2"/>
        <v>0</v>
      </c>
      <c r="O126" s="226"/>
      <c r="P126" s="224"/>
      <c r="Q126" s="224"/>
      <c r="R126" s="221" t="s">
        <v>134</v>
      </c>
      <c r="S126" s="145" t="s">
        <v>465</v>
      </c>
      <c r="T126" s="221" t="s">
        <v>88</v>
      </c>
      <c r="U126" s="221" t="s">
        <v>2195</v>
      </c>
      <c r="V126" s="221" t="s">
        <v>429</v>
      </c>
      <c r="W126" s="129"/>
      <c r="X126" s="129"/>
      <c r="Y126" s="221"/>
      <c r="Z126" s="221" t="s">
        <v>189</v>
      </c>
      <c r="AB126" s="221"/>
      <c r="AC126" s="226">
        <f t="shared" si="3"/>
        <v>0</v>
      </c>
      <c r="AE126" s="147" t="s">
        <v>217</v>
      </c>
      <c r="AF126" s="147" t="s">
        <v>2353</v>
      </c>
      <c r="AG126" s="129"/>
      <c r="AH126" s="64"/>
      <c r="AI126" s="129"/>
      <c r="AJ126" s="129"/>
      <c r="AK126" s="129"/>
      <c r="AL126" s="129"/>
      <c r="AM126" s="129"/>
    </row>
    <row r="127" spans="1:39" ht="15" customHeight="1">
      <c r="A127" s="147">
        <v>126</v>
      </c>
      <c r="B127" s="223">
        <v>219204</v>
      </c>
      <c r="C127" s="221" t="s">
        <v>129</v>
      </c>
      <c r="D127" s="57">
        <v>43158</v>
      </c>
      <c r="E127" s="160" t="s">
        <v>1931</v>
      </c>
      <c r="F127" s="222">
        <v>43173</v>
      </c>
      <c r="G127" s="221">
        <v>15</v>
      </c>
      <c r="H127" s="221" t="s">
        <v>133</v>
      </c>
      <c r="I127" s="129"/>
      <c r="J127" s="129" t="s">
        <v>614</v>
      </c>
      <c r="K127" s="319">
        <v>3609</v>
      </c>
      <c r="L127" s="221">
        <v>345</v>
      </c>
      <c r="M127" s="221">
        <v>220</v>
      </c>
      <c r="N127" s="227">
        <f t="shared" si="2"/>
        <v>3047.46</v>
      </c>
      <c r="O127" s="226"/>
      <c r="P127" s="224"/>
      <c r="Q127" s="224"/>
      <c r="R127" s="221" t="s">
        <v>134</v>
      </c>
      <c r="S127" s="145" t="s">
        <v>465</v>
      </c>
      <c r="T127" s="221" t="s">
        <v>88</v>
      </c>
      <c r="U127" s="221" t="s">
        <v>2196</v>
      </c>
      <c r="V127" s="221" t="s">
        <v>429</v>
      </c>
      <c r="W127" s="129"/>
      <c r="X127" s="129"/>
      <c r="Y127" s="221" t="s">
        <v>3</v>
      </c>
      <c r="Z127" s="221" t="s">
        <v>189</v>
      </c>
      <c r="AA127" s="222">
        <v>43160</v>
      </c>
      <c r="AB127" s="221" t="s">
        <v>140</v>
      </c>
      <c r="AC127" s="226">
        <f t="shared" si="3"/>
        <v>1</v>
      </c>
      <c r="AD127" s="147" t="s">
        <v>217</v>
      </c>
      <c r="AE127" s="147" t="s">
        <v>218</v>
      </c>
      <c r="AF127" s="221"/>
      <c r="AG127" s="129"/>
      <c r="AH127" s="64"/>
      <c r="AI127" s="129"/>
      <c r="AJ127" s="129"/>
      <c r="AK127" s="129"/>
      <c r="AL127" s="129"/>
      <c r="AM127" s="129"/>
    </row>
    <row r="128" spans="1:39" ht="15" customHeight="1">
      <c r="A128" s="147">
        <v>127</v>
      </c>
      <c r="B128" s="223">
        <v>219475</v>
      </c>
      <c r="C128" s="221" t="s">
        <v>129</v>
      </c>
      <c r="D128" s="57">
        <v>43158</v>
      </c>
      <c r="E128" s="160" t="s">
        <v>1931</v>
      </c>
      <c r="F128" s="222">
        <v>43187</v>
      </c>
      <c r="G128" s="221">
        <v>29</v>
      </c>
      <c r="H128" s="221" t="s">
        <v>133</v>
      </c>
      <c r="I128" s="129"/>
      <c r="J128" s="129" t="s">
        <v>614</v>
      </c>
      <c r="K128" s="319">
        <v>2649</v>
      </c>
      <c r="L128" s="221"/>
      <c r="M128" s="221"/>
      <c r="N128" s="227">
        <f t="shared" si="2"/>
        <v>0</v>
      </c>
      <c r="O128" s="226"/>
      <c r="P128" s="224"/>
      <c r="Q128" s="224"/>
      <c r="R128" s="221" t="s">
        <v>134</v>
      </c>
      <c r="S128" s="145" t="s">
        <v>465</v>
      </c>
      <c r="T128" s="221" t="s">
        <v>88</v>
      </c>
      <c r="U128" s="221" t="s">
        <v>2197</v>
      </c>
      <c r="V128" s="221" t="s">
        <v>429</v>
      </c>
      <c r="W128" s="129"/>
      <c r="X128" s="129"/>
      <c r="Y128" s="221"/>
      <c r="Z128" s="221" t="s">
        <v>189</v>
      </c>
      <c r="AB128" s="221"/>
      <c r="AC128" s="226">
        <f t="shared" si="3"/>
        <v>0</v>
      </c>
      <c r="AE128" s="147" t="s">
        <v>217</v>
      </c>
      <c r="AF128" s="147" t="s">
        <v>2353</v>
      </c>
      <c r="AG128" s="129"/>
      <c r="AH128" s="64"/>
      <c r="AI128" s="129"/>
      <c r="AJ128" s="129"/>
      <c r="AK128" s="129"/>
      <c r="AL128" s="129"/>
      <c r="AM128" s="129"/>
    </row>
    <row r="129" spans="1:39" ht="15" customHeight="1">
      <c r="A129" s="147">
        <v>128</v>
      </c>
      <c r="B129" s="223">
        <v>219612</v>
      </c>
      <c r="C129" s="221" t="s">
        <v>129</v>
      </c>
      <c r="D129" s="57">
        <v>43158</v>
      </c>
      <c r="E129" s="160" t="s">
        <v>1931</v>
      </c>
      <c r="F129" s="222">
        <v>43171</v>
      </c>
      <c r="G129" s="221">
        <v>13</v>
      </c>
      <c r="H129" s="221" t="s">
        <v>133</v>
      </c>
      <c r="I129" s="129"/>
      <c r="J129" s="129" t="s">
        <v>614</v>
      </c>
      <c r="K129" s="319">
        <v>3299</v>
      </c>
      <c r="L129" s="221"/>
      <c r="M129" s="221"/>
      <c r="N129" s="227">
        <f t="shared" si="2"/>
        <v>0</v>
      </c>
      <c r="O129" s="226"/>
      <c r="P129" s="224"/>
      <c r="Q129" s="224"/>
      <c r="R129" s="221" t="s">
        <v>134</v>
      </c>
      <c r="S129" s="145" t="s">
        <v>465</v>
      </c>
      <c r="T129" s="221" t="s">
        <v>88</v>
      </c>
      <c r="U129" s="221" t="s">
        <v>1461</v>
      </c>
      <c r="V129" s="221" t="s">
        <v>429</v>
      </c>
      <c r="W129" s="129"/>
      <c r="X129" s="129"/>
      <c r="Y129" s="221"/>
      <c r="Z129" s="221" t="s">
        <v>189</v>
      </c>
      <c r="AB129" s="221"/>
      <c r="AC129" s="226">
        <f t="shared" si="3"/>
        <v>0</v>
      </c>
      <c r="AE129" s="147" t="s">
        <v>217</v>
      </c>
      <c r="AF129" s="147" t="s">
        <v>2353</v>
      </c>
      <c r="AG129" s="129"/>
      <c r="AH129" s="64"/>
      <c r="AI129" s="129"/>
      <c r="AJ129" s="129"/>
      <c r="AK129" s="129"/>
      <c r="AL129" s="129"/>
      <c r="AM129" s="129"/>
    </row>
    <row r="130" spans="1:39" ht="15" customHeight="1">
      <c r="A130" s="147">
        <v>129</v>
      </c>
      <c r="B130" s="223">
        <v>219021</v>
      </c>
      <c r="C130" s="221" t="s">
        <v>1628</v>
      </c>
      <c r="D130" s="57">
        <v>43158</v>
      </c>
      <c r="E130" s="160" t="s">
        <v>1931</v>
      </c>
      <c r="F130" s="222">
        <v>43167</v>
      </c>
      <c r="G130" s="221">
        <v>9</v>
      </c>
      <c r="H130" s="221" t="s">
        <v>133</v>
      </c>
      <c r="I130" s="129"/>
      <c r="J130" s="129" t="s">
        <v>614</v>
      </c>
      <c r="K130" s="319">
        <v>1274</v>
      </c>
      <c r="L130" s="221">
        <v>90</v>
      </c>
      <c r="M130" s="221">
        <v>100</v>
      </c>
      <c r="N130" s="227">
        <f t="shared" ref="N130:N193" si="4">IF(AE130="Reemplazo",0,K130-(K130*0.12*0.5)-(MAX(L130,M130)))</f>
        <v>1097.56</v>
      </c>
      <c r="O130" s="226"/>
      <c r="P130" s="224"/>
      <c r="Q130" s="224"/>
      <c r="R130" s="221" t="s">
        <v>275</v>
      </c>
      <c r="S130" s="145" t="s">
        <v>465</v>
      </c>
      <c r="T130" s="221" t="s">
        <v>1804</v>
      </c>
      <c r="U130" s="221" t="s">
        <v>2198</v>
      </c>
      <c r="V130" s="221" t="s">
        <v>2199</v>
      </c>
      <c r="W130" s="129"/>
      <c r="X130" s="129"/>
      <c r="Y130" s="221"/>
      <c r="Z130" s="221" t="s">
        <v>252</v>
      </c>
      <c r="AA130" s="222">
        <v>43164</v>
      </c>
      <c r="AB130" s="221" t="s">
        <v>872</v>
      </c>
      <c r="AC130" s="226">
        <f t="shared" ref="AC130:AC193" si="5">+IF(N130&gt;0,1,0)</f>
        <v>1</v>
      </c>
      <c r="AD130" s="147" t="s">
        <v>217</v>
      </c>
      <c r="AE130" s="147" t="s">
        <v>218</v>
      </c>
      <c r="AF130" s="221"/>
      <c r="AG130" s="129"/>
      <c r="AH130" s="64"/>
      <c r="AI130" s="129"/>
      <c r="AJ130" s="129"/>
      <c r="AK130" s="129"/>
      <c r="AL130" s="129"/>
      <c r="AM130" s="129"/>
    </row>
    <row r="131" spans="1:39" ht="15" customHeight="1">
      <c r="A131" s="147">
        <v>130</v>
      </c>
      <c r="B131" s="223">
        <v>219670</v>
      </c>
      <c r="C131" s="221" t="s">
        <v>1628</v>
      </c>
      <c r="D131" s="57">
        <v>43159</v>
      </c>
      <c r="E131" s="160" t="s">
        <v>1931</v>
      </c>
      <c r="F131" s="222">
        <v>43171</v>
      </c>
      <c r="G131" s="221">
        <v>12</v>
      </c>
      <c r="H131" s="221" t="s">
        <v>363</v>
      </c>
      <c r="I131" s="129"/>
      <c r="J131" s="129" t="s">
        <v>614</v>
      </c>
      <c r="K131" s="319"/>
      <c r="L131" s="221"/>
      <c r="M131" s="221"/>
      <c r="N131" s="227">
        <f t="shared" si="4"/>
        <v>0</v>
      </c>
      <c r="O131" s="226"/>
      <c r="P131" s="224"/>
      <c r="Q131" s="224"/>
      <c r="R131" s="221" t="s">
        <v>122</v>
      </c>
      <c r="S131" s="145" t="s">
        <v>469</v>
      </c>
      <c r="T131" s="221" t="s">
        <v>164</v>
      </c>
      <c r="U131" s="221" t="s">
        <v>2192</v>
      </c>
      <c r="V131" s="221" t="s">
        <v>222</v>
      </c>
      <c r="W131" s="129"/>
      <c r="X131" s="129"/>
      <c r="Y131" s="221"/>
      <c r="Z131" s="221" t="s">
        <v>235</v>
      </c>
      <c r="AB131" s="221"/>
      <c r="AC131" s="226">
        <f t="shared" si="5"/>
        <v>0</v>
      </c>
      <c r="AF131" s="221"/>
      <c r="AG131" s="129"/>
      <c r="AH131" s="64" t="s">
        <v>2209</v>
      </c>
      <c r="AI131" s="129"/>
      <c r="AJ131" s="129"/>
      <c r="AK131" s="129"/>
      <c r="AL131" s="129"/>
      <c r="AM131" s="129"/>
    </row>
    <row r="132" spans="1:39" ht="15" customHeight="1">
      <c r="A132" s="147">
        <v>131</v>
      </c>
      <c r="B132" s="223">
        <v>218419</v>
      </c>
      <c r="C132" s="221" t="s">
        <v>1628</v>
      </c>
      <c r="D132" s="57">
        <v>43159</v>
      </c>
      <c r="E132" s="160" t="s">
        <v>1931</v>
      </c>
      <c r="F132" s="222">
        <v>43160</v>
      </c>
      <c r="G132" s="221">
        <v>1</v>
      </c>
      <c r="H132" s="221" t="s">
        <v>133</v>
      </c>
      <c r="I132" s="129"/>
      <c r="J132" s="129" t="s">
        <v>614</v>
      </c>
      <c r="K132" s="319">
        <v>3599</v>
      </c>
      <c r="L132" s="221">
        <v>2238</v>
      </c>
      <c r="M132" s="221"/>
      <c r="N132" s="227">
        <f t="shared" si="4"/>
        <v>0</v>
      </c>
      <c r="O132" s="226"/>
      <c r="P132" s="224"/>
      <c r="Q132" s="224"/>
      <c r="R132" s="221" t="s">
        <v>122</v>
      </c>
      <c r="S132" s="145" t="s">
        <v>469</v>
      </c>
      <c r="T132" s="221" t="s">
        <v>164</v>
      </c>
      <c r="U132" s="221" t="s">
        <v>327</v>
      </c>
      <c r="V132" s="221" t="s">
        <v>2193</v>
      </c>
      <c r="W132" s="129"/>
      <c r="X132" s="129"/>
      <c r="Y132" s="221" t="s">
        <v>1942</v>
      </c>
      <c r="Z132" s="221" t="s">
        <v>489</v>
      </c>
      <c r="AB132" s="221" t="s">
        <v>140</v>
      </c>
      <c r="AC132" s="226">
        <f t="shared" si="5"/>
        <v>0</v>
      </c>
      <c r="AE132" s="147" t="s">
        <v>217</v>
      </c>
      <c r="AF132" s="148" t="s">
        <v>2265</v>
      </c>
      <c r="AG132" s="129"/>
      <c r="AH132" s="64"/>
      <c r="AI132" s="129"/>
      <c r="AJ132" s="129"/>
      <c r="AK132" s="129"/>
      <c r="AL132" s="129"/>
      <c r="AM132" s="129"/>
    </row>
    <row r="133" spans="1:39" ht="15" customHeight="1">
      <c r="A133" s="147">
        <v>132</v>
      </c>
      <c r="B133" s="223">
        <v>219212</v>
      </c>
      <c r="C133" s="221" t="s">
        <v>128</v>
      </c>
      <c r="D133" s="57">
        <v>43159</v>
      </c>
      <c r="E133" s="160" t="s">
        <v>1931</v>
      </c>
      <c r="F133" s="222">
        <v>43171</v>
      </c>
      <c r="G133" s="221">
        <v>12</v>
      </c>
      <c r="H133" s="221" t="s">
        <v>363</v>
      </c>
      <c r="I133" s="129"/>
      <c r="J133" s="129" t="s">
        <v>614</v>
      </c>
      <c r="K133" s="319"/>
      <c r="L133" s="221"/>
      <c r="M133" s="221"/>
      <c r="N133" s="227">
        <f t="shared" si="4"/>
        <v>0</v>
      </c>
      <c r="O133" s="226"/>
      <c r="P133" s="224"/>
      <c r="Q133" s="224"/>
      <c r="R133" s="221" t="s">
        <v>237</v>
      </c>
      <c r="S133" s="145" t="s">
        <v>465</v>
      </c>
      <c r="T133" s="221" t="s">
        <v>358</v>
      </c>
      <c r="U133" s="221" t="s">
        <v>2200</v>
      </c>
      <c r="V133" s="221" t="s">
        <v>2201</v>
      </c>
      <c r="W133" s="129"/>
      <c r="X133" s="129"/>
      <c r="Y133" s="221"/>
      <c r="Z133" s="221" t="s">
        <v>246</v>
      </c>
      <c r="AB133" s="221"/>
      <c r="AC133" s="226">
        <f t="shared" si="5"/>
        <v>0</v>
      </c>
      <c r="AF133" s="221"/>
      <c r="AG133" s="129"/>
      <c r="AH133" s="64" t="s">
        <v>2213</v>
      </c>
      <c r="AI133" s="129"/>
      <c r="AJ133" s="129"/>
      <c r="AK133" s="129"/>
      <c r="AL133" s="129"/>
      <c r="AM133" s="129"/>
    </row>
    <row r="134" spans="1:39" ht="15" customHeight="1">
      <c r="A134" s="147">
        <v>133</v>
      </c>
      <c r="B134" s="223">
        <v>219861</v>
      </c>
      <c r="C134" s="221" t="s">
        <v>128</v>
      </c>
      <c r="D134" s="57">
        <v>43160</v>
      </c>
      <c r="E134" s="160" t="s">
        <v>2206</v>
      </c>
      <c r="F134" s="222">
        <v>43175</v>
      </c>
      <c r="G134" s="221">
        <v>15</v>
      </c>
      <c r="H134" s="221" t="s">
        <v>133</v>
      </c>
      <c r="I134" s="129"/>
      <c r="J134" s="129" t="s">
        <v>614</v>
      </c>
      <c r="K134" s="319">
        <v>1671</v>
      </c>
      <c r="L134" s="221">
        <v>368</v>
      </c>
      <c r="M134" s="221">
        <v>112</v>
      </c>
      <c r="N134" s="227">
        <f t="shared" si="4"/>
        <v>1202.74</v>
      </c>
      <c r="O134" s="226"/>
      <c r="P134" s="224"/>
      <c r="Q134" s="224"/>
      <c r="R134" s="221" t="s">
        <v>210</v>
      </c>
      <c r="S134" s="145" t="s">
        <v>469</v>
      </c>
      <c r="T134" s="221" t="s">
        <v>114</v>
      </c>
      <c r="U134" s="221" t="s">
        <v>2202</v>
      </c>
      <c r="V134" s="221" t="s">
        <v>249</v>
      </c>
      <c r="W134" s="129"/>
      <c r="X134" s="129"/>
      <c r="Y134" s="221" t="s">
        <v>1942</v>
      </c>
      <c r="Z134" s="221" t="s">
        <v>315</v>
      </c>
      <c r="AA134" s="222">
        <v>43160</v>
      </c>
      <c r="AB134" s="221" t="s">
        <v>195</v>
      </c>
      <c r="AC134" s="226">
        <f t="shared" si="5"/>
        <v>1</v>
      </c>
      <c r="AD134" s="147" t="s">
        <v>217</v>
      </c>
      <c r="AE134" s="147" t="s">
        <v>218</v>
      </c>
      <c r="AF134" s="221"/>
      <c r="AG134" s="129"/>
      <c r="AH134" s="64"/>
      <c r="AI134" s="129"/>
      <c r="AJ134" s="129"/>
      <c r="AK134" s="129"/>
      <c r="AL134" s="129"/>
      <c r="AM134" s="129"/>
    </row>
    <row r="135" spans="1:39" ht="15" customHeight="1">
      <c r="A135" s="147">
        <v>134</v>
      </c>
      <c r="B135" s="223">
        <v>219281</v>
      </c>
      <c r="C135" s="221" t="s">
        <v>1628</v>
      </c>
      <c r="D135" s="57">
        <v>43160</v>
      </c>
      <c r="E135" s="160" t="s">
        <v>2206</v>
      </c>
      <c r="F135" s="222">
        <v>43174</v>
      </c>
      <c r="G135" s="221">
        <v>14</v>
      </c>
      <c r="H135" s="221" t="s">
        <v>133</v>
      </c>
      <c r="I135" s="129"/>
      <c r="J135" s="129" t="s">
        <v>614</v>
      </c>
      <c r="K135" s="319"/>
      <c r="L135" s="221"/>
      <c r="M135" s="221"/>
      <c r="N135" s="227">
        <f t="shared" si="4"/>
        <v>0</v>
      </c>
      <c r="O135" s="226"/>
      <c r="P135" s="224"/>
      <c r="Q135" s="224"/>
      <c r="R135" s="221" t="s">
        <v>122</v>
      </c>
      <c r="S135" s="145" t="s">
        <v>469</v>
      </c>
      <c r="T135" s="221" t="s">
        <v>114</v>
      </c>
      <c r="U135" s="221" t="s">
        <v>2203</v>
      </c>
      <c r="V135" s="221" t="s">
        <v>222</v>
      </c>
      <c r="W135" s="129"/>
      <c r="X135" s="129"/>
      <c r="Y135" s="221"/>
      <c r="Z135" s="221" t="s">
        <v>203</v>
      </c>
      <c r="AB135" s="221"/>
      <c r="AC135" s="226">
        <f t="shared" si="5"/>
        <v>0</v>
      </c>
      <c r="AE135" s="147" t="s">
        <v>217</v>
      </c>
      <c r="AF135" s="147" t="s">
        <v>2353</v>
      </c>
      <c r="AG135" s="129"/>
      <c r="AH135" s="64"/>
      <c r="AI135" s="129"/>
      <c r="AJ135" s="129"/>
      <c r="AK135" s="129"/>
      <c r="AL135" s="129"/>
      <c r="AM135" s="129"/>
    </row>
    <row r="136" spans="1:39" ht="15" customHeight="1">
      <c r="A136" s="147">
        <v>135</v>
      </c>
      <c r="B136" s="223">
        <v>219871</v>
      </c>
      <c r="C136" s="221" t="s">
        <v>128</v>
      </c>
      <c r="D136" s="57">
        <v>43160</v>
      </c>
      <c r="E136" s="160" t="s">
        <v>2206</v>
      </c>
      <c r="F136" s="222">
        <v>43185</v>
      </c>
      <c r="G136" s="221">
        <v>25</v>
      </c>
      <c r="H136" s="221" t="s">
        <v>363</v>
      </c>
      <c r="I136" s="129"/>
      <c r="J136" s="129" t="s">
        <v>614</v>
      </c>
      <c r="K136" s="319"/>
      <c r="L136" s="221"/>
      <c r="M136" s="221"/>
      <c r="N136" s="227">
        <f t="shared" si="4"/>
        <v>0</v>
      </c>
      <c r="O136" s="226"/>
      <c r="P136" s="224"/>
      <c r="Q136" s="224"/>
      <c r="R136" s="221" t="s">
        <v>143</v>
      </c>
      <c r="S136" s="145" t="s">
        <v>465</v>
      </c>
      <c r="T136" s="221" t="s">
        <v>88</v>
      </c>
      <c r="U136" s="221" t="s">
        <v>1285</v>
      </c>
      <c r="V136" s="221" t="s">
        <v>432</v>
      </c>
      <c r="W136" s="129"/>
      <c r="X136" s="129"/>
      <c r="Y136" s="221"/>
      <c r="Z136" s="221" t="s">
        <v>379</v>
      </c>
      <c r="AB136" s="221"/>
      <c r="AC136" s="226">
        <f t="shared" si="5"/>
        <v>0</v>
      </c>
      <c r="AF136" s="221"/>
      <c r="AG136" s="129"/>
      <c r="AH136" s="64" t="s">
        <v>2212</v>
      </c>
      <c r="AI136" s="129"/>
      <c r="AJ136" s="129"/>
      <c r="AK136" s="129"/>
      <c r="AL136" s="129"/>
      <c r="AM136" s="129"/>
    </row>
    <row r="137" spans="1:39" ht="15" customHeight="1">
      <c r="A137" s="147">
        <v>136</v>
      </c>
      <c r="B137" s="223">
        <v>219868</v>
      </c>
      <c r="C137" s="221" t="s">
        <v>128</v>
      </c>
      <c r="D137" s="57">
        <v>43160</v>
      </c>
      <c r="E137" s="160" t="s">
        <v>2206</v>
      </c>
      <c r="F137" s="222">
        <v>43185</v>
      </c>
      <c r="G137" s="221">
        <v>25</v>
      </c>
      <c r="H137" s="221" t="s">
        <v>363</v>
      </c>
      <c r="I137" s="129"/>
      <c r="J137" s="129" t="s">
        <v>614</v>
      </c>
      <c r="K137" s="319"/>
      <c r="L137" s="221"/>
      <c r="M137" s="221"/>
      <c r="N137" s="227">
        <f t="shared" si="4"/>
        <v>0</v>
      </c>
      <c r="O137" s="226"/>
      <c r="P137" s="224"/>
      <c r="Q137" s="224"/>
      <c r="R137" s="221" t="s">
        <v>143</v>
      </c>
      <c r="S137" s="145" t="s">
        <v>465</v>
      </c>
      <c r="T137" s="221" t="s">
        <v>88</v>
      </c>
      <c r="U137" s="221" t="s">
        <v>1285</v>
      </c>
      <c r="V137" s="221" t="s">
        <v>432</v>
      </c>
      <c r="W137" s="129"/>
      <c r="X137" s="129"/>
      <c r="Y137" s="221"/>
      <c r="Z137" s="221" t="s">
        <v>379</v>
      </c>
      <c r="AB137" s="221"/>
      <c r="AC137" s="226">
        <f t="shared" si="5"/>
        <v>0</v>
      </c>
      <c r="AF137" s="221"/>
      <c r="AG137" s="129"/>
      <c r="AH137" s="64" t="s">
        <v>2212</v>
      </c>
      <c r="AI137" s="129"/>
      <c r="AJ137" s="129"/>
      <c r="AK137" s="129"/>
      <c r="AL137" s="129"/>
      <c r="AM137" s="129"/>
    </row>
    <row r="138" spans="1:39" ht="15" customHeight="1">
      <c r="A138" s="147">
        <v>137</v>
      </c>
      <c r="B138" s="223">
        <v>219799</v>
      </c>
      <c r="C138" s="221" t="s">
        <v>1628</v>
      </c>
      <c r="D138" s="57">
        <v>43160</v>
      </c>
      <c r="E138" s="160" t="s">
        <v>2206</v>
      </c>
      <c r="F138" s="222">
        <v>43175</v>
      </c>
      <c r="G138" s="221">
        <v>15</v>
      </c>
      <c r="H138" s="221" t="s">
        <v>363</v>
      </c>
      <c r="I138" s="129"/>
      <c r="J138" s="129" t="s">
        <v>614</v>
      </c>
      <c r="K138" s="319"/>
      <c r="L138" s="221"/>
      <c r="M138" s="221"/>
      <c r="N138" s="227">
        <f t="shared" si="4"/>
        <v>0</v>
      </c>
      <c r="O138" s="226"/>
      <c r="P138" s="224"/>
      <c r="Q138" s="224"/>
      <c r="R138" s="221" t="s">
        <v>143</v>
      </c>
      <c r="S138" s="145" t="s">
        <v>465</v>
      </c>
      <c r="T138" s="221" t="s">
        <v>88</v>
      </c>
      <c r="U138" s="221" t="s">
        <v>488</v>
      </c>
      <c r="V138" s="221" t="s">
        <v>432</v>
      </c>
      <c r="W138" s="129"/>
      <c r="X138" s="129"/>
      <c r="Y138" s="221"/>
      <c r="Z138" s="221" t="s">
        <v>252</v>
      </c>
      <c r="AB138" s="221"/>
      <c r="AC138" s="226">
        <f t="shared" si="5"/>
        <v>0</v>
      </c>
      <c r="AF138" s="221"/>
      <c r="AG138" s="129"/>
      <c r="AH138" s="64" t="s">
        <v>2210</v>
      </c>
      <c r="AI138" s="129"/>
      <c r="AJ138" s="129"/>
      <c r="AK138" s="129"/>
      <c r="AL138" s="129"/>
      <c r="AM138" s="129"/>
    </row>
    <row r="139" spans="1:39" ht="15" customHeight="1">
      <c r="A139" s="147">
        <v>138</v>
      </c>
      <c r="B139" s="223">
        <v>219601</v>
      </c>
      <c r="C139" s="221" t="s">
        <v>1628</v>
      </c>
      <c r="D139" s="57">
        <v>43160</v>
      </c>
      <c r="E139" s="160" t="s">
        <v>2206</v>
      </c>
      <c r="F139" s="222">
        <v>43174</v>
      </c>
      <c r="G139" s="221">
        <v>14</v>
      </c>
      <c r="H139" s="221" t="s">
        <v>133</v>
      </c>
      <c r="I139" s="129"/>
      <c r="J139" s="129" t="s">
        <v>614</v>
      </c>
      <c r="K139" s="319">
        <v>2099</v>
      </c>
      <c r="L139" s="221">
        <v>166.4</v>
      </c>
      <c r="M139" s="221">
        <v>80</v>
      </c>
      <c r="N139" s="227">
        <f t="shared" si="4"/>
        <v>1806.6599999999999</v>
      </c>
      <c r="O139" s="226"/>
      <c r="P139" s="224"/>
      <c r="Q139" s="224"/>
      <c r="R139" s="221" t="s">
        <v>134</v>
      </c>
      <c r="S139" s="145" t="s">
        <v>465</v>
      </c>
      <c r="T139" s="221" t="s">
        <v>114</v>
      </c>
      <c r="U139" s="221" t="s">
        <v>2204</v>
      </c>
      <c r="V139" s="221" t="s">
        <v>136</v>
      </c>
      <c r="W139" s="129"/>
      <c r="X139" s="129"/>
      <c r="Y139" s="221" t="s">
        <v>91</v>
      </c>
      <c r="Z139" s="221" t="s">
        <v>170</v>
      </c>
      <c r="AA139" s="222">
        <v>43167</v>
      </c>
      <c r="AB139" s="221" t="s">
        <v>2234</v>
      </c>
      <c r="AC139" s="226">
        <f t="shared" si="5"/>
        <v>1</v>
      </c>
      <c r="AD139" s="147" t="s">
        <v>217</v>
      </c>
      <c r="AE139" s="147" t="s">
        <v>218</v>
      </c>
      <c r="AF139" s="221"/>
      <c r="AG139" s="129"/>
      <c r="AH139" s="64"/>
      <c r="AI139" s="129"/>
      <c r="AJ139" s="129"/>
      <c r="AK139" s="129"/>
      <c r="AL139" s="129"/>
      <c r="AM139" s="129"/>
    </row>
    <row r="140" spans="1:39" ht="15" customHeight="1">
      <c r="A140" s="147">
        <v>139</v>
      </c>
      <c r="B140" s="223">
        <v>219002</v>
      </c>
      <c r="C140" s="221" t="s">
        <v>1628</v>
      </c>
      <c r="D140" s="57">
        <v>43160</v>
      </c>
      <c r="E140" s="160" t="s">
        <v>2206</v>
      </c>
      <c r="F140" s="222">
        <v>43171</v>
      </c>
      <c r="G140" s="221">
        <v>11</v>
      </c>
      <c r="H140" s="221" t="s">
        <v>133</v>
      </c>
      <c r="I140" s="129"/>
      <c r="J140" s="129" t="s">
        <v>614</v>
      </c>
      <c r="K140" s="319"/>
      <c r="L140" s="221"/>
      <c r="M140" s="221"/>
      <c r="N140" s="227">
        <f t="shared" si="4"/>
        <v>0</v>
      </c>
      <c r="O140" s="226"/>
      <c r="P140" s="224"/>
      <c r="Q140" s="224"/>
      <c r="R140" s="221" t="s">
        <v>122</v>
      </c>
      <c r="S140" s="145" t="s">
        <v>469</v>
      </c>
      <c r="T140" s="221" t="s">
        <v>164</v>
      </c>
      <c r="U140" s="221" t="s">
        <v>1386</v>
      </c>
      <c r="V140" s="221" t="s">
        <v>222</v>
      </c>
      <c r="W140" s="129"/>
      <c r="X140" s="129"/>
      <c r="Y140" s="221"/>
      <c r="Z140" s="221" t="s">
        <v>404</v>
      </c>
      <c r="AB140" s="221"/>
      <c r="AC140" s="226">
        <f t="shared" si="5"/>
        <v>0</v>
      </c>
      <c r="AE140" s="147" t="s">
        <v>217</v>
      </c>
      <c r="AF140" s="147" t="s">
        <v>2353</v>
      </c>
      <c r="AG140" s="129"/>
      <c r="AH140" s="64"/>
      <c r="AI140" s="129"/>
      <c r="AJ140" s="129"/>
      <c r="AK140" s="129"/>
      <c r="AL140" s="129"/>
      <c r="AM140" s="129"/>
    </row>
    <row r="141" spans="1:39" ht="15" customHeight="1">
      <c r="A141" s="147">
        <v>140</v>
      </c>
      <c r="B141" s="223">
        <v>219897</v>
      </c>
      <c r="C141" s="221" t="s">
        <v>128</v>
      </c>
      <c r="D141" s="57">
        <v>43160</v>
      </c>
      <c r="E141" s="160" t="s">
        <v>2206</v>
      </c>
      <c r="F141" s="222">
        <v>43175</v>
      </c>
      <c r="G141" s="221">
        <v>15</v>
      </c>
      <c r="H141" s="221" t="s">
        <v>133</v>
      </c>
      <c r="I141" s="129"/>
      <c r="J141" s="129" t="s">
        <v>614</v>
      </c>
      <c r="K141" s="319"/>
      <c r="L141" s="221"/>
      <c r="M141" s="221"/>
      <c r="N141" s="227">
        <f t="shared" si="4"/>
        <v>0</v>
      </c>
      <c r="O141" s="226"/>
      <c r="P141" s="224"/>
      <c r="Q141" s="224"/>
      <c r="R141" s="221" t="s">
        <v>134</v>
      </c>
      <c r="S141" s="145" t="s">
        <v>465</v>
      </c>
      <c r="T141" s="221" t="s">
        <v>114</v>
      </c>
      <c r="U141" s="221" t="s">
        <v>2207</v>
      </c>
      <c r="V141" s="221" t="s">
        <v>90</v>
      </c>
      <c r="W141" s="129"/>
      <c r="X141" s="129"/>
      <c r="Y141" s="221"/>
      <c r="Z141" s="221" t="s">
        <v>367</v>
      </c>
      <c r="AB141" s="221"/>
      <c r="AC141" s="226">
        <f t="shared" si="5"/>
        <v>0</v>
      </c>
      <c r="AE141" s="147" t="s">
        <v>217</v>
      </c>
      <c r="AF141" s="147" t="s">
        <v>2353</v>
      </c>
      <c r="AG141" s="129"/>
      <c r="AH141" s="64"/>
      <c r="AI141" s="129"/>
      <c r="AJ141" s="129"/>
      <c r="AK141" s="129"/>
      <c r="AL141" s="129"/>
      <c r="AM141" s="129"/>
    </row>
    <row r="142" spans="1:39" ht="15" customHeight="1">
      <c r="A142" s="147">
        <v>141</v>
      </c>
      <c r="B142" s="223">
        <v>218924</v>
      </c>
      <c r="C142" s="221" t="s">
        <v>128</v>
      </c>
      <c r="D142" s="57">
        <v>43160</v>
      </c>
      <c r="E142" s="160" t="s">
        <v>2206</v>
      </c>
      <c r="F142" s="222">
        <v>43169</v>
      </c>
      <c r="G142" s="221">
        <v>9</v>
      </c>
      <c r="H142" s="221" t="s">
        <v>363</v>
      </c>
      <c r="I142" s="129"/>
      <c r="J142" s="129" t="s">
        <v>614</v>
      </c>
      <c r="K142" s="319"/>
      <c r="L142" s="221"/>
      <c r="M142" s="221"/>
      <c r="N142" s="227">
        <f t="shared" si="4"/>
        <v>0</v>
      </c>
      <c r="O142" s="226"/>
      <c r="P142" s="224"/>
      <c r="Q142" s="224"/>
      <c r="R142" s="221" t="s">
        <v>134</v>
      </c>
      <c r="S142" s="145" t="s">
        <v>465</v>
      </c>
      <c r="T142" s="221" t="s">
        <v>144</v>
      </c>
      <c r="U142" s="221" t="s">
        <v>2208</v>
      </c>
      <c r="V142" s="221" t="s">
        <v>309</v>
      </c>
      <c r="W142" s="129"/>
      <c r="X142" s="129"/>
      <c r="Y142" s="221"/>
      <c r="Z142" s="221" t="s">
        <v>137</v>
      </c>
      <c r="AB142" s="221"/>
      <c r="AC142" s="226">
        <f t="shared" si="5"/>
        <v>0</v>
      </c>
      <c r="AF142" s="221"/>
      <c r="AG142" s="129"/>
      <c r="AH142" s="64" t="s">
        <v>2306</v>
      </c>
      <c r="AI142" s="129"/>
      <c r="AJ142" s="129"/>
      <c r="AK142" s="129"/>
      <c r="AL142" s="129"/>
      <c r="AM142" s="129"/>
    </row>
    <row r="143" spans="1:39" ht="15" customHeight="1">
      <c r="A143" s="147">
        <v>142</v>
      </c>
      <c r="B143" s="223">
        <v>219523</v>
      </c>
      <c r="C143" s="221" t="s">
        <v>1628</v>
      </c>
      <c r="D143" s="57">
        <v>43161</v>
      </c>
      <c r="E143" s="160" t="s">
        <v>2206</v>
      </c>
      <c r="F143" s="222">
        <v>43174</v>
      </c>
      <c r="G143" s="221">
        <v>13</v>
      </c>
      <c r="H143" s="221" t="s">
        <v>133</v>
      </c>
      <c r="I143" s="129"/>
      <c r="J143" s="129" t="s">
        <v>614</v>
      </c>
      <c r="K143" s="319">
        <v>1999</v>
      </c>
      <c r="L143" s="221">
        <v>270</v>
      </c>
      <c r="M143" s="221">
        <v>160</v>
      </c>
      <c r="N143" s="227">
        <f t="shared" si="4"/>
        <v>1609.06</v>
      </c>
      <c r="O143" s="226"/>
      <c r="P143" s="224"/>
      <c r="Q143" s="224"/>
      <c r="R143" s="221" t="s">
        <v>122</v>
      </c>
      <c r="S143" s="145" t="s">
        <v>469</v>
      </c>
      <c r="T143" s="221" t="s">
        <v>114</v>
      </c>
      <c r="U143" s="221" t="s">
        <v>197</v>
      </c>
      <c r="V143" s="221" t="s">
        <v>90</v>
      </c>
      <c r="W143" s="129"/>
      <c r="X143" s="129"/>
      <c r="Y143" s="221" t="s">
        <v>316</v>
      </c>
      <c r="Z143" s="221" t="s">
        <v>170</v>
      </c>
      <c r="AA143" s="222">
        <v>43164</v>
      </c>
      <c r="AB143" s="221" t="s">
        <v>140</v>
      </c>
      <c r="AC143" s="226">
        <f t="shared" si="5"/>
        <v>1</v>
      </c>
      <c r="AD143" s="147" t="s">
        <v>217</v>
      </c>
      <c r="AE143" s="147" t="s">
        <v>218</v>
      </c>
      <c r="AF143" s="221"/>
      <c r="AG143" s="129"/>
      <c r="AH143" s="64" t="s">
        <v>2246</v>
      </c>
      <c r="AI143" s="129"/>
      <c r="AJ143" s="129"/>
      <c r="AK143" s="129"/>
      <c r="AL143" s="129"/>
      <c r="AM143" s="129"/>
    </row>
    <row r="144" spans="1:39" ht="15" customHeight="1">
      <c r="A144" s="147">
        <v>143</v>
      </c>
      <c r="B144" s="223">
        <v>219079</v>
      </c>
      <c r="C144" s="221" t="s">
        <v>128</v>
      </c>
      <c r="D144" s="57">
        <v>43164</v>
      </c>
      <c r="E144" s="160" t="s">
        <v>2206</v>
      </c>
      <c r="F144" s="222">
        <v>43173</v>
      </c>
      <c r="G144" s="221">
        <v>9</v>
      </c>
      <c r="H144" s="221" t="s">
        <v>133</v>
      </c>
      <c r="I144" s="129"/>
      <c r="J144" s="129" t="s">
        <v>614</v>
      </c>
      <c r="K144" s="319">
        <v>1269</v>
      </c>
      <c r="L144" s="221">
        <v>310</v>
      </c>
      <c r="M144" s="221">
        <v>160</v>
      </c>
      <c r="N144" s="227">
        <f t="shared" si="4"/>
        <v>882.8599999999999</v>
      </c>
      <c r="O144" s="226"/>
      <c r="P144" s="224"/>
      <c r="Q144" s="224"/>
      <c r="R144" s="221" t="s">
        <v>122</v>
      </c>
      <c r="S144" s="145" t="s">
        <v>469</v>
      </c>
      <c r="T144" s="221" t="s">
        <v>114</v>
      </c>
      <c r="U144" s="221" t="s">
        <v>2211</v>
      </c>
      <c r="V144" s="221" t="s">
        <v>90</v>
      </c>
      <c r="W144" s="129"/>
      <c r="X144" s="129"/>
      <c r="Y144" s="221" t="s">
        <v>316</v>
      </c>
      <c r="Z144" s="221" t="s">
        <v>1118</v>
      </c>
      <c r="AA144" s="222">
        <v>43166</v>
      </c>
      <c r="AB144" s="221" t="s">
        <v>140</v>
      </c>
      <c r="AC144" s="226">
        <f t="shared" si="5"/>
        <v>1</v>
      </c>
      <c r="AD144" s="147" t="s">
        <v>217</v>
      </c>
      <c r="AE144" s="147" t="s">
        <v>218</v>
      </c>
      <c r="AF144" s="221"/>
      <c r="AG144" s="129"/>
      <c r="AH144" s="64"/>
      <c r="AI144" s="129"/>
      <c r="AJ144" s="129"/>
      <c r="AK144" s="129"/>
      <c r="AL144" s="129"/>
      <c r="AM144" s="129"/>
    </row>
    <row r="145" spans="1:39" ht="15" customHeight="1">
      <c r="A145" s="147">
        <v>144</v>
      </c>
      <c r="B145" s="223">
        <v>219356</v>
      </c>
      <c r="C145" s="221" t="s">
        <v>1628</v>
      </c>
      <c r="D145" s="57">
        <v>43165</v>
      </c>
      <c r="E145" s="160" t="s">
        <v>2206</v>
      </c>
      <c r="F145" s="222">
        <v>43175</v>
      </c>
      <c r="G145" s="221">
        <v>10</v>
      </c>
      <c r="H145" s="221" t="s">
        <v>133</v>
      </c>
      <c r="I145" s="129"/>
      <c r="J145" s="129" t="s">
        <v>614</v>
      </c>
      <c r="K145" s="319"/>
      <c r="L145" s="221"/>
      <c r="M145" s="221"/>
      <c r="N145" s="227">
        <f t="shared" si="4"/>
        <v>0</v>
      </c>
      <c r="O145" s="226"/>
      <c r="P145" s="224"/>
      <c r="Q145" s="224"/>
      <c r="R145" s="221" t="s">
        <v>122</v>
      </c>
      <c r="S145" s="145" t="s">
        <v>469</v>
      </c>
      <c r="T145" s="221" t="s">
        <v>114</v>
      </c>
      <c r="U145" s="221" t="s">
        <v>604</v>
      </c>
      <c r="V145" s="221" t="s">
        <v>222</v>
      </c>
      <c r="W145" s="129"/>
      <c r="X145" s="129"/>
      <c r="Y145" s="221"/>
      <c r="Z145" s="221" t="s">
        <v>170</v>
      </c>
      <c r="AB145" s="221"/>
      <c r="AC145" s="226">
        <f t="shared" si="5"/>
        <v>0</v>
      </c>
      <c r="AE145" s="147" t="s">
        <v>217</v>
      </c>
      <c r="AF145" s="147" t="s">
        <v>2353</v>
      </c>
      <c r="AG145" s="129"/>
      <c r="AH145" s="64"/>
      <c r="AI145" s="129"/>
      <c r="AJ145" s="129"/>
      <c r="AK145" s="129"/>
      <c r="AL145" s="129"/>
      <c r="AM145" s="129"/>
    </row>
    <row r="146" spans="1:39" ht="15" customHeight="1">
      <c r="A146" s="147">
        <v>145</v>
      </c>
      <c r="B146" s="223">
        <v>219239</v>
      </c>
      <c r="C146" s="221" t="s">
        <v>129</v>
      </c>
      <c r="D146" s="57">
        <v>43166</v>
      </c>
      <c r="E146" s="160" t="s">
        <v>2206</v>
      </c>
      <c r="F146" s="222">
        <v>43176</v>
      </c>
      <c r="G146" s="221">
        <v>10</v>
      </c>
      <c r="H146" s="221" t="s">
        <v>363</v>
      </c>
      <c r="I146" s="129"/>
      <c r="J146" s="129" t="s">
        <v>614</v>
      </c>
      <c r="K146" s="319"/>
      <c r="L146" s="221"/>
      <c r="M146" s="221"/>
      <c r="N146" s="227">
        <f t="shared" si="4"/>
        <v>0</v>
      </c>
      <c r="O146" s="226"/>
      <c r="P146" s="224"/>
      <c r="Q146" s="224"/>
      <c r="R146" s="221" t="s">
        <v>143</v>
      </c>
      <c r="S146" s="145" t="s">
        <v>465</v>
      </c>
      <c r="T146" s="221" t="s">
        <v>88</v>
      </c>
      <c r="U146" s="221" t="s">
        <v>2219</v>
      </c>
      <c r="V146" s="221" t="s">
        <v>2223</v>
      </c>
      <c r="W146" s="129"/>
      <c r="X146" s="129"/>
      <c r="Y146" s="221"/>
      <c r="Z146" s="221" t="s">
        <v>189</v>
      </c>
      <c r="AB146" s="221"/>
      <c r="AC146" s="226">
        <f t="shared" si="5"/>
        <v>0</v>
      </c>
      <c r="AF146" s="221"/>
      <c r="AG146" s="129"/>
      <c r="AH146" s="64" t="s">
        <v>2239</v>
      </c>
      <c r="AI146" s="129"/>
      <c r="AJ146" s="129"/>
      <c r="AK146" s="129"/>
      <c r="AL146" s="129"/>
      <c r="AM146" s="129"/>
    </row>
    <row r="147" spans="1:39" ht="15" customHeight="1">
      <c r="A147" s="147">
        <v>146</v>
      </c>
      <c r="B147" s="223">
        <v>219451</v>
      </c>
      <c r="C147" s="221" t="s">
        <v>129</v>
      </c>
      <c r="D147" s="57">
        <v>43166</v>
      </c>
      <c r="E147" s="160" t="s">
        <v>2206</v>
      </c>
      <c r="F147" s="222">
        <v>43171</v>
      </c>
      <c r="G147" s="221">
        <v>5</v>
      </c>
      <c r="H147" s="221" t="s">
        <v>133</v>
      </c>
      <c r="I147" s="129"/>
      <c r="J147" s="129" t="s">
        <v>614</v>
      </c>
      <c r="K147" s="319"/>
      <c r="L147" s="221"/>
      <c r="M147" s="221"/>
      <c r="N147" s="227">
        <f t="shared" si="4"/>
        <v>0</v>
      </c>
      <c r="O147" s="226"/>
      <c r="P147" s="224"/>
      <c r="Q147" s="224"/>
      <c r="R147" s="221" t="s">
        <v>143</v>
      </c>
      <c r="S147" s="145" t="s">
        <v>465</v>
      </c>
      <c r="T147" s="221" t="s">
        <v>88</v>
      </c>
      <c r="U147" s="221" t="s">
        <v>526</v>
      </c>
      <c r="V147" s="221" t="s">
        <v>2224</v>
      </c>
      <c r="W147" s="129"/>
      <c r="X147" s="129"/>
      <c r="Y147" s="221"/>
      <c r="Z147" s="221" t="s">
        <v>189</v>
      </c>
      <c r="AB147" s="221"/>
      <c r="AC147" s="226">
        <f t="shared" si="5"/>
        <v>0</v>
      </c>
      <c r="AE147" s="147" t="s">
        <v>217</v>
      </c>
      <c r="AF147" s="147" t="s">
        <v>2353</v>
      </c>
      <c r="AG147" s="129"/>
      <c r="AH147" s="64"/>
      <c r="AI147" s="129"/>
      <c r="AJ147" s="129"/>
      <c r="AK147" s="129"/>
      <c r="AL147" s="129"/>
      <c r="AM147" s="129"/>
    </row>
    <row r="148" spans="1:39" ht="15" customHeight="1">
      <c r="A148" s="147">
        <v>147</v>
      </c>
      <c r="B148" s="223">
        <v>220076</v>
      </c>
      <c r="C148" s="221" t="s">
        <v>129</v>
      </c>
      <c r="D148" s="57">
        <v>43166</v>
      </c>
      <c r="E148" s="160" t="s">
        <v>2206</v>
      </c>
      <c r="F148" s="222">
        <v>43178</v>
      </c>
      <c r="G148" s="221">
        <v>12</v>
      </c>
      <c r="H148" s="221" t="s">
        <v>133</v>
      </c>
      <c r="I148" s="129"/>
      <c r="J148" s="129" t="s">
        <v>614</v>
      </c>
      <c r="K148" s="319"/>
      <c r="L148" s="221"/>
      <c r="M148" s="221"/>
      <c r="N148" s="227">
        <f t="shared" si="4"/>
        <v>0</v>
      </c>
      <c r="O148" s="226"/>
      <c r="P148" s="224"/>
      <c r="Q148" s="224"/>
      <c r="R148" s="221" t="s">
        <v>143</v>
      </c>
      <c r="S148" s="145" t="s">
        <v>465</v>
      </c>
      <c r="T148" s="221" t="s">
        <v>88</v>
      </c>
      <c r="U148" s="221" t="s">
        <v>2222</v>
      </c>
      <c r="V148" s="221" t="s">
        <v>2229</v>
      </c>
      <c r="W148" s="129"/>
      <c r="X148" s="129"/>
      <c r="Y148" s="221"/>
      <c r="Z148" s="221" t="s">
        <v>189</v>
      </c>
      <c r="AB148" s="221"/>
      <c r="AC148" s="226">
        <f t="shared" si="5"/>
        <v>0</v>
      </c>
      <c r="AE148" s="147" t="s">
        <v>217</v>
      </c>
      <c r="AF148" s="147" t="s">
        <v>2353</v>
      </c>
      <c r="AG148" s="129"/>
      <c r="AH148" s="64"/>
      <c r="AI148" s="129"/>
      <c r="AJ148" s="129"/>
      <c r="AK148" s="129"/>
      <c r="AL148" s="129"/>
      <c r="AM148" s="129"/>
    </row>
    <row r="149" spans="1:39" ht="15" customHeight="1">
      <c r="A149" s="147">
        <v>148</v>
      </c>
      <c r="B149" s="223">
        <v>219716</v>
      </c>
      <c r="C149" s="221" t="s">
        <v>129</v>
      </c>
      <c r="D149" s="57">
        <v>43166</v>
      </c>
      <c r="E149" s="160" t="s">
        <v>2206</v>
      </c>
      <c r="F149" s="222">
        <v>43178</v>
      </c>
      <c r="G149" s="221">
        <v>12</v>
      </c>
      <c r="H149" s="221" t="s">
        <v>363</v>
      </c>
      <c r="I149" s="129"/>
      <c r="J149" s="129" t="s">
        <v>614</v>
      </c>
      <c r="K149" s="319"/>
      <c r="L149" s="221"/>
      <c r="M149" s="221"/>
      <c r="N149" s="227">
        <f t="shared" si="4"/>
        <v>0</v>
      </c>
      <c r="O149" s="226"/>
      <c r="P149" s="224"/>
      <c r="Q149" s="224"/>
      <c r="R149" s="221" t="s">
        <v>143</v>
      </c>
      <c r="S149" s="145" t="s">
        <v>465</v>
      </c>
      <c r="T149" s="221" t="s">
        <v>88</v>
      </c>
      <c r="U149" s="221" t="s">
        <v>2220</v>
      </c>
      <c r="V149" s="221" t="s">
        <v>2225</v>
      </c>
      <c r="W149" s="129"/>
      <c r="X149" s="129"/>
      <c r="Y149" s="221"/>
      <c r="Z149" s="221" t="s">
        <v>189</v>
      </c>
      <c r="AB149" s="221"/>
      <c r="AC149" s="226">
        <f t="shared" si="5"/>
        <v>0</v>
      </c>
      <c r="AF149" s="221"/>
      <c r="AG149" s="129"/>
      <c r="AH149" s="64" t="s">
        <v>2239</v>
      </c>
      <c r="AI149" s="129"/>
      <c r="AJ149" s="129"/>
      <c r="AK149" s="129"/>
      <c r="AL149" s="129"/>
      <c r="AM149" s="129"/>
    </row>
    <row r="150" spans="1:39" ht="15" customHeight="1">
      <c r="A150" s="147">
        <v>149</v>
      </c>
      <c r="B150" s="223">
        <v>219777</v>
      </c>
      <c r="C150" s="221" t="s">
        <v>129</v>
      </c>
      <c r="D150" s="57">
        <v>43166</v>
      </c>
      <c r="E150" s="160" t="s">
        <v>2206</v>
      </c>
      <c r="F150" s="222">
        <v>43176</v>
      </c>
      <c r="G150" s="221">
        <v>10</v>
      </c>
      <c r="H150" s="221" t="s">
        <v>363</v>
      </c>
      <c r="I150" s="129"/>
      <c r="J150" s="129" t="s">
        <v>614</v>
      </c>
      <c r="K150" s="319"/>
      <c r="L150" s="221"/>
      <c r="M150" s="221"/>
      <c r="N150" s="227">
        <f t="shared" si="4"/>
        <v>0</v>
      </c>
      <c r="O150" s="226"/>
      <c r="P150" s="224"/>
      <c r="Q150" s="224"/>
      <c r="R150" s="221" t="s">
        <v>143</v>
      </c>
      <c r="S150" s="145" t="s">
        <v>465</v>
      </c>
      <c r="T150" s="221" t="s">
        <v>88</v>
      </c>
      <c r="U150" s="221" t="s">
        <v>2221</v>
      </c>
      <c r="V150" s="221" t="s">
        <v>2226</v>
      </c>
      <c r="W150" s="129"/>
      <c r="X150" s="129"/>
      <c r="Y150" s="221"/>
      <c r="Z150" s="221" t="s">
        <v>189</v>
      </c>
      <c r="AB150" s="221"/>
      <c r="AC150" s="226">
        <f t="shared" si="5"/>
        <v>0</v>
      </c>
      <c r="AF150" s="221"/>
      <c r="AG150" s="129"/>
      <c r="AH150" s="64" t="s">
        <v>2235</v>
      </c>
      <c r="AI150" s="129"/>
      <c r="AJ150" s="129"/>
      <c r="AK150" s="129"/>
      <c r="AL150" s="129"/>
      <c r="AM150" s="129"/>
    </row>
    <row r="151" spans="1:39" ht="15" customHeight="1">
      <c r="A151" s="147">
        <v>150</v>
      </c>
      <c r="B151" s="223">
        <v>220073</v>
      </c>
      <c r="C151" s="221" t="s">
        <v>129</v>
      </c>
      <c r="D151" s="57">
        <v>43166</v>
      </c>
      <c r="E151" s="160" t="s">
        <v>2206</v>
      </c>
      <c r="F151" s="222">
        <v>43178</v>
      </c>
      <c r="G151" s="221">
        <v>12</v>
      </c>
      <c r="H151" s="221" t="s">
        <v>363</v>
      </c>
      <c r="I151" s="129"/>
      <c r="J151" s="129" t="s">
        <v>614</v>
      </c>
      <c r="K151" s="319"/>
      <c r="L151" s="221"/>
      <c r="M151" s="221"/>
      <c r="N151" s="227">
        <f t="shared" si="4"/>
        <v>0</v>
      </c>
      <c r="O151" s="226"/>
      <c r="P151" s="224"/>
      <c r="Q151" s="224"/>
      <c r="R151" s="221" t="s">
        <v>143</v>
      </c>
      <c r="S151" s="145" t="s">
        <v>465</v>
      </c>
      <c r="T151" s="221" t="s">
        <v>88</v>
      </c>
      <c r="U151" s="221" t="s">
        <v>2219</v>
      </c>
      <c r="V151" s="221" t="s">
        <v>2227</v>
      </c>
      <c r="W151" s="129"/>
      <c r="X151" s="129"/>
      <c r="Y151" s="221"/>
      <c r="Z151" s="221" t="s">
        <v>189</v>
      </c>
      <c r="AB151" s="221"/>
      <c r="AC151" s="226">
        <f t="shared" si="5"/>
        <v>0</v>
      </c>
      <c r="AF151" s="221"/>
      <c r="AG151" s="129"/>
      <c r="AH151" s="64" t="s">
        <v>2239</v>
      </c>
      <c r="AI151" s="129"/>
      <c r="AJ151" s="129"/>
      <c r="AK151" s="129"/>
      <c r="AL151" s="129"/>
      <c r="AM151" s="129"/>
    </row>
    <row r="152" spans="1:39" ht="15" customHeight="1">
      <c r="A152" s="147">
        <v>151</v>
      </c>
      <c r="B152" s="223">
        <v>220003</v>
      </c>
      <c r="C152" s="221" t="s">
        <v>128</v>
      </c>
      <c r="D152" s="57">
        <v>43166</v>
      </c>
      <c r="E152" s="160" t="s">
        <v>2206</v>
      </c>
      <c r="F152" s="222">
        <v>43179</v>
      </c>
      <c r="G152" s="221">
        <v>13</v>
      </c>
      <c r="H152" s="221" t="s">
        <v>133</v>
      </c>
      <c r="I152" s="129"/>
      <c r="J152" s="129" t="s">
        <v>614</v>
      </c>
      <c r="K152" s="319">
        <v>1399</v>
      </c>
      <c r="L152" s="221">
        <v>135</v>
      </c>
      <c r="M152" s="221">
        <v>80</v>
      </c>
      <c r="N152" s="227">
        <f t="shared" si="4"/>
        <v>1180.06</v>
      </c>
      <c r="O152" s="226"/>
      <c r="P152" s="224"/>
      <c r="Q152" s="224"/>
      <c r="R152" s="221" t="s">
        <v>134</v>
      </c>
      <c r="S152" s="145" t="s">
        <v>465</v>
      </c>
      <c r="T152" s="221" t="s">
        <v>1011</v>
      </c>
      <c r="U152" s="221" t="s">
        <v>2230</v>
      </c>
      <c r="V152" s="221" t="s">
        <v>2231</v>
      </c>
      <c r="W152" s="129"/>
      <c r="X152" s="129"/>
      <c r="Y152" s="221" t="s">
        <v>203</v>
      </c>
      <c r="Z152" s="221" t="s">
        <v>315</v>
      </c>
      <c r="AA152" s="222">
        <v>43171</v>
      </c>
      <c r="AB152" s="221" t="s">
        <v>236</v>
      </c>
      <c r="AC152" s="226">
        <f t="shared" si="5"/>
        <v>1</v>
      </c>
      <c r="AD152" s="147" t="s">
        <v>217</v>
      </c>
      <c r="AE152" s="147" t="s">
        <v>218</v>
      </c>
      <c r="AF152" s="221"/>
      <c r="AG152" s="129"/>
      <c r="AH152" s="64" t="s">
        <v>2238</v>
      </c>
      <c r="AI152" s="129"/>
      <c r="AJ152" s="129"/>
      <c r="AK152" s="129"/>
      <c r="AL152" s="129"/>
      <c r="AM152" s="129"/>
    </row>
    <row r="153" spans="1:39" ht="15" customHeight="1">
      <c r="A153" s="147">
        <v>152</v>
      </c>
      <c r="B153" s="223">
        <v>218194</v>
      </c>
      <c r="C153" s="221" t="s">
        <v>129</v>
      </c>
      <c r="D153" s="57">
        <v>43166</v>
      </c>
      <c r="E153" s="160" t="s">
        <v>2206</v>
      </c>
      <c r="F153" s="222">
        <v>43169</v>
      </c>
      <c r="G153" s="221">
        <v>3</v>
      </c>
      <c r="H153" s="221" t="s">
        <v>133</v>
      </c>
      <c r="I153" s="129"/>
      <c r="J153" s="129" t="s">
        <v>614</v>
      </c>
      <c r="K153" s="319">
        <v>5999</v>
      </c>
      <c r="L153" s="221">
        <v>171.67</v>
      </c>
      <c r="M153" s="221">
        <v>80</v>
      </c>
      <c r="N153" s="227">
        <f t="shared" si="4"/>
        <v>5467.39</v>
      </c>
      <c r="O153" s="226"/>
      <c r="P153" s="224"/>
      <c r="Q153" s="224"/>
      <c r="R153" s="221" t="s">
        <v>134</v>
      </c>
      <c r="S153" s="145" t="s">
        <v>465</v>
      </c>
      <c r="T153" s="221" t="s">
        <v>114</v>
      </c>
      <c r="U153" s="221" t="s">
        <v>2232</v>
      </c>
      <c r="V153" s="221" t="s">
        <v>136</v>
      </c>
      <c r="W153" s="129"/>
      <c r="X153" s="129"/>
      <c r="Y153" s="221" t="s">
        <v>91</v>
      </c>
      <c r="Z153" s="221" t="s">
        <v>1471</v>
      </c>
      <c r="AA153" s="222">
        <v>43167</v>
      </c>
      <c r="AB153" s="222" t="s">
        <v>195</v>
      </c>
      <c r="AC153" s="226">
        <f t="shared" si="5"/>
        <v>1</v>
      </c>
      <c r="AD153" s="147" t="s">
        <v>217</v>
      </c>
      <c r="AE153" s="147" t="s">
        <v>218</v>
      </c>
      <c r="AF153" s="221"/>
      <c r="AG153" s="129"/>
      <c r="AH153" s="64"/>
      <c r="AI153" s="129"/>
      <c r="AJ153" s="129"/>
      <c r="AK153" s="129"/>
      <c r="AL153" s="129"/>
      <c r="AM153" s="129"/>
    </row>
    <row r="154" spans="1:39" ht="15" customHeight="1">
      <c r="A154" s="147">
        <v>153</v>
      </c>
      <c r="B154" s="223">
        <v>220254</v>
      </c>
      <c r="C154" s="221" t="s">
        <v>1628</v>
      </c>
      <c r="D154" s="57">
        <v>43166</v>
      </c>
      <c r="E154" s="160" t="s">
        <v>2206</v>
      </c>
      <c r="F154" s="222">
        <v>43181</v>
      </c>
      <c r="G154" s="221">
        <v>15</v>
      </c>
      <c r="H154" s="221" t="s">
        <v>133</v>
      </c>
      <c r="I154" s="129"/>
      <c r="J154" s="129" t="s">
        <v>614</v>
      </c>
      <c r="K154" s="319">
        <v>1779</v>
      </c>
      <c r="L154" s="221">
        <v>350</v>
      </c>
      <c r="M154" s="221">
        <v>80</v>
      </c>
      <c r="N154" s="227">
        <f t="shared" si="4"/>
        <v>1322.26</v>
      </c>
      <c r="O154" s="226"/>
      <c r="P154" s="224"/>
      <c r="Q154" s="224"/>
      <c r="R154" s="221" t="s">
        <v>210</v>
      </c>
      <c r="S154" s="145" t="s">
        <v>469</v>
      </c>
      <c r="T154" s="221" t="s">
        <v>380</v>
      </c>
      <c r="U154" s="221" t="s">
        <v>2233</v>
      </c>
      <c r="V154" s="221" t="s">
        <v>249</v>
      </c>
      <c r="W154" s="129"/>
      <c r="X154" s="129"/>
      <c r="Y154" s="221" t="s">
        <v>316</v>
      </c>
      <c r="Z154" s="221" t="s">
        <v>252</v>
      </c>
      <c r="AA154" s="222">
        <v>43172</v>
      </c>
      <c r="AB154" s="221" t="s">
        <v>140</v>
      </c>
      <c r="AC154" s="226">
        <f t="shared" si="5"/>
        <v>1</v>
      </c>
      <c r="AD154" s="147" t="s">
        <v>217</v>
      </c>
      <c r="AE154" s="147" t="s">
        <v>218</v>
      </c>
      <c r="AF154" s="221"/>
      <c r="AG154" s="129"/>
      <c r="AH154" s="64"/>
      <c r="AI154" s="129"/>
      <c r="AJ154" s="129"/>
      <c r="AK154" s="129"/>
      <c r="AL154" s="129"/>
      <c r="AM154" s="129"/>
    </row>
    <row r="155" spans="1:39" ht="15" customHeight="1">
      <c r="A155" s="147">
        <v>154</v>
      </c>
      <c r="B155" s="223">
        <v>220334</v>
      </c>
      <c r="C155" s="221" t="s">
        <v>1628</v>
      </c>
      <c r="D155" s="57">
        <v>43167</v>
      </c>
      <c r="E155" s="160" t="s">
        <v>2206</v>
      </c>
      <c r="F155" s="222">
        <v>43182</v>
      </c>
      <c r="G155" s="221">
        <v>15</v>
      </c>
      <c r="H155" s="221" t="s">
        <v>363</v>
      </c>
      <c r="I155" s="129"/>
      <c r="J155" s="129" t="s">
        <v>614</v>
      </c>
      <c r="K155" s="319"/>
      <c r="L155" s="221"/>
      <c r="M155" s="221"/>
      <c r="N155" s="227">
        <f t="shared" si="4"/>
        <v>0</v>
      </c>
      <c r="O155" s="226"/>
      <c r="P155" s="224"/>
      <c r="Q155" s="224"/>
      <c r="R155" s="221" t="s">
        <v>134</v>
      </c>
      <c r="S155" s="145" t="s">
        <v>465</v>
      </c>
      <c r="T155" s="221" t="s">
        <v>164</v>
      </c>
      <c r="U155" s="221" t="s">
        <v>2236</v>
      </c>
      <c r="V155" s="221" t="s">
        <v>90</v>
      </c>
      <c r="W155" s="129"/>
      <c r="X155" s="129"/>
      <c r="Y155" s="221"/>
      <c r="Z155" s="221" t="s">
        <v>202</v>
      </c>
      <c r="AB155" s="221"/>
      <c r="AC155" s="226">
        <f t="shared" si="5"/>
        <v>0</v>
      </c>
      <c r="AF155" s="221"/>
      <c r="AG155" s="129"/>
      <c r="AH155" s="64" t="s">
        <v>2237</v>
      </c>
      <c r="AI155" s="129"/>
      <c r="AJ155" s="129"/>
      <c r="AK155" s="129"/>
      <c r="AL155" s="129"/>
      <c r="AM155" s="129"/>
    </row>
    <row r="156" spans="1:39" ht="15" customHeight="1">
      <c r="A156" s="147">
        <v>155</v>
      </c>
      <c r="B156" s="223">
        <v>220131</v>
      </c>
      <c r="C156" s="221" t="s">
        <v>128</v>
      </c>
      <c r="D156" s="57">
        <v>43167</v>
      </c>
      <c r="E156" s="160" t="s">
        <v>2206</v>
      </c>
      <c r="F156" s="222">
        <v>43179</v>
      </c>
      <c r="G156" s="221">
        <v>12</v>
      </c>
      <c r="H156" s="221" t="s">
        <v>133</v>
      </c>
      <c r="I156" s="129"/>
      <c r="J156" s="129" t="s">
        <v>614</v>
      </c>
      <c r="K156" s="319">
        <v>2799</v>
      </c>
      <c r="L156" s="221">
        <v>35</v>
      </c>
      <c r="M156" s="221">
        <v>120</v>
      </c>
      <c r="N156" s="227">
        <f t="shared" si="4"/>
        <v>2511.06</v>
      </c>
      <c r="O156" s="226"/>
      <c r="P156" s="224"/>
      <c r="Q156" s="224"/>
      <c r="R156" s="221" t="s">
        <v>134</v>
      </c>
      <c r="S156" s="145" t="s">
        <v>465</v>
      </c>
      <c r="T156" s="221" t="s">
        <v>88</v>
      </c>
      <c r="U156" s="221" t="s">
        <v>741</v>
      </c>
      <c r="V156" s="221" t="s">
        <v>2241</v>
      </c>
      <c r="W156" s="129"/>
      <c r="X156" s="129"/>
      <c r="Y156" s="221" t="s">
        <v>219</v>
      </c>
      <c r="Z156" s="221" t="s">
        <v>189</v>
      </c>
      <c r="AA156" s="222">
        <v>43171</v>
      </c>
      <c r="AB156" s="221" t="s">
        <v>872</v>
      </c>
      <c r="AC156" s="226">
        <f t="shared" si="5"/>
        <v>1</v>
      </c>
      <c r="AD156" s="147" t="s">
        <v>217</v>
      </c>
      <c r="AE156" s="147" t="s">
        <v>218</v>
      </c>
      <c r="AF156" s="221"/>
      <c r="AG156" s="129"/>
      <c r="AH156" s="64"/>
      <c r="AI156" s="129"/>
      <c r="AJ156" s="129"/>
      <c r="AK156" s="129"/>
      <c r="AL156" s="129"/>
      <c r="AM156" s="129"/>
    </row>
    <row r="157" spans="1:39" ht="15" customHeight="1">
      <c r="A157" s="147">
        <v>156</v>
      </c>
      <c r="B157" s="223">
        <v>220570</v>
      </c>
      <c r="C157" s="221" t="s">
        <v>1628</v>
      </c>
      <c r="D157" s="57">
        <v>43171</v>
      </c>
      <c r="E157" s="160" t="s">
        <v>2206</v>
      </c>
      <c r="F157" s="222">
        <v>43187</v>
      </c>
      <c r="G157" s="221">
        <v>16</v>
      </c>
      <c r="H157" s="221" t="s">
        <v>133</v>
      </c>
      <c r="I157" s="129"/>
      <c r="J157" s="129" t="s">
        <v>614</v>
      </c>
      <c r="K157" s="319">
        <v>1699</v>
      </c>
      <c r="L157" s="221">
        <v>270</v>
      </c>
      <c r="M157" s="221">
        <v>240</v>
      </c>
      <c r="N157" s="227">
        <f t="shared" si="4"/>
        <v>1327.06</v>
      </c>
      <c r="O157" s="226"/>
      <c r="P157" s="224"/>
      <c r="Q157" s="224"/>
      <c r="R157" s="221" t="s">
        <v>122</v>
      </c>
      <c r="S157" s="145" t="s">
        <v>469</v>
      </c>
      <c r="T157" s="221" t="s">
        <v>1541</v>
      </c>
      <c r="U157" s="221" t="s">
        <v>2240</v>
      </c>
      <c r="V157" s="221" t="s">
        <v>90</v>
      </c>
      <c r="W157" s="129"/>
      <c r="X157" s="129"/>
      <c r="Y157" s="221" t="s">
        <v>316</v>
      </c>
      <c r="Z157" s="221" t="s">
        <v>252</v>
      </c>
      <c r="AA157" s="222">
        <v>43172</v>
      </c>
      <c r="AB157" s="221" t="s">
        <v>140</v>
      </c>
      <c r="AC157" s="226">
        <f t="shared" si="5"/>
        <v>1</v>
      </c>
      <c r="AD157" s="147" t="s">
        <v>217</v>
      </c>
      <c r="AE157" s="147" t="s">
        <v>218</v>
      </c>
      <c r="AF157" s="221"/>
      <c r="AG157" s="129"/>
      <c r="AH157" s="64"/>
      <c r="AI157" s="129"/>
      <c r="AJ157" s="129"/>
      <c r="AK157" s="129"/>
      <c r="AL157" s="129"/>
      <c r="AM157" s="129"/>
    </row>
    <row r="158" spans="1:39" ht="15" customHeight="1">
      <c r="A158" s="147">
        <v>157</v>
      </c>
      <c r="B158" s="223">
        <v>220383</v>
      </c>
      <c r="C158" s="221" t="s">
        <v>1628</v>
      </c>
      <c r="D158" s="57">
        <v>43171</v>
      </c>
      <c r="E158" s="160" t="s">
        <v>2206</v>
      </c>
      <c r="F158" s="222">
        <v>43187</v>
      </c>
      <c r="G158" s="221">
        <v>16</v>
      </c>
      <c r="H158" s="221" t="s">
        <v>133</v>
      </c>
      <c r="I158" s="129"/>
      <c r="J158" s="129" t="s">
        <v>614</v>
      </c>
      <c r="K158" s="319"/>
      <c r="L158" s="221"/>
      <c r="M158" s="221"/>
      <c r="N158" s="227">
        <f t="shared" si="4"/>
        <v>0</v>
      </c>
      <c r="O158" s="226"/>
      <c r="P158" s="224"/>
      <c r="Q158" s="224"/>
      <c r="R158" s="221" t="s">
        <v>122</v>
      </c>
      <c r="S158" s="145" t="s">
        <v>469</v>
      </c>
      <c r="T158" s="221" t="s">
        <v>829</v>
      </c>
      <c r="U158" s="221" t="s">
        <v>2243</v>
      </c>
      <c r="V158" s="221" t="s">
        <v>222</v>
      </c>
      <c r="W158" s="129"/>
      <c r="X158" s="129"/>
      <c r="Y158" s="221"/>
      <c r="Z158" s="221" t="s">
        <v>489</v>
      </c>
      <c r="AB158" s="221"/>
      <c r="AC158" s="226">
        <f t="shared" si="5"/>
        <v>0</v>
      </c>
      <c r="AE158" s="147" t="s">
        <v>217</v>
      </c>
      <c r="AF158" s="147" t="s">
        <v>2353</v>
      </c>
      <c r="AG158" s="129"/>
      <c r="AH158" s="64"/>
      <c r="AI158" s="129"/>
      <c r="AJ158" s="129"/>
      <c r="AK158" s="129"/>
      <c r="AL158" s="129"/>
      <c r="AM158" s="129"/>
    </row>
    <row r="159" spans="1:39" ht="15" customHeight="1">
      <c r="A159" s="147">
        <v>158</v>
      </c>
      <c r="B159" s="223">
        <v>220200</v>
      </c>
      <c r="C159" s="221" t="s">
        <v>128</v>
      </c>
      <c r="D159" s="57">
        <v>43172</v>
      </c>
      <c r="E159" s="160" t="s">
        <v>2206</v>
      </c>
      <c r="F159" s="222">
        <v>43187</v>
      </c>
      <c r="G159" s="221">
        <v>15</v>
      </c>
      <c r="H159" s="221" t="s">
        <v>133</v>
      </c>
      <c r="I159" s="129"/>
      <c r="J159" s="129" t="s">
        <v>614</v>
      </c>
      <c r="K159" s="319"/>
      <c r="L159" s="221"/>
      <c r="M159" s="221"/>
      <c r="N159" s="227">
        <f t="shared" si="4"/>
        <v>0</v>
      </c>
      <c r="O159" s="226"/>
      <c r="P159" s="224"/>
      <c r="Q159" s="224"/>
      <c r="R159" s="221" t="s">
        <v>122</v>
      </c>
      <c r="S159" s="145" t="s">
        <v>469</v>
      </c>
      <c r="T159" s="221" t="s">
        <v>829</v>
      </c>
      <c r="U159" s="221" t="s">
        <v>2242</v>
      </c>
      <c r="V159" s="221" t="s">
        <v>90</v>
      </c>
      <c r="W159" s="129"/>
      <c r="X159" s="129"/>
      <c r="Y159" s="221"/>
      <c r="Z159" s="221" t="s">
        <v>296</v>
      </c>
      <c r="AB159" s="221"/>
      <c r="AC159" s="226">
        <f t="shared" si="5"/>
        <v>0</v>
      </c>
      <c r="AE159" s="147" t="s">
        <v>217</v>
      </c>
      <c r="AF159" s="147" t="s">
        <v>2353</v>
      </c>
      <c r="AG159" s="129"/>
      <c r="AH159" s="64"/>
      <c r="AI159" s="129"/>
      <c r="AJ159" s="129"/>
      <c r="AK159" s="129"/>
      <c r="AL159" s="129"/>
      <c r="AM159" s="129"/>
    </row>
    <row r="160" spans="1:39" ht="15" customHeight="1">
      <c r="A160" s="147">
        <v>159</v>
      </c>
      <c r="B160" s="223">
        <v>220046</v>
      </c>
      <c r="C160" s="221" t="s">
        <v>1628</v>
      </c>
      <c r="D160" s="57">
        <v>43172</v>
      </c>
      <c r="E160" s="160" t="s">
        <v>2206</v>
      </c>
      <c r="F160" s="222">
        <v>43178</v>
      </c>
      <c r="G160" s="221">
        <v>6</v>
      </c>
      <c r="H160" s="221" t="s">
        <v>133</v>
      </c>
      <c r="I160" s="129"/>
      <c r="J160" s="129" t="s">
        <v>614</v>
      </c>
      <c r="K160" s="319"/>
      <c r="L160" s="221"/>
      <c r="M160" s="221"/>
      <c r="N160" s="227">
        <f t="shared" si="4"/>
        <v>0</v>
      </c>
      <c r="O160" s="226"/>
      <c r="P160" s="224"/>
      <c r="Q160" s="224"/>
      <c r="R160" s="221" t="s">
        <v>210</v>
      </c>
      <c r="S160" s="145" t="s">
        <v>469</v>
      </c>
      <c r="T160" s="221" t="s">
        <v>380</v>
      </c>
      <c r="U160" s="221" t="s">
        <v>2247</v>
      </c>
      <c r="V160" s="221" t="s">
        <v>2248</v>
      </c>
      <c r="W160" s="129"/>
      <c r="X160" s="129"/>
      <c r="Y160" s="221"/>
      <c r="Z160" s="221" t="s">
        <v>124</v>
      </c>
      <c r="AB160" s="221"/>
      <c r="AC160" s="226">
        <f t="shared" si="5"/>
        <v>0</v>
      </c>
      <c r="AE160" s="147" t="s">
        <v>217</v>
      </c>
      <c r="AF160" s="147" t="s">
        <v>2353</v>
      </c>
      <c r="AG160" s="129"/>
      <c r="AH160" s="64"/>
      <c r="AI160" s="129"/>
      <c r="AJ160" s="129"/>
      <c r="AK160" s="129"/>
      <c r="AL160" s="129"/>
      <c r="AM160" s="129"/>
    </row>
    <row r="161" spans="1:39" ht="15" customHeight="1">
      <c r="A161" s="147">
        <v>160</v>
      </c>
      <c r="B161" s="223">
        <v>220282</v>
      </c>
      <c r="C161" s="221" t="s">
        <v>1628</v>
      </c>
      <c r="D161" s="57">
        <v>43173</v>
      </c>
      <c r="E161" s="160" t="s">
        <v>2206</v>
      </c>
      <c r="F161" s="222">
        <v>43184</v>
      </c>
      <c r="G161" s="221">
        <v>11</v>
      </c>
      <c r="H161" s="221" t="s">
        <v>133</v>
      </c>
      <c r="I161" s="129"/>
      <c r="J161" s="129" t="s">
        <v>614</v>
      </c>
      <c r="K161" s="319">
        <v>1999</v>
      </c>
      <c r="L161" s="221">
        <v>350</v>
      </c>
      <c r="M161" s="221">
        <v>275</v>
      </c>
      <c r="N161" s="227">
        <f t="shared" si="4"/>
        <v>1529.06</v>
      </c>
      <c r="O161" s="226"/>
      <c r="P161" s="224"/>
      <c r="Q161" s="224"/>
      <c r="R161" s="221" t="s">
        <v>134</v>
      </c>
      <c r="S161" s="145" t="s">
        <v>465</v>
      </c>
      <c r="T161" s="221" t="s">
        <v>88</v>
      </c>
      <c r="U161" s="221" t="s">
        <v>2244</v>
      </c>
      <c r="V161" s="221" t="s">
        <v>139</v>
      </c>
      <c r="W161" s="129"/>
      <c r="X161" s="129"/>
      <c r="Y161" s="221" t="s">
        <v>1942</v>
      </c>
      <c r="Z161" s="221" t="s">
        <v>124</v>
      </c>
      <c r="AA161" s="222">
        <v>43175</v>
      </c>
      <c r="AB161" s="221" t="s">
        <v>195</v>
      </c>
      <c r="AC161" s="226">
        <f t="shared" si="5"/>
        <v>1</v>
      </c>
      <c r="AD161" s="147" t="s">
        <v>217</v>
      </c>
      <c r="AE161" s="147" t="s">
        <v>218</v>
      </c>
      <c r="AF161" s="221"/>
      <c r="AG161" s="129"/>
      <c r="AH161" s="64"/>
      <c r="AI161" s="129"/>
      <c r="AJ161" s="129"/>
      <c r="AK161" s="129"/>
      <c r="AL161" s="129"/>
      <c r="AM161" s="129"/>
    </row>
    <row r="162" spans="1:39" ht="15" customHeight="1">
      <c r="A162" s="147">
        <v>161</v>
      </c>
      <c r="B162" s="223">
        <v>220128</v>
      </c>
      <c r="C162" s="221" t="s">
        <v>1130</v>
      </c>
      <c r="D162" s="57">
        <v>43173</v>
      </c>
      <c r="E162" s="160" t="s">
        <v>2206</v>
      </c>
      <c r="F162" s="222">
        <v>43178</v>
      </c>
      <c r="G162" s="221">
        <v>5</v>
      </c>
      <c r="H162" s="221" t="s">
        <v>363</v>
      </c>
      <c r="I162" s="129"/>
      <c r="J162" s="129" t="s">
        <v>614</v>
      </c>
      <c r="K162" s="319"/>
      <c r="L162" s="221"/>
      <c r="M162" s="221"/>
      <c r="N162" s="227">
        <f t="shared" si="4"/>
        <v>0</v>
      </c>
      <c r="O162" s="226"/>
      <c r="P162" s="224"/>
      <c r="Q162" s="224"/>
      <c r="R162" s="221" t="s">
        <v>122</v>
      </c>
      <c r="S162" s="145" t="s">
        <v>469</v>
      </c>
      <c r="T162" s="221" t="s">
        <v>114</v>
      </c>
      <c r="U162" s="221" t="s">
        <v>1932</v>
      </c>
      <c r="V162" s="222" t="s">
        <v>169</v>
      </c>
      <c r="W162" s="129"/>
      <c r="X162" s="129"/>
      <c r="Y162" s="221" t="s">
        <v>1942</v>
      </c>
      <c r="Z162" s="221" t="s">
        <v>170</v>
      </c>
      <c r="AB162" s="221" t="s">
        <v>140</v>
      </c>
      <c r="AC162" s="226">
        <f t="shared" si="5"/>
        <v>0</v>
      </c>
      <c r="AF162" s="221"/>
      <c r="AG162" s="129"/>
      <c r="AH162" s="64" t="s">
        <v>2251</v>
      </c>
      <c r="AI162" s="129"/>
      <c r="AJ162" s="129"/>
      <c r="AK162" s="129"/>
      <c r="AL162" s="129"/>
      <c r="AM162" s="129"/>
    </row>
    <row r="163" spans="1:39" ht="15" customHeight="1">
      <c r="A163" s="147">
        <v>162</v>
      </c>
      <c r="B163" s="223">
        <v>220897</v>
      </c>
      <c r="C163" s="221" t="s">
        <v>1130</v>
      </c>
      <c r="D163" s="57">
        <v>43173</v>
      </c>
      <c r="E163" s="160" t="s">
        <v>2206</v>
      </c>
      <c r="F163" s="222">
        <v>43179</v>
      </c>
      <c r="G163" s="221">
        <v>6</v>
      </c>
      <c r="H163" s="221" t="s">
        <v>133</v>
      </c>
      <c r="I163" s="129"/>
      <c r="J163" s="129" t="s">
        <v>614</v>
      </c>
      <c r="K163" s="319">
        <v>999</v>
      </c>
      <c r="L163" s="221">
        <v>250</v>
      </c>
      <c r="M163" s="221">
        <v>150</v>
      </c>
      <c r="N163" s="227">
        <f t="shared" si="4"/>
        <v>689.06</v>
      </c>
      <c r="O163" s="226"/>
      <c r="P163" s="224"/>
      <c r="Q163" s="224"/>
      <c r="R163" s="221" t="s">
        <v>122</v>
      </c>
      <c r="S163" s="145" t="s">
        <v>469</v>
      </c>
      <c r="T163" s="221" t="s">
        <v>114</v>
      </c>
      <c r="U163" s="221" t="s">
        <v>1278</v>
      </c>
      <c r="V163" s="221" t="s">
        <v>90</v>
      </c>
      <c r="W163" s="129"/>
      <c r="X163" s="129"/>
      <c r="Y163" s="221" t="s">
        <v>316</v>
      </c>
      <c r="Z163" s="221" t="s">
        <v>170</v>
      </c>
      <c r="AA163" s="222">
        <v>43178</v>
      </c>
      <c r="AB163" s="221" t="s">
        <v>872</v>
      </c>
      <c r="AC163" s="226">
        <f t="shared" si="5"/>
        <v>1</v>
      </c>
      <c r="AD163" s="147" t="s">
        <v>217</v>
      </c>
      <c r="AE163" s="147" t="s">
        <v>218</v>
      </c>
      <c r="AF163" s="221"/>
      <c r="AG163" s="129"/>
      <c r="AH163" s="64"/>
      <c r="AI163" s="129"/>
      <c r="AJ163" s="129"/>
      <c r="AK163" s="129"/>
      <c r="AL163" s="129"/>
      <c r="AM163" s="129"/>
    </row>
    <row r="164" spans="1:39" ht="15" customHeight="1">
      <c r="A164" s="147">
        <v>163</v>
      </c>
      <c r="B164" s="223">
        <v>219826</v>
      </c>
      <c r="C164" s="221" t="s">
        <v>128</v>
      </c>
      <c r="D164" s="57">
        <v>43174</v>
      </c>
      <c r="E164" s="160" t="s">
        <v>2206</v>
      </c>
      <c r="F164" s="222">
        <v>43182</v>
      </c>
      <c r="G164" s="221">
        <v>8</v>
      </c>
      <c r="H164" s="221" t="s">
        <v>133</v>
      </c>
      <c r="I164" s="129"/>
      <c r="J164" s="129" t="s">
        <v>614</v>
      </c>
      <c r="K164" s="319">
        <v>1899</v>
      </c>
      <c r="L164" s="221">
        <v>110</v>
      </c>
      <c r="M164" s="221">
        <v>95</v>
      </c>
      <c r="N164" s="227">
        <f t="shared" si="4"/>
        <v>1675.06</v>
      </c>
      <c r="O164" s="226"/>
      <c r="P164" s="224"/>
      <c r="Q164" s="224"/>
      <c r="R164" s="221" t="s">
        <v>134</v>
      </c>
      <c r="S164" s="145" t="s">
        <v>465</v>
      </c>
      <c r="T164" s="221" t="s">
        <v>358</v>
      </c>
      <c r="U164" s="221" t="s">
        <v>2245</v>
      </c>
      <c r="V164" s="221" t="s">
        <v>862</v>
      </c>
      <c r="W164" s="129"/>
      <c r="X164" s="129"/>
      <c r="Y164" s="221" t="s">
        <v>246</v>
      </c>
      <c r="Z164" s="221" t="s">
        <v>203</v>
      </c>
      <c r="AA164" s="222">
        <v>43174</v>
      </c>
      <c r="AB164" s="221" t="s">
        <v>195</v>
      </c>
      <c r="AC164" s="226">
        <f t="shared" si="5"/>
        <v>1</v>
      </c>
      <c r="AD164" s="147" t="s">
        <v>217</v>
      </c>
      <c r="AE164" s="147" t="s">
        <v>218</v>
      </c>
      <c r="AF164" s="221"/>
      <c r="AG164" s="129"/>
      <c r="AH164" s="64"/>
      <c r="AI164" s="129"/>
      <c r="AJ164" s="129"/>
      <c r="AK164" s="129"/>
      <c r="AL164" s="129"/>
      <c r="AM164" s="129"/>
    </row>
    <row r="165" spans="1:39" ht="15" customHeight="1">
      <c r="A165" s="147">
        <v>164</v>
      </c>
      <c r="B165" s="223">
        <v>220859</v>
      </c>
      <c r="C165" s="221" t="s">
        <v>1628</v>
      </c>
      <c r="D165" s="57">
        <v>43178</v>
      </c>
      <c r="E165" s="160" t="s">
        <v>2206</v>
      </c>
      <c r="F165" s="222">
        <v>43189</v>
      </c>
      <c r="G165" s="221">
        <v>11</v>
      </c>
      <c r="H165" s="221" t="s">
        <v>133</v>
      </c>
      <c r="I165" s="129"/>
      <c r="J165" s="129" t="s">
        <v>614</v>
      </c>
      <c r="K165" s="319"/>
      <c r="L165" s="221"/>
      <c r="M165" s="221"/>
      <c r="N165" s="227">
        <f t="shared" si="4"/>
        <v>0</v>
      </c>
      <c r="O165" s="226"/>
      <c r="P165" s="224"/>
      <c r="Q165" s="224"/>
      <c r="R165" s="221" t="s">
        <v>122</v>
      </c>
      <c r="S165" s="145" t="s">
        <v>469</v>
      </c>
      <c r="T165" s="221" t="s">
        <v>164</v>
      </c>
      <c r="U165" s="221" t="s">
        <v>1386</v>
      </c>
      <c r="V165" s="221" t="s">
        <v>222</v>
      </c>
      <c r="W165" s="129"/>
      <c r="X165" s="129"/>
      <c r="Y165" s="221"/>
      <c r="Z165" s="221" t="s">
        <v>292</v>
      </c>
      <c r="AB165" s="221"/>
      <c r="AC165" s="226">
        <f t="shared" si="5"/>
        <v>0</v>
      </c>
      <c r="AE165" s="147" t="s">
        <v>217</v>
      </c>
      <c r="AF165" s="147" t="s">
        <v>2353</v>
      </c>
      <c r="AG165" s="129"/>
      <c r="AH165" s="64"/>
      <c r="AI165" s="129"/>
      <c r="AJ165" s="129"/>
      <c r="AK165" s="129"/>
      <c r="AL165" s="129"/>
      <c r="AM165" s="129"/>
    </row>
    <row r="166" spans="1:39" ht="15" customHeight="1">
      <c r="A166" s="147">
        <v>165</v>
      </c>
      <c r="B166" s="223">
        <v>220415</v>
      </c>
      <c r="C166" s="221" t="s">
        <v>1628</v>
      </c>
      <c r="D166" s="57">
        <v>43178</v>
      </c>
      <c r="E166" s="160" t="s">
        <v>2206</v>
      </c>
      <c r="F166" s="222">
        <v>43190</v>
      </c>
      <c r="G166" s="221">
        <v>12</v>
      </c>
      <c r="H166" s="221" t="s">
        <v>133</v>
      </c>
      <c r="I166" s="129"/>
      <c r="J166" s="129" t="s">
        <v>614</v>
      </c>
      <c r="K166" s="319">
        <v>899</v>
      </c>
      <c r="L166" s="221">
        <v>95</v>
      </c>
      <c r="M166" s="221">
        <v>160</v>
      </c>
      <c r="N166" s="227">
        <f t="shared" si="4"/>
        <v>685.06</v>
      </c>
      <c r="O166" s="226"/>
      <c r="P166" s="224"/>
      <c r="Q166" s="224"/>
      <c r="R166" s="221" t="s">
        <v>143</v>
      </c>
      <c r="S166" s="145" t="s">
        <v>465</v>
      </c>
      <c r="T166" s="221" t="s">
        <v>358</v>
      </c>
      <c r="U166" s="221" t="s">
        <v>2249</v>
      </c>
      <c r="V166" s="221" t="s">
        <v>2250</v>
      </c>
      <c r="W166" s="129"/>
      <c r="X166" s="129"/>
      <c r="Y166" s="221" t="s">
        <v>316</v>
      </c>
      <c r="Z166" s="221" t="s">
        <v>124</v>
      </c>
      <c r="AA166" s="222">
        <v>43179</v>
      </c>
      <c r="AB166" s="221" t="s">
        <v>140</v>
      </c>
      <c r="AC166" s="226">
        <f t="shared" si="5"/>
        <v>1</v>
      </c>
      <c r="AD166" s="147" t="s">
        <v>217</v>
      </c>
      <c r="AE166" s="147" t="s">
        <v>218</v>
      </c>
      <c r="AF166" s="221"/>
      <c r="AG166" s="129"/>
      <c r="AH166" s="64"/>
      <c r="AI166" s="129"/>
      <c r="AJ166" s="129"/>
      <c r="AK166" s="129"/>
      <c r="AL166" s="129"/>
      <c r="AM166" s="129"/>
    </row>
    <row r="167" spans="1:39" ht="15" customHeight="1">
      <c r="A167" s="147">
        <v>166</v>
      </c>
      <c r="B167" s="223">
        <v>220854</v>
      </c>
      <c r="C167" s="221" t="s">
        <v>1628</v>
      </c>
      <c r="D167" s="57">
        <v>43178</v>
      </c>
      <c r="E167" s="160" t="s">
        <v>2206</v>
      </c>
      <c r="F167" s="222">
        <v>43190</v>
      </c>
      <c r="G167" s="221">
        <v>12</v>
      </c>
      <c r="H167" s="221" t="s">
        <v>133</v>
      </c>
      <c r="I167" s="129"/>
      <c r="J167" s="129" t="s">
        <v>614</v>
      </c>
      <c r="K167" s="319">
        <v>1799</v>
      </c>
      <c r="L167" s="221">
        <v>190</v>
      </c>
      <c r="M167" s="221">
        <v>476</v>
      </c>
      <c r="N167" s="227">
        <f t="shared" si="4"/>
        <v>1215.06</v>
      </c>
      <c r="O167" s="226"/>
      <c r="P167" s="224"/>
      <c r="Q167" s="224"/>
      <c r="R167" s="221" t="s">
        <v>134</v>
      </c>
      <c r="S167" s="145" t="s">
        <v>465</v>
      </c>
      <c r="T167" s="221" t="s">
        <v>164</v>
      </c>
      <c r="U167" s="221" t="s">
        <v>797</v>
      </c>
      <c r="V167" s="221" t="s">
        <v>1671</v>
      </c>
      <c r="W167" s="129"/>
      <c r="X167" s="129"/>
      <c r="Y167" s="221" t="s">
        <v>1942</v>
      </c>
      <c r="Z167" s="221" t="s">
        <v>202</v>
      </c>
      <c r="AA167" s="222">
        <v>43179</v>
      </c>
      <c r="AB167" s="221" t="s">
        <v>140</v>
      </c>
      <c r="AC167" s="226">
        <f t="shared" si="5"/>
        <v>1</v>
      </c>
      <c r="AD167" s="147" t="s">
        <v>217</v>
      </c>
      <c r="AE167" s="147" t="s">
        <v>218</v>
      </c>
      <c r="AF167" s="221"/>
      <c r="AG167" s="129"/>
      <c r="AH167" s="64"/>
      <c r="AI167" s="129"/>
      <c r="AJ167" s="129"/>
      <c r="AK167" s="129"/>
      <c r="AL167" s="129"/>
      <c r="AM167" s="129"/>
    </row>
    <row r="168" spans="1:39" ht="15" customHeight="1">
      <c r="A168" s="147">
        <v>167</v>
      </c>
      <c r="B168" s="223">
        <v>219962</v>
      </c>
      <c r="C168" s="221" t="s">
        <v>1628</v>
      </c>
      <c r="D168" s="57">
        <v>43178</v>
      </c>
      <c r="E168" s="160" t="s">
        <v>2206</v>
      </c>
      <c r="F168" s="222">
        <v>43178</v>
      </c>
      <c r="G168" s="221">
        <v>0</v>
      </c>
      <c r="H168" s="221" t="s">
        <v>133</v>
      </c>
      <c r="I168" s="129"/>
      <c r="J168" s="129" t="s">
        <v>614</v>
      </c>
      <c r="K168" s="319">
        <v>4284</v>
      </c>
      <c r="L168" s="221">
        <v>369</v>
      </c>
      <c r="M168" s="221">
        <v>230</v>
      </c>
      <c r="N168" s="227">
        <f t="shared" si="4"/>
        <v>3657.96</v>
      </c>
      <c r="O168" s="226"/>
      <c r="P168" s="224"/>
      <c r="Q168" s="224"/>
      <c r="R168" s="221" t="s">
        <v>122</v>
      </c>
      <c r="S168" s="145" t="s">
        <v>469</v>
      </c>
      <c r="T168" s="221" t="s">
        <v>164</v>
      </c>
      <c r="U168" s="221" t="s">
        <v>1556</v>
      </c>
      <c r="V168" s="221" t="s">
        <v>249</v>
      </c>
      <c r="W168" s="129"/>
      <c r="X168" s="129"/>
      <c r="Y168" s="221" t="s">
        <v>1942</v>
      </c>
      <c r="Z168" s="221" t="s">
        <v>202</v>
      </c>
      <c r="AA168" s="222">
        <v>43179</v>
      </c>
      <c r="AB168" s="221" t="s">
        <v>195</v>
      </c>
      <c r="AC168" s="226">
        <f t="shared" si="5"/>
        <v>1</v>
      </c>
      <c r="AD168" s="147" t="s">
        <v>217</v>
      </c>
      <c r="AE168" s="147" t="s">
        <v>218</v>
      </c>
      <c r="AF168" s="221"/>
      <c r="AG168" s="129"/>
      <c r="AH168" s="64"/>
      <c r="AI168" s="129"/>
      <c r="AJ168" s="129"/>
      <c r="AK168" s="129"/>
      <c r="AL168" s="129"/>
      <c r="AM168" s="129"/>
    </row>
    <row r="169" spans="1:39" ht="15" customHeight="1">
      <c r="A169" s="147">
        <v>168</v>
      </c>
      <c r="B169" s="223">
        <v>220443</v>
      </c>
      <c r="C169" s="221" t="s">
        <v>128</v>
      </c>
      <c r="D169" s="57">
        <v>43181</v>
      </c>
      <c r="E169" s="160" t="s">
        <v>2206</v>
      </c>
      <c r="F169" s="222">
        <v>43183</v>
      </c>
      <c r="G169" s="221">
        <v>2</v>
      </c>
      <c r="H169" s="221" t="s">
        <v>133</v>
      </c>
      <c r="I169" s="129"/>
      <c r="J169" s="129" t="s">
        <v>614</v>
      </c>
      <c r="K169" s="319">
        <v>1631</v>
      </c>
      <c r="L169" s="221"/>
      <c r="M169" s="221"/>
      <c r="N169" s="227">
        <f t="shared" si="4"/>
        <v>0</v>
      </c>
      <c r="O169" s="226"/>
      <c r="P169" s="224"/>
      <c r="Q169" s="224"/>
      <c r="R169" s="221" t="s">
        <v>122</v>
      </c>
      <c r="S169" s="145" t="s">
        <v>469</v>
      </c>
      <c r="T169" s="221" t="s">
        <v>164</v>
      </c>
      <c r="U169" s="221" t="s">
        <v>1674</v>
      </c>
      <c r="V169" s="221" t="s">
        <v>169</v>
      </c>
      <c r="W169" s="129"/>
      <c r="X169" s="129"/>
      <c r="Y169" s="221" t="s">
        <v>1942</v>
      </c>
      <c r="Z169" s="221" t="s">
        <v>202</v>
      </c>
      <c r="AB169" s="221" t="s">
        <v>872</v>
      </c>
      <c r="AC169" s="226">
        <f t="shared" si="5"/>
        <v>0</v>
      </c>
      <c r="AE169" s="147" t="s">
        <v>217</v>
      </c>
      <c r="AF169" s="148" t="s">
        <v>2265</v>
      </c>
      <c r="AG169" s="129"/>
      <c r="AH169" s="64" t="s">
        <v>2307</v>
      </c>
      <c r="AI169" s="129"/>
      <c r="AJ169" s="129"/>
      <c r="AK169" s="129"/>
      <c r="AL169" s="129"/>
      <c r="AM169" s="129"/>
    </row>
    <row r="170" spans="1:39" ht="15" customHeight="1">
      <c r="A170" s="147">
        <v>169</v>
      </c>
      <c r="B170" s="223">
        <v>220892</v>
      </c>
      <c r="C170" s="221" t="s">
        <v>128</v>
      </c>
      <c r="D170" s="57">
        <v>43181</v>
      </c>
      <c r="E170" s="160" t="s">
        <v>2206</v>
      </c>
      <c r="F170" s="222">
        <v>43198</v>
      </c>
      <c r="G170" s="221">
        <v>17</v>
      </c>
      <c r="H170" s="221" t="s">
        <v>133</v>
      </c>
      <c r="I170" s="129"/>
      <c r="J170" s="129" t="s">
        <v>614</v>
      </c>
      <c r="K170" s="319"/>
      <c r="L170" s="221"/>
      <c r="M170" s="221"/>
      <c r="N170" s="227">
        <f t="shared" si="4"/>
        <v>0</v>
      </c>
      <c r="O170" s="226"/>
      <c r="P170" s="224"/>
      <c r="Q170" s="224"/>
      <c r="R170" s="221" t="s">
        <v>237</v>
      </c>
      <c r="S170" s="145" t="s">
        <v>465</v>
      </c>
      <c r="T170" s="221" t="s">
        <v>120</v>
      </c>
      <c r="U170" s="221" t="s">
        <v>2253</v>
      </c>
      <c r="V170" s="221" t="s">
        <v>2254</v>
      </c>
      <c r="W170" s="129"/>
      <c r="X170" s="129"/>
      <c r="Y170" s="221"/>
      <c r="Z170" s="221" t="s">
        <v>252</v>
      </c>
      <c r="AB170" s="221"/>
      <c r="AC170" s="226">
        <f t="shared" si="5"/>
        <v>0</v>
      </c>
      <c r="AE170" s="147" t="s">
        <v>217</v>
      </c>
      <c r="AF170" s="147" t="s">
        <v>2353</v>
      </c>
      <c r="AG170" s="129"/>
      <c r="AH170" s="64"/>
      <c r="AI170" s="129"/>
      <c r="AJ170" s="129"/>
      <c r="AK170" s="129"/>
      <c r="AL170" s="129"/>
      <c r="AM170" s="129"/>
    </row>
    <row r="171" spans="1:39" ht="15" customHeight="1">
      <c r="A171" s="147">
        <v>170</v>
      </c>
      <c r="B171" s="223">
        <v>221299</v>
      </c>
      <c r="C171" s="221" t="s">
        <v>1130</v>
      </c>
      <c r="D171" s="57">
        <v>43181</v>
      </c>
      <c r="E171" s="160" t="s">
        <v>2206</v>
      </c>
      <c r="F171" s="222">
        <v>43191</v>
      </c>
      <c r="G171" s="221">
        <v>10</v>
      </c>
      <c r="H171" s="221" t="s">
        <v>133</v>
      </c>
      <c r="I171" s="129"/>
      <c r="J171" s="129" t="s">
        <v>614</v>
      </c>
      <c r="K171" s="319"/>
      <c r="L171" s="221"/>
      <c r="M171" s="221"/>
      <c r="N171" s="227">
        <f t="shared" si="4"/>
        <v>0</v>
      </c>
      <c r="O171" s="226"/>
      <c r="P171" s="224"/>
      <c r="Q171" s="224"/>
      <c r="R171" s="221" t="s">
        <v>143</v>
      </c>
      <c r="S171" s="145" t="s">
        <v>465</v>
      </c>
      <c r="T171" s="221" t="s">
        <v>164</v>
      </c>
      <c r="U171" s="221" t="s">
        <v>1072</v>
      </c>
      <c r="V171" s="221" t="s">
        <v>519</v>
      </c>
      <c r="W171" s="129"/>
      <c r="X171" s="129"/>
      <c r="Y171" s="221"/>
      <c r="Z171" s="221" t="s">
        <v>379</v>
      </c>
      <c r="AB171" s="221"/>
      <c r="AC171" s="226">
        <f t="shared" si="5"/>
        <v>0</v>
      </c>
      <c r="AE171" s="147" t="s">
        <v>217</v>
      </c>
      <c r="AF171" s="147" t="s">
        <v>2353</v>
      </c>
      <c r="AG171" s="129"/>
      <c r="AH171" s="64"/>
      <c r="AI171" s="129"/>
      <c r="AJ171" s="129"/>
      <c r="AK171" s="129"/>
      <c r="AL171" s="129"/>
      <c r="AM171" s="129"/>
    </row>
    <row r="172" spans="1:39" ht="15" customHeight="1">
      <c r="A172" s="147">
        <v>171</v>
      </c>
      <c r="B172" s="223">
        <v>221048</v>
      </c>
      <c r="C172" s="221" t="s">
        <v>1130</v>
      </c>
      <c r="D172" s="57">
        <v>43181</v>
      </c>
      <c r="E172" s="160" t="s">
        <v>2206</v>
      </c>
      <c r="F172" s="222">
        <v>43191</v>
      </c>
      <c r="G172" s="221">
        <v>10</v>
      </c>
      <c r="H172" s="221" t="s">
        <v>133</v>
      </c>
      <c r="I172" s="129"/>
      <c r="J172" s="129" t="s">
        <v>614</v>
      </c>
      <c r="K172" s="319"/>
      <c r="L172" s="221"/>
      <c r="M172" s="221"/>
      <c r="N172" s="227">
        <f t="shared" si="4"/>
        <v>0</v>
      </c>
      <c r="O172" s="226"/>
      <c r="P172" s="224"/>
      <c r="Q172" s="224"/>
      <c r="R172" s="221" t="s">
        <v>143</v>
      </c>
      <c r="S172" s="145" t="s">
        <v>465</v>
      </c>
      <c r="T172" s="221" t="s">
        <v>164</v>
      </c>
      <c r="U172" s="221" t="s">
        <v>1072</v>
      </c>
      <c r="V172" s="221" t="s">
        <v>519</v>
      </c>
      <c r="W172" s="129"/>
      <c r="X172" s="129"/>
      <c r="Y172" s="221"/>
      <c r="Z172" s="221" t="s">
        <v>379</v>
      </c>
      <c r="AB172" s="221"/>
      <c r="AC172" s="226">
        <f t="shared" si="5"/>
        <v>0</v>
      </c>
      <c r="AE172" s="147" t="s">
        <v>217</v>
      </c>
      <c r="AF172" s="147" t="s">
        <v>2353</v>
      </c>
      <c r="AG172" s="129"/>
      <c r="AH172" s="64"/>
      <c r="AI172" s="129"/>
      <c r="AJ172" s="129"/>
      <c r="AK172" s="129"/>
      <c r="AL172" s="129"/>
      <c r="AM172" s="129"/>
    </row>
    <row r="173" spans="1:39" ht="15" customHeight="1">
      <c r="A173" s="147">
        <v>172</v>
      </c>
      <c r="B173" s="223">
        <v>221729</v>
      </c>
      <c r="C173" s="221" t="s">
        <v>1628</v>
      </c>
      <c r="D173" s="57">
        <v>43185</v>
      </c>
      <c r="E173" s="160" t="s">
        <v>2206</v>
      </c>
      <c r="F173" s="222">
        <v>43198</v>
      </c>
      <c r="G173" s="221">
        <v>13</v>
      </c>
      <c r="H173" s="221" t="s">
        <v>363</v>
      </c>
      <c r="I173" s="129"/>
      <c r="J173" s="129" t="s">
        <v>614</v>
      </c>
      <c r="K173" s="319"/>
      <c r="L173" s="221"/>
      <c r="M173" s="221"/>
      <c r="N173" s="227">
        <f t="shared" si="4"/>
        <v>0</v>
      </c>
      <c r="O173" s="226"/>
      <c r="P173" s="224"/>
      <c r="Q173" s="224"/>
      <c r="R173" s="221" t="s">
        <v>134</v>
      </c>
      <c r="S173" s="145" t="s">
        <v>465</v>
      </c>
      <c r="T173" s="221" t="s">
        <v>164</v>
      </c>
      <c r="U173" s="221" t="s">
        <v>2236</v>
      </c>
      <c r="V173" s="221" t="s">
        <v>90</v>
      </c>
      <c r="W173" s="129"/>
      <c r="X173" s="129"/>
      <c r="Y173" s="221" t="s">
        <v>1942</v>
      </c>
      <c r="Z173" s="221" t="s">
        <v>292</v>
      </c>
      <c r="AB173" s="221"/>
      <c r="AC173" s="226">
        <f t="shared" si="5"/>
        <v>0</v>
      </c>
      <c r="AF173" s="221"/>
      <c r="AG173" s="129"/>
      <c r="AH173" s="64" t="s">
        <v>2255</v>
      </c>
      <c r="AI173" s="129"/>
      <c r="AJ173" s="129"/>
      <c r="AK173" s="129"/>
      <c r="AL173" s="129"/>
      <c r="AM173" s="129"/>
    </row>
    <row r="174" spans="1:39" ht="15" customHeight="1">
      <c r="A174" s="147">
        <v>173</v>
      </c>
      <c r="B174" s="223">
        <v>221328</v>
      </c>
      <c r="C174" s="221" t="s">
        <v>128</v>
      </c>
      <c r="D174" s="57">
        <v>43185</v>
      </c>
      <c r="E174" s="160" t="s">
        <v>2206</v>
      </c>
      <c r="F174" s="222">
        <v>43198</v>
      </c>
      <c r="G174" s="221">
        <v>13</v>
      </c>
      <c r="H174" s="221" t="s">
        <v>133</v>
      </c>
      <c r="I174" s="129"/>
      <c r="J174" s="129" t="s">
        <v>614</v>
      </c>
      <c r="K174" s="319">
        <v>2564</v>
      </c>
      <c r="L174" s="221">
        <v>190</v>
      </c>
      <c r="M174" s="221">
        <v>160</v>
      </c>
      <c r="N174" s="227">
        <f t="shared" si="4"/>
        <v>2220.16</v>
      </c>
      <c r="O174" s="226"/>
      <c r="P174" s="224"/>
      <c r="Q174" s="224"/>
      <c r="R174" s="221" t="s">
        <v>210</v>
      </c>
      <c r="S174" s="145" t="s">
        <v>469</v>
      </c>
      <c r="T174" s="221" t="s">
        <v>1300</v>
      </c>
      <c r="U174" s="221" t="s">
        <v>1426</v>
      </c>
      <c r="V174" s="221" t="s">
        <v>1533</v>
      </c>
      <c r="W174" s="129"/>
      <c r="X174" s="129"/>
      <c r="Y174" s="221" t="s">
        <v>1942</v>
      </c>
      <c r="Z174" s="221" t="s">
        <v>253</v>
      </c>
      <c r="AA174" s="222">
        <v>43186</v>
      </c>
      <c r="AB174" s="221" t="s">
        <v>872</v>
      </c>
      <c r="AC174" s="226">
        <f t="shared" si="5"/>
        <v>1</v>
      </c>
      <c r="AD174" s="147" t="s">
        <v>217</v>
      </c>
      <c r="AE174" s="147" t="s">
        <v>218</v>
      </c>
      <c r="AF174" s="221"/>
      <c r="AG174" s="129"/>
      <c r="AH174" s="64"/>
      <c r="AI174" s="129"/>
      <c r="AJ174" s="129"/>
      <c r="AK174" s="129"/>
      <c r="AL174" s="129"/>
      <c r="AM174" s="129"/>
    </row>
    <row r="175" spans="1:39" ht="15" customHeight="1">
      <c r="A175" s="147">
        <v>174</v>
      </c>
      <c r="B175" s="223">
        <v>221569</v>
      </c>
      <c r="C175" s="221" t="s">
        <v>128</v>
      </c>
      <c r="D175" s="57">
        <v>43186</v>
      </c>
      <c r="E175" s="160" t="s">
        <v>2206</v>
      </c>
      <c r="F175" s="222">
        <v>43203</v>
      </c>
      <c r="G175" s="221">
        <v>17</v>
      </c>
      <c r="H175" s="221" t="s">
        <v>133</v>
      </c>
      <c r="I175" s="129"/>
      <c r="J175" s="129" t="s">
        <v>614</v>
      </c>
      <c r="K175" s="319">
        <v>1230</v>
      </c>
      <c r="L175" s="221">
        <v>370</v>
      </c>
      <c r="M175" s="221">
        <v>160.6</v>
      </c>
      <c r="N175" s="227">
        <f t="shared" si="4"/>
        <v>786.2</v>
      </c>
      <c r="O175" s="226"/>
      <c r="P175" s="224"/>
      <c r="Q175" s="224"/>
      <c r="R175" s="221" t="s">
        <v>501</v>
      </c>
      <c r="S175" s="145" t="s">
        <v>466</v>
      </c>
      <c r="T175" s="221" t="s">
        <v>405</v>
      </c>
      <c r="U175" s="221" t="s">
        <v>693</v>
      </c>
      <c r="V175" s="221" t="s">
        <v>257</v>
      </c>
      <c r="W175" s="129"/>
      <c r="X175" s="129"/>
      <c r="Y175" s="221" t="s">
        <v>1459</v>
      </c>
      <c r="Z175" s="221" t="s">
        <v>259</v>
      </c>
      <c r="AA175" s="222">
        <v>43193</v>
      </c>
      <c r="AB175" s="221" t="s">
        <v>591</v>
      </c>
      <c r="AC175" s="226">
        <f t="shared" si="5"/>
        <v>1</v>
      </c>
      <c r="AD175" s="147" t="s">
        <v>217</v>
      </c>
      <c r="AE175" s="147" t="s">
        <v>218</v>
      </c>
      <c r="AF175" s="221"/>
      <c r="AG175" s="129"/>
      <c r="AH175" s="64"/>
      <c r="AI175" s="129"/>
      <c r="AJ175" s="129"/>
      <c r="AK175" s="129"/>
      <c r="AL175" s="129"/>
      <c r="AM175" s="129"/>
    </row>
    <row r="176" spans="1:39" ht="15" customHeight="1">
      <c r="A176" s="147">
        <v>175</v>
      </c>
      <c r="B176" s="223">
        <v>221521</v>
      </c>
      <c r="C176" s="221" t="s">
        <v>1130</v>
      </c>
      <c r="D176" s="57">
        <v>43192</v>
      </c>
      <c r="E176" s="160" t="s">
        <v>2256</v>
      </c>
      <c r="F176" s="222">
        <v>43204</v>
      </c>
      <c r="G176" s="221">
        <v>12</v>
      </c>
      <c r="H176" s="221" t="s">
        <v>133</v>
      </c>
      <c r="I176" s="129"/>
      <c r="J176" s="129" t="s">
        <v>614</v>
      </c>
      <c r="K176" s="319">
        <v>2879</v>
      </c>
      <c r="L176" s="221">
        <v>190</v>
      </c>
      <c r="M176" s="221">
        <v>145</v>
      </c>
      <c r="N176" s="227">
        <f t="shared" si="4"/>
        <v>0</v>
      </c>
      <c r="O176" s="226"/>
      <c r="P176" s="224"/>
      <c r="Q176" s="224"/>
      <c r="R176" s="221" t="s">
        <v>134</v>
      </c>
      <c r="S176" s="145" t="s">
        <v>465</v>
      </c>
      <c r="T176" s="221" t="s">
        <v>144</v>
      </c>
      <c r="U176" s="221" t="s">
        <v>2257</v>
      </c>
      <c r="V176" s="221" t="s">
        <v>429</v>
      </c>
      <c r="W176" s="129"/>
      <c r="X176" s="129"/>
      <c r="Y176" s="221" t="s">
        <v>316</v>
      </c>
      <c r="Z176" s="221" t="s">
        <v>137</v>
      </c>
      <c r="AA176" s="222">
        <v>43194</v>
      </c>
      <c r="AB176" s="221" t="s">
        <v>872</v>
      </c>
      <c r="AC176" s="226">
        <f t="shared" si="5"/>
        <v>0</v>
      </c>
      <c r="AE176" s="147" t="s">
        <v>217</v>
      </c>
      <c r="AF176" s="147" t="s">
        <v>2353</v>
      </c>
      <c r="AG176" s="129"/>
      <c r="AH176" s="64" t="s">
        <v>2266</v>
      </c>
      <c r="AI176" s="129"/>
      <c r="AJ176" s="129"/>
      <c r="AK176" s="129"/>
      <c r="AL176" s="129"/>
      <c r="AM176" s="129"/>
    </row>
    <row r="177" spans="1:39" ht="15" customHeight="1">
      <c r="A177" s="147">
        <v>176</v>
      </c>
      <c r="B177" s="223">
        <v>221317</v>
      </c>
      <c r="C177" s="221" t="s">
        <v>1130</v>
      </c>
      <c r="D177" s="57">
        <v>43192</v>
      </c>
      <c r="E177" s="160" t="s">
        <v>2256</v>
      </c>
      <c r="F177" s="222">
        <v>43196</v>
      </c>
      <c r="G177" s="221">
        <v>4</v>
      </c>
      <c r="H177" s="221" t="s">
        <v>363</v>
      </c>
      <c r="I177" s="129"/>
      <c r="J177" s="129" t="s">
        <v>614</v>
      </c>
      <c r="K177" s="319"/>
      <c r="L177" s="221"/>
      <c r="M177" s="221"/>
      <c r="N177" s="227">
        <f t="shared" si="4"/>
        <v>0</v>
      </c>
      <c r="O177" s="226"/>
      <c r="P177" s="224"/>
      <c r="Q177" s="224"/>
      <c r="R177" s="221" t="s">
        <v>134</v>
      </c>
      <c r="S177" s="145" t="s">
        <v>465</v>
      </c>
      <c r="T177" s="221" t="s">
        <v>88</v>
      </c>
      <c r="U177" s="221" t="s">
        <v>1461</v>
      </c>
      <c r="V177" s="221" t="s">
        <v>429</v>
      </c>
      <c r="W177" s="129"/>
      <c r="X177" s="129"/>
      <c r="Y177" s="221"/>
      <c r="Z177" s="221" t="s">
        <v>189</v>
      </c>
      <c r="AB177" s="221"/>
      <c r="AC177" s="226">
        <f t="shared" si="5"/>
        <v>0</v>
      </c>
      <c r="AF177" s="221"/>
      <c r="AG177" s="129"/>
      <c r="AH177" s="64" t="s">
        <v>2264</v>
      </c>
      <c r="AI177" s="129"/>
      <c r="AJ177" s="129"/>
      <c r="AK177" s="129"/>
      <c r="AL177" s="129"/>
      <c r="AM177" s="129"/>
    </row>
    <row r="178" spans="1:39" ht="15" customHeight="1">
      <c r="A178" s="147">
        <v>177</v>
      </c>
      <c r="B178" s="223">
        <v>221369</v>
      </c>
      <c r="C178" s="221" t="s">
        <v>129</v>
      </c>
      <c r="D178" s="222">
        <v>43193</v>
      </c>
      <c r="E178" s="160" t="s">
        <v>2256</v>
      </c>
      <c r="F178" s="222">
        <v>43197</v>
      </c>
      <c r="G178" s="221">
        <v>4</v>
      </c>
      <c r="H178" s="221" t="s">
        <v>133</v>
      </c>
      <c r="I178" s="129"/>
      <c r="J178" s="129" t="s">
        <v>614</v>
      </c>
      <c r="K178" s="319"/>
      <c r="L178" s="221"/>
      <c r="M178" s="221"/>
      <c r="N178" s="227">
        <f t="shared" si="4"/>
        <v>0</v>
      </c>
      <c r="O178" s="226"/>
      <c r="P178" s="224"/>
      <c r="Q178" s="224"/>
      <c r="R178" s="221" t="s">
        <v>143</v>
      </c>
      <c r="S178" s="145" t="s">
        <v>465</v>
      </c>
      <c r="T178" s="221" t="s">
        <v>164</v>
      </c>
      <c r="U178" s="221" t="s">
        <v>2258</v>
      </c>
      <c r="V178" s="221" t="s">
        <v>2259</v>
      </c>
      <c r="W178" s="129"/>
      <c r="X178" s="129"/>
      <c r="Y178" s="221" t="s">
        <v>1942</v>
      </c>
      <c r="Z178" s="221" t="s">
        <v>202</v>
      </c>
      <c r="AB178" s="221" t="s">
        <v>195</v>
      </c>
      <c r="AC178" s="226">
        <f t="shared" si="5"/>
        <v>0</v>
      </c>
      <c r="AE178" s="147" t="s">
        <v>217</v>
      </c>
      <c r="AF178" s="148" t="s">
        <v>2265</v>
      </c>
      <c r="AG178" s="129"/>
      <c r="AH178" s="64"/>
      <c r="AI178" s="129"/>
      <c r="AJ178" s="129"/>
      <c r="AK178" s="129"/>
      <c r="AL178" s="129"/>
      <c r="AM178" s="129"/>
    </row>
    <row r="179" spans="1:39" ht="15" customHeight="1">
      <c r="A179" s="147">
        <v>178</v>
      </c>
      <c r="B179" s="223">
        <v>221376</v>
      </c>
      <c r="C179" s="221" t="s">
        <v>129</v>
      </c>
      <c r="D179" s="222">
        <v>43193</v>
      </c>
      <c r="E179" s="160" t="s">
        <v>2256</v>
      </c>
      <c r="F179" s="222">
        <v>43199</v>
      </c>
      <c r="G179" s="221">
        <v>6</v>
      </c>
      <c r="H179" s="221" t="s">
        <v>133</v>
      </c>
      <c r="I179" s="129"/>
      <c r="J179" s="129" t="s">
        <v>614</v>
      </c>
      <c r="K179" s="319">
        <v>1899</v>
      </c>
      <c r="L179" s="221">
        <v>533</v>
      </c>
      <c r="M179" s="221">
        <v>80</v>
      </c>
      <c r="N179" s="227">
        <f t="shared" si="4"/>
        <v>1252.06</v>
      </c>
      <c r="O179" s="226"/>
      <c r="P179" s="224"/>
      <c r="Q179" s="224"/>
      <c r="R179" s="221" t="s">
        <v>134</v>
      </c>
      <c r="S179" s="145" t="s">
        <v>465</v>
      </c>
      <c r="T179" s="221" t="s">
        <v>164</v>
      </c>
      <c r="U179" s="221" t="s">
        <v>2152</v>
      </c>
      <c r="V179" s="221" t="s">
        <v>2260</v>
      </c>
      <c r="W179" s="129"/>
      <c r="X179" s="129"/>
      <c r="Y179" s="221" t="s">
        <v>1942</v>
      </c>
      <c r="Z179" s="221" t="s">
        <v>202</v>
      </c>
      <c r="AA179" s="222">
        <v>43196</v>
      </c>
      <c r="AB179" s="221" t="s">
        <v>195</v>
      </c>
      <c r="AC179" s="226">
        <f t="shared" si="5"/>
        <v>1</v>
      </c>
      <c r="AD179" s="147" t="s">
        <v>217</v>
      </c>
      <c r="AE179" s="147" t="s">
        <v>218</v>
      </c>
      <c r="AF179" s="221"/>
      <c r="AG179" s="129"/>
      <c r="AH179" s="64"/>
      <c r="AI179" s="129"/>
      <c r="AJ179" s="129"/>
      <c r="AK179" s="129"/>
      <c r="AL179" s="129"/>
      <c r="AM179" s="129"/>
    </row>
    <row r="180" spans="1:39" ht="15" customHeight="1">
      <c r="A180" s="147">
        <v>179</v>
      </c>
      <c r="B180" s="223">
        <v>221324</v>
      </c>
      <c r="C180" s="221" t="s">
        <v>129</v>
      </c>
      <c r="D180" s="222">
        <v>43193</v>
      </c>
      <c r="E180" s="160" t="s">
        <v>2256</v>
      </c>
      <c r="F180" s="222">
        <v>43197</v>
      </c>
      <c r="G180" s="221">
        <v>4</v>
      </c>
      <c r="H180" s="221" t="s">
        <v>133</v>
      </c>
      <c r="I180" s="129"/>
      <c r="J180" s="129" t="s">
        <v>614</v>
      </c>
      <c r="K180" s="319">
        <v>1999</v>
      </c>
      <c r="L180" s="221">
        <v>310</v>
      </c>
      <c r="M180" s="221">
        <v>80</v>
      </c>
      <c r="N180" s="227">
        <f t="shared" si="4"/>
        <v>1569.06</v>
      </c>
      <c r="O180" s="226"/>
      <c r="P180" s="224"/>
      <c r="Q180" s="224"/>
      <c r="R180" s="221" t="s">
        <v>134</v>
      </c>
      <c r="S180" s="145" t="s">
        <v>465</v>
      </c>
      <c r="T180" s="221" t="s">
        <v>164</v>
      </c>
      <c r="U180" s="221" t="s">
        <v>797</v>
      </c>
      <c r="V180" s="221" t="s">
        <v>2261</v>
      </c>
      <c r="W180" s="129"/>
      <c r="X180" s="129"/>
      <c r="Y180" s="221" t="s">
        <v>316</v>
      </c>
      <c r="Z180" s="221" t="s">
        <v>202</v>
      </c>
      <c r="AA180" s="222">
        <v>43195</v>
      </c>
      <c r="AB180" s="221" t="s">
        <v>872</v>
      </c>
      <c r="AC180" s="226">
        <f t="shared" si="5"/>
        <v>1</v>
      </c>
      <c r="AD180" s="147" t="s">
        <v>217</v>
      </c>
      <c r="AE180" s="147" t="s">
        <v>218</v>
      </c>
      <c r="AF180" s="221"/>
      <c r="AG180" s="129"/>
      <c r="AH180" s="64"/>
      <c r="AI180" s="129"/>
      <c r="AJ180" s="129"/>
      <c r="AK180" s="129"/>
      <c r="AL180" s="129"/>
      <c r="AM180" s="129"/>
    </row>
    <row r="181" spans="1:39" ht="15" customHeight="1">
      <c r="A181" s="147">
        <v>180</v>
      </c>
      <c r="B181" s="223">
        <v>221883</v>
      </c>
      <c r="C181" s="221" t="s">
        <v>1628</v>
      </c>
      <c r="D181" s="222">
        <v>43194</v>
      </c>
      <c r="E181" s="160" t="s">
        <v>2256</v>
      </c>
      <c r="F181" s="222">
        <v>43202</v>
      </c>
      <c r="G181" s="221">
        <v>8</v>
      </c>
      <c r="H181" s="221" t="s">
        <v>133</v>
      </c>
      <c r="I181" s="129"/>
      <c r="J181" s="129" t="s">
        <v>614</v>
      </c>
      <c r="K181" s="319">
        <v>1899</v>
      </c>
      <c r="L181" s="221">
        <v>540</v>
      </c>
      <c r="M181" s="221">
        <v>366</v>
      </c>
      <c r="N181" s="227">
        <f t="shared" si="4"/>
        <v>1245.06</v>
      </c>
      <c r="O181" s="226"/>
      <c r="P181" s="224"/>
      <c r="Q181" s="224"/>
      <c r="R181" s="221" t="s">
        <v>134</v>
      </c>
      <c r="S181" s="145" t="s">
        <v>465</v>
      </c>
      <c r="T181" s="221" t="s">
        <v>164</v>
      </c>
      <c r="U181" s="221" t="s">
        <v>797</v>
      </c>
      <c r="V181" s="221" t="s">
        <v>862</v>
      </c>
      <c r="W181" s="129"/>
      <c r="X181" s="129"/>
      <c r="Y181" s="221" t="s">
        <v>316</v>
      </c>
      <c r="Z181" s="221" t="s">
        <v>202</v>
      </c>
      <c r="AA181" s="222">
        <v>43195</v>
      </c>
      <c r="AB181" s="221" t="s">
        <v>140</v>
      </c>
      <c r="AC181" s="226">
        <f t="shared" si="5"/>
        <v>1</v>
      </c>
      <c r="AD181" s="147" t="s">
        <v>217</v>
      </c>
      <c r="AE181" s="147" t="s">
        <v>218</v>
      </c>
      <c r="AF181" s="221"/>
      <c r="AG181" s="129"/>
      <c r="AH181" s="64"/>
      <c r="AI181" s="129"/>
      <c r="AJ181" s="129"/>
      <c r="AK181" s="129"/>
      <c r="AL181" s="129"/>
      <c r="AM181" s="129"/>
    </row>
    <row r="182" spans="1:39" ht="15" customHeight="1">
      <c r="A182" s="147">
        <v>181</v>
      </c>
      <c r="B182" s="223">
        <v>222250</v>
      </c>
      <c r="C182" s="221" t="s">
        <v>1628</v>
      </c>
      <c r="D182" s="222">
        <v>43195</v>
      </c>
      <c r="E182" s="160" t="s">
        <v>2256</v>
      </c>
      <c r="F182" s="222">
        <v>43204</v>
      </c>
      <c r="G182" s="221">
        <v>9</v>
      </c>
      <c r="H182" s="221" t="s">
        <v>133</v>
      </c>
      <c r="I182" s="129"/>
      <c r="J182" s="129" t="s">
        <v>614</v>
      </c>
      <c r="K182" s="319"/>
      <c r="L182" s="221"/>
      <c r="M182" s="221"/>
      <c r="N182" s="227">
        <f t="shared" si="4"/>
        <v>0</v>
      </c>
      <c r="O182" s="226"/>
      <c r="P182" s="224"/>
      <c r="Q182" s="224"/>
      <c r="R182" s="221" t="s">
        <v>143</v>
      </c>
      <c r="S182" s="145" t="s">
        <v>465</v>
      </c>
      <c r="T182" s="221" t="s">
        <v>358</v>
      </c>
      <c r="U182" s="221" t="s">
        <v>2262</v>
      </c>
      <c r="V182" s="221" t="s">
        <v>2263</v>
      </c>
      <c r="W182" s="129"/>
      <c r="X182" s="129"/>
      <c r="Y182" s="221"/>
      <c r="Z182" s="221" t="s">
        <v>1284</v>
      </c>
      <c r="AB182" s="221"/>
      <c r="AC182" s="226">
        <f t="shared" si="5"/>
        <v>0</v>
      </c>
      <c r="AE182" s="147" t="s">
        <v>217</v>
      </c>
      <c r="AF182" s="147" t="s">
        <v>2353</v>
      </c>
      <c r="AG182" s="129"/>
      <c r="AH182" s="64"/>
      <c r="AI182" s="129"/>
      <c r="AJ182" s="129"/>
      <c r="AK182" s="129"/>
      <c r="AL182" s="129"/>
      <c r="AM182" s="129"/>
    </row>
    <row r="183" spans="1:39" ht="15" customHeight="1">
      <c r="A183" s="147">
        <v>182</v>
      </c>
      <c r="B183" s="223">
        <v>222109</v>
      </c>
      <c r="C183" s="221" t="s">
        <v>1628</v>
      </c>
      <c r="D183" s="222">
        <v>43195</v>
      </c>
      <c r="E183" s="160" t="s">
        <v>2256</v>
      </c>
      <c r="F183" s="222">
        <v>43204</v>
      </c>
      <c r="G183" s="221">
        <v>9</v>
      </c>
      <c r="H183" s="221" t="s">
        <v>133</v>
      </c>
      <c r="I183" s="129"/>
      <c r="J183" s="129" t="s">
        <v>614</v>
      </c>
      <c r="K183" s="319">
        <v>1099</v>
      </c>
      <c r="L183" s="221">
        <v>270</v>
      </c>
      <c r="M183" s="221">
        <v>155</v>
      </c>
      <c r="N183" s="227">
        <f t="shared" si="4"/>
        <v>763.06</v>
      </c>
      <c r="O183" s="226"/>
      <c r="P183" s="224"/>
      <c r="Q183" s="224"/>
      <c r="R183" s="221" t="s">
        <v>143</v>
      </c>
      <c r="S183" s="145" t="s">
        <v>465</v>
      </c>
      <c r="T183" s="221" t="s">
        <v>358</v>
      </c>
      <c r="U183" s="221" t="s">
        <v>2262</v>
      </c>
      <c r="V183" s="221" t="s">
        <v>425</v>
      </c>
      <c r="W183" s="129"/>
      <c r="X183" s="129"/>
      <c r="Y183" s="221" t="s">
        <v>316</v>
      </c>
      <c r="Z183" s="221" t="s">
        <v>1284</v>
      </c>
      <c r="AA183" s="222">
        <v>43196</v>
      </c>
      <c r="AB183" s="221" t="s">
        <v>195</v>
      </c>
      <c r="AC183" s="226">
        <f t="shared" si="5"/>
        <v>1</v>
      </c>
      <c r="AD183" s="147" t="s">
        <v>217</v>
      </c>
      <c r="AE183" s="147" t="s">
        <v>218</v>
      </c>
      <c r="AF183" s="221"/>
      <c r="AG183" s="129"/>
      <c r="AH183" s="64"/>
      <c r="AI183" s="129"/>
      <c r="AJ183" s="129"/>
      <c r="AK183" s="129"/>
      <c r="AL183" s="129"/>
      <c r="AM183" s="129"/>
    </row>
    <row r="184" spans="1:39" ht="15" customHeight="1">
      <c r="A184" s="147">
        <v>183</v>
      </c>
      <c r="B184" s="223">
        <v>222370</v>
      </c>
      <c r="C184" s="221" t="s">
        <v>1628</v>
      </c>
      <c r="D184" s="222">
        <v>43200</v>
      </c>
      <c r="E184" s="160" t="s">
        <v>2256</v>
      </c>
      <c r="F184" s="222">
        <v>43212</v>
      </c>
      <c r="G184" s="221">
        <v>12</v>
      </c>
      <c r="H184" s="221" t="s">
        <v>133</v>
      </c>
      <c r="I184" s="129"/>
      <c r="J184" s="129" t="s">
        <v>614</v>
      </c>
      <c r="K184" s="319"/>
      <c r="L184" s="221"/>
      <c r="M184" s="221"/>
      <c r="N184" s="227">
        <f t="shared" si="4"/>
        <v>0</v>
      </c>
      <c r="O184" s="226"/>
      <c r="P184" s="224"/>
      <c r="Q184" s="224"/>
      <c r="R184" s="221" t="s">
        <v>134</v>
      </c>
      <c r="S184" s="145" t="s">
        <v>465</v>
      </c>
      <c r="T184" s="221" t="s">
        <v>88</v>
      </c>
      <c r="U184" s="221" t="s">
        <v>2244</v>
      </c>
      <c r="V184" s="221" t="s">
        <v>139</v>
      </c>
      <c r="W184" s="129"/>
      <c r="X184" s="129"/>
      <c r="Y184" s="221" t="s">
        <v>1942</v>
      </c>
      <c r="Z184" s="221" t="s">
        <v>124</v>
      </c>
      <c r="AB184" s="221"/>
      <c r="AC184" s="226">
        <f t="shared" si="5"/>
        <v>0</v>
      </c>
      <c r="AE184" s="147" t="s">
        <v>217</v>
      </c>
      <c r="AF184" s="147" t="s">
        <v>2353</v>
      </c>
      <c r="AG184" s="129"/>
      <c r="AH184" s="64"/>
      <c r="AI184" s="129"/>
      <c r="AJ184" s="129"/>
      <c r="AK184" s="129"/>
      <c r="AL184" s="129"/>
      <c r="AM184" s="129"/>
    </row>
    <row r="185" spans="1:39" ht="15" customHeight="1">
      <c r="A185" s="147">
        <v>184</v>
      </c>
      <c r="B185" s="223">
        <v>221616</v>
      </c>
      <c r="C185" s="221" t="s">
        <v>1628</v>
      </c>
      <c r="D185" s="222">
        <v>43200</v>
      </c>
      <c r="E185" s="160" t="s">
        <v>2256</v>
      </c>
      <c r="F185" s="222">
        <v>43212</v>
      </c>
      <c r="G185" s="221">
        <v>12</v>
      </c>
      <c r="H185" s="221" t="s">
        <v>133</v>
      </c>
      <c r="I185" s="129"/>
      <c r="J185" s="129" t="s">
        <v>614</v>
      </c>
      <c r="K185" s="319">
        <v>2559</v>
      </c>
      <c r="L185" s="221">
        <v>160</v>
      </c>
      <c r="M185" s="221">
        <v>17.5</v>
      </c>
      <c r="N185" s="227">
        <f t="shared" si="4"/>
        <v>2245.46</v>
      </c>
      <c r="O185" s="226"/>
      <c r="P185" s="224"/>
      <c r="Q185" s="224"/>
      <c r="R185" s="221" t="s">
        <v>293</v>
      </c>
      <c r="S185" s="145" t="s">
        <v>469</v>
      </c>
      <c r="T185" s="221" t="s">
        <v>164</v>
      </c>
      <c r="U185" s="221" t="s">
        <v>958</v>
      </c>
      <c r="V185" s="221" t="s">
        <v>293</v>
      </c>
      <c r="W185" s="129"/>
      <c r="X185" s="129"/>
      <c r="Y185" s="221" t="s">
        <v>316</v>
      </c>
      <c r="Z185" s="221" t="s">
        <v>202</v>
      </c>
      <c r="AA185" s="222">
        <v>43200</v>
      </c>
      <c r="AB185" s="221" t="s">
        <v>140</v>
      </c>
      <c r="AC185" s="226">
        <f t="shared" si="5"/>
        <v>1</v>
      </c>
      <c r="AD185" s="147" t="s">
        <v>217</v>
      </c>
      <c r="AE185" s="147" t="s">
        <v>218</v>
      </c>
      <c r="AF185" s="221"/>
      <c r="AG185" s="129"/>
      <c r="AH185" s="64"/>
      <c r="AI185" s="129"/>
      <c r="AJ185" s="129"/>
      <c r="AK185" s="129"/>
      <c r="AL185" s="129"/>
      <c r="AM185" s="129"/>
    </row>
    <row r="186" spans="1:39" ht="15" customHeight="1">
      <c r="A186" s="147">
        <v>185</v>
      </c>
      <c r="B186" s="223">
        <v>221731</v>
      </c>
      <c r="C186" s="221" t="s">
        <v>1628</v>
      </c>
      <c r="D186" s="222">
        <v>43200</v>
      </c>
      <c r="E186" s="160" t="s">
        <v>2256</v>
      </c>
      <c r="F186" s="222">
        <v>43212</v>
      </c>
      <c r="G186" s="221">
        <v>12</v>
      </c>
      <c r="H186" s="221" t="s">
        <v>133</v>
      </c>
      <c r="I186" s="129"/>
      <c r="J186" s="129" t="s">
        <v>614</v>
      </c>
      <c r="K186" s="319">
        <v>2559</v>
      </c>
      <c r="L186" s="221">
        <v>160</v>
      </c>
      <c r="M186" s="221">
        <v>17.5</v>
      </c>
      <c r="N186" s="227">
        <f t="shared" si="4"/>
        <v>2245.46</v>
      </c>
      <c r="O186" s="226"/>
      <c r="P186" s="224"/>
      <c r="Q186" s="224"/>
      <c r="R186" s="221" t="s">
        <v>293</v>
      </c>
      <c r="S186" s="145" t="s">
        <v>469</v>
      </c>
      <c r="T186" s="221" t="s">
        <v>164</v>
      </c>
      <c r="U186" s="221" t="s">
        <v>958</v>
      </c>
      <c r="V186" s="221" t="s">
        <v>293</v>
      </c>
      <c r="W186" s="129"/>
      <c r="X186" s="129"/>
      <c r="Y186" s="221" t="s">
        <v>316</v>
      </c>
      <c r="Z186" s="221" t="s">
        <v>202</v>
      </c>
      <c r="AA186" s="222">
        <v>43200</v>
      </c>
      <c r="AB186" s="221" t="s">
        <v>140</v>
      </c>
      <c r="AC186" s="226">
        <f t="shared" si="5"/>
        <v>1</v>
      </c>
      <c r="AD186" s="147" t="s">
        <v>217</v>
      </c>
      <c r="AE186" s="147" t="s">
        <v>218</v>
      </c>
      <c r="AF186" s="221"/>
      <c r="AG186" s="129"/>
      <c r="AH186" s="64"/>
      <c r="AI186" s="129"/>
      <c r="AJ186" s="129"/>
      <c r="AK186" s="129"/>
      <c r="AL186" s="129"/>
      <c r="AM186" s="129"/>
    </row>
    <row r="187" spans="1:39" ht="15" customHeight="1">
      <c r="A187" s="147">
        <v>186</v>
      </c>
      <c r="B187" s="223">
        <v>222259</v>
      </c>
      <c r="C187" s="221" t="s">
        <v>1628</v>
      </c>
      <c r="D187" s="222">
        <v>43202</v>
      </c>
      <c r="E187" s="160" t="s">
        <v>2256</v>
      </c>
      <c r="F187" s="222">
        <v>43210</v>
      </c>
      <c r="G187" s="221">
        <v>8</v>
      </c>
      <c r="H187" s="221" t="s">
        <v>133</v>
      </c>
      <c r="I187" s="129"/>
      <c r="J187" s="129" t="s">
        <v>614</v>
      </c>
      <c r="K187" s="319">
        <v>10999</v>
      </c>
      <c r="L187" s="221">
        <v>3446</v>
      </c>
      <c r="M187" s="221">
        <v>220</v>
      </c>
      <c r="N187" s="227">
        <f t="shared" si="4"/>
        <v>0</v>
      </c>
      <c r="O187" s="226"/>
      <c r="P187" s="224"/>
      <c r="Q187" s="224"/>
      <c r="R187" s="221" t="s">
        <v>122</v>
      </c>
      <c r="S187" s="145" t="s">
        <v>469</v>
      </c>
      <c r="T187" s="221" t="s">
        <v>164</v>
      </c>
      <c r="U187" s="221" t="s">
        <v>2267</v>
      </c>
      <c r="V187" s="221" t="s">
        <v>222</v>
      </c>
      <c r="W187" s="129"/>
      <c r="X187" s="129"/>
      <c r="Y187" s="221" t="s">
        <v>1942</v>
      </c>
      <c r="Z187" s="221" t="s">
        <v>404</v>
      </c>
      <c r="AA187" s="222">
        <v>43202</v>
      </c>
      <c r="AB187" s="221" t="s">
        <v>1102</v>
      </c>
      <c r="AC187" s="226">
        <f t="shared" si="5"/>
        <v>0</v>
      </c>
      <c r="AE187" s="147" t="s">
        <v>217</v>
      </c>
      <c r="AF187" s="148" t="s">
        <v>2265</v>
      </c>
      <c r="AG187" s="129"/>
      <c r="AH187" s="64"/>
      <c r="AI187" s="129"/>
      <c r="AJ187" s="129"/>
      <c r="AK187" s="129"/>
      <c r="AL187" s="129"/>
      <c r="AM187" s="129"/>
    </row>
    <row r="188" spans="1:39" ht="15" customHeight="1">
      <c r="A188" s="147">
        <v>187</v>
      </c>
      <c r="B188" s="223">
        <v>222446</v>
      </c>
      <c r="C188" s="221" t="s">
        <v>1130</v>
      </c>
      <c r="D188" s="222">
        <v>43202</v>
      </c>
      <c r="E188" s="160" t="s">
        <v>2256</v>
      </c>
      <c r="F188" s="222">
        <v>43213</v>
      </c>
      <c r="G188" s="221">
        <v>11</v>
      </c>
      <c r="H188" s="221" t="s">
        <v>133</v>
      </c>
      <c r="I188" s="129"/>
      <c r="J188" s="129" t="s">
        <v>614</v>
      </c>
      <c r="K188" s="319"/>
      <c r="L188" s="221"/>
      <c r="M188" s="221"/>
      <c r="N188" s="227">
        <f t="shared" si="4"/>
        <v>0</v>
      </c>
      <c r="O188" s="226"/>
      <c r="P188" s="224"/>
      <c r="Q188" s="224"/>
      <c r="R188" s="221" t="s">
        <v>134</v>
      </c>
      <c r="S188" s="145" t="s">
        <v>465</v>
      </c>
      <c r="T188" s="221" t="s">
        <v>144</v>
      </c>
      <c r="U188" s="221" t="s">
        <v>2208</v>
      </c>
      <c r="V188" s="221" t="s">
        <v>90</v>
      </c>
      <c r="W188" s="129"/>
      <c r="X188" s="129"/>
      <c r="Y188" s="221"/>
      <c r="Z188" s="221" t="s">
        <v>1118</v>
      </c>
      <c r="AB188" s="221"/>
      <c r="AC188" s="226">
        <f t="shared" si="5"/>
        <v>0</v>
      </c>
      <c r="AE188" s="147" t="s">
        <v>217</v>
      </c>
      <c r="AF188" s="147" t="s">
        <v>2353</v>
      </c>
      <c r="AG188" s="129"/>
      <c r="AH188" s="64"/>
      <c r="AI188" s="129"/>
      <c r="AJ188" s="129"/>
      <c r="AK188" s="129"/>
      <c r="AL188" s="129"/>
      <c r="AM188" s="129"/>
    </row>
    <row r="189" spans="1:39" ht="15" customHeight="1">
      <c r="A189" s="147">
        <v>188</v>
      </c>
      <c r="B189" s="223">
        <v>222945</v>
      </c>
      <c r="C189" s="221" t="s">
        <v>1130</v>
      </c>
      <c r="D189" s="222">
        <v>43206</v>
      </c>
      <c r="E189" s="160" t="s">
        <v>2256</v>
      </c>
      <c r="F189" s="222">
        <v>43212</v>
      </c>
      <c r="G189" s="221">
        <v>6</v>
      </c>
      <c r="H189" s="221" t="s">
        <v>363</v>
      </c>
      <c r="I189" s="129"/>
      <c r="J189" s="129" t="s">
        <v>614</v>
      </c>
      <c r="K189" s="319"/>
      <c r="L189" s="221"/>
      <c r="M189" s="221"/>
      <c r="N189" s="227">
        <f t="shared" si="4"/>
        <v>0</v>
      </c>
      <c r="O189" s="226"/>
      <c r="P189" s="224"/>
      <c r="Q189" s="224"/>
      <c r="R189" s="221" t="s">
        <v>122</v>
      </c>
      <c r="S189" s="145" t="s">
        <v>469</v>
      </c>
      <c r="T189" s="221" t="s">
        <v>114</v>
      </c>
      <c r="U189" s="221" t="s">
        <v>2272</v>
      </c>
      <c r="V189" s="221" t="s">
        <v>90</v>
      </c>
      <c r="W189" s="129"/>
      <c r="X189" s="129"/>
      <c r="Y189" s="221"/>
      <c r="Z189" s="221" t="s">
        <v>170</v>
      </c>
      <c r="AB189" s="221"/>
      <c r="AC189" s="226">
        <f t="shared" si="5"/>
        <v>0</v>
      </c>
      <c r="AF189" s="221"/>
      <c r="AG189" s="129"/>
      <c r="AH189" s="64" t="s">
        <v>2273</v>
      </c>
      <c r="AI189" s="129"/>
      <c r="AJ189" s="129"/>
      <c r="AK189" s="129"/>
      <c r="AL189" s="129"/>
      <c r="AM189" s="129"/>
    </row>
    <row r="190" spans="1:39" ht="15" customHeight="1">
      <c r="A190" s="147">
        <v>189</v>
      </c>
      <c r="B190" s="223">
        <v>222542</v>
      </c>
      <c r="C190" s="221" t="s">
        <v>1130</v>
      </c>
      <c r="D190" s="222">
        <v>43206</v>
      </c>
      <c r="E190" s="160" t="s">
        <v>2256</v>
      </c>
      <c r="F190" s="222">
        <v>43212</v>
      </c>
      <c r="G190" s="221">
        <v>6</v>
      </c>
      <c r="H190" s="221" t="s">
        <v>133</v>
      </c>
      <c r="I190" s="129"/>
      <c r="J190" s="129" t="s">
        <v>614</v>
      </c>
      <c r="K190" s="319">
        <v>1942</v>
      </c>
      <c r="L190" s="221">
        <v>270</v>
      </c>
      <c r="M190" s="221">
        <v>230</v>
      </c>
      <c r="N190" s="227">
        <f t="shared" si="4"/>
        <v>0</v>
      </c>
      <c r="O190" s="226"/>
      <c r="P190" s="224"/>
      <c r="Q190" s="224"/>
      <c r="R190" s="221" t="s">
        <v>122</v>
      </c>
      <c r="S190" s="145" t="s">
        <v>469</v>
      </c>
      <c r="T190" s="221" t="s">
        <v>114</v>
      </c>
      <c r="U190" s="221" t="s">
        <v>810</v>
      </c>
      <c r="V190" s="221" t="s">
        <v>169</v>
      </c>
      <c r="W190" s="129"/>
      <c r="X190" s="129"/>
      <c r="Y190" s="221" t="s">
        <v>316</v>
      </c>
      <c r="Z190" s="221" t="s">
        <v>170</v>
      </c>
      <c r="AA190" s="222">
        <v>43206</v>
      </c>
      <c r="AB190" s="221" t="s">
        <v>872</v>
      </c>
      <c r="AC190" s="226">
        <f t="shared" si="5"/>
        <v>0</v>
      </c>
      <c r="AE190" s="147" t="s">
        <v>217</v>
      </c>
      <c r="AF190" s="148" t="s">
        <v>2265</v>
      </c>
      <c r="AG190" s="129"/>
      <c r="AH190" s="64"/>
      <c r="AI190" s="129"/>
      <c r="AJ190" s="129"/>
      <c r="AK190" s="129"/>
      <c r="AL190" s="129"/>
      <c r="AM190" s="129"/>
    </row>
    <row r="191" spans="1:39" ht="15" customHeight="1">
      <c r="A191" s="147">
        <v>190</v>
      </c>
      <c r="B191" s="223">
        <v>222738</v>
      </c>
      <c r="C191" s="221" t="s">
        <v>1628</v>
      </c>
      <c r="D191" s="222">
        <v>43206</v>
      </c>
      <c r="E191" s="160" t="s">
        <v>2256</v>
      </c>
      <c r="F191" s="222">
        <v>43217</v>
      </c>
      <c r="G191" s="221">
        <v>11</v>
      </c>
      <c r="H191" s="221" t="s">
        <v>363</v>
      </c>
      <c r="I191" s="129"/>
      <c r="J191" s="129" t="s">
        <v>614</v>
      </c>
      <c r="K191" s="319"/>
      <c r="L191" s="221"/>
      <c r="M191" s="221"/>
      <c r="N191" s="227">
        <f t="shared" si="4"/>
        <v>0</v>
      </c>
      <c r="O191" s="226"/>
      <c r="P191" s="224"/>
      <c r="Q191" s="224"/>
      <c r="R191" s="221" t="s">
        <v>122</v>
      </c>
      <c r="S191" s="145" t="s">
        <v>469</v>
      </c>
      <c r="T191" s="221" t="s">
        <v>164</v>
      </c>
      <c r="U191" s="221" t="s">
        <v>411</v>
      </c>
      <c r="V191" s="221" t="s">
        <v>169</v>
      </c>
      <c r="W191" s="129"/>
      <c r="X191" s="129"/>
      <c r="Y191" s="221"/>
      <c r="Z191" s="221" t="s">
        <v>404</v>
      </c>
      <c r="AB191" s="221"/>
      <c r="AC191" s="226">
        <f t="shared" si="5"/>
        <v>0</v>
      </c>
      <c r="AF191" s="221"/>
      <c r="AG191" s="129"/>
      <c r="AH191" s="64" t="s">
        <v>2294</v>
      </c>
      <c r="AI191" s="129"/>
      <c r="AJ191" s="129"/>
      <c r="AK191" s="129"/>
      <c r="AL191" s="129"/>
      <c r="AM191" s="129"/>
    </row>
    <row r="192" spans="1:39" ht="15" customHeight="1">
      <c r="A192" s="147">
        <v>191</v>
      </c>
      <c r="B192" s="223">
        <v>223418</v>
      </c>
      <c r="C192" s="221" t="s">
        <v>128</v>
      </c>
      <c r="D192" s="222">
        <v>43206</v>
      </c>
      <c r="E192" s="160" t="s">
        <v>2256</v>
      </c>
      <c r="F192" s="222">
        <v>43221</v>
      </c>
      <c r="G192" s="221">
        <v>15</v>
      </c>
      <c r="H192" s="221" t="s">
        <v>133</v>
      </c>
      <c r="I192" s="129"/>
      <c r="J192" s="129" t="s">
        <v>614</v>
      </c>
      <c r="K192" s="319"/>
      <c r="L192" s="221"/>
      <c r="M192" s="221"/>
      <c r="N192" s="227">
        <f t="shared" si="4"/>
        <v>0</v>
      </c>
      <c r="O192" s="226"/>
      <c r="P192" s="224"/>
      <c r="Q192" s="224"/>
      <c r="R192" s="221" t="s">
        <v>122</v>
      </c>
      <c r="S192" s="145" t="s">
        <v>469</v>
      </c>
      <c r="T192" s="221" t="s">
        <v>164</v>
      </c>
      <c r="U192" s="221" t="s">
        <v>2192</v>
      </c>
      <c r="V192" s="221" t="s">
        <v>222</v>
      </c>
      <c r="W192" s="129"/>
      <c r="X192" s="129"/>
      <c r="Y192" s="221"/>
      <c r="Z192" s="221" t="s">
        <v>253</v>
      </c>
      <c r="AB192" s="221"/>
      <c r="AC192" s="226">
        <f t="shared" si="5"/>
        <v>0</v>
      </c>
      <c r="AE192" s="147" t="s">
        <v>217</v>
      </c>
      <c r="AF192" s="147" t="s">
        <v>2353</v>
      </c>
      <c r="AG192" s="129"/>
      <c r="AH192" s="64"/>
      <c r="AI192" s="129"/>
      <c r="AJ192" s="129"/>
      <c r="AK192" s="129"/>
      <c r="AL192" s="129"/>
      <c r="AM192" s="129"/>
    </row>
    <row r="193" spans="1:39" ht="15" customHeight="1">
      <c r="A193" s="147">
        <v>192</v>
      </c>
      <c r="B193" s="223">
        <v>223033</v>
      </c>
      <c r="C193" s="221" t="s">
        <v>1628</v>
      </c>
      <c r="D193" s="222">
        <v>43208</v>
      </c>
      <c r="E193" s="160" t="s">
        <v>2256</v>
      </c>
      <c r="F193" s="436">
        <v>43223</v>
      </c>
      <c r="G193" s="221">
        <v>15</v>
      </c>
      <c r="H193" s="221" t="s">
        <v>133</v>
      </c>
      <c r="I193" s="129"/>
      <c r="J193" s="129" t="s">
        <v>614</v>
      </c>
      <c r="K193" s="319"/>
      <c r="L193" s="221"/>
      <c r="M193" s="221"/>
      <c r="N193" s="227">
        <f t="shared" si="4"/>
        <v>0</v>
      </c>
      <c r="O193" s="226"/>
      <c r="P193" s="224"/>
      <c r="Q193" s="224"/>
      <c r="R193" s="221" t="s">
        <v>134</v>
      </c>
      <c r="S193" s="145" t="s">
        <v>465</v>
      </c>
      <c r="T193" s="221" t="s">
        <v>164</v>
      </c>
      <c r="U193" s="221" t="s">
        <v>2291</v>
      </c>
      <c r="V193" s="221" t="s">
        <v>1116</v>
      </c>
      <c r="W193" s="129"/>
      <c r="X193" s="129"/>
      <c r="Y193" s="221"/>
      <c r="Z193" s="221" t="s">
        <v>404</v>
      </c>
      <c r="AB193" s="221"/>
      <c r="AC193" s="226">
        <f t="shared" si="5"/>
        <v>0</v>
      </c>
      <c r="AE193" s="147" t="s">
        <v>217</v>
      </c>
      <c r="AF193" s="147" t="s">
        <v>2353</v>
      </c>
      <c r="AG193" s="129"/>
      <c r="AH193" s="64"/>
      <c r="AI193" s="129"/>
      <c r="AJ193" s="129"/>
      <c r="AK193" s="129"/>
      <c r="AL193" s="129"/>
      <c r="AM193" s="129"/>
    </row>
    <row r="194" spans="1:39" ht="15" customHeight="1">
      <c r="A194" s="147">
        <v>193</v>
      </c>
      <c r="B194" s="223">
        <v>222595</v>
      </c>
      <c r="C194" s="221" t="s">
        <v>1628</v>
      </c>
      <c r="D194" s="222">
        <v>43208</v>
      </c>
      <c r="E194" s="160" t="s">
        <v>2256</v>
      </c>
      <c r="F194" s="222">
        <v>43216</v>
      </c>
      <c r="G194" s="221">
        <v>8</v>
      </c>
      <c r="H194" s="221" t="s">
        <v>133</v>
      </c>
      <c r="I194" s="129"/>
      <c r="J194" s="129" t="s">
        <v>614</v>
      </c>
      <c r="K194" s="319"/>
      <c r="L194" s="221"/>
      <c r="M194" s="221"/>
      <c r="N194" s="227">
        <f t="shared" ref="N194:N257" si="6">IF(AE194="Reemplazo",0,K194-(K194*0.12*0.5)-(MAX(L194,M194)))</f>
        <v>0</v>
      </c>
      <c r="O194" s="226"/>
      <c r="P194" s="224"/>
      <c r="Q194" s="224"/>
      <c r="R194" s="221" t="s">
        <v>122</v>
      </c>
      <c r="S194" s="145" t="s">
        <v>469</v>
      </c>
      <c r="T194" s="221" t="s">
        <v>114</v>
      </c>
      <c r="U194" s="221" t="s">
        <v>2292</v>
      </c>
      <c r="V194" s="221" t="s">
        <v>2293</v>
      </c>
      <c r="W194" s="129"/>
      <c r="X194" s="129"/>
      <c r="Y194" s="221"/>
      <c r="Z194" s="221" t="s">
        <v>170</v>
      </c>
      <c r="AB194" s="221"/>
      <c r="AC194" s="226">
        <f t="shared" ref="AC194:AC257" si="7">+IF(N194&gt;0,1,0)</f>
        <v>0</v>
      </c>
      <c r="AE194" s="147" t="s">
        <v>217</v>
      </c>
      <c r="AF194" s="147" t="s">
        <v>2353</v>
      </c>
      <c r="AG194" s="129"/>
      <c r="AH194" s="64"/>
      <c r="AI194" s="129"/>
      <c r="AJ194" s="129"/>
      <c r="AK194" s="129"/>
      <c r="AL194" s="129"/>
      <c r="AM194" s="129"/>
    </row>
    <row r="195" spans="1:39" ht="15" customHeight="1">
      <c r="A195" s="147">
        <v>194</v>
      </c>
      <c r="B195" s="223">
        <v>223909</v>
      </c>
      <c r="C195" s="221" t="s">
        <v>128</v>
      </c>
      <c r="D195" s="222">
        <v>43213</v>
      </c>
      <c r="E195" s="160" t="s">
        <v>2256</v>
      </c>
      <c r="F195" s="222">
        <v>43228</v>
      </c>
      <c r="G195" s="221">
        <v>15</v>
      </c>
      <c r="H195" s="221" t="s">
        <v>363</v>
      </c>
      <c r="I195" s="129"/>
      <c r="J195" s="129" t="s">
        <v>614</v>
      </c>
      <c r="K195" s="319"/>
      <c r="L195" s="221"/>
      <c r="M195" s="221"/>
      <c r="N195" s="227">
        <f t="shared" si="6"/>
        <v>0</v>
      </c>
      <c r="O195" s="226"/>
      <c r="P195" s="224"/>
      <c r="Q195" s="224"/>
      <c r="R195" s="221" t="s">
        <v>143</v>
      </c>
      <c r="S195" s="145" t="s">
        <v>465</v>
      </c>
      <c r="T195" s="221" t="s">
        <v>114</v>
      </c>
      <c r="U195" s="221" t="s">
        <v>2295</v>
      </c>
      <c r="V195" s="221" t="s">
        <v>2296</v>
      </c>
      <c r="W195" s="129"/>
      <c r="X195" s="129"/>
      <c r="Y195" s="221"/>
      <c r="Z195" s="221" t="s">
        <v>367</v>
      </c>
      <c r="AB195" s="221"/>
      <c r="AC195" s="226">
        <f t="shared" si="7"/>
        <v>0</v>
      </c>
      <c r="AF195" s="221"/>
      <c r="AG195" s="129"/>
      <c r="AH195" s="64" t="s">
        <v>2297</v>
      </c>
      <c r="AI195" s="129"/>
      <c r="AJ195" s="129"/>
      <c r="AK195" s="129"/>
      <c r="AL195" s="129"/>
      <c r="AM195" s="129"/>
    </row>
    <row r="196" spans="1:39" ht="15" customHeight="1">
      <c r="A196" s="147">
        <v>195</v>
      </c>
      <c r="B196" s="223">
        <v>223456</v>
      </c>
      <c r="C196" s="221" t="s">
        <v>1628</v>
      </c>
      <c r="D196" s="222">
        <v>43216</v>
      </c>
      <c r="E196" s="160" t="s">
        <v>2256</v>
      </c>
      <c r="F196" s="222">
        <v>43218</v>
      </c>
      <c r="G196" s="221">
        <v>2</v>
      </c>
      <c r="H196" s="221" t="s">
        <v>133</v>
      </c>
      <c r="I196" s="129"/>
      <c r="J196" s="129" t="s">
        <v>614</v>
      </c>
      <c r="K196" s="319">
        <v>1499</v>
      </c>
      <c r="L196" s="221">
        <v>107</v>
      </c>
      <c r="M196" s="221">
        <v>208</v>
      </c>
      <c r="N196" s="227">
        <f t="shared" si="6"/>
        <v>1201.06</v>
      </c>
      <c r="O196" s="226"/>
      <c r="P196" s="224"/>
      <c r="Q196" s="224"/>
      <c r="R196" s="221" t="s">
        <v>134</v>
      </c>
      <c r="S196" s="145" t="s">
        <v>465</v>
      </c>
      <c r="T196" s="221" t="s">
        <v>164</v>
      </c>
      <c r="U196" s="221" t="s">
        <v>2298</v>
      </c>
      <c r="V196" s="221" t="s">
        <v>1360</v>
      </c>
      <c r="W196" s="129"/>
      <c r="X196" s="129"/>
      <c r="Y196" s="221" t="s">
        <v>1942</v>
      </c>
      <c r="Z196" s="221" t="s">
        <v>1228</v>
      </c>
      <c r="AA196" s="222">
        <v>43216</v>
      </c>
      <c r="AB196" s="221" t="s">
        <v>195</v>
      </c>
      <c r="AC196" s="226">
        <f t="shared" si="7"/>
        <v>1</v>
      </c>
      <c r="AD196" s="147" t="s">
        <v>217</v>
      </c>
      <c r="AE196" s="147" t="s">
        <v>218</v>
      </c>
      <c r="AF196" s="221"/>
      <c r="AG196" s="129"/>
      <c r="AH196" s="64"/>
      <c r="AI196" s="129"/>
      <c r="AJ196" s="129"/>
      <c r="AK196" s="129"/>
      <c r="AL196" s="129"/>
      <c r="AM196" s="129"/>
    </row>
    <row r="197" spans="1:39" ht="15" customHeight="1">
      <c r="A197" s="147">
        <v>196</v>
      </c>
      <c r="B197" s="223">
        <v>223756</v>
      </c>
      <c r="C197" s="221" t="s">
        <v>1130</v>
      </c>
      <c r="D197" s="222">
        <v>43216</v>
      </c>
      <c r="E197" s="160" t="s">
        <v>2256</v>
      </c>
      <c r="F197" s="222">
        <v>43225</v>
      </c>
      <c r="G197" s="221">
        <v>9</v>
      </c>
      <c r="H197" s="221" t="s">
        <v>133</v>
      </c>
      <c r="I197" s="129"/>
      <c r="J197" s="129" t="s">
        <v>614</v>
      </c>
      <c r="K197" s="319">
        <v>699</v>
      </c>
      <c r="L197" s="221">
        <v>170</v>
      </c>
      <c r="M197" s="221">
        <v>180</v>
      </c>
      <c r="N197" s="227">
        <f t="shared" si="6"/>
        <v>0</v>
      </c>
      <c r="O197" s="226"/>
      <c r="P197" s="224"/>
      <c r="Q197" s="224"/>
      <c r="R197" s="221" t="s">
        <v>143</v>
      </c>
      <c r="S197" s="145" t="s">
        <v>465</v>
      </c>
      <c r="T197" s="221" t="s">
        <v>88</v>
      </c>
      <c r="U197" s="221" t="s">
        <v>548</v>
      </c>
      <c r="V197" s="221" t="s">
        <v>432</v>
      </c>
      <c r="W197" s="129"/>
      <c r="X197" s="129"/>
      <c r="Y197" s="221" t="s">
        <v>316</v>
      </c>
      <c r="Z197" s="221" t="s">
        <v>189</v>
      </c>
      <c r="AA197" s="222">
        <v>43220</v>
      </c>
      <c r="AB197" s="221" t="s">
        <v>872</v>
      </c>
      <c r="AC197" s="226">
        <f t="shared" si="7"/>
        <v>0</v>
      </c>
      <c r="AE197" s="147" t="s">
        <v>217</v>
      </c>
      <c r="AF197" s="147" t="s">
        <v>2353</v>
      </c>
      <c r="AG197" s="129"/>
      <c r="AH197" s="64"/>
      <c r="AI197" s="129"/>
      <c r="AJ197" s="129"/>
      <c r="AK197" s="129"/>
      <c r="AL197" s="129"/>
      <c r="AM197" s="129"/>
    </row>
    <row r="198" spans="1:39" ht="15" customHeight="1">
      <c r="A198" s="147">
        <v>197</v>
      </c>
      <c r="B198" s="223">
        <v>224084</v>
      </c>
      <c r="C198" s="221" t="s">
        <v>1130</v>
      </c>
      <c r="D198" s="222">
        <v>43216</v>
      </c>
      <c r="E198" s="160" t="s">
        <v>2256</v>
      </c>
      <c r="F198" s="222">
        <v>43225</v>
      </c>
      <c r="G198" s="221">
        <v>9</v>
      </c>
      <c r="H198" s="221" t="s">
        <v>133</v>
      </c>
      <c r="I198" s="129"/>
      <c r="J198" s="129" t="s">
        <v>614</v>
      </c>
      <c r="K198" s="319"/>
      <c r="L198" s="221"/>
      <c r="M198" s="221"/>
      <c r="N198" s="227">
        <f t="shared" si="6"/>
        <v>0</v>
      </c>
      <c r="O198" s="226"/>
      <c r="P198" s="224"/>
      <c r="Q198" s="224"/>
      <c r="R198" s="221" t="s">
        <v>134</v>
      </c>
      <c r="S198" s="145" t="s">
        <v>465</v>
      </c>
      <c r="T198" s="221" t="s">
        <v>114</v>
      </c>
      <c r="U198" s="221" t="s">
        <v>2299</v>
      </c>
      <c r="V198" s="221" t="s">
        <v>1116</v>
      </c>
      <c r="W198" s="129"/>
      <c r="X198" s="129"/>
      <c r="Y198" s="221"/>
      <c r="Z198" s="221" t="s">
        <v>170</v>
      </c>
      <c r="AB198" s="221"/>
      <c r="AC198" s="226">
        <f t="shared" si="7"/>
        <v>0</v>
      </c>
      <c r="AE198" s="147" t="s">
        <v>217</v>
      </c>
      <c r="AF198" s="147" t="s">
        <v>2353</v>
      </c>
      <c r="AG198" s="129"/>
      <c r="AH198" s="64"/>
      <c r="AI198" s="129"/>
      <c r="AJ198" s="129"/>
      <c r="AK198" s="129"/>
      <c r="AL198" s="129"/>
      <c r="AM198" s="129"/>
    </row>
    <row r="199" spans="1:39" ht="15" customHeight="1">
      <c r="A199" s="147">
        <v>198</v>
      </c>
      <c r="B199" s="223">
        <v>224411</v>
      </c>
      <c r="C199" s="221" t="s">
        <v>1628</v>
      </c>
      <c r="D199" s="222">
        <v>43217</v>
      </c>
      <c r="E199" s="160" t="s">
        <v>2256</v>
      </c>
      <c r="F199" s="222">
        <v>43232</v>
      </c>
      <c r="G199" s="221">
        <v>15</v>
      </c>
      <c r="H199" s="221" t="s">
        <v>133</v>
      </c>
      <c r="I199" s="129"/>
      <c r="J199" s="129" t="s">
        <v>614</v>
      </c>
      <c r="K199" s="319"/>
      <c r="L199" s="221"/>
      <c r="M199" s="221"/>
      <c r="N199" s="227">
        <f t="shared" si="6"/>
        <v>0</v>
      </c>
      <c r="O199" s="226"/>
      <c r="P199" s="224"/>
      <c r="Q199" s="224"/>
      <c r="R199" s="221" t="s">
        <v>122</v>
      </c>
      <c r="S199" s="145" t="s">
        <v>469</v>
      </c>
      <c r="T199" s="221" t="s">
        <v>114</v>
      </c>
      <c r="U199" s="221" t="s">
        <v>2300</v>
      </c>
      <c r="V199" s="221" t="s">
        <v>222</v>
      </c>
      <c r="W199" s="129"/>
      <c r="X199" s="129"/>
      <c r="Y199" s="221"/>
      <c r="Z199" s="221" t="s">
        <v>235</v>
      </c>
      <c r="AB199" s="221"/>
      <c r="AC199" s="226">
        <f t="shared" si="7"/>
        <v>0</v>
      </c>
      <c r="AE199" s="147" t="s">
        <v>217</v>
      </c>
      <c r="AF199" s="147" t="s">
        <v>2353</v>
      </c>
      <c r="AG199" s="129"/>
      <c r="AH199" s="64"/>
      <c r="AI199" s="129"/>
      <c r="AJ199" s="129"/>
      <c r="AK199" s="129"/>
      <c r="AL199" s="129"/>
      <c r="AM199" s="129"/>
    </row>
    <row r="200" spans="1:39" ht="15" customHeight="1">
      <c r="A200" s="147">
        <v>199</v>
      </c>
      <c r="B200" s="223">
        <v>224154</v>
      </c>
      <c r="C200" s="221" t="s">
        <v>1628</v>
      </c>
      <c r="D200" s="222">
        <v>43220</v>
      </c>
      <c r="E200" s="160" t="s">
        <v>2256</v>
      </c>
      <c r="F200" s="222">
        <v>43233</v>
      </c>
      <c r="G200" s="221">
        <v>13</v>
      </c>
      <c r="H200" s="221" t="s">
        <v>133</v>
      </c>
      <c r="I200" s="129"/>
      <c r="J200" s="129" t="s">
        <v>614</v>
      </c>
      <c r="K200" s="319"/>
      <c r="L200" s="221"/>
      <c r="M200" s="221"/>
      <c r="N200" s="227">
        <f t="shared" si="6"/>
        <v>0</v>
      </c>
      <c r="O200" s="226"/>
      <c r="P200" s="224"/>
      <c r="Q200" s="224"/>
      <c r="R200" s="221" t="s">
        <v>143</v>
      </c>
      <c r="S200" s="145" t="s">
        <v>465</v>
      </c>
      <c r="T200" s="221" t="s">
        <v>164</v>
      </c>
      <c r="U200" s="221" t="s">
        <v>2301</v>
      </c>
      <c r="V200" s="221" t="s">
        <v>90</v>
      </c>
      <c r="W200" s="129"/>
      <c r="X200" s="129"/>
      <c r="Y200" s="221"/>
      <c r="Z200" s="221" t="s">
        <v>2302</v>
      </c>
      <c r="AB200" s="221"/>
      <c r="AC200" s="226">
        <f t="shared" si="7"/>
        <v>0</v>
      </c>
      <c r="AE200" s="147" t="s">
        <v>217</v>
      </c>
      <c r="AF200" s="147" t="s">
        <v>2353</v>
      </c>
      <c r="AG200" s="129"/>
      <c r="AH200" s="64"/>
      <c r="AI200" s="129"/>
      <c r="AJ200" s="129"/>
      <c r="AK200" s="129"/>
      <c r="AL200" s="129"/>
      <c r="AM200" s="129"/>
    </row>
    <row r="201" spans="1:39" ht="15" customHeight="1">
      <c r="A201" s="147">
        <v>200</v>
      </c>
      <c r="B201" s="223">
        <v>224526</v>
      </c>
      <c r="C201" s="221" t="s">
        <v>1628</v>
      </c>
      <c r="D201" s="222">
        <v>43222</v>
      </c>
      <c r="E201" s="160" t="s">
        <v>2304</v>
      </c>
      <c r="F201" s="222">
        <v>43234</v>
      </c>
      <c r="G201" s="221">
        <v>12</v>
      </c>
      <c r="H201" s="221" t="s">
        <v>133</v>
      </c>
      <c r="I201" s="129"/>
      <c r="J201" s="129" t="s">
        <v>614</v>
      </c>
      <c r="K201" s="319">
        <v>1599</v>
      </c>
      <c r="L201" s="221">
        <v>445</v>
      </c>
      <c r="M201" s="221">
        <v>302</v>
      </c>
      <c r="N201" s="227">
        <f t="shared" si="6"/>
        <v>1058.06</v>
      </c>
      <c r="O201" s="226"/>
      <c r="P201" s="224"/>
      <c r="Q201" s="224"/>
      <c r="R201" s="221" t="s">
        <v>134</v>
      </c>
      <c r="S201" s="145" t="s">
        <v>465</v>
      </c>
      <c r="T201" s="221" t="s">
        <v>164</v>
      </c>
      <c r="U201" s="221" t="s">
        <v>1004</v>
      </c>
      <c r="V201" s="221" t="s">
        <v>90</v>
      </c>
      <c r="W201" s="129"/>
      <c r="X201" s="129"/>
      <c r="Y201" s="221" t="s">
        <v>1942</v>
      </c>
      <c r="Z201" s="221" t="s">
        <v>292</v>
      </c>
      <c r="AA201" s="222">
        <v>43223</v>
      </c>
      <c r="AB201" s="221" t="s">
        <v>140</v>
      </c>
      <c r="AC201" s="226">
        <f t="shared" si="7"/>
        <v>1</v>
      </c>
      <c r="AD201" s="147" t="s">
        <v>217</v>
      </c>
      <c r="AE201" s="147" t="s">
        <v>218</v>
      </c>
      <c r="AF201" s="221"/>
      <c r="AG201" s="129"/>
      <c r="AH201" s="64"/>
      <c r="AI201" s="129"/>
      <c r="AJ201" s="129"/>
      <c r="AK201" s="129"/>
      <c r="AL201" s="129"/>
      <c r="AM201" s="129"/>
    </row>
    <row r="202" spans="1:39" ht="15" customHeight="1">
      <c r="A202" s="147">
        <v>201</v>
      </c>
      <c r="B202" s="223">
        <v>224222</v>
      </c>
      <c r="C202" s="221" t="s">
        <v>1130</v>
      </c>
      <c r="D202" s="222">
        <v>43222</v>
      </c>
      <c r="E202" s="160" t="s">
        <v>2304</v>
      </c>
      <c r="F202" s="222">
        <v>43229</v>
      </c>
      <c r="G202" s="221">
        <v>7</v>
      </c>
      <c r="H202" s="221" t="s">
        <v>133</v>
      </c>
      <c r="I202" s="129"/>
      <c r="J202" s="129" t="s">
        <v>614</v>
      </c>
      <c r="K202" s="319">
        <v>1299</v>
      </c>
      <c r="L202" s="221">
        <v>315</v>
      </c>
      <c r="M202" s="221">
        <v>130</v>
      </c>
      <c r="N202" s="227">
        <f t="shared" si="6"/>
        <v>0</v>
      </c>
      <c r="O202" s="226"/>
      <c r="P202" s="224"/>
      <c r="Q202" s="224"/>
      <c r="R202" s="221" t="s">
        <v>143</v>
      </c>
      <c r="S202" s="145" t="s">
        <v>465</v>
      </c>
      <c r="T202" s="221" t="s">
        <v>164</v>
      </c>
      <c r="U202" s="221" t="s">
        <v>355</v>
      </c>
      <c r="V202" s="221" t="s">
        <v>2303</v>
      </c>
      <c r="W202" s="129"/>
      <c r="X202" s="129"/>
      <c r="Y202" s="221" t="s">
        <v>1942</v>
      </c>
      <c r="Z202" s="221" t="s">
        <v>379</v>
      </c>
      <c r="AA202" s="222">
        <v>43228</v>
      </c>
      <c r="AB202" s="221" t="s">
        <v>140</v>
      </c>
      <c r="AC202" s="226">
        <f t="shared" si="7"/>
        <v>0</v>
      </c>
      <c r="AE202" s="147" t="s">
        <v>217</v>
      </c>
      <c r="AF202" s="147" t="s">
        <v>2353</v>
      </c>
      <c r="AG202" s="129"/>
      <c r="AH202" s="64" t="s">
        <v>2322</v>
      </c>
      <c r="AI202" s="129"/>
      <c r="AJ202" s="129"/>
      <c r="AK202" s="129"/>
      <c r="AL202" s="129"/>
      <c r="AM202" s="129"/>
    </row>
    <row r="203" spans="1:39" ht="15" customHeight="1">
      <c r="A203" s="147">
        <v>202</v>
      </c>
      <c r="B203" s="223">
        <v>224493</v>
      </c>
      <c r="C203" s="221" t="s">
        <v>1130</v>
      </c>
      <c r="D203" s="222">
        <v>43222</v>
      </c>
      <c r="E203" s="160" t="s">
        <v>2304</v>
      </c>
      <c r="F203" s="222">
        <v>43232</v>
      </c>
      <c r="G203" s="221">
        <v>10</v>
      </c>
      <c r="H203" s="221" t="s">
        <v>133</v>
      </c>
      <c r="I203" s="129"/>
      <c r="J203" s="129" t="s">
        <v>614</v>
      </c>
      <c r="K203" s="319"/>
      <c r="L203" s="221"/>
      <c r="M203" s="221"/>
      <c r="N203" s="227">
        <f t="shared" si="6"/>
        <v>0</v>
      </c>
      <c r="O203" s="226"/>
      <c r="P203" s="224"/>
      <c r="Q203" s="224"/>
      <c r="R203" s="221" t="s">
        <v>143</v>
      </c>
      <c r="S203" s="145" t="s">
        <v>465</v>
      </c>
      <c r="T203" s="221" t="s">
        <v>88</v>
      </c>
      <c r="U203" s="221" t="s">
        <v>408</v>
      </c>
      <c r="V203" s="221" t="s">
        <v>90</v>
      </c>
      <c r="W203" s="129"/>
      <c r="X203" s="129"/>
      <c r="Y203" s="221"/>
      <c r="Z203" s="221" t="s">
        <v>1228</v>
      </c>
      <c r="AB203" s="221"/>
      <c r="AC203" s="226">
        <f t="shared" si="7"/>
        <v>0</v>
      </c>
      <c r="AE203" s="147" t="s">
        <v>217</v>
      </c>
      <c r="AF203" s="147" t="s">
        <v>2353</v>
      </c>
      <c r="AG203" s="129"/>
      <c r="AH203" s="64"/>
      <c r="AI203" s="129"/>
      <c r="AJ203" s="129"/>
      <c r="AK203" s="129"/>
      <c r="AL203" s="129"/>
      <c r="AM203" s="129"/>
    </row>
    <row r="204" spans="1:39" s="315" customFormat="1" ht="15" customHeight="1">
      <c r="A204" s="147">
        <v>203</v>
      </c>
      <c r="B204" s="223">
        <v>224396</v>
      </c>
      <c r="C204" s="221" t="s">
        <v>1130</v>
      </c>
      <c r="D204" s="222">
        <v>43223</v>
      </c>
      <c r="E204" s="160" t="s">
        <v>2304</v>
      </c>
      <c r="F204" s="222">
        <v>43235</v>
      </c>
      <c r="G204" s="221">
        <f t="shared" ref="G204:G235" si="8">F204-D204</f>
        <v>12</v>
      </c>
      <c r="H204" s="221" t="s">
        <v>133</v>
      </c>
      <c r="I204" s="129"/>
      <c r="J204" s="129" t="s">
        <v>614</v>
      </c>
      <c r="K204" s="319"/>
      <c r="L204" s="221"/>
      <c r="M204" s="221"/>
      <c r="N204" s="227">
        <f t="shared" si="6"/>
        <v>0</v>
      </c>
      <c r="O204" s="226"/>
      <c r="P204" s="224"/>
      <c r="Q204" s="224"/>
      <c r="R204" s="221" t="s">
        <v>122</v>
      </c>
      <c r="S204" s="145" t="s">
        <v>469</v>
      </c>
      <c r="T204" s="221" t="s">
        <v>114</v>
      </c>
      <c r="U204" s="221" t="s">
        <v>887</v>
      </c>
      <c r="V204" s="221" t="s">
        <v>222</v>
      </c>
      <c r="W204" s="129"/>
      <c r="X204" s="129"/>
      <c r="Y204" s="221"/>
      <c r="Z204" s="221" t="s">
        <v>170</v>
      </c>
      <c r="AA204" s="222"/>
      <c r="AB204" s="221"/>
      <c r="AC204" s="226">
        <f t="shared" si="7"/>
        <v>0</v>
      </c>
      <c r="AD204" s="147"/>
      <c r="AE204" s="147" t="s">
        <v>217</v>
      </c>
      <c r="AF204" s="147" t="s">
        <v>2353</v>
      </c>
      <c r="AG204" s="129"/>
      <c r="AH204" s="64"/>
      <c r="AI204" s="129"/>
      <c r="AJ204" s="129"/>
      <c r="AK204" s="129"/>
      <c r="AL204" s="129"/>
      <c r="AM204" s="129"/>
    </row>
    <row r="205" spans="1:39" s="315" customFormat="1" ht="15" customHeight="1">
      <c r="A205" s="147">
        <v>204</v>
      </c>
      <c r="B205" s="223">
        <v>224469</v>
      </c>
      <c r="C205" s="221" t="s">
        <v>1130</v>
      </c>
      <c r="D205" s="222">
        <v>43223</v>
      </c>
      <c r="E205" s="160" t="s">
        <v>2304</v>
      </c>
      <c r="F205" s="222">
        <v>43233</v>
      </c>
      <c r="G205" s="221">
        <f t="shared" si="8"/>
        <v>10</v>
      </c>
      <c r="H205" s="221" t="s">
        <v>133</v>
      </c>
      <c r="I205" s="129"/>
      <c r="J205" s="129" t="s">
        <v>614</v>
      </c>
      <c r="K205" s="319"/>
      <c r="L205" s="221"/>
      <c r="M205" s="221"/>
      <c r="N205" s="227">
        <f t="shared" si="6"/>
        <v>0</v>
      </c>
      <c r="O205" s="226"/>
      <c r="P205" s="224"/>
      <c r="Q205" s="224"/>
      <c r="R205" s="221" t="s">
        <v>122</v>
      </c>
      <c r="S205" s="145" t="s">
        <v>469</v>
      </c>
      <c r="T205" s="221" t="s">
        <v>114</v>
      </c>
      <c r="U205" s="221" t="s">
        <v>2311</v>
      </c>
      <c r="V205" s="221" t="s">
        <v>222</v>
      </c>
      <c r="W205" s="129"/>
      <c r="X205" s="129"/>
      <c r="Y205" s="221"/>
      <c r="Z205" s="221" t="s">
        <v>170</v>
      </c>
      <c r="AA205" s="222"/>
      <c r="AB205" s="221"/>
      <c r="AC205" s="226">
        <f t="shared" si="7"/>
        <v>0</v>
      </c>
      <c r="AD205" s="147"/>
      <c r="AE205" s="147" t="s">
        <v>217</v>
      </c>
      <c r="AF205" s="147" t="s">
        <v>2353</v>
      </c>
      <c r="AG205" s="129"/>
      <c r="AH205" s="64"/>
      <c r="AI205" s="129"/>
      <c r="AJ205" s="129"/>
      <c r="AK205" s="129"/>
      <c r="AL205" s="129"/>
      <c r="AM205" s="129"/>
    </row>
    <row r="206" spans="1:39" s="315" customFormat="1" ht="15" customHeight="1">
      <c r="A206" s="147">
        <v>205</v>
      </c>
      <c r="B206" s="223">
        <v>224385</v>
      </c>
      <c r="C206" s="221" t="s">
        <v>1130</v>
      </c>
      <c r="D206" s="222">
        <v>43223</v>
      </c>
      <c r="E206" s="160" t="s">
        <v>2304</v>
      </c>
      <c r="F206" s="222">
        <v>43236</v>
      </c>
      <c r="G206" s="221">
        <f t="shared" si="8"/>
        <v>13</v>
      </c>
      <c r="H206" s="221" t="s">
        <v>133</v>
      </c>
      <c r="I206" s="129"/>
      <c r="J206" s="129" t="s">
        <v>614</v>
      </c>
      <c r="K206" s="319"/>
      <c r="L206" s="221"/>
      <c r="M206" s="221"/>
      <c r="N206" s="227">
        <f t="shared" si="6"/>
        <v>0</v>
      </c>
      <c r="O206" s="226"/>
      <c r="P206" s="224"/>
      <c r="Q206" s="224"/>
      <c r="R206" s="221" t="s">
        <v>122</v>
      </c>
      <c r="S206" s="145" t="s">
        <v>469</v>
      </c>
      <c r="T206" s="221" t="s">
        <v>114</v>
      </c>
      <c r="U206" s="221" t="s">
        <v>2311</v>
      </c>
      <c r="V206" s="221" t="s">
        <v>222</v>
      </c>
      <c r="W206" s="129"/>
      <c r="X206" s="129"/>
      <c r="Y206" s="221"/>
      <c r="Z206" s="221" t="s">
        <v>170</v>
      </c>
      <c r="AA206" s="222"/>
      <c r="AB206" s="221"/>
      <c r="AC206" s="226">
        <f t="shared" si="7"/>
        <v>0</v>
      </c>
      <c r="AD206" s="147"/>
      <c r="AE206" s="147" t="s">
        <v>217</v>
      </c>
      <c r="AF206" s="147" t="s">
        <v>2353</v>
      </c>
      <c r="AG206" s="129"/>
      <c r="AH206" s="64"/>
      <c r="AI206" s="129"/>
      <c r="AJ206" s="129"/>
      <c r="AK206" s="129"/>
      <c r="AL206" s="129"/>
      <c r="AM206" s="129"/>
    </row>
    <row r="207" spans="1:39" s="315" customFormat="1" ht="15" customHeight="1">
      <c r="A207" s="147">
        <v>206</v>
      </c>
      <c r="B207" s="223">
        <v>224966</v>
      </c>
      <c r="C207" s="221" t="s">
        <v>1130</v>
      </c>
      <c r="D207" s="222">
        <v>43227</v>
      </c>
      <c r="E207" s="160" t="s">
        <v>2304</v>
      </c>
      <c r="F207" s="222">
        <v>43234</v>
      </c>
      <c r="G207" s="221">
        <f t="shared" si="8"/>
        <v>7</v>
      </c>
      <c r="H207" s="221" t="s">
        <v>363</v>
      </c>
      <c r="I207" s="129"/>
      <c r="J207" s="129" t="s">
        <v>614</v>
      </c>
      <c r="K207" s="319"/>
      <c r="L207" s="221"/>
      <c r="M207" s="221"/>
      <c r="N207" s="227">
        <f t="shared" si="6"/>
        <v>0</v>
      </c>
      <c r="O207" s="226"/>
      <c r="P207" s="224"/>
      <c r="Q207" s="224"/>
      <c r="R207" s="221" t="s">
        <v>752</v>
      </c>
      <c r="S207" s="145" t="s">
        <v>466</v>
      </c>
      <c r="T207" s="221" t="s">
        <v>405</v>
      </c>
      <c r="U207" s="221" t="s">
        <v>2314</v>
      </c>
      <c r="V207" s="221" t="s">
        <v>2317</v>
      </c>
      <c r="W207" s="129"/>
      <c r="X207" s="129"/>
      <c r="Y207" s="221"/>
      <c r="Z207" s="221" t="s">
        <v>2320</v>
      </c>
      <c r="AA207" s="222"/>
      <c r="AB207" s="221"/>
      <c r="AC207" s="226">
        <f t="shared" si="7"/>
        <v>0</v>
      </c>
      <c r="AD207" s="147"/>
      <c r="AE207" s="147"/>
      <c r="AF207" s="221"/>
      <c r="AG207" s="129"/>
      <c r="AH207" s="64" t="s">
        <v>2321</v>
      </c>
      <c r="AI207" s="129"/>
      <c r="AJ207" s="129"/>
      <c r="AK207" s="129"/>
      <c r="AL207" s="129"/>
      <c r="AM207" s="129"/>
    </row>
    <row r="208" spans="1:39" s="315" customFormat="1" ht="15" customHeight="1">
      <c r="A208" s="147">
        <v>207</v>
      </c>
      <c r="B208" s="223">
        <v>224539</v>
      </c>
      <c r="C208" s="221" t="s">
        <v>1130</v>
      </c>
      <c r="D208" s="222">
        <v>43227</v>
      </c>
      <c r="E208" s="160" t="s">
        <v>2304</v>
      </c>
      <c r="F208" s="222">
        <v>43238</v>
      </c>
      <c r="G208" s="221">
        <f t="shared" si="8"/>
        <v>11</v>
      </c>
      <c r="H208" s="221" t="s">
        <v>133</v>
      </c>
      <c r="I208" s="129"/>
      <c r="J208" s="129" t="s">
        <v>614</v>
      </c>
      <c r="K208" s="319"/>
      <c r="L208" s="221"/>
      <c r="M208" s="221"/>
      <c r="N208" s="227">
        <f t="shared" si="6"/>
        <v>0</v>
      </c>
      <c r="O208" s="226"/>
      <c r="P208" s="224"/>
      <c r="Q208" s="224"/>
      <c r="R208" s="221" t="s">
        <v>2312</v>
      </c>
      <c r="S208" s="145" t="s">
        <v>466</v>
      </c>
      <c r="T208" s="221" t="s">
        <v>2313</v>
      </c>
      <c r="U208" s="221" t="s">
        <v>2315</v>
      </c>
      <c r="V208" s="221" t="s">
        <v>2318</v>
      </c>
      <c r="W208" s="129"/>
      <c r="X208" s="129"/>
      <c r="Y208" s="221"/>
      <c r="Z208" s="221" t="s">
        <v>2320</v>
      </c>
      <c r="AA208" s="222"/>
      <c r="AB208" s="221"/>
      <c r="AC208" s="226">
        <f t="shared" si="7"/>
        <v>0</v>
      </c>
      <c r="AD208" s="147"/>
      <c r="AE208" s="147" t="s">
        <v>217</v>
      </c>
      <c r="AF208" s="147" t="s">
        <v>2353</v>
      </c>
      <c r="AG208" s="129"/>
      <c r="AH208" s="64"/>
      <c r="AI208" s="129"/>
      <c r="AJ208" s="129"/>
      <c r="AK208" s="129"/>
      <c r="AL208" s="129"/>
      <c r="AM208" s="129"/>
    </row>
    <row r="209" spans="1:39" s="315" customFormat="1" ht="15" customHeight="1">
      <c r="A209" s="147">
        <v>208</v>
      </c>
      <c r="B209" s="223">
        <v>224685</v>
      </c>
      <c r="C209" s="221" t="s">
        <v>1130</v>
      </c>
      <c r="D209" s="222">
        <v>43227</v>
      </c>
      <c r="E209" s="160" t="s">
        <v>2304</v>
      </c>
      <c r="F209" s="222">
        <v>43243</v>
      </c>
      <c r="G209" s="221">
        <f t="shared" si="8"/>
        <v>16</v>
      </c>
      <c r="H209" s="221" t="s">
        <v>133</v>
      </c>
      <c r="I209" s="129"/>
      <c r="J209" s="129" t="s">
        <v>614</v>
      </c>
      <c r="K209" s="319"/>
      <c r="L209" s="221"/>
      <c r="M209" s="221"/>
      <c r="N209" s="227">
        <f t="shared" si="6"/>
        <v>0</v>
      </c>
      <c r="O209" s="226"/>
      <c r="P209" s="221"/>
      <c r="Q209" s="221"/>
      <c r="R209" s="221" t="s">
        <v>752</v>
      </c>
      <c r="S209" s="145" t="s">
        <v>466</v>
      </c>
      <c r="T209" s="221" t="s">
        <v>164</v>
      </c>
      <c r="U209" s="221" t="s">
        <v>2316</v>
      </c>
      <c r="V209" s="221" t="s">
        <v>2319</v>
      </c>
      <c r="W209" s="221"/>
      <c r="X209" s="221"/>
      <c r="Y209" s="221"/>
      <c r="Z209" s="221" t="s">
        <v>2320</v>
      </c>
      <c r="AA209" s="222"/>
      <c r="AB209" s="221"/>
      <c r="AC209" s="226">
        <f t="shared" si="7"/>
        <v>0</v>
      </c>
      <c r="AD209" s="147"/>
      <c r="AE209" s="147" t="s">
        <v>217</v>
      </c>
      <c r="AF209" s="147" t="s">
        <v>2353</v>
      </c>
      <c r="AG209" s="129"/>
      <c r="AH209" s="64"/>
      <c r="AI209" s="129"/>
      <c r="AJ209" s="129"/>
      <c r="AK209" s="129"/>
      <c r="AL209" s="129"/>
      <c r="AM209" s="129"/>
    </row>
    <row r="210" spans="1:39" s="315" customFormat="1" ht="15" customHeight="1">
      <c r="A210" s="147">
        <v>209</v>
      </c>
      <c r="B210" s="223">
        <v>225290</v>
      </c>
      <c r="C210" s="221" t="s">
        <v>128</v>
      </c>
      <c r="D210" s="222">
        <v>43229</v>
      </c>
      <c r="E210" s="160" t="s">
        <v>2304</v>
      </c>
      <c r="F210" s="222">
        <v>43247</v>
      </c>
      <c r="G210" s="221">
        <f t="shared" si="8"/>
        <v>18</v>
      </c>
      <c r="H210" s="221" t="s">
        <v>133</v>
      </c>
      <c r="I210" s="129"/>
      <c r="J210" s="129" t="s">
        <v>614</v>
      </c>
      <c r="K210" s="319"/>
      <c r="L210" s="221"/>
      <c r="M210" s="221"/>
      <c r="N210" s="227">
        <f t="shared" si="6"/>
        <v>0</v>
      </c>
      <c r="O210" s="226"/>
      <c r="P210" s="221" t="s">
        <v>263</v>
      </c>
      <c r="Q210" s="221" t="s">
        <v>1341</v>
      </c>
      <c r="R210" s="221" t="s">
        <v>237</v>
      </c>
      <c r="S210" s="145" t="s">
        <v>465</v>
      </c>
      <c r="T210" s="221" t="s">
        <v>1011</v>
      </c>
      <c r="U210" s="221" t="s">
        <v>1620</v>
      </c>
      <c r="V210" s="221" t="s">
        <v>2323</v>
      </c>
      <c r="W210" s="221"/>
      <c r="X210" s="221"/>
      <c r="Y210" s="221"/>
      <c r="Z210" s="221" t="s">
        <v>780</v>
      </c>
      <c r="AA210" s="222"/>
      <c r="AB210" s="221"/>
      <c r="AC210" s="226">
        <f t="shared" si="7"/>
        <v>0</v>
      </c>
      <c r="AD210" s="147"/>
      <c r="AE210" s="147" t="s">
        <v>217</v>
      </c>
      <c r="AF210" s="147" t="s">
        <v>2353</v>
      </c>
      <c r="AG210" s="129"/>
      <c r="AH210" s="64"/>
      <c r="AI210" s="129"/>
      <c r="AJ210" s="129"/>
      <c r="AK210" s="129"/>
      <c r="AL210" s="129"/>
      <c r="AM210" s="129"/>
    </row>
    <row r="211" spans="1:39" s="315" customFormat="1" ht="15" customHeight="1">
      <c r="A211" s="147">
        <v>210</v>
      </c>
      <c r="B211" s="223">
        <v>224643</v>
      </c>
      <c r="C211" s="221" t="s">
        <v>1130</v>
      </c>
      <c r="D211" s="222">
        <v>43234</v>
      </c>
      <c r="E211" s="160" t="s">
        <v>2304</v>
      </c>
      <c r="F211" s="222">
        <v>43245</v>
      </c>
      <c r="G211" s="221">
        <f t="shared" si="8"/>
        <v>11</v>
      </c>
      <c r="H211" s="221" t="s">
        <v>133</v>
      </c>
      <c r="I211" s="129"/>
      <c r="J211" s="129" t="s">
        <v>614</v>
      </c>
      <c r="K211" s="319"/>
      <c r="L211" s="221"/>
      <c r="M211" s="221"/>
      <c r="N211" s="227">
        <f t="shared" si="6"/>
        <v>0</v>
      </c>
      <c r="O211" s="226"/>
      <c r="P211" s="221" t="s">
        <v>264</v>
      </c>
      <c r="Q211" s="221" t="s">
        <v>1342</v>
      </c>
      <c r="R211" s="221" t="s">
        <v>210</v>
      </c>
      <c r="S211" s="145" t="s">
        <v>469</v>
      </c>
      <c r="T211" s="221" t="s">
        <v>114</v>
      </c>
      <c r="U211" s="221" t="s">
        <v>2324</v>
      </c>
      <c r="V211" s="221" t="s">
        <v>90</v>
      </c>
      <c r="W211" s="221"/>
      <c r="X211" s="221"/>
      <c r="Y211" s="221"/>
      <c r="Z211" s="221" t="s">
        <v>170</v>
      </c>
      <c r="AA211" s="222"/>
      <c r="AB211" s="221"/>
      <c r="AC211" s="226">
        <f t="shared" si="7"/>
        <v>0</v>
      </c>
      <c r="AD211" s="147"/>
      <c r="AE211" s="147" t="s">
        <v>217</v>
      </c>
      <c r="AF211" s="147" t="s">
        <v>2353</v>
      </c>
      <c r="AG211" s="129"/>
      <c r="AH211" s="64"/>
      <c r="AI211" s="129"/>
      <c r="AJ211" s="129"/>
      <c r="AK211" s="129"/>
      <c r="AL211" s="129"/>
      <c r="AM211" s="129"/>
    </row>
    <row r="212" spans="1:39" s="315" customFormat="1" ht="15" customHeight="1">
      <c r="A212" s="147">
        <v>211</v>
      </c>
      <c r="B212" s="223">
        <v>225029</v>
      </c>
      <c r="C212" s="221" t="s">
        <v>1130</v>
      </c>
      <c r="D212" s="222">
        <v>43234</v>
      </c>
      <c r="E212" s="160" t="s">
        <v>2304</v>
      </c>
      <c r="F212" s="222">
        <v>43249</v>
      </c>
      <c r="G212" s="221">
        <f t="shared" si="8"/>
        <v>15</v>
      </c>
      <c r="H212" s="221" t="s">
        <v>363</v>
      </c>
      <c r="I212" s="129"/>
      <c r="J212" s="129" t="s">
        <v>614</v>
      </c>
      <c r="K212" s="319"/>
      <c r="L212" s="221"/>
      <c r="M212" s="221"/>
      <c r="N212" s="227">
        <f t="shared" si="6"/>
        <v>0</v>
      </c>
      <c r="O212" s="226"/>
      <c r="P212" s="221" t="s">
        <v>261</v>
      </c>
      <c r="Q212" s="224" t="s">
        <v>1341</v>
      </c>
      <c r="R212" s="221" t="s">
        <v>143</v>
      </c>
      <c r="S212" s="145" t="s">
        <v>465</v>
      </c>
      <c r="T212" s="221" t="s">
        <v>120</v>
      </c>
      <c r="U212" s="221" t="s">
        <v>2325</v>
      </c>
      <c r="V212" s="221" t="s">
        <v>90</v>
      </c>
      <c r="W212" s="221"/>
      <c r="X212" s="221"/>
      <c r="Y212" s="221" t="s">
        <v>316</v>
      </c>
      <c r="Z212" s="221" t="s">
        <v>137</v>
      </c>
      <c r="AA212" s="222">
        <v>43235</v>
      </c>
      <c r="AB212" s="221" t="s">
        <v>140</v>
      </c>
      <c r="AC212" s="226">
        <f t="shared" si="7"/>
        <v>0</v>
      </c>
      <c r="AD212" s="147"/>
      <c r="AE212" s="147"/>
      <c r="AF212" s="221"/>
      <c r="AG212" s="129"/>
      <c r="AH212" s="64" t="s">
        <v>2330</v>
      </c>
      <c r="AI212" s="129"/>
      <c r="AJ212" s="129"/>
      <c r="AK212" s="129"/>
      <c r="AL212" s="129"/>
      <c r="AM212" s="129"/>
    </row>
    <row r="213" spans="1:39">
      <c r="A213" s="147">
        <v>212</v>
      </c>
      <c r="B213" s="223">
        <v>225060</v>
      </c>
      <c r="C213" s="221" t="s">
        <v>128</v>
      </c>
      <c r="D213" s="222">
        <v>43235</v>
      </c>
      <c r="E213" s="160" t="s">
        <v>2304</v>
      </c>
      <c r="F213" s="222">
        <v>43245</v>
      </c>
      <c r="G213" s="221">
        <f t="shared" si="8"/>
        <v>10</v>
      </c>
      <c r="H213" s="221" t="s">
        <v>133</v>
      </c>
      <c r="K213" s="319"/>
      <c r="L213" s="221"/>
      <c r="M213" s="221"/>
      <c r="N213" s="227">
        <f t="shared" si="6"/>
        <v>0</v>
      </c>
      <c r="P213" s="221" t="s">
        <v>262</v>
      </c>
      <c r="Q213" s="221" t="s">
        <v>1342</v>
      </c>
      <c r="R213" s="221" t="s">
        <v>210</v>
      </c>
      <c r="S213" s="145" t="s">
        <v>469</v>
      </c>
      <c r="T213" s="221" t="s">
        <v>376</v>
      </c>
      <c r="U213" s="221" t="s">
        <v>2326</v>
      </c>
      <c r="V213" s="221" t="s">
        <v>2327</v>
      </c>
      <c r="W213" s="221"/>
      <c r="X213" s="221"/>
      <c r="Y213" s="221"/>
      <c r="Z213" s="221" t="s">
        <v>315</v>
      </c>
      <c r="AC213" s="226">
        <f t="shared" si="7"/>
        <v>0</v>
      </c>
      <c r="AE213" s="147" t="s">
        <v>217</v>
      </c>
      <c r="AF213" s="147" t="s">
        <v>2353</v>
      </c>
    </row>
    <row r="214" spans="1:39">
      <c r="A214" s="147">
        <v>213</v>
      </c>
      <c r="B214" s="223">
        <v>225742</v>
      </c>
      <c r="C214" s="221" t="s">
        <v>1130</v>
      </c>
      <c r="D214" s="222">
        <v>43236</v>
      </c>
      <c r="E214" s="160" t="s">
        <v>2304</v>
      </c>
      <c r="F214" s="222">
        <v>43252</v>
      </c>
      <c r="G214" s="221">
        <f t="shared" si="8"/>
        <v>16</v>
      </c>
      <c r="H214" s="221" t="s">
        <v>133</v>
      </c>
      <c r="K214" s="319">
        <v>1799</v>
      </c>
      <c r="L214" s="221">
        <v>270</v>
      </c>
      <c r="M214" s="221">
        <v>180</v>
      </c>
      <c r="N214" s="227">
        <f t="shared" si="6"/>
        <v>1421.06</v>
      </c>
      <c r="P214" s="221" t="s">
        <v>264</v>
      </c>
      <c r="Q214" s="221" t="s">
        <v>1342</v>
      </c>
      <c r="R214" s="221" t="s">
        <v>122</v>
      </c>
      <c r="S214" s="145" t="s">
        <v>469</v>
      </c>
      <c r="T214" s="221" t="s">
        <v>114</v>
      </c>
      <c r="U214" s="221" t="s">
        <v>1932</v>
      </c>
      <c r="V214" s="221" t="s">
        <v>169</v>
      </c>
      <c r="W214" s="221"/>
      <c r="X214" s="221"/>
      <c r="Y214" s="221" t="s">
        <v>316</v>
      </c>
      <c r="Z214" s="221" t="s">
        <v>170</v>
      </c>
      <c r="AA214" s="222">
        <v>43237</v>
      </c>
      <c r="AB214" s="221" t="s">
        <v>140</v>
      </c>
      <c r="AC214" s="226">
        <f t="shared" si="7"/>
        <v>1</v>
      </c>
      <c r="AD214" s="147" t="s">
        <v>217</v>
      </c>
      <c r="AE214" s="147" t="s">
        <v>218</v>
      </c>
      <c r="AF214" s="221"/>
    </row>
    <row r="215" spans="1:39">
      <c r="A215" s="147">
        <v>214</v>
      </c>
      <c r="B215" s="223">
        <v>225436</v>
      </c>
      <c r="C215" s="221" t="s">
        <v>128</v>
      </c>
      <c r="D215" s="222">
        <v>43237</v>
      </c>
      <c r="E215" s="160" t="s">
        <v>2304</v>
      </c>
      <c r="F215" s="222">
        <v>43246</v>
      </c>
      <c r="G215" s="221">
        <f t="shared" si="8"/>
        <v>9</v>
      </c>
      <c r="H215" s="221" t="s">
        <v>133</v>
      </c>
      <c r="K215" s="319"/>
      <c r="L215" s="221"/>
      <c r="M215" s="221"/>
      <c r="N215" s="227">
        <f t="shared" si="6"/>
        <v>0</v>
      </c>
      <c r="P215" s="221" t="s">
        <v>264</v>
      </c>
      <c r="Q215" s="221" t="s">
        <v>1342</v>
      </c>
      <c r="R215" s="221" t="s">
        <v>210</v>
      </c>
      <c r="S215" s="145" t="s">
        <v>469</v>
      </c>
      <c r="T215" s="221" t="s">
        <v>376</v>
      </c>
      <c r="U215" s="221" t="s">
        <v>2331</v>
      </c>
      <c r="V215" s="221" t="s">
        <v>2332</v>
      </c>
      <c r="W215" s="221"/>
      <c r="X215" s="221"/>
      <c r="Y215" s="221"/>
      <c r="Z215" s="221" t="s">
        <v>253</v>
      </c>
      <c r="AB215" s="221"/>
      <c r="AC215" s="226">
        <f t="shared" si="7"/>
        <v>0</v>
      </c>
      <c r="AE215" s="147" t="s">
        <v>217</v>
      </c>
      <c r="AF215" s="147" t="s">
        <v>2353</v>
      </c>
    </row>
    <row r="216" spans="1:39">
      <c r="A216" s="147">
        <v>215</v>
      </c>
      <c r="B216" s="223">
        <v>224746</v>
      </c>
      <c r="C216" s="221" t="s">
        <v>128</v>
      </c>
      <c r="D216" s="222">
        <v>43237</v>
      </c>
      <c r="E216" s="160" t="s">
        <v>2304</v>
      </c>
      <c r="F216" s="222">
        <v>43256</v>
      </c>
      <c r="G216" s="221">
        <f t="shared" si="8"/>
        <v>19</v>
      </c>
      <c r="H216" s="221" t="s">
        <v>133</v>
      </c>
      <c r="K216" s="319">
        <v>2299</v>
      </c>
      <c r="L216" s="221">
        <v>265</v>
      </c>
      <c r="M216" s="221">
        <v>95</v>
      </c>
      <c r="N216" s="227">
        <f t="shared" si="6"/>
        <v>1896.06</v>
      </c>
      <c r="P216" s="221" t="s">
        <v>261</v>
      </c>
      <c r="Q216" s="224" t="s">
        <v>1341</v>
      </c>
      <c r="R216" s="221" t="s">
        <v>134</v>
      </c>
      <c r="S216" s="145" t="s">
        <v>465</v>
      </c>
      <c r="T216" s="221" t="s">
        <v>164</v>
      </c>
      <c r="U216" s="221" t="s">
        <v>2333</v>
      </c>
      <c r="V216" s="221" t="s">
        <v>90</v>
      </c>
      <c r="W216" s="221"/>
      <c r="X216" s="221"/>
      <c r="Y216" s="221" t="s">
        <v>316</v>
      </c>
      <c r="Z216" s="221" t="s">
        <v>510</v>
      </c>
      <c r="AA216" s="222">
        <v>43244</v>
      </c>
      <c r="AB216" s="221" t="s">
        <v>195</v>
      </c>
      <c r="AC216" s="226">
        <f t="shared" si="7"/>
        <v>1</v>
      </c>
      <c r="AD216" s="147" t="s">
        <v>217</v>
      </c>
      <c r="AE216" s="147" t="s">
        <v>218</v>
      </c>
      <c r="AF216" s="221"/>
    </row>
    <row r="217" spans="1:39">
      <c r="A217" s="147">
        <v>216</v>
      </c>
      <c r="B217" s="223">
        <v>225648</v>
      </c>
      <c r="C217" s="221" t="s">
        <v>1628</v>
      </c>
      <c r="D217" s="222">
        <v>43238</v>
      </c>
      <c r="E217" s="160" t="s">
        <v>2304</v>
      </c>
      <c r="F217" s="222">
        <v>43248</v>
      </c>
      <c r="G217" s="221">
        <f t="shared" si="8"/>
        <v>10</v>
      </c>
      <c r="H217" s="221" t="s">
        <v>133</v>
      </c>
      <c r="K217" s="319"/>
      <c r="L217" s="221"/>
      <c r="M217" s="221"/>
      <c r="N217" s="227">
        <f t="shared" si="6"/>
        <v>0</v>
      </c>
      <c r="P217" s="221" t="s">
        <v>262</v>
      </c>
      <c r="Q217" s="221" t="s">
        <v>1342</v>
      </c>
      <c r="R217" s="221" t="s">
        <v>122</v>
      </c>
      <c r="S217" s="145" t="s">
        <v>469</v>
      </c>
      <c r="T217" s="221" t="s">
        <v>2328</v>
      </c>
      <c r="U217" s="221" t="s">
        <v>2329</v>
      </c>
      <c r="V217" s="221" t="s">
        <v>90</v>
      </c>
      <c r="W217" s="221"/>
      <c r="X217" s="221"/>
      <c r="Y217" s="221"/>
      <c r="Z217" s="221" t="s">
        <v>687</v>
      </c>
      <c r="AB217" s="221"/>
      <c r="AC217" s="226">
        <f t="shared" si="7"/>
        <v>0</v>
      </c>
      <c r="AE217" s="147" t="s">
        <v>217</v>
      </c>
      <c r="AF217" s="147" t="s">
        <v>2353</v>
      </c>
    </row>
    <row r="218" spans="1:39">
      <c r="A218" s="147">
        <v>217</v>
      </c>
      <c r="B218" s="223">
        <v>225401</v>
      </c>
      <c r="C218" s="221" t="s">
        <v>1628</v>
      </c>
      <c r="D218" s="222">
        <v>43238</v>
      </c>
      <c r="E218" s="160" t="s">
        <v>2304</v>
      </c>
      <c r="F218" s="325">
        <v>43246</v>
      </c>
      <c r="G218" s="221">
        <f t="shared" si="8"/>
        <v>8</v>
      </c>
      <c r="H218" s="221" t="s">
        <v>133</v>
      </c>
      <c r="K218" s="319"/>
      <c r="L218" s="221"/>
      <c r="M218" s="221"/>
      <c r="N218" s="227">
        <f t="shared" si="6"/>
        <v>0</v>
      </c>
      <c r="P218" s="221" t="s">
        <v>262</v>
      </c>
      <c r="Q218" s="221" t="s">
        <v>1342</v>
      </c>
      <c r="R218" s="221" t="s">
        <v>122</v>
      </c>
      <c r="S218" s="145" t="s">
        <v>469</v>
      </c>
      <c r="T218" s="221" t="s">
        <v>164</v>
      </c>
      <c r="U218" s="221" t="s">
        <v>2334</v>
      </c>
      <c r="V218" s="221" t="s">
        <v>222</v>
      </c>
      <c r="W218" s="221"/>
      <c r="X218" s="221"/>
      <c r="Y218" s="221"/>
      <c r="Z218" s="221" t="s">
        <v>292</v>
      </c>
      <c r="AB218" s="221"/>
      <c r="AC218" s="226">
        <f t="shared" si="7"/>
        <v>0</v>
      </c>
      <c r="AE218" s="147" t="s">
        <v>217</v>
      </c>
      <c r="AF218" s="147" t="s">
        <v>2353</v>
      </c>
    </row>
    <row r="219" spans="1:39">
      <c r="A219" s="147">
        <v>218</v>
      </c>
      <c r="B219" s="223">
        <v>225371</v>
      </c>
      <c r="C219" s="221" t="s">
        <v>1130</v>
      </c>
      <c r="D219" s="222">
        <v>43241</v>
      </c>
      <c r="E219" s="160" t="s">
        <v>2304</v>
      </c>
      <c r="F219" s="222">
        <v>43248</v>
      </c>
      <c r="G219" s="221">
        <f t="shared" si="8"/>
        <v>7</v>
      </c>
      <c r="H219" s="221" t="s">
        <v>133</v>
      </c>
      <c r="K219" s="319">
        <v>1139</v>
      </c>
      <c r="L219" s="221">
        <v>285</v>
      </c>
      <c r="M219" s="221">
        <v>105</v>
      </c>
      <c r="N219" s="227">
        <f t="shared" si="6"/>
        <v>785.66000000000008</v>
      </c>
      <c r="P219" s="221" t="s">
        <v>263</v>
      </c>
      <c r="Q219" s="221" t="s">
        <v>1341</v>
      </c>
      <c r="R219" s="221" t="s">
        <v>143</v>
      </c>
      <c r="S219" s="145" t="s">
        <v>465</v>
      </c>
      <c r="T219" s="221" t="s">
        <v>164</v>
      </c>
      <c r="U219" s="221" t="s">
        <v>2335</v>
      </c>
      <c r="V219" s="221" t="s">
        <v>519</v>
      </c>
      <c r="W219" s="221"/>
      <c r="X219" s="221"/>
      <c r="Y219" s="221" t="s">
        <v>1942</v>
      </c>
      <c r="Z219" s="221" t="s">
        <v>1228</v>
      </c>
      <c r="AA219" s="222">
        <v>43243</v>
      </c>
      <c r="AB219" s="221" t="s">
        <v>140</v>
      </c>
      <c r="AC219" s="226">
        <f t="shared" si="7"/>
        <v>1</v>
      </c>
      <c r="AD219" s="147" t="s">
        <v>217</v>
      </c>
      <c r="AE219" s="147" t="s">
        <v>218</v>
      </c>
    </row>
    <row r="220" spans="1:39" s="315" customFormat="1">
      <c r="A220" s="147">
        <v>219</v>
      </c>
      <c r="B220" s="223">
        <v>225855</v>
      </c>
      <c r="C220" s="221" t="s">
        <v>1628</v>
      </c>
      <c r="D220" s="222">
        <v>43241</v>
      </c>
      <c r="E220" s="160" t="s">
        <v>2304</v>
      </c>
      <c r="F220" s="222">
        <v>43253</v>
      </c>
      <c r="G220" s="221">
        <f t="shared" si="8"/>
        <v>12</v>
      </c>
      <c r="H220" s="221" t="s">
        <v>133</v>
      </c>
      <c r="I220" s="324"/>
      <c r="J220" s="324"/>
      <c r="K220" s="319">
        <v>2089</v>
      </c>
      <c r="L220" s="221">
        <v>390</v>
      </c>
      <c r="M220" s="221">
        <v>80</v>
      </c>
      <c r="N220" s="227">
        <f t="shared" si="6"/>
        <v>1573.66</v>
      </c>
      <c r="O220" s="154"/>
      <c r="P220" s="221" t="s">
        <v>264</v>
      </c>
      <c r="Q220" s="221" t="s">
        <v>1342</v>
      </c>
      <c r="R220" s="221" t="s">
        <v>143</v>
      </c>
      <c r="S220" s="145" t="s">
        <v>465</v>
      </c>
      <c r="T220" s="221" t="s">
        <v>164</v>
      </c>
      <c r="U220" s="221" t="s">
        <v>2336</v>
      </c>
      <c r="V220" s="221" t="s">
        <v>425</v>
      </c>
      <c r="W220" s="221"/>
      <c r="X220" s="221"/>
      <c r="Y220" s="221" t="s">
        <v>316</v>
      </c>
      <c r="Z220" s="221" t="s">
        <v>2337</v>
      </c>
      <c r="AA220" s="222">
        <v>43250</v>
      </c>
      <c r="AB220" s="221" t="s">
        <v>195</v>
      </c>
      <c r="AC220" s="226">
        <f t="shared" si="7"/>
        <v>1</v>
      </c>
      <c r="AD220" s="147" t="s">
        <v>217</v>
      </c>
      <c r="AE220" s="147" t="s">
        <v>218</v>
      </c>
      <c r="AF220" s="221"/>
      <c r="AG220" s="324"/>
      <c r="AH220" s="154" t="s">
        <v>2354</v>
      </c>
      <c r="AI220" s="324"/>
      <c r="AJ220" s="324"/>
      <c r="AK220" s="324"/>
      <c r="AL220" s="324"/>
      <c r="AM220" s="324"/>
    </row>
    <row r="221" spans="1:39" s="315" customFormat="1">
      <c r="A221" s="147">
        <v>220</v>
      </c>
      <c r="B221" s="223">
        <v>225918</v>
      </c>
      <c r="C221" s="221" t="s">
        <v>1130</v>
      </c>
      <c r="D221" s="222">
        <v>43242</v>
      </c>
      <c r="E221" s="160" t="s">
        <v>2304</v>
      </c>
      <c r="F221" s="222">
        <v>43255</v>
      </c>
      <c r="G221" s="221">
        <f t="shared" si="8"/>
        <v>13</v>
      </c>
      <c r="H221" s="221" t="s">
        <v>133</v>
      </c>
      <c r="I221" s="324"/>
      <c r="J221" s="324"/>
      <c r="K221" s="319">
        <v>1499</v>
      </c>
      <c r="L221" s="221">
        <v>270</v>
      </c>
      <c r="M221" s="221">
        <v>180</v>
      </c>
      <c r="N221" s="227">
        <f t="shared" si="6"/>
        <v>1139.06</v>
      </c>
      <c r="O221" s="154"/>
      <c r="P221" s="221" t="s">
        <v>262</v>
      </c>
      <c r="Q221" s="221" t="s">
        <v>1342</v>
      </c>
      <c r="R221" s="221" t="s">
        <v>122</v>
      </c>
      <c r="S221" s="145" t="s">
        <v>469</v>
      </c>
      <c r="T221" s="221" t="s">
        <v>114</v>
      </c>
      <c r="U221" s="221" t="s">
        <v>2338</v>
      </c>
      <c r="V221" s="221" t="s">
        <v>169</v>
      </c>
      <c r="W221" s="221"/>
      <c r="X221" s="221"/>
      <c r="Y221" s="221" t="s">
        <v>316</v>
      </c>
      <c r="Z221" s="221" t="s">
        <v>170</v>
      </c>
      <c r="AA221" s="222">
        <v>43242</v>
      </c>
      <c r="AB221" s="221" t="s">
        <v>872</v>
      </c>
      <c r="AC221" s="226">
        <f t="shared" si="7"/>
        <v>1</v>
      </c>
      <c r="AD221" s="147" t="s">
        <v>217</v>
      </c>
      <c r="AE221" s="147" t="s">
        <v>218</v>
      </c>
      <c r="AF221" s="221"/>
      <c r="AG221" s="324"/>
      <c r="AH221" s="154"/>
      <c r="AI221" s="324"/>
      <c r="AJ221" s="324"/>
      <c r="AK221" s="324"/>
      <c r="AL221" s="324"/>
      <c r="AM221" s="324"/>
    </row>
    <row r="222" spans="1:39" s="315" customFormat="1">
      <c r="A222" s="147">
        <v>221</v>
      </c>
      <c r="B222" s="223">
        <v>226188</v>
      </c>
      <c r="C222" s="221" t="s">
        <v>1130</v>
      </c>
      <c r="D222" s="222">
        <v>43242</v>
      </c>
      <c r="E222" s="160" t="s">
        <v>2304</v>
      </c>
      <c r="F222" s="222">
        <v>43260</v>
      </c>
      <c r="G222" s="221">
        <f t="shared" si="8"/>
        <v>18</v>
      </c>
      <c r="H222" s="221" t="s">
        <v>133</v>
      </c>
      <c r="I222" s="324"/>
      <c r="J222" s="324"/>
      <c r="K222" s="319">
        <v>2199</v>
      </c>
      <c r="L222" s="221">
        <v>270</v>
      </c>
      <c r="M222" s="221">
        <v>180</v>
      </c>
      <c r="N222" s="227">
        <f t="shared" si="6"/>
        <v>1797.06</v>
      </c>
      <c r="O222" s="154"/>
      <c r="P222" s="221" t="s">
        <v>263</v>
      </c>
      <c r="Q222" s="221" t="s">
        <v>1341</v>
      </c>
      <c r="R222" s="221" t="s">
        <v>122</v>
      </c>
      <c r="S222" s="145" t="s">
        <v>469</v>
      </c>
      <c r="T222" s="221" t="s">
        <v>114</v>
      </c>
      <c r="U222" s="221" t="s">
        <v>1932</v>
      </c>
      <c r="V222" s="221" t="s">
        <v>169</v>
      </c>
      <c r="W222" s="221"/>
      <c r="X222" s="221"/>
      <c r="Y222" s="221" t="s">
        <v>316</v>
      </c>
      <c r="Z222" s="221" t="s">
        <v>170</v>
      </c>
      <c r="AA222" s="222">
        <v>43243</v>
      </c>
      <c r="AB222" s="221" t="s">
        <v>872</v>
      </c>
      <c r="AC222" s="226">
        <f t="shared" si="7"/>
        <v>1</v>
      </c>
      <c r="AD222" s="147" t="s">
        <v>217</v>
      </c>
      <c r="AE222" s="147" t="s">
        <v>218</v>
      </c>
      <c r="AF222" s="221"/>
      <c r="AG222" s="324"/>
      <c r="AH222" s="154"/>
      <c r="AI222" s="324"/>
      <c r="AJ222" s="324"/>
      <c r="AK222" s="324"/>
      <c r="AL222" s="324"/>
      <c r="AM222" s="324"/>
    </row>
    <row r="223" spans="1:39" s="315" customFormat="1">
      <c r="A223" s="147">
        <v>222</v>
      </c>
      <c r="B223" s="223">
        <v>226112</v>
      </c>
      <c r="C223" s="221" t="s">
        <v>1130</v>
      </c>
      <c r="D223" s="222">
        <v>43243</v>
      </c>
      <c r="E223" s="160" t="s">
        <v>2304</v>
      </c>
      <c r="F223" s="222">
        <v>43255</v>
      </c>
      <c r="G223" s="221">
        <f t="shared" si="8"/>
        <v>12</v>
      </c>
      <c r="H223" s="221" t="s">
        <v>133</v>
      </c>
      <c r="I223" s="324"/>
      <c r="J223" s="324"/>
      <c r="K223" s="319">
        <v>999</v>
      </c>
      <c r="L223" s="221">
        <v>40</v>
      </c>
      <c r="M223" s="221">
        <v>450</v>
      </c>
      <c r="N223" s="227">
        <f t="shared" si="6"/>
        <v>489.05999999999995</v>
      </c>
      <c r="O223" s="154"/>
      <c r="P223" s="221" t="s">
        <v>264</v>
      </c>
      <c r="Q223" s="221" t="s">
        <v>1342</v>
      </c>
      <c r="R223" s="221" t="s">
        <v>143</v>
      </c>
      <c r="S223" s="145" t="s">
        <v>465</v>
      </c>
      <c r="T223" s="221" t="s">
        <v>164</v>
      </c>
      <c r="U223" s="221" t="s">
        <v>1768</v>
      </c>
      <c r="V223" s="221" t="s">
        <v>311</v>
      </c>
      <c r="W223" s="221"/>
      <c r="X223" s="221"/>
      <c r="Y223" s="221" t="s">
        <v>1172</v>
      </c>
      <c r="Z223" s="221" t="s">
        <v>1228</v>
      </c>
      <c r="AA223" s="222">
        <v>43244</v>
      </c>
      <c r="AB223" s="221" t="s">
        <v>872</v>
      </c>
      <c r="AC223" s="226">
        <f t="shared" si="7"/>
        <v>1</v>
      </c>
      <c r="AD223" s="147" t="s">
        <v>217</v>
      </c>
      <c r="AE223" s="147" t="s">
        <v>218</v>
      </c>
      <c r="AF223" s="221"/>
      <c r="AG223" s="324"/>
      <c r="AH223" s="154"/>
      <c r="AI223" s="324"/>
      <c r="AJ223" s="324"/>
      <c r="AK223" s="324"/>
      <c r="AL223" s="324"/>
      <c r="AM223" s="324"/>
    </row>
    <row r="224" spans="1:39" s="315" customFormat="1">
      <c r="A224" s="147">
        <v>223</v>
      </c>
      <c r="B224" s="223">
        <v>226154</v>
      </c>
      <c r="C224" s="221" t="s">
        <v>1628</v>
      </c>
      <c r="D224" s="222">
        <v>43243</v>
      </c>
      <c r="E224" s="160" t="s">
        <v>2304</v>
      </c>
      <c r="F224" s="222">
        <v>43250</v>
      </c>
      <c r="G224" s="221">
        <f t="shared" si="8"/>
        <v>7</v>
      </c>
      <c r="H224" s="221" t="s">
        <v>133</v>
      </c>
      <c r="I224" s="324"/>
      <c r="J224" s="324"/>
      <c r="K224" s="319">
        <v>1499</v>
      </c>
      <c r="L224" s="221">
        <v>40</v>
      </c>
      <c r="M224" s="221">
        <v>80</v>
      </c>
      <c r="N224" s="227">
        <f t="shared" si="6"/>
        <v>1329.06</v>
      </c>
      <c r="O224" s="154"/>
      <c r="P224" s="221" t="s">
        <v>263</v>
      </c>
      <c r="Q224" s="221" t="s">
        <v>1341</v>
      </c>
      <c r="R224" s="221" t="s">
        <v>143</v>
      </c>
      <c r="S224" s="145" t="s">
        <v>465</v>
      </c>
      <c r="T224" s="221" t="s">
        <v>164</v>
      </c>
      <c r="U224" s="221" t="s">
        <v>2339</v>
      </c>
      <c r="V224" s="221" t="s">
        <v>311</v>
      </c>
      <c r="W224" s="221"/>
      <c r="X224" s="221"/>
      <c r="Y224" s="221" t="s">
        <v>1172</v>
      </c>
      <c r="Z224" s="221" t="s">
        <v>404</v>
      </c>
      <c r="AA224" s="222">
        <v>43243</v>
      </c>
      <c r="AB224" s="221" t="s">
        <v>872</v>
      </c>
      <c r="AC224" s="226">
        <f t="shared" si="7"/>
        <v>1</v>
      </c>
      <c r="AD224" s="147" t="s">
        <v>217</v>
      </c>
      <c r="AE224" s="147" t="s">
        <v>218</v>
      </c>
      <c r="AF224" s="221"/>
      <c r="AG224" s="324"/>
      <c r="AH224" s="154"/>
      <c r="AI224" s="324"/>
      <c r="AJ224" s="324"/>
      <c r="AK224" s="324"/>
      <c r="AL224" s="324"/>
      <c r="AM224" s="324"/>
    </row>
    <row r="225" spans="1:39" s="315" customFormat="1">
      <c r="A225" s="147">
        <v>224</v>
      </c>
      <c r="B225" s="223">
        <v>226193</v>
      </c>
      <c r="C225" s="221" t="s">
        <v>1130</v>
      </c>
      <c r="D225" s="222">
        <v>43244</v>
      </c>
      <c r="E225" s="160" t="s">
        <v>2304</v>
      </c>
      <c r="F225" s="222">
        <v>43255</v>
      </c>
      <c r="G225" s="221">
        <f t="shared" si="8"/>
        <v>11</v>
      </c>
      <c r="H225" s="221" t="s">
        <v>363</v>
      </c>
      <c r="I225" s="324"/>
      <c r="J225" s="324"/>
      <c r="K225" s="319"/>
      <c r="L225" s="221"/>
      <c r="M225" s="221"/>
      <c r="N225" s="227">
        <f t="shared" si="6"/>
        <v>0</v>
      </c>
      <c r="O225" s="154"/>
      <c r="P225" s="221" t="s">
        <v>261</v>
      </c>
      <c r="Q225" s="224" t="s">
        <v>1341</v>
      </c>
      <c r="R225" s="221" t="s">
        <v>134</v>
      </c>
      <c r="S225" s="145" t="s">
        <v>465</v>
      </c>
      <c r="T225" s="221" t="s">
        <v>88</v>
      </c>
      <c r="U225" s="221" t="s">
        <v>2341</v>
      </c>
      <c r="V225" s="221" t="s">
        <v>139</v>
      </c>
      <c r="W225" s="221"/>
      <c r="X225" s="221"/>
      <c r="Y225" s="221"/>
      <c r="Z225" s="221" t="s">
        <v>1118</v>
      </c>
      <c r="AA225" s="222"/>
      <c r="AB225" s="221"/>
      <c r="AC225" s="226">
        <f t="shared" si="7"/>
        <v>0</v>
      </c>
      <c r="AD225" s="147"/>
      <c r="AE225" s="147"/>
      <c r="AF225" s="221"/>
      <c r="AG225" s="324"/>
      <c r="AH225" s="154" t="s">
        <v>2350</v>
      </c>
      <c r="AI225" s="324"/>
      <c r="AJ225" s="324"/>
      <c r="AK225" s="324"/>
      <c r="AL225" s="324"/>
      <c r="AM225" s="324"/>
    </row>
    <row r="226" spans="1:39" s="315" customFormat="1">
      <c r="A226" s="147">
        <v>225</v>
      </c>
      <c r="B226" s="223">
        <v>225695</v>
      </c>
      <c r="C226" s="221" t="s">
        <v>1628</v>
      </c>
      <c r="D226" s="222">
        <v>43245</v>
      </c>
      <c r="E226" s="160" t="s">
        <v>2304</v>
      </c>
      <c r="F226" s="222">
        <v>43248</v>
      </c>
      <c r="G226" s="221">
        <f t="shared" si="8"/>
        <v>3</v>
      </c>
      <c r="H226" s="221" t="s">
        <v>133</v>
      </c>
      <c r="I226" s="324"/>
      <c r="J226" s="324"/>
      <c r="K226" s="319">
        <v>1999</v>
      </c>
      <c r="L226" s="221"/>
      <c r="M226" s="221"/>
      <c r="N226" s="227">
        <f t="shared" si="6"/>
        <v>0</v>
      </c>
      <c r="O226" s="154"/>
      <c r="P226" s="221" t="s">
        <v>264</v>
      </c>
      <c r="Q226" s="221" t="s">
        <v>1342</v>
      </c>
      <c r="R226" s="221" t="s">
        <v>691</v>
      </c>
      <c r="S226" s="145" t="s">
        <v>466</v>
      </c>
      <c r="T226" s="221" t="s">
        <v>1795</v>
      </c>
      <c r="U226" s="221" t="s">
        <v>2342</v>
      </c>
      <c r="V226" s="221" t="s">
        <v>2343</v>
      </c>
      <c r="W226" s="221"/>
      <c r="X226" s="221"/>
      <c r="Y226" s="221"/>
      <c r="Z226" s="221" t="s">
        <v>235</v>
      </c>
      <c r="AA226" s="222"/>
      <c r="AB226" s="221"/>
      <c r="AC226" s="226">
        <f t="shared" si="7"/>
        <v>0</v>
      </c>
      <c r="AD226" s="147"/>
      <c r="AE226" s="147" t="s">
        <v>217</v>
      </c>
      <c r="AF226" s="147" t="s">
        <v>2353</v>
      </c>
      <c r="AG226" s="324"/>
      <c r="AH226" s="154"/>
      <c r="AI226" s="324"/>
      <c r="AJ226" s="324"/>
      <c r="AK226" s="324"/>
      <c r="AL226" s="324"/>
      <c r="AM226" s="324"/>
    </row>
    <row r="227" spans="1:39" s="315" customFormat="1">
      <c r="A227" s="147">
        <v>226</v>
      </c>
      <c r="B227" s="223">
        <v>225715</v>
      </c>
      <c r="C227" s="221" t="s">
        <v>1628</v>
      </c>
      <c r="D227" s="222">
        <v>43245</v>
      </c>
      <c r="E227" s="160" t="s">
        <v>2304</v>
      </c>
      <c r="F227" s="222">
        <v>43249</v>
      </c>
      <c r="G227" s="221">
        <f t="shared" si="8"/>
        <v>4</v>
      </c>
      <c r="H227" s="221" t="s">
        <v>363</v>
      </c>
      <c r="I227" s="324"/>
      <c r="J227" s="324"/>
      <c r="K227" s="319"/>
      <c r="L227" s="221"/>
      <c r="M227" s="221"/>
      <c r="N227" s="227">
        <f t="shared" si="6"/>
        <v>0</v>
      </c>
      <c r="O227" s="154"/>
      <c r="P227" s="221" t="s">
        <v>264</v>
      </c>
      <c r="Q227" s="221" t="s">
        <v>1342</v>
      </c>
      <c r="R227" s="221" t="s">
        <v>87</v>
      </c>
      <c r="S227" s="145" t="s">
        <v>465</v>
      </c>
      <c r="T227" s="221" t="s">
        <v>164</v>
      </c>
      <c r="U227" s="221" t="s">
        <v>817</v>
      </c>
      <c r="V227" s="221" t="s">
        <v>2344</v>
      </c>
      <c r="W227" s="221"/>
      <c r="X227" s="221"/>
      <c r="Y227" s="221"/>
      <c r="Z227" s="221" t="s">
        <v>2337</v>
      </c>
      <c r="AA227" s="222"/>
      <c r="AB227" s="221"/>
      <c r="AC227" s="226">
        <f t="shared" si="7"/>
        <v>0</v>
      </c>
      <c r="AD227" s="147"/>
      <c r="AE227" s="147"/>
      <c r="AF227" s="221"/>
      <c r="AG227" s="324"/>
      <c r="AH227" s="154" t="s">
        <v>2345</v>
      </c>
      <c r="AI227" s="324"/>
      <c r="AJ227" s="324"/>
      <c r="AK227" s="324"/>
      <c r="AL227" s="324"/>
      <c r="AM227" s="324"/>
    </row>
    <row r="228" spans="1:39" s="315" customFormat="1">
      <c r="A228" s="147">
        <v>227</v>
      </c>
      <c r="B228" s="223">
        <v>226343</v>
      </c>
      <c r="C228" s="221" t="s">
        <v>128</v>
      </c>
      <c r="D228" s="222">
        <v>43248</v>
      </c>
      <c r="E228" s="160" t="s">
        <v>2304</v>
      </c>
      <c r="F228" s="222">
        <v>43260</v>
      </c>
      <c r="G228" s="221">
        <f t="shared" si="8"/>
        <v>12</v>
      </c>
      <c r="H228" s="221" t="s">
        <v>133</v>
      </c>
      <c r="I228" s="324"/>
      <c r="J228" s="324"/>
      <c r="K228" s="319">
        <v>1999</v>
      </c>
      <c r="L228" s="221">
        <v>370</v>
      </c>
      <c r="M228" s="221">
        <v>240</v>
      </c>
      <c r="N228" s="227">
        <f t="shared" si="6"/>
        <v>1509.06</v>
      </c>
      <c r="O228" s="154"/>
      <c r="P228" s="221" t="s">
        <v>264</v>
      </c>
      <c r="Q228" s="221" t="s">
        <v>1342</v>
      </c>
      <c r="R228" s="221" t="s">
        <v>122</v>
      </c>
      <c r="S228" s="145" t="s">
        <v>469</v>
      </c>
      <c r="T228" s="221" t="s">
        <v>1281</v>
      </c>
      <c r="U228" s="221" t="s">
        <v>1282</v>
      </c>
      <c r="V228" s="221" t="s">
        <v>90</v>
      </c>
      <c r="W228" s="221"/>
      <c r="X228" s="221"/>
      <c r="Y228" s="221" t="s">
        <v>316</v>
      </c>
      <c r="Z228" s="221" t="s">
        <v>1471</v>
      </c>
      <c r="AA228" s="222">
        <v>43251</v>
      </c>
      <c r="AB228" s="221" t="s">
        <v>195</v>
      </c>
      <c r="AC228" s="226">
        <f t="shared" si="7"/>
        <v>1</v>
      </c>
      <c r="AD228" s="147" t="s">
        <v>217</v>
      </c>
      <c r="AE228" s="147" t="s">
        <v>218</v>
      </c>
      <c r="AF228" s="154"/>
      <c r="AG228" s="324"/>
      <c r="AH228" s="154"/>
      <c r="AI228" s="324"/>
      <c r="AJ228" s="324"/>
      <c r="AK228" s="324"/>
      <c r="AL228" s="324"/>
      <c r="AM228" s="324"/>
    </row>
    <row r="229" spans="1:39">
      <c r="A229" s="147">
        <v>228</v>
      </c>
      <c r="B229" s="223">
        <v>226117</v>
      </c>
      <c r="C229" s="221" t="s">
        <v>1628</v>
      </c>
      <c r="D229" s="222">
        <v>43248</v>
      </c>
      <c r="E229" s="160" t="s">
        <v>2304</v>
      </c>
      <c r="F229" s="222">
        <v>43258</v>
      </c>
      <c r="G229" s="221">
        <f t="shared" si="8"/>
        <v>10</v>
      </c>
      <c r="H229" s="221" t="s">
        <v>133</v>
      </c>
      <c r="K229" s="319"/>
      <c r="L229" s="221"/>
      <c r="M229" s="221"/>
      <c r="N229" s="227">
        <f t="shared" si="6"/>
        <v>0</v>
      </c>
      <c r="P229" s="221" t="s">
        <v>262</v>
      </c>
      <c r="Q229" s="221" t="s">
        <v>1342</v>
      </c>
      <c r="R229" s="221" t="s">
        <v>122</v>
      </c>
      <c r="S229" s="145" t="s">
        <v>469</v>
      </c>
      <c r="T229" s="221" t="s">
        <v>164</v>
      </c>
      <c r="U229" s="221" t="s">
        <v>2346</v>
      </c>
      <c r="V229" s="221" t="s">
        <v>222</v>
      </c>
      <c r="W229" s="221"/>
      <c r="X229" s="221"/>
      <c r="Y229" s="221"/>
      <c r="Z229" s="221" t="s">
        <v>404</v>
      </c>
      <c r="AB229" s="221"/>
      <c r="AC229" s="226">
        <f t="shared" si="7"/>
        <v>0</v>
      </c>
      <c r="AE229" s="147" t="s">
        <v>217</v>
      </c>
      <c r="AF229" s="147" t="s">
        <v>2353</v>
      </c>
    </row>
    <row r="230" spans="1:39">
      <c r="A230" s="147">
        <v>229</v>
      </c>
      <c r="B230" s="223">
        <v>226545</v>
      </c>
      <c r="C230" s="221" t="s">
        <v>1628</v>
      </c>
      <c r="D230" s="222">
        <v>43248</v>
      </c>
      <c r="E230" s="160" t="s">
        <v>2304</v>
      </c>
      <c r="F230" s="222">
        <v>43262</v>
      </c>
      <c r="G230" s="221">
        <f t="shared" si="8"/>
        <v>14</v>
      </c>
      <c r="H230" s="221" t="s">
        <v>133</v>
      </c>
      <c r="K230" s="319"/>
      <c r="L230" s="221"/>
      <c r="M230" s="221"/>
      <c r="N230" s="227">
        <f t="shared" si="6"/>
        <v>0</v>
      </c>
      <c r="P230" s="221" t="s">
        <v>263</v>
      </c>
      <c r="Q230" s="221" t="s">
        <v>1341</v>
      </c>
      <c r="R230" s="221" t="s">
        <v>134</v>
      </c>
      <c r="S230" s="145" t="s">
        <v>465</v>
      </c>
      <c r="T230" s="221" t="s">
        <v>114</v>
      </c>
      <c r="U230" s="221" t="s">
        <v>583</v>
      </c>
      <c r="V230" s="221" t="s">
        <v>1116</v>
      </c>
      <c r="W230" s="221"/>
      <c r="X230" s="221"/>
      <c r="Y230" s="221"/>
      <c r="Z230" s="221" t="s">
        <v>203</v>
      </c>
      <c r="AB230" s="221"/>
      <c r="AC230" s="226">
        <f t="shared" si="7"/>
        <v>0</v>
      </c>
      <c r="AE230" s="147" t="s">
        <v>217</v>
      </c>
      <c r="AF230" s="147" t="s">
        <v>2353</v>
      </c>
    </row>
    <row r="231" spans="1:39">
      <c r="A231" s="147">
        <v>230</v>
      </c>
      <c r="B231" s="223">
        <v>226130</v>
      </c>
      <c r="C231" s="221" t="s">
        <v>1130</v>
      </c>
      <c r="D231" s="222">
        <v>43248</v>
      </c>
      <c r="E231" s="160" t="s">
        <v>2304</v>
      </c>
      <c r="F231" s="222">
        <v>43255</v>
      </c>
      <c r="G231" s="221">
        <f t="shared" si="8"/>
        <v>7</v>
      </c>
      <c r="H231" s="221" t="s">
        <v>363</v>
      </c>
      <c r="K231" s="319"/>
      <c r="L231" s="221"/>
      <c r="M231" s="221"/>
      <c r="N231" s="227">
        <f t="shared" si="6"/>
        <v>0</v>
      </c>
      <c r="P231" s="221" t="s">
        <v>262</v>
      </c>
      <c r="Q231" s="221" t="s">
        <v>1342</v>
      </c>
      <c r="R231" s="221" t="s">
        <v>122</v>
      </c>
      <c r="S231" s="145" t="s">
        <v>469</v>
      </c>
      <c r="T231" s="221" t="s">
        <v>114</v>
      </c>
      <c r="U231" s="221" t="s">
        <v>341</v>
      </c>
      <c r="V231" s="221" t="s">
        <v>169</v>
      </c>
      <c r="W231" s="221"/>
      <c r="X231" s="221"/>
      <c r="Y231" s="221" t="s">
        <v>316</v>
      </c>
      <c r="Z231" s="221" t="s">
        <v>170</v>
      </c>
      <c r="AA231" s="222">
        <v>43250</v>
      </c>
      <c r="AB231" s="221" t="s">
        <v>140</v>
      </c>
      <c r="AC231" s="226">
        <f t="shared" si="7"/>
        <v>0</v>
      </c>
    </row>
    <row r="232" spans="1:39">
      <c r="A232" s="147">
        <v>231</v>
      </c>
      <c r="B232" s="223">
        <v>226083</v>
      </c>
      <c r="C232" s="221" t="s">
        <v>1628</v>
      </c>
      <c r="D232" s="222">
        <v>43248</v>
      </c>
      <c r="E232" s="160" t="s">
        <v>2304</v>
      </c>
      <c r="F232" s="222">
        <v>43258</v>
      </c>
      <c r="G232" s="221">
        <f t="shared" si="8"/>
        <v>10</v>
      </c>
      <c r="H232" s="221" t="s">
        <v>133</v>
      </c>
      <c r="K232" s="319"/>
      <c r="L232" s="221"/>
      <c r="M232" s="221"/>
      <c r="N232" s="227">
        <f t="shared" si="6"/>
        <v>0</v>
      </c>
      <c r="P232" s="221" t="s">
        <v>262</v>
      </c>
      <c r="Q232" s="221" t="s">
        <v>1342</v>
      </c>
      <c r="R232" s="221" t="s">
        <v>210</v>
      </c>
      <c r="S232" s="145" t="s">
        <v>469</v>
      </c>
      <c r="T232" s="221" t="s">
        <v>380</v>
      </c>
      <c r="U232" s="221" t="s">
        <v>2347</v>
      </c>
      <c r="V232" s="221" t="s">
        <v>90</v>
      </c>
      <c r="W232" s="221"/>
      <c r="X232" s="221"/>
      <c r="Y232" s="221"/>
      <c r="Z232" s="221" t="s">
        <v>124</v>
      </c>
      <c r="AB232" s="221"/>
      <c r="AC232" s="226">
        <f t="shared" si="7"/>
        <v>0</v>
      </c>
      <c r="AE232" s="147" t="s">
        <v>217</v>
      </c>
      <c r="AF232" s="147" t="s">
        <v>2353</v>
      </c>
    </row>
    <row r="233" spans="1:39">
      <c r="A233" s="147">
        <v>232</v>
      </c>
      <c r="B233" s="223">
        <v>226357</v>
      </c>
      <c r="C233" s="221" t="s">
        <v>128</v>
      </c>
      <c r="D233" s="222">
        <v>43250</v>
      </c>
      <c r="E233" s="160" t="s">
        <v>2304</v>
      </c>
      <c r="F233" s="222">
        <v>43269</v>
      </c>
      <c r="G233" s="221">
        <f t="shared" si="8"/>
        <v>19</v>
      </c>
      <c r="H233" s="221" t="s">
        <v>133</v>
      </c>
      <c r="K233" s="319">
        <v>1299</v>
      </c>
      <c r="L233" s="221">
        <v>170</v>
      </c>
      <c r="M233" s="221">
        <v>114.46</v>
      </c>
      <c r="N233" s="227">
        <f t="shared" si="6"/>
        <v>1051.06</v>
      </c>
      <c r="P233" s="221" t="s">
        <v>264</v>
      </c>
      <c r="Q233" s="221" t="s">
        <v>1342</v>
      </c>
      <c r="R233" s="221" t="s">
        <v>501</v>
      </c>
      <c r="S233" s="145" t="s">
        <v>466</v>
      </c>
      <c r="T233" s="221" t="s">
        <v>1180</v>
      </c>
      <c r="U233" s="221" t="s">
        <v>2348</v>
      </c>
      <c r="V233" s="221" t="s">
        <v>1356</v>
      </c>
      <c r="W233" s="221"/>
      <c r="X233" s="221"/>
      <c r="Y233" s="221" t="s">
        <v>1459</v>
      </c>
      <c r="Z233" s="221" t="s">
        <v>259</v>
      </c>
      <c r="AA233" s="222">
        <v>43258</v>
      </c>
      <c r="AB233" s="221"/>
      <c r="AC233" s="226">
        <f t="shared" si="7"/>
        <v>1</v>
      </c>
      <c r="AD233" s="147" t="s">
        <v>217</v>
      </c>
      <c r="AE233" s="147" t="s">
        <v>218</v>
      </c>
      <c r="AF233" s="147"/>
    </row>
    <row r="234" spans="1:39">
      <c r="A234" s="147">
        <v>233</v>
      </c>
      <c r="B234" s="223">
        <v>226412</v>
      </c>
      <c r="C234" s="221" t="s">
        <v>1628</v>
      </c>
      <c r="D234" s="222">
        <v>43250</v>
      </c>
      <c r="E234" s="160" t="s">
        <v>2304</v>
      </c>
      <c r="F234" s="222">
        <v>43255</v>
      </c>
      <c r="G234" s="221">
        <f t="shared" si="8"/>
        <v>5</v>
      </c>
      <c r="H234" s="221" t="s">
        <v>133</v>
      </c>
      <c r="K234" s="319"/>
      <c r="L234" s="221"/>
      <c r="M234" s="221"/>
      <c r="N234" s="227">
        <f t="shared" si="6"/>
        <v>0</v>
      </c>
      <c r="P234" s="221" t="s">
        <v>264</v>
      </c>
      <c r="Q234" s="221" t="s">
        <v>1342</v>
      </c>
      <c r="R234" s="221" t="s">
        <v>134</v>
      </c>
      <c r="S234" s="145" t="s">
        <v>465</v>
      </c>
      <c r="T234" s="221" t="s">
        <v>164</v>
      </c>
      <c r="U234" s="221" t="s">
        <v>996</v>
      </c>
      <c r="V234" s="221" t="s">
        <v>451</v>
      </c>
      <c r="W234" s="221"/>
      <c r="X234" s="221"/>
      <c r="Y234" s="221"/>
      <c r="Z234" s="221" t="s">
        <v>2302</v>
      </c>
      <c r="AB234" s="221"/>
      <c r="AC234" s="226">
        <f t="shared" si="7"/>
        <v>0</v>
      </c>
      <c r="AE234" s="147" t="s">
        <v>217</v>
      </c>
      <c r="AF234" s="147" t="s">
        <v>2353</v>
      </c>
    </row>
    <row r="235" spans="1:39">
      <c r="A235" s="147">
        <v>234</v>
      </c>
      <c r="B235" s="223">
        <v>226171</v>
      </c>
      <c r="C235" s="221" t="s">
        <v>128</v>
      </c>
      <c r="D235" s="222">
        <v>43250</v>
      </c>
      <c r="E235" s="160" t="s">
        <v>2304</v>
      </c>
      <c r="F235" s="222">
        <v>43263</v>
      </c>
      <c r="G235" s="221">
        <f t="shared" si="8"/>
        <v>13</v>
      </c>
      <c r="H235" s="221" t="s">
        <v>133</v>
      </c>
      <c r="K235" s="319"/>
      <c r="L235" s="221"/>
      <c r="M235" s="221"/>
      <c r="N235" s="227">
        <f t="shared" si="6"/>
        <v>0</v>
      </c>
      <c r="P235" s="221" t="s">
        <v>264</v>
      </c>
      <c r="Q235" s="221" t="s">
        <v>1342</v>
      </c>
      <c r="R235" s="221" t="s">
        <v>143</v>
      </c>
      <c r="S235" s="145" t="s">
        <v>465</v>
      </c>
      <c r="T235" s="221" t="s">
        <v>144</v>
      </c>
      <c r="U235" s="221" t="s">
        <v>2351</v>
      </c>
      <c r="V235" s="221" t="s">
        <v>2352</v>
      </c>
      <c r="W235" s="221"/>
      <c r="X235" s="221"/>
      <c r="Y235" s="221"/>
      <c r="Z235" s="221" t="s">
        <v>1471</v>
      </c>
      <c r="AB235" s="221"/>
      <c r="AC235" s="226">
        <f t="shared" si="7"/>
        <v>0</v>
      </c>
      <c r="AE235" s="147" t="s">
        <v>217</v>
      </c>
      <c r="AF235" s="147" t="s">
        <v>2353</v>
      </c>
    </row>
    <row r="236" spans="1:39">
      <c r="A236" s="147">
        <v>235</v>
      </c>
      <c r="B236" s="223">
        <v>226701</v>
      </c>
      <c r="C236" s="221" t="s">
        <v>1130</v>
      </c>
      <c r="D236" s="222">
        <v>43251</v>
      </c>
      <c r="E236" s="160" t="s">
        <v>2304</v>
      </c>
      <c r="F236" s="222">
        <v>43252</v>
      </c>
      <c r="G236" s="221">
        <f t="shared" ref="G236:G267" si="9">F236-D236</f>
        <v>1</v>
      </c>
      <c r="H236" s="221" t="s">
        <v>133</v>
      </c>
      <c r="K236" s="319">
        <v>1999</v>
      </c>
      <c r="L236" s="221"/>
      <c r="M236" s="221"/>
      <c r="N236" s="227">
        <f t="shared" si="6"/>
        <v>0</v>
      </c>
      <c r="P236" s="221" t="s">
        <v>261</v>
      </c>
      <c r="Q236" s="224" t="s">
        <v>1341</v>
      </c>
      <c r="R236" s="221" t="s">
        <v>134</v>
      </c>
      <c r="S236" s="145" t="s">
        <v>465</v>
      </c>
      <c r="T236" s="221" t="s">
        <v>88</v>
      </c>
      <c r="U236" s="221" t="s">
        <v>2340</v>
      </c>
      <c r="V236" s="221" t="s">
        <v>90</v>
      </c>
      <c r="W236" s="221"/>
      <c r="X236" s="221"/>
      <c r="Y236" s="221"/>
      <c r="Z236" s="221" t="s">
        <v>1228</v>
      </c>
      <c r="AB236" s="221"/>
      <c r="AC236" s="226">
        <f t="shared" si="7"/>
        <v>0</v>
      </c>
      <c r="AE236" s="147" t="s">
        <v>217</v>
      </c>
      <c r="AF236" s="147" t="s">
        <v>2353</v>
      </c>
    </row>
    <row r="237" spans="1:39">
      <c r="A237" s="147">
        <v>236</v>
      </c>
      <c r="B237" s="223">
        <v>227050</v>
      </c>
      <c r="C237" s="221" t="s">
        <v>1130</v>
      </c>
      <c r="D237" s="222">
        <v>43252</v>
      </c>
      <c r="E237" s="160" t="s">
        <v>2355</v>
      </c>
      <c r="F237" s="222">
        <v>43268</v>
      </c>
      <c r="G237" s="221">
        <f t="shared" si="9"/>
        <v>16</v>
      </c>
      <c r="H237" s="221" t="s">
        <v>133</v>
      </c>
      <c r="K237" s="319"/>
      <c r="L237" s="221"/>
      <c r="M237" s="221"/>
      <c r="N237" s="227">
        <f t="shared" si="6"/>
        <v>0</v>
      </c>
      <c r="P237" s="221" t="s">
        <v>264</v>
      </c>
      <c r="Q237" s="221" t="s">
        <v>1342</v>
      </c>
      <c r="R237" s="221" t="s">
        <v>134</v>
      </c>
      <c r="S237" s="145" t="s">
        <v>465</v>
      </c>
      <c r="T237" s="221" t="s">
        <v>114</v>
      </c>
      <c r="U237" s="221" t="s">
        <v>1935</v>
      </c>
      <c r="V237" s="221" t="s">
        <v>1116</v>
      </c>
      <c r="W237" s="221"/>
      <c r="X237" s="221"/>
      <c r="Y237" s="221"/>
      <c r="Z237" s="221" t="s">
        <v>170</v>
      </c>
      <c r="AB237" s="221"/>
      <c r="AC237" s="226">
        <f t="shared" si="7"/>
        <v>0</v>
      </c>
      <c r="AE237" s="147" t="s">
        <v>217</v>
      </c>
      <c r="AF237" s="147" t="s">
        <v>2353</v>
      </c>
      <c r="AH237" s="154" t="s">
        <v>2361</v>
      </c>
    </row>
    <row r="238" spans="1:39">
      <c r="A238" s="147">
        <v>237</v>
      </c>
      <c r="B238" s="223">
        <v>226552</v>
      </c>
      <c r="C238" s="221" t="s">
        <v>128</v>
      </c>
      <c r="D238" s="222">
        <v>43255</v>
      </c>
      <c r="E238" s="160" t="s">
        <v>2355</v>
      </c>
      <c r="F238" s="222">
        <v>43260</v>
      </c>
      <c r="G238" s="221">
        <f t="shared" si="9"/>
        <v>5</v>
      </c>
      <c r="H238" s="221" t="s">
        <v>133</v>
      </c>
      <c r="K238" s="319">
        <v>1699</v>
      </c>
      <c r="L238" s="221">
        <v>160</v>
      </c>
      <c r="M238" s="221">
        <v>235</v>
      </c>
      <c r="N238" s="227">
        <f t="shared" si="6"/>
        <v>1362.06</v>
      </c>
      <c r="P238" s="221" t="s">
        <v>263</v>
      </c>
      <c r="Q238" s="221" t="s">
        <v>1341</v>
      </c>
      <c r="R238" s="221" t="s">
        <v>122</v>
      </c>
      <c r="S238" s="145" t="s">
        <v>469</v>
      </c>
      <c r="T238" s="221" t="s">
        <v>1541</v>
      </c>
      <c r="U238" s="221" t="s">
        <v>1542</v>
      </c>
      <c r="V238" s="221" t="s">
        <v>2357</v>
      </c>
      <c r="Y238" s="221" t="s">
        <v>316</v>
      </c>
      <c r="Z238" s="221" t="s">
        <v>296</v>
      </c>
      <c r="AA238" s="222">
        <v>43256</v>
      </c>
      <c r="AB238" s="221" t="s">
        <v>872</v>
      </c>
      <c r="AC238" s="226">
        <f t="shared" si="7"/>
        <v>1</v>
      </c>
      <c r="AD238" s="147" t="s">
        <v>217</v>
      </c>
      <c r="AE238" s="147" t="s">
        <v>218</v>
      </c>
      <c r="AF238" s="147"/>
    </row>
    <row r="239" spans="1:39">
      <c r="A239" s="147">
        <v>238</v>
      </c>
      <c r="B239" s="223">
        <v>226348</v>
      </c>
      <c r="C239" s="221" t="s">
        <v>128</v>
      </c>
      <c r="D239" s="222">
        <v>43256</v>
      </c>
      <c r="E239" s="160" t="s">
        <v>2355</v>
      </c>
      <c r="F239" s="222">
        <v>43259</v>
      </c>
      <c r="G239" s="221">
        <f t="shared" si="9"/>
        <v>3</v>
      </c>
      <c r="H239" s="221" t="s">
        <v>133</v>
      </c>
      <c r="K239" s="319">
        <v>1099</v>
      </c>
      <c r="L239" s="221">
        <v>260</v>
      </c>
      <c r="M239" s="221">
        <v>272</v>
      </c>
      <c r="N239" s="227">
        <f t="shared" si="6"/>
        <v>0</v>
      </c>
      <c r="P239" s="221" t="s">
        <v>262</v>
      </c>
      <c r="Q239" s="221" t="s">
        <v>1342</v>
      </c>
      <c r="R239" s="221" t="s">
        <v>143</v>
      </c>
      <c r="S239" s="145" t="s">
        <v>465</v>
      </c>
      <c r="T239" s="221" t="s">
        <v>358</v>
      </c>
      <c r="U239" s="221" t="s">
        <v>2356</v>
      </c>
      <c r="V239" s="221" t="s">
        <v>519</v>
      </c>
      <c r="W239" s="221"/>
      <c r="X239" s="221"/>
      <c r="Y239" s="221" t="s">
        <v>1942</v>
      </c>
      <c r="Z239" s="221" t="s">
        <v>315</v>
      </c>
      <c r="AA239" s="222">
        <v>43256</v>
      </c>
      <c r="AB239" s="221" t="s">
        <v>195</v>
      </c>
      <c r="AC239" s="226">
        <f t="shared" si="7"/>
        <v>0</v>
      </c>
      <c r="AE239" s="147" t="s">
        <v>217</v>
      </c>
      <c r="AF239" s="147" t="s">
        <v>2353</v>
      </c>
      <c r="AH239" s="154" t="s">
        <v>2378</v>
      </c>
    </row>
    <row r="240" spans="1:39">
      <c r="A240" s="147">
        <v>239</v>
      </c>
      <c r="B240" s="223">
        <v>226844</v>
      </c>
      <c r="C240" s="221" t="s">
        <v>121</v>
      </c>
      <c r="D240" s="222">
        <v>43256</v>
      </c>
      <c r="E240" s="160" t="s">
        <v>2355</v>
      </c>
      <c r="F240" s="222">
        <v>43265</v>
      </c>
      <c r="G240" s="221">
        <f t="shared" si="9"/>
        <v>9</v>
      </c>
      <c r="H240" s="221" t="s">
        <v>133</v>
      </c>
      <c r="K240" s="319"/>
      <c r="L240" s="221"/>
      <c r="M240" s="221"/>
      <c r="N240" s="227">
        <f t="shared" si="6"/>
        <v>0</v>
      </c>
      <c r="P240" s="221" t="s">
        <v>264</v>
      </c>
      <c r="Q240" s="221" t="s">
        <v>1342</v>
      </c>
      <c r="R240" s="221" t="s">
        <v>122</v>
      </c>
      <c r="S240" s="145" t="s">
        <v>469</v>
      </c>
      <c r="T240" s="221" t="s">
        <v>114</v>
      </c>
      <c r="U240" s="221" t="s">
        <v>2358</v>
      </c>
      <c r="V240" s="221" t="s">
        <v>222</v>
      </c>
      <c r="Y240" s="221"/>
      <c r="Z240" s="221" t="s">
        <v>170</v>
      </c>
      <c r="AB240" s="221"/>
      <c r="AC240" s="226">
        <f t="shared" si="7"/>
        <v>0</v>
      </c>
      <c r="AE240" s="147" t="s">
        <v>217</v>
      </c>
      <c r="AF240" s="147" t="s">
        <v>2353</v>
      </c>
      <c r="AH240" s="154" t="s">
        <v>2363</v>
      </c>
    </row>
    <row r="241" spans="1:39">
      <c r="A241" s="147">
        <v>240</v>
      </c>
      <c r="B241" s="138">
        <v>227117</v>
      </c>
      <c r="C241" s="221" t="s">
        <v>121</v>
      </c>
      <c r="D241" s="222">
        <v>43257</v>
      </c>
      <c r="E241" s="160" t="s">
        <v>2355</v>
      </c>
      <c r="F241" s="222">
        <v>43267</v>
      </c>
      <c r="G241" s="221">
        <f t="shared" si="9"/>
        <v>10</v>
      </c>
      <c r="H241" s="221" t="s">
        <v>133</v>
      </c>
      <c r="K241" s="319"/>
      <c r="L241" s="221"/>
      <c r="M241" s="221"/>
      <c r="N241" s="227">
        <f t="shared" si="6"/>
        <v>0</v>
      </c>
      <c r="P241" s="221" t="s">
        <v>264</v>
      </c>
      <c r="Q241" s="221" t="s">
        <v>1342</v>
      </c>
      <c r="R241" s="221" t="s">
        <v>134</v>
      </c>
      <c r="S241" s="145" t="s">
        <v>465</v>
      </c>
      <c r="T241" s="221" t="s">
        <v>164</v>
      </c>
      <c r="U241" s="221" t="s">
        <v>492</v>
      </c>
      <c r="V241" s="221" t="s">
        <v>90</v>
      </c>
      <c r="Y241" s="221" t="s">
        <v>316</v>
      </c>
      <c r="Z241" s="221" t="s">
        <v>2302</v>
      </c>
      <c r="AA241" s="222">
        <v>43258</v>
      </c>
      <c r="AB241" s="221">
        <v>1</v>
      </c>
      <c r="AC241" s="226">
        <f t="shared" si="7"/>
        <v>0</v>
      </c>
      <c r="AE241" s="147" t="s">
        <v>217</v>
      </c>
      <c r="AF241" s="147" t="s">
        <v>2353</v>
      </c>
      <c r="AH241" s="154" t="s">
        <v>2362</v>
      </c>
    </row>
    <row r="242" spans="1:39">
      <c r="A242" s="147">
        <v>241</v>
      </c>
      <c r="B242" s="223">
        <v>226936</v>
      </c>
      <c r="C242" s="221" t="s">
        <v>121</v>
      </c>
      <c r="D242" s="222">
        <v>43257</v>
      </c>
      <c r="E242" s="160" t="s">
        <v>2355</v>
      </c>
      <c r="F242" s="222">
        <v>43265</v>
      </c>
      <c r="G242" s="221">
        <f t="shared" si="9"/>
        <v>8</v>
      </c>
      <c r="H242" s="221" t="s">
        <v>133</v>
      </c>
      <c r="K242" s="319"/>
      <c r="L242" s="221"/>
      <c r="M242" s="221"/>
      <c r="N242" s="227">
        <f t="shared" si="6"/>
        <v>0</v>
      </c>
      <c r="P242" s="221" t="s">
        <v>264</v>
      </c>
      <c r="Q242" s="221" t="s">
        <v>1342</v>
      </c>
      <c r="R242" s="221" t="s">
        <v>143</v>
      </c>
      <c r="S242" s="145" t="s">
        <v>465</v>
      </c>
      <c r="T242" s="221" t="s">
        <v>164</v>
      </c>
      <c r="U242" s="221" t="s">
        <v>1197</v>
      </c>
      <c r="V242" s="221" t="s">
        <v>90</v>
      </c>
      <c r="Y242" s="221"/>
      <c r="Z242" s="149" t="s">
        <v>2302</v>
      </c>
      <c r="AB242" s="221"/>
      <c r="AC242" s="226">
        <f t="shared" si="7"/>
        <v>0</v>
      </c>
      <c r="AE242" s="147" t="s">
        <v>217</v>
      </c>
      <c r="AF242" s="147" t="s">
        <v>2353</v>
      </c>
    </row>
    <row r="243" spans="1:39">
      <c r="A243" s="147">
        <v>242</v>
      </c>
      <c r="B243" s="223">
        <v>226783</v>
      </c>
      <c r="C243" s="221" t="s">
        <v>128</v>
      </c>
      <c r="D243" s="222">
        <v>43257</v>
      </c>
      <c r="E243" s="160" t="s">
        <v>2355</v>
      </c>
      <c r="F243" s="222">
        <v>43267</v>
      </c>
      <c r="G243" s="221">
        <f t="shared" si="9"/>
        <v>10</v>
      </c>
      <c r="H243" s="221" t="s">
        <v>133</v>
      </c>
      <c r="K243" s="319">
        <v>2699</v>
      </c>
      <c r="L243" s="221">
        <v>295</v>
      </c>
      <c r="M243" s="221">
        <v>80</v>
      </c>
      <c r="N243" s="227">
        <f t="shared" si="6"/>
        <v>2242.06</v>
      </c>
      <c r="P243" s="221" t="s">
        <v>264</v>
      </c>
      <c r="Q243" s="221" t="s">
        <v>1342</v>
      </c>
      <c r="R243" s="221" t="s">
        <v>210</v>
      </c>
      <c r="S243" s="145" t="s">
        <v>469</v>
      </c>
      <c r="T243" s="221" t="s">
        <v>376</v>
      </c>
      <c r="U243" s="221" t="s">
        <v>2359</v>
      </c>
      <c r="V243" s="221" t="s">
        <v>249</v>
      </c>
      <c r="Y243" s="221" t="s">
        <v>316</v>
      </c>
      <c r="Z243" s="221" t="s">
        <v>147</v>
      </c>
      <c r="AA243" s="222">
        <v>43257</v>
      </c>
      <c r="AB243" s="221" t="s">
        <v>872</v>
      </c>
      <c r="AC243" s="226">
        <f t="shared" si="7"/>
        <v>1</v>
      </c>
      <c r="AD243" s="147" t="s">
        <v>217</v>
      </c>
      <c r="AE243" s="147" t="s">
        <v>218</v>
      </c>
      <c r="AF243" s="147"/>
    </row>
    <row r="244" spans="1:39">
      <c r="A244" s="147">
        <v>243</v>
      </c>
      <c r="B244" s="138">
        <v>226995</v>
      </c>
      <c r="C244" s="221" t="s">
        <v>128</v>
      </c>
      <c r="D244" s="222">
        <v>43257</v>
      </c>
      <c r="E244" s="160" t="s">
        <v>2355</v>
      </c>
      <c r="F244" s="222">
        <v>43269</v>
      </c>
      <c r="G244" s="221">
        <f t="shared" si="9"/>
        <v>12</v>
      </c>
      <c r="H244" s="221" t="s">
        <v>363</v>
      </c>
      <c r="K244" s="319"/>
      <c r="L244" s="221"/>
      <c r="M244" s="221"/>
      <c r="N244" s="227">
        <f t="shared" si="6"/>
        <v>0</v>
      </c>
      <c r="P244" s="221" t="s">
        <v>264</v>
      </c>
      <c r="Q244" s="221" t="s">
        <v>1342</v>
      </c>
      <c r="R244" s="221" t="s">
        <v>134</v>
      </c>
      <c r="S244" s="145" t="s">
        <v>465</v>
      </c>
      <c r="T244" s="221" t="s">
        <v>164</v>
      </c>
      <c r="U244" s="221" t="s">
        <v>2360</v>
      </c>
      <c r="V244" s="221" t="s">
        <v>136</v>
      </c>
      <c r="Y244" s="221" t="s">
        <v>316</v>
      </c>
      <c r="Z244" s="221" t="s">
        <v>1228</v>
      </c>
      <c r="AA244" s="222">
        <v>43258</v>
      </c>
      <c r="AB244" s="221">
        <v>1</v>
      </c>
      <c r="AC244" s="226">
        <f t="shared" si="7"/>
        <v>0</v>
      </c>
      <c r="AF244" s="147"/>
      <c r="AH244" s="154" t="s">
        <v>2383</v>
      </c>
    </row>
    <row r="245" spans="1:39">
      <c r="A245" s="147">
        <v>244</v>
      </c>
      <c r="B245" s="223">
        <v>227226</v>
      </c>
      <c r="C245" s="221" t="s">
        <v>128</v>
      </c>
      <c r="D245" s="222">
        <v>43257</v>
      </c>
      <c r="E245" s="160" t="s">
        <v>2355</v>
      </c>
      <c r="F245" s="222">
        <v>43272</v>
      </c>
      <c r="G245" s="221">
        <f t="shared" si="9"/>
        <v>15</v>
      </c>
      <c r="H245" s="221" t="s">
        <v>133</v>
      </c>
      <c r="K245" s="319">
        <v>999</v>
      </c>
      <c r="L245" s="221">
        <v>300</v>
      </c>
      <c r="M245" s="221">
        <v>90</v>
      </c>
      <c r="N245" s="227">
        <f t="shared" si="6"/>
        <v>639.05999999999995</v>
      </c>
      <c r="P245" s="221" t="s">
        <v>262</v>
      </c>
      <c r="Q245" s="221" t="s">
        <v>1342</v>
      </c>
      <c r="R245" s="221" t="s">
        <v>143</v>
      </c>
      <c r="S245" s="145" t="s">
        <v>465</v>
      </c>
      <c r="T245" s="221" t="s">
        <v>88</v>
      </c>
      <c r="U245" s="221" t="s">
        <v>779</v>
      </c>
      <c r="V245" s="221" t="s">
        <v>2389</v>
      </c>
      <c r="Y245" s="221" t="s">
        <v>316</v>
      </c>
      <c r="Z245" s="221" t="s">
        <v>1228</v>
      </c>
      <c r="AA245" s="222">
        <v>43258</v>
      </c>
      <c r="AB245" s="154" t="s">
        <v>872</v>
      </c>
      <c r="AC245" s="226">
        <f t="shared" si="7"/>
        <v>1</v>
      </c>
      <c r="AD245" s="147" t="s">
        <v>217</v>
      </c>
      <c r="AE245" s="147" t="s">
        <v>218</v>
      </c>
    </row>
    <row r="246" spans="1:39">
      <c r="A246" s="147">
        <v>245</v>
      </c>
      <c r="B246" s="223">
        <v>226563</v>
      </c>
      <c r="C246" s="221" t="s">
        <v>129</v>
      </c>
      <c r="D246" s="222">
        <v>43257</v>
      </c>
      <c r="E246" s="160" t="s">
        <v>2355</v>
      </c>
      <c r="F246" s="222">
        <v>43265</v>
      </c>
      <c r="G246" s="221">
        <f t="shared" si="9"/>
        <v>8</v>
      </c>
      <c r="H246" s="221" t="s">
        <v>133</v>
      </c>
      <c r="K246" s="319">
        <v>1551</v>
      </c>
      <c r="L246" s="221"/>
      <c r="M246" s="221"/>
      <c r="N246" s="227">
        <f t="shared" si="6"/>
        <v>0</v>
      </c>
      <c r="P246" s="221" t="s">
        <v>264</v>
      </c>
      <c r="Q246" s="221" t="s">
        <v>1342</v>
      </c>
      <c r="R246" s="221" t="s">
        <v>501</v>
      </c>
      <c r="S246" s="145" t="s">
        <v>466</v>
      </c>
      <c r="T246" s="221" t="s">
        <v>114</v>
      </c>
      <c r="U246" s="221" t="s">
        <v>2364</v>
      </c>
      <c r="V246" s="221" t="s">
        <v>2365</v>
      </c>
      <c r="Y246" s="221"/>
      <c r="AC246" s="226">
        <f t="shared" si="7"/>
        <v>0</v>
      </c>
      <c r="AE246" s="147" t="s">
        <v>217</v>
      </c>
      <c r="AF246" s="147" t="s">
        <v>2353</v>
      </c>
    </row>
    <row r="247" spans="1:39" s="315" customFormat="1">
      <c r="A247" s="147">
        <v>246</v>
      </c>
      <c r="B247" s="223">
        <v>226700</v>
      </c>
      <c r="C247" s="221" t="s">
        <v>121</v>
      </c>
      <c r="D247" s="222">
        <v>43257</v>
      </c>
      <c r="E247" s="160" t="s">
        <v>2355</v>
      </c>
      <c r="F247" s="222">
        <v>43264</v>
      </c>
      <c r="G247" s="221">
        <f t="shared" si="9"/>
        <v>7</v>
      </c>
      <c r="H247" s="221" t="s">
        <v>133</v>
      </c>
      <c r="I247" s="324"/>
      <c r="J247" s="324"/>
      <c r="K247" s="319">
        <v>4999</v>
      </c>
      <c r="L247" s="221"/>
      <c r="M247" s="221"/>
      <c r="N247" s="227">
        <f t="shared" si="6"/>
        <v>0</v>
      </c>
      <c r="O247" s="154"/>
      <c r="P247" s="221" t="s">
        <v>264</v>
      </c>
      <c r="Q247" s="221" t="s">
        <v>1342</v>
      </c>
      <c r="R247" s="221" t="s">
        <v>691</v>
      </c>
      <c r="S247" s="145" t="s">
        <v>466</v>
      </c>
      <c r="T247" s="221" t="s">
        <v>114</v>
      </c>
      <c r="U247" s="221" t="s">
        <v>2366</v>
      </c>
      <c r="V247" s="221" t="s">
        <v>2367</v>
      </c>
      <c r="W247" s="324"/>
      <c r="X247" s="324"/>
      <c r="Y247" s="221"/>
      <c r="Z247" s="221" t="s">
        <v>170</v>
      </c>
      <c r="AA247" s="222"/>
      <c r="AB247" s="154"/>
      <c r="AC247" s="226">
        <f t="shared" si="7"/>
        <v>0</v>
      </c>
      <c r="AD247" s="147"/>
      <c r="AE247" s="147" t="s">
        <v>217</v>
      </c>
      <c r="AF247" s="147" t="s">
        <v>2353</v>
      </c>
      <c r="AG247" s="324"/>
      <c r="AH247" s="154"/>
      <c r="AI247" s="324"/>
      <c r="AJ247" s="324"/>
      <c r="AK247" s="324"/>
      <c r="AL247" s="324"/>
      <c r="AM247" s="324"/>
    </row>
    <row r="248" spans="1:39" s="315" customFormat="1">
      <c r="A248" s="147">
        <v>247</v>
      </c>
      <c r="B248" s="223">
        <v>227028</v>
      </c>
      <c r="C248" s="221" t="s">
        <v>121</v>
      </c>
      <c r="D248" s="222">
        <v>43258</v>
      </c>
      <c r="E248" s="160" t="s">
        <v>2355</v>
      </c>
      <c r="F248" s="222">
        <v>43266</v>
      </c>
      <c r="G248" s="221">
        <f t="shared" si="9"/>
        <v>8</v>
      </c>
      <c r="H248" s="221" t="s">
        <v>363</v>
      </c>
      <c r="I248" s="324"/>
      <c r="J248" s="324"/>
      <c r="K248" s="319"/>
      <c r="L248" s="221"/>
      <c r="M248" s="221"/>
      <c r="N248" s="227">
        <f t="shared" si="6"/>
        <v>0</v>
      </c>
      <c r="O248" s="154"/>
      <c r="P248" s="221" t="s">
        <v>264</v>
      </c>
      <c r="Q248" s="221" t="s">
        <v>1342</v>
      </c>
      <c r="R248" s="221" t="s">
        <v>122</v>
      </c>
      <c r="S248" s="145" t="s">
        <v>469</v>
      </c>
      <c r="T248" s="221" t="s">
        <v>829</v>
      </c>
      <c r="U248" s="221" t="s">
        <v>2392</v>
      </c>
      <c r="V248" s="221" t="s">
        <v>2393</v>
      </c>
      <c r="W248" s="324"/>
      <c r="X248" s="324"/>
      <c r="Y248" s="221"/>
      <c r="Z248" s="221" t="s">
        <v>292</v>
      </c>
      <c r="AA248" s="222"/>
      <c r="AB248" s="221"/>
      <c r="AC248" s="226">
        <f t="shared" si="7"/>
        <v>0</v>
      </c>
      <c r="AD248" s="147"/>
      <c r="AE248" s="147"/>
      <c r="AF248" s="147"/>
      <c r="AG248" s="324"/>
      <c r="AH248" s="154" t="s">
        <v>2394</v>
      </c>
      <c r="AI248" s="324"/>
      <c r="AJ248" s="324"/>
      <c r="AK248" s="324"/>
      <c r="AL248" s="324"/>
      <c r="AM248" s="324"/>
    </row>
    <row r="249" spans="1:39" s="315" customFormat="1">
      <c r="A249" s="147">
        <v>248</v>
      </c>
      <c r="B249" s="223">
        <v>227580</v>
      </c>
      <c r="C249" s="221" t="s">
        <v>121</v>
      </c>
      <c r="D249" s="222">
        <v>43262</v>
      </c>
      <c r="E249" s="160" t="s">
        <v>2355</v>
      </c>
      <c r="F249" s="222">
        <v>43274</v>
      </c>
      <c r="G249" s="221">
        <f t="shared" si="9"/>
        <v>12</v>
      </c>
      <c r="H249" s="221" t="s">
        <v>133</v>
      </c>
      <c r="I249" s="324"/>
      <c r="J249" s="324"/>
      <c r="K249" s="319">
        <v>2499</v>
      </c>
      <c r="L249" s="221"/>
      <c r="M249" s="221"/>
      <c r="N249" s="227">
        <f t="shared" si="6"/>
        <v>0</v>
      </c>
      <c r="O249" s="154"/>
      <c r="P249" s="221" t="s">
        <v>264</v>
      </c>
      <c r="Q249" s="221" t="s">
        <v>1342</v>
      </c>
      <c r="R249" s="221" t="s">
        <v>122</v>
      </c>
      <c r="S249" s="145" t="s">
        <v>469</v>
      </c>
      <c r="T249" s="221" t="s">
        <v>114</v>
      </c>
      <c r="U249" s="221" t="s">
        <v>2368</v>
      </c>
      <c r="V249" s="221" t="s">
        <v>222</v>
      </c>
      <c r="W249" s="324"/>
      <c r="X249" s="324"/>
      <c r="Y249" s="221"/>
      <c r="Z249" s="221" t="s">
        <v>170</v>
      </c>
      <c r="AA249" s="222"/>
      <c r="AB249" s="154"/>
      <c r="AC249" s="226">
        <f t="shared" si="7"/>
        <v>0</v>
      </c>
      <c r="AD249" s="147"/>
      <c r="AE249" s="147" t="s">
        <v>217</v>
      </c>
      <c r="AF249" s="147" t="s">
        <v>2353</v>
      </c>
      <c r="AG249" s="324"/>
      <c r="AH249" s="154"/>
      <c r="AI249" s="324"/>
      <c r="AJ249" s="324"/>
      <c r="AK249" s="324"/>
      <c r="AL249" s="324"/>
      <c r="AM249" s="324"/>
    </row>
    <row r="250" spans="1:39" s="315" customFormat="1">
      <c r="A250" s="147">
        <v>249</v>
      </c>
      <c r="B250" s="223">
        <v>227816</v>
      </c>
      <c r="C250" s="221" t="s">
        <v>121</v>
      </c>
      <c r="D250" s="222">
        <v>43262</v>
      </c>
      <c r="E250" s="160" t="s">
        <v>2355</v>
      </c>
      <c r="F250" s="222">
        <v>43276</v>
      </c>
      <c r="G250" s="221">
        <f t="shared" si="9"/>
        <v>14</v>
      </c>
      <c r="H250" s="221" t="s">
        <v>133</v>
      </c>
      <c r="I250" s="324"/>
      <c r="J250" s="324"/>
      <c r="K250" s="319"/>
      <c r="L250" s="221"/>
      <c r="M250" s="221"/>
      <c r="N250" s="227">
        <f t="shared" si="6"/>
        <v>0</v>
      </c>
      <c r="O250" s="154"/>
      <c r="P250" s="221"/>
      <c r="Q250" s="221"/>
      <c r="R250" s="221" t="s">
        <v>122</v>
      </c>
      <c r="S250" s="145" t="s">
        <v>469</v>
      </c>
      <c r="T250" s="221" t="s">
        <v>114</v>
      </c>
      <c r="U250" s="221" t="s">
        <v>2379</v>
      </c>
      <c r="V250" s="221" t="s">
        <v>222</v>
      </c>
      <c r="W250" s="324"/>
      <c r="X250" s="324"/>
      <c r="Y250" s="221"/>
      <c r="Z250" s="221" t="s">
        <v>170</v>
      </c>
      <c r="AA250" s="222"/>
      <c r="AB250" s="154"/>
      <c r="AC250" s="226">
        <f t="shared" si="7"/>
        <v>0</v>
      </c>
      <c r="AD250" s="147"/>
      <c r="AE250" s="147" t="s">
        <v>217</v>
      </c>
      <c r="AF250" s="147" t="s">
        <v>2353</v>
      </c>
      <c r="AG250" s="324"/>
      <c r="AH250" s="154"/>
      <c r="AI250" s="324"/>
      <c r="AJ250" s="324"/>
      <c r="AK250" s="324"/>
      <c r="AL250" s="324"/>
      <c r="AM250" s="324"/>
    </row>
    <row r="251" spans="1:39" s="315" customFormat="1">
      <c r="A251" s="147">
        <v>250</v>
      </c>
      <c r="B251" s="223">
        <v>227636</v>
      </c>
      <c r="C251" s="221" t="s">
        <v>128</v>
      </c>
      <c r="D251" s="222">
        <v>43262</v>
      </c>
      <c r="E251" s="160" t="s">
        <v>2355</v>
      </c>
      <c r="F251" s="222">
        <v>43275</v>
      </c>
      <c r="G251" s="221">
        <f t="shared" si="9"/>
        <v>13</v>
      </c>
      <c r="H251" s="221" t="s">
        <v>133</v>
      </c>
      <c r="I251" s="324"/>
      <c r="J251" s="324"/>
      <c r="K251" s="319"/>
      <c r="L251" s="221"/>
      <c r="M251" s="221"/>
      <c r="N251" s="227">
        <f t="shared" si="6"/>
        <v>0</v>
      </c>
      <c r="O251" s="154"/>
      <c r="P251" s="221"/>
      <c r="Q251" s="221"/>
      <c r="R251" s="221" t="s">
        <v>122</v>
      </c>
      <c r="S251" s="145" t="s">
        <v>469</v>
      </c>
      <c r="T251" s="221" t="s">
        <v>164</v>
      </c>
      <c r="U251" s="221" t="s">
        <v>2192</v>
      </c>
      <c r="V251" s="221" t="s">
        <v>2380</v>
      </c>
      <c r="W251" s="324"/>
      <c r="X251" s="324"/>
      <c r="Y251" s="221" t="s">
        <v>1942</v>
      </c>
      <c r="Z251" s="221" t="s">
        <v>253</v>
      </c>
      <c r="AA251" s="222"/>
      <c r="AB251" s="154" t="s">
        <v>2386</v>
      </c>
      <c r="AC251" s="226">
        <f t="shared" si="7"/>
        <v>0</v>
      </c>
      <c r="AD251" s="147"/>
      <c r="AE251" s="147" t="s">
        <v>2387</v>
      </c>
      <c r="AF251" s="147" t="s">
        <v>2353</v>
      </c>
      <c r="AG251" s="324"/>
      <c r="AH251" s="154"/>
      <c r="AI251" s="324"/>
      <c r="AJ251" s="324"/>
      <c r="AK251" s="324"/>
      <c r="AL251" s="324"/>
      <c r="AM251" s="324"/>
    </row>
    <row r="252" spans="1:39">
      <c r="A252" s="147">
        <v>251</v>
      </c>
      <c r="B252" s="223">
        <v>227850</v>
      </c>
      <c r="C252" s="221" t="s">
        <v>121</v>
      </c>
      <c r="D252" s="222">
        <v>43262</v>
      </c>
      <c r="E252" s="160" t="s">
        <v>2355</v>
      </c>
      <c r="F252" s="222">
        <v>43276</v>
      </c>
      <c r="G252" s="221">
        <f t="shared" si="9"/>
        <v>14</v>
      </c>
      <c r="H252" s="221" t="s">
        <v>133</v>
      </c>
      <c r="K252" s="319"/>
      <c r="L252" s="221"/>
      <c r="M252" s="221"/>
      <c r="N252" s="227">
        <f t="shared" si="6"/>
        <v>0</v>
      </c>
      <c r="P252" s="221" t="s">
        <v>264</v>
      </c>
      <c r="Q252" s="221" t="s">
        <v>1342</v>
      </c>
      <c r="R252" s="221" t="s">
        <v>122</v>
      </c>
      <c r="S252" s="145" t="s">
        <v>469</v>
      </c>
      <c r="T252" s="221" t="s">
        <v>114</v>
      </c>
      <c r="U252" s="221" t="s">
        <v>2391</v>
      </c>
      <c r="V252" s="221" t="s">
        <v>222</v>
      </c>
      <c r="Y252" s="221"/>
      <c r="Z252" s="221" t="s">
        <v>170</v>
      </c>
      <c r="AB252" s="221"/>
      <c r="AC252" s="226">
        <f t="shared" si="7"/>
        <v>0</v>
      </c>
      <c r="AE252" s="147" t="s">
        <v>217</v>
      </c>
      <c r="AF252" s="147" t="s">
        <v>2353</v>
      </c>
    </row>
    <row r="253" spans="1:39">
      <c r="A253" s="147">
        <v>252</v>
      </c>
      <c r="B253" s="223">
        <v>227196</v>
      </c>
      <c r="C253" s="221" t="s">
        <v>121</v>
      </c>
      <c r="D253" s="222">
        <v>43263</v>
      </c>
      <c r="E253" s="160" t="s">
        <v>2355</v>
      </c>
      <c r="F253" s="222">
        <v>43269</v>
      </c>
      <c r="G253" s="221">
        <f t="shared" si="9"/>
        <v>6</v>
      </c>
      <c r="H253" s="221" t="s">
        <v>133</v>
      </c>
      <c r="K253" s="319"/>
      <c r="L253" s="221"/>
      <c r="M253" s="221"/>
      <c r="N253" s="227">
        <f t="shared" si="6"/>
        <v>0</v>
      </c>
      <c r="P253" s="221"/>
      <c r="Q253" s="221"/>
      <c r="R253" s="221" t="s">
        <v>237</v>
      </c>
      <c r="S253" s="145" t="s">
        <v>465</v>
      </c>
      <c r="T253" s="221" t="s">
        <v>238</v>
      </c>
      <c r="U253" s="221" t="s">
        <v>2381</v>
      </c>
      <c r="V253" s="221" t="s">
        <v>2382</v>
      </c>
      <c r="Y253" s="221"/>
      <c r="Z253" s="221" t="s">
        <v>434</v>
      </c>
      <c r="AC253" s="226">
        <f t="shared" si="7"/>
        <v>0</v>
      </c>
      <c r="AE253" s="147" t="s">
        <v>217</v>
      </c>
      <c r="AF253" s="147" t="s">
        <v>2353</v>
      </c>
    </row>
    <row r="254" spans="1:39">
      <c r="A254" s="147">
        <v>253</v>
      </c>
      <c r="B254" s="223">
        <v>227944</v>
      </c>
      <c r="C254" s="221" t="s">
        <v>1130</v>
      </c>
      <c r="D254" s="222">
        <v>43265</v>
      </c>
      <c r="E254" s="160" t="s">
        <v>2355</v>
      </c>
      <c r="F254" s="222">
        <v>43278</v>
      </c>
      <c r="G254" s="221">
        <f t="shared" si="9"/>
        <v>13</v>
      </c>
      <c r="H254" s="221" t="s">
        <v>133</v>
      </c>
      <c r="K254" s="319">
        <v>2299</v>
      </c>
      <c r="L254" s="221">
        <v>290</v>
      </c>
      <c r="M254" s="221">
        <v>250</v>
      </c>
      <c r="N254" s="227">
        <f t="shared" si="6"/>
        <v>1871.06</v>
      </c>
      <c r="P254" s="221" t="s">
        <v>262</v>
      </c>
      <c r="Q254" s="221" t="s">
        <v>1342</v>
      </c>
      <c r="R254" s="221" t="s">
        <v>122</v>
      </c>
      <c r="S254" s="145" t="s">
        <v>469</v>
      </c>
      <c r="T254" s="221" t="s">
        <v>114</v>
      </c>
      <c r="U254" s="221" t="s">
        <v>986</v>
      </c>
      <c r="V254" s="221" t="s">
        <v>169</v>
      </c>
      <c r="Y254" s="221" t="s">
        <v>1942</v>
      </c>
      <c r="Z254" s="221" t="s">
        <v>170</v>
      </c>
      <c r="AA254" s="222">
        <v>43270</v>
      </c>
      <c r="AB254" s="221"/>
      <c r="AC254" s="226">
        <f t="shared" si="7"/>
        <v>1</v>
      </c>
      <c r="AD254" s="147" t="s">
        <v>217</v>
      </c>
      <c r="AE254" s="147" t="s">
        <v>218</v>
      </c>
      <c r="AF254" s="147"/>
    </row>
    <row r="255" spans="1:39">
      <c r="A255" s="147">
        <v>254</v>
      </c>
      <c r="B255" s="223">
        <v>228068</v>
      </c>
      <c r="C255" s="221" t="s">
        <v>128</v>
      </c>
      <c r="D255" s="222">
        <v>43269</v>
      </c>
      <c r="E255" s="160" t="s">
        <v>2355</v>
      </c>
      <c r="F255" s="222">
        <v>43305</v>
      </c>
      <c r="G255" s="221">
        <f t="shared" si="9"/>
        <v>36</v>
      </c>
      <c r="H255" s="221" t="s">
        <v>133</v>
      </c>
      <c r="K255" s="319">
        <v>3299</v>
      </c>
      <c r="L255" s="221">
        <v>360</v>
      </c>
      <c r="M255" s="221">
        <v>25</v>
      </c>
      <c r="N255" s="227">
        <f t="shared" si="6"/>
        <v>2741.06</v>
      </c>
      <c r="P255" s="221" t="s">
        <v>263</v>
      </c>
      <c r="Q255" s="221" t="s">
        <v>1341</v>
      </c>
      <c r="R255" s="221" t="s">
        <v>691</v>
      </c>
      <c r="S255" s="145" t="s">
        <v>466</v>
      </c>
      <c r="T255" s="221" t="s">
        <v>255</v>
      </c>
      <c r="U255" s="221" t="s">
        <v>2388</v>
      </c>
      <c r="V255" s="221" t="s">
        <v>257</v>
      </c>
      <c r="Y255" s="221"/>
      <c r="Z255" s="221" t="s">
        <v>2167</v>
      </c>
      <c r="AA255" s="222">
        <v>43283</v>
      </c>
      <c r="AB255" s="221" t="s">
        <v>195</v>
      </c>
      <c r="AC255" s="226">
        <f t="shared" si="7"/>
        <v>1</v>
      </c>
      <c r="AD255" s="147" t="s">
        <v>217</v>
      </c>
      <c r="AE255" s="147" t="s">
        <v>218</v>
      </c>
      <c r="AF255" s="147"/>
      <c r="AH255" s="154" t="s">
        <v>2407</v>
      </c>
    </row>
    <row r="256" spans="1:39" s="315" customFormat="1">
      <c r="A256" s="147">
        <v>255</v>
      </c>
      <c r="B256" s="223">
        <v>228111</v>
      </c>
      <c r="C256" s="221" t="s">
        <v>1130</v>
      </c>
      <c r="D256" s="222">
        <v>43269</v>
      </c>
      <c r="E256" s="160" t="s">
        <v>2355</v>
      </c>
      <c r="F256" s="222">
        <v>43282</v>
      </c>
      <c r="G256" s="221">
        <f t="shared" si="9"/>
        <v>13</v>
      </c>
      <c r="H256" s="221" t="s">
        <v>363</v>
      </c>
      <c r="I256" s="324"/>
      <c r="J256" s="324"/>
      <c r="K256" s="319"/>
      <c r="L256" s="221"/>
      <c r="M256" s="221"/>
      <c r="N256" s="227">
        <f t="shared" si="6"/>
        <v>0</v>
      </c>
      <c r="O256" s="154"/>
      <c r="P256" s="221" t="s">
        <v>264</v>
      </c>
      <c r="Q256" s="221" t="s">
        <v>1342</v>
      </c>
      <c r="R256" s="221" t="s">
        <v>122</v>
      </c>
      <c r="S256" s="145" t="s">
        <v>469</v>
      </c>
      <c r="T256" s="221" t="s">
        <v>114</v>
      </c>
      <c r="U256" s="221" t="s">
        <v>810</v>
      </c>
      <c r="V256" s="221" t="s">
        <v>169</v>
      </c>
      <c r="W256" s="324"/>
      <c r="X256" s="324"/>
      <c r="Y256" s="221" t="s">
        <v>1942</v>
      </c>
      <c r="Z256" s="221" t="s">
        <v>170</v>
      </c>
      <c r="AA256" s="222"/>
      <c r="AB256" s="221"/>
      <c r="AC256" s="226">
        <f t="shared" si="7"/>
        <v>0</v>
      </c>
      <c r="AD256" s="147"/>
      <c r="AE256" s="147"/>
      <c r="AF256" s="147"/>
      <c r="AG256" s="324"/>
      <c r="AH256" s="154" t="s">
        <v>2413</v>
      </c>
      <c r="AI256" s="324"/>
      <c r="AJ256" s="324"/>
      <c r="AK256" s="324"/>
      <c r="AL256" s="324"/>
      <c r="AM256" s="324"/>
    </row>
    <row r="257" spans="1:39" s="315" customFormat="1">
      <c r="A257" s="147">
        <v>256</v>
      </c>
      <c r="B257" s="223">
        <v>228051</v>
      </c>
      <c r="C257" s="221" t="s">
        <v>128</v>
      </c>
      <c r="D257" s="222">
        <v>43269</v>
      </c>
      <c r="E257" s="160" t="s">
        <v>2355</v>
      </c>
      <c r="F257" s="222">
        <v>43282</v>
      </c>
      <c r="G257" s="221">
        <f t="shared" si="9"/>
        <v>13</v>
      </c>
      <c r="H257" s="221" t="s">
        <v>133</v>
      </c>
      <c r="I257" s="324"/>
      <c r="J257" s="324"/>
      <c r="K257" s="319"/>
      <c r="L257" s="221"/>
      <c r="M257" s="221"/>
      <c r="N257" s="227">
        <f t="shared" si="6"/>
        <v>0</v>
      </c>
      <c r="O257" s="154"/>
      <c r="P257" s="221" t="s">
        <v>264</v>
      </c>
      <c r="Q257" s="221" t="s">
        <v>1342</v>
      </c>
      <c r="R257" s="221" t="s">
        <v>122</v>
      </c>
      <c r="S257" s="145" t="s">
        <v>469</v>
      </c>
      <c r="T257" s="221" t="s">
        <v>164</v>
      </c>
      <c r="U257" s="221" t="s">
        <v>2395</v>
      </c>
      <c r="V257" s="221" t="s">
        <v>90</v>
      </c>
      <c r="W257" s="324"/>
      <c r="X257" s="324"/>
      <c r="Y257" s="221"/>
      <c r="Z257" s="221" t="s">
        <v>253</v>
      </c>
      <c r="AA257" s="222"/>
      <c r="AB257" s="221"/>
      <c r="AC257" s="226">
        <f t="shared" si="7"/>
        <v>0</v>
      </c>
      <c r="AD257" s="147"/>
      <c r="AE257" s="147" t="s">
        <v>217</v>
      </c>
      <c r="AF257" s="147" t="s">
        <v>2353</v>
      </c>
      <c r="AG257" s="324"/>
      <c r="AH257" s="154"/>
      <c r="AI257" s="324"/>
      <c r="AJ257" s="324"/>
      <c r="AK257" s="324"/>
      <c r="AL257" s="324"/>
      <c r="AM257" s="324"/>
    </row>
    <row r="258" spans="1:39" s="315" customFormat="1">
      <c r="A258" s="147">
        <v>257</v>
      </c>
      <c r="B258" s="223">
        <v>227461</v>
      </c>
      <c r="C258" s="221" t="s">
        <v>121</v>
      </c>
      <c r="D258" s="222">
        <v>43269</v>
      </c>
      <c r="E258" s="160" t="s">
        <v>2355</v>
      </c>
      <c r="F258" s="222">
        <v>43296</v>
      </c>
      <c r="G258" s="221">
        <f t="shared" si="9"/>
        <v>27</v>
      </c>
      <c r="H258" s="221" t="s">
        <v>133</v>
      </c>
      <c r="I258" s="324"/>
      <c r="J258" s="324"/>
      <c r="K258" s="319">
        <v>3989</v>
      </c>
      <c r="L258" s="221"/>
      <c r="M258" s="221"/>
      <c r="N258" s="227">
        <f t="shared" ref="N258:N321" si="10">IF(AE258="Reemplazo",0,K258-(K258*0.12*0.5)-(MAX(L258,M258)))</f>
        <v>0</v>
      </c>
      <c r="O258" s="154"/>
      <c r="P258" s="221" t="s">
        <v>264</v>
      </c>
      <c r="Q258" s="221" t="s">
        <v>1342</v>
      </c>
      <c r="R258" s="221" t="s">
        <v>122</v>
      </c>
      <c r="S258" s="145" t="s">
        <v>469</v>
      </c>
      <c r="T258" s="221" t="s">
        <v>164</v>
      </c>
      <c r="U258" s="221" t="s">
        <v>2396</v>
      </c>
      <c r="V258" s="221" t="s">
        <v>169</v>
      </c>
      <c r="W258" s="324"/>
      <c r="X258" s="324"/>
      <c r="Y258" s="221"/>
      <c r="Z258" s="221" t="s">
        <v>404</v>
      </c>
      <c r="AA258" s="222"/>
      <c r="AB258" s="221"/>
      <c r="AC258" s="226">
        <f t="shared" ref="AC258:AC321" si="11">+IF(N258&gt;0,1,0)</f>
        <v>0</v>
      </c>
      <c r="AD258" s="147"/>
      <c r="AE258" s="147" t="s">
        <v>217</v>
      </c>
      <c r="AF258" s="147" t="s">
        <v>2353</v>
      </c>
      <c r="AG258" s="324"/>
      <c r="AH258" s="154"/>
      <c r="AI258" s="324"/>
      <c r="AJ258" s="324"/>
      <c r="AK258" s="324"/>
      <c r="AL258" s="324"/>
      <c r="AM258" s="324"/>
    </row>
    <row r="259" spans="1:39" s="315" customFormat="1">
      <c r="A259" s="147">
        <v>258</v>
      </c>
      <c r="B259" s="223">
        <v>227328</v>
      </c>
      <c r="C259" s="221" t="s">
        <v>121</v>
      </c>
      <c r="D259" s="222">
        <v>43269</v>
      </c>
      <c r="E259" s="160" t="s">
        <v>2355</v>
      </c>
      <c r="F259" s="222">
        <v>43272</v>
      </c>
      <c r="G259" s="221">
        <f t="shared" si="9"/>
        <v>3</v>
      </c>
      <c r="H259" s="221" t="s">
        <v>133</v>
      </c>
      <c r="I259" s="324"/>
      <c r="J259" s="324"/>
      <c r="K259" s="319">
        <v>2999</v>
      </c>
      <c r="L259" s="221"/>
      <c r="M259" s="221"/>
      <c r="N259" s="227">
        <f t="shared" si="10"/>
        <v>0</v>
      </c>
      <c r="O259" s="154"/>
      <c r="P259" s="221" t="s">
        <v>264</v>
      </c>
      <c r="Q259" s="221" t="s">
        <v>1342</v>
      </c>
      <c r="R259" s="221" t="s">
        <v>122</v>
      </c>
      <c r="S259" s="145" t="s">
        <v>469</v>
      </c>
      <c r="T259" s="221" t="s">
        <v>164</v>
      </c>
      <c r="U259" s="221" t="s">
        <v>2397</v>
      </c>
      <c r="V259" s="221" t="s">
        <v>169</v>
      </c>
      <c r="W259" s="324"/>
      <c r="X259" s="324"/>
      <c r="Y259" s="221"/>
      <c r="Z259" s="221" t="s">
        <v>2302</v>
      </c>
      <c r="AA259" s="222"/>
      <c r="AB259" s="221"/>
      <c r="AC259" s="226">
        <f t="shared" si="11"/>
        <v>0</v>
      </c>
      <c r="AD259" s="147"/>
      <c r="AE259" s="147" t="s">
        <v>217</v>
      </c>
      <c r="AF259" s="147" t="s">
        <v>2353</v>
      </c>
      <c r="AG259" s="324"/>
      <c r="AH259" s="154"/>
      <c r="AI259" s="324"/>
      <c r="AJ259" s="324"/>
      <c r="AK259" s="324"/>
      <c r="AL259" s="324"/>
      <c r="AM259" s="324"/>
    </row>
    <row r="260" spans="1:39" s="315" customFormat="1">
      <c r="A260" s="147">
        <v>259</v>
      </c>
      <c r="B260" s="223">
        <v>227721</v>
      </c>
      <c r="C260" s="221" t="s">
        <v>128</v>
      </c>
      <c r="D260" s="222">
        <v>43270</v>
      </c>
      <c r="E260" s="160" t="s">
        <v>2355</v>
      </c>
      <c r="F260" s="222">
        <v>43293</v>
      </c>
      <c r="G260" s="221">
        <f t="shared" si="9"/>
        <v>23</v>
      </c>
      <c r="H260" s="221" t="s">
        <v>133</v>
      </c>
      <c r="I260" s="324"/>
      <c r="J260" s="324"/>
      <c r="K260" s="319">
        <v>1399</v>
      </c>
      <c r="L260" s="221"/>
      <c r="M260" s="221"/>
      <c r="N260" s="227">
        <f t="shared" si="10"/>
        <v>0</v>
      </c>
      <c r="O260" s="154"/>
      <c r="P260" s="221" t="s">
        <v>261</v>
      </c>
      <c r="Q260" s="224" t="s">
        <v>1341</v>
      </c>
      <c r="R260" s="221" t="s">
        <v>122</v>
      </c>
      <c r="S260" s="145" t="s">
        <v>469</v>
      </c>
      <c r="T260" s="221" t="s">
        <v>1541</v>
      </c>
      <c r="U260" s="221" t="s">
        <v>2398</v>
      </c>
      <c r="V260" s="221" t="s">
        <v>222</v>
      </c>
      <c r="W260" s="324"/>
      <c r="X260" s="324"/>
      <c r="Y260" s="221"/>
      <c r="Z260" s="221" t="s">
        <v>296</v>
      </c>
      <c r="AA260" s="222"/>
      <c r="AB260" s="221"/>
      <c r="AC260" s="226">
        <f t="shared" si="11"/>
        <v>0</v>
      </c>
      <c r="AD260" s="147"/>
      <c r="AE260" s="147" t="s">
        <v>217</v>
      </c>
      <c r="AF260" s="147" t="s">
        <v>2353</v>
      </c>
      <c r="AG260" s="324"/>
      <c r="AH260" s="154"/>
      <c r="AI260" s="324"/>
      <c r="AJ260" s="324"/>
      <c r="AK260" s="324"/>
      <c r="AL260" s="324"/>
      <c r="AM260" s="324"/>
    </row>
    <row r="261" spans="1:39" s="315" customFormat="1" ht="14.25" customHeight="1">
      <c r="A261" s="147">
        <v>260</v>
      </c>
      <c r="B261" s="223">
        <v>228192</v>
      </c>
      <c r="C261" s="221" t="s">
        <v>121</v>
      </c>
      <c r="D261" s="222">
        <v>43270</v>
      </c>
      <c r="E261" s="160" t="s">
        <v>2355</v>
      </c>
      <c r="F261" s="222">
        <v>43281</v>
      </c>
      <c r="G261" s="221">
        <f t="shared" si="9"/>
        <v>11</v>
      </c>
      <c r="H261" s="221" t="s">
        <v>133</v>
      </c>
      <c r="I261" s="324"/>
      <c r="J261" s="324"/>
      <c r="K261" s="319">
        <v>1399</v>
      </c>
      <c r="L261" s="221">
        <v>1610</v>
      </c>
      <c r="M261" s="221"/>
      <c r="N261" s="227">
        <f t="shared" si="10"/>
        <v>0</v>
      </c>
      <c r="O261" s="154"/>
      <c r="P261" s="221" t="s">
        <v>262</v>
      </c>
      <c r="Q261" s="221" t="s">
        <v>1342</v>
      </c>
      <c r="R261" s="221" t="s">
        <v>122</v>
      </c>
      <c r="S261" s="145" t="s">
        <v>469</v>
      </c>
      <c r="T261" s="221" t="s">
        <v>164</v>
      </c>
      <c r="U261" s="221" t="s">
        <v>2346</v>
      </c>
      <c r="V261" s="221" t="s">
        <v>222</v>
      </c>
      <c r="W261" s="324"/>
      <c r="X261" s="324"/>
      <c r="Y261" s="221"/>
      <c r="Z261" s="221" t="s">
        <v>2414</v>
      </c>
      <c r="AA261" s="222"/>
      <c r="AB261" s="221"/>
      <c r="AC261" s="226">
        <f t="shared" si="11"/>
        <v>0</v>
      </c>
      <c r="AD261" s="147"/>
      <c r="AE261" s="147" t="s">
        <v>217</v>
      </c>
      <c r="AF261" s="147" t="s">
        <v>1021</v>
      </c>
      <c r="AG261" s="324"/>
      <c r="AH261" s="154"/>
      <c r="AI261" s="324"/>
      <c r="AJ261" s="324"/>
      <c r="AK261" s="324"/>
      <c r="AL261" s="324"/>
      <c r="AM261" s="324"/>
    </row>
    <row r="262" spans="1:39" s="315" customFormat="1" ht="14.25" customHeight="1">
      <c r="A262" s="147">
        <v>261</v>
      </c>
      <c r="B262" s="223">
        <v>228248</v>
      </c>
      <c r="C262" s="221" t="s">
        <v>121</v>
      </c>
      <c r="D262" s="222">
        <v>43270</v>
      </c>
      <c r="E262" s="160" t="s">
        <v>2355</v>
      </c>
      <c r="F262" s="222">
        <v>43282</v>
      </c>
      <c r="G262" s="221">
        <f t="shared" si="9"/>
        <v>12</v>
      </c>
      <c r="H262" s="221" t="s">
        <v>133</v>
      </c>
      <c r="I262" s="324"/>
      <c r="J262" s="324"/>
      <c r="K262" s="319">
        <v>1699</v>
      </c>
      <c r="L262" s="221">
        <v>2195</v>
      </c>
      <c r="M262" s="221"/>
      <c r="N262" s="227">
        <f t="shared" si="10"/>
        <v>0</v>
      </c>
      <c r="O262" s="154"/>
      <c r="P262" s="221" t="s">
        <v>264</v>
      </c>
      <c r="Q262" s="221" t="s">
        <v>1342</v>
      </c>
      <c r="R262" s="221" t="s">
        <v>122</v>
      </c>
      <c r="S262" s="145" t="s">
        <v>469</v>
      </c>
      <c r="T262" s="221" t="s">
        <v>164</v>
      </c>
      <c r="U262" s="221" t="s">
        <v>1386</v>
      </c>
      <c r="V262" s="221" t="s">
        <v>222</v>
      </c>
      <c r="W262" s="324"/>
      <c r="X262" s="324"/>
      <c r="Y262" s="221"/>
      <c r="Z262" s="221" t="s">
        <v>2414</v>
      </c>
      <c r="AA262" s="222"/>
      <c r="AB262" s="221"/>
      <c r="AC262" s="226">
        <f t="shared" si="11"/>
        <v>0</v>
      </c>
      <c r="AD262" s="147"/>
      <c r="AE262" s="147" t="s">
        <v>217</v>
      </c>
      <c r="AF262" s="147" t="s">
        <v>1021</v>
      </c>
      <c r="AG262" s="324"/>
      <c r="AH262" s="154"/>
      <c r="AI262" s="324"/>
      <c r="AJ262" s="324"/>
      <c r="AK262" s="324"/>
      <c r="AL262" s="324"/>
      <c r="AM262" s="324"/>
    </row>
    <row r="263" spans="1:39" s="315" customFormat="1" ht="14.25" customHeight="1">
      <c r="A263" s="147">
        <v>262</v>
      </c>
      <c r="B263" s="223">
        <v>228257</v>
      </c>
      <c r="C263" s="221" t="s">
        <v>1130</v>
      </c>
      <c r="D263" s="222">
        <v>43271</v>
      </c>
      <c r="E263" s="160" t="s">
        <v>2355</v>
      </c>
      <c r="F263" s="222">
        <v>43282</v>
      </c>
      <c r="G263" s="221">
        <f t="shared" si="9"/>
        <v>11</v>
      </c>
      <c r="H263" s="221" t="s">
        <v>133</v>
      </c>
      <c r="I263" s="324"/>
      <c r="J263" s="324"/>
      <c r="K263" s="319"/>
      <c r="L263" s="221"/>
      <c r="M263" s="221"/>
      <c r="N263" s="227">
        <f t="shared" si="10"/>
        <v>0</v>
      </c>
      <c r="O263" s="154"/>
      <c r="P263" s="221" t="s">
        <v>262</v>
      </c>
      <c r="Q263" s="221" t="s">
        <v>1342</v>
      </c>
      <c r="R263" s="221" t="s">
        <v>134</v>
      </c>
      <c r="S263" s="145" t="s">
        <v>465</v>
      </c>
      <c r="T263" s="221" t="s">
        <v>88</v>
      </c>
      <c r="U263" s="221" t="s">
        <v>2399</v>
      </c>
      <c r="V263" s="221" t="s">
        <v>2402</v>
      </c>
      <c r="W263" s="324"/>
      <c r="X263" s="324"/>
      <c r="Y263" s="221"/>
      <c r="Z263" s="221" t="s">
        <v>417</v>
      </c>
      <c r="AA263" s="222"/>
      <c r="AB263" s="221"/>
      <c r="AC263" s="226">
        <f t="shared" si="11"/>
        <v>0</v>
      </c>
      <c r="AD263" s="147"/>
      <c r="AE263" s="147" t="s">
        <v>217</v>
      </c>
      <c r="AF263" s="147" t="s">
        <v>2353</v>
      </c>
      <c r="AG263" s="324"/>
      <c r="AH263" s="154"/>
      <c r="AI263" s="324"/>
      <c r="AJ263" s="324"/>
      <c r="AK263" s="324"/>
      <c r="AL263" s="324"/>
      <c r="AM263" s="324"/>
    </row>
    <row r="264" spans="1:39" s="315" customFormat="1" ht="14.25" customHeight="1">
      <c r="A264" s="147">
        <v>263</v>
      </c>
      <c r="B264" s="223">
        <v>228206</v>
      </c>
      <c r="C264" s="221" t="s">
        <v>1130</v>
      </c>
      <c r="D264" s="222">
        <v>43271</v>
      </c>
      <c r="E264" s="160" t="s">
        <v>2355</v>
      </c>
      <c r="F264" s="222">
        <v>43282</v>
      </c>
      <c r="G264" s="221">
        <f t="shared" si="9"/>
        <v>11</v>
      </c>
      <c r="H264" s="221" t="s">
        <v>363</v>
      </c>
      <c r="I264" s="324"/>
      <c r="J264" s="324"/>
      <c r="K264" s="319"/>
      <c r="L264" s="221"/>
      <c r="M264" s="221"/>
      <c r="N264" s="227">
        <f t="shared" si="10"/>
        <v>0</v>
      </c>
      <c r="O264" s="154"/>
      <c r="P264" s="221" t="s">
        <v>264</v>
      </c>
      <c r="Q264" s="221" t="s">
        <v>1342</v>
      </c>
      <c r="R264" s="221" t="s">
        <v>143</v>
      </c>
      <c r="S264" s="145" t="s">
        <v>465</v>
      </c>
      <c r="T264" s="221" t="s">
        <v>114</v>
      </c>
      <c r="U264" s="221" t="s">
        <v>2400</v>
      </c>
      <c r="V264" s="221" t="s">
        <v>519</v>
      </c>
      <c r="W264" s="324"/>
      <c r="X264" s="324"/>
      <c r="Y264" s="221" t="s">
        <v>316</v>
      </c>
      <c r="Z264" s="221" t="s">
        <v>170</v>
      </c>
      <c r="AA264" s="222"/>
      <c r="AB264" s="221"/>
      <c r="AC264" s="226">
        <f t="shared" si="11"/>
        <v>0</v>
      </c>
      <c r="AD264" s="147"/>
      <c r="AE264" s="147"/>
      <c r="AF264" s="147"/>
      <c r="AG264" s="324"/>
      <c r="AH264" s="325" t="s">
        <v>2416</v>
      </c>
      <c r="AI264" s="324"/>
      <c r="AJ264" s="324"/>
      <c r="AK264" s="324"/>
      <c r="AL264" s="324"/>
      <c r="AM264" s="324"/>
    </row>
    <row r="265" spans="1:39" s="315" customFormat="1" ht="14.25" customHeight="1">
      <c r="A265" s="147">
        <v>264</v>
      </c>
      <c r="B265" s="223">
        <v>228541</v>
      </c>
      <c r="C265" s="221" t="s">
        <v>128</v>
      </c>
      <c r="D265" s="222">
        <v>43271</v>
      </c>
      <c r="E265" s="160" t="s">
        <v>2355</v>
      </c>
      <c r="F265" s="222">
        <v>43285</v>
      </c>
      <c r="G265" s="221">
        <f t="shared" si="9"/>
        <v>14</v>
      </c>
      <c r="H265" s="221" t="s">
        <v>133</v>
      </c>
      <c r="I265" s="324"/>
      <c r="J265" s="324"/>
      <c r="K265" s="319"/>
      <c r="L265" s="221"/>
      <c r="M265" s="221"/>
      <c r="N265" s="227">
        <f t="shared" si="10"/>
        <v>0</v>
      </c>
      <c r="O265" s="154"/>
      <c r="P265" s="221" t="s">
        <v>264</v>
      </c>
      <c r="Q265" s="221" t="s">
        <v>1342</v>
      </c>
      <c r="R265" s="221" t="s">
        <v>2410</v>
      </c>
      <c r="S265" s="145" t="s">
        <v>465</v>
      </c>
      <c r="T265" s="221" t="s">
        <v>2408</v>
      </c>
      <c r="U265" s="221" t="s">
        <v>2401</v>
      </c>
      <c r="V265" s="221" t="s">
        <v>2402</v>
      </c>
      <c r="W265" s="324"/>
      <c r="X265" s="324"/>
      <c r="Y265" s="221"/>
      <c r="Z265" s="221" t="s">
        <v>2403</v>
      </c>
      <c r="AA265" s="222"/>
      <c r="AB265" s="221"/>
      <c r="AC265" s="226">
        <f t="shared" si="11"/>
        <v>0</v>
      </c>
      <c r="AD265" s="147"/>
      <c r="AE265" s="147" t="s">
        <v>217</v>
      </c>
      <c r="AF265" s="147" t="s">
        <v>2353</v>
      </c>
      <c r="AG265" s="324"/>
      <c r="AH265" s="154"/>
      <c r="AI265" s="324"/>
      <c r="AJ265" s="324"/>
      <c r="AK265" s="324"/>
      <c r="AL265" s="324"/>
      <c r="AM265" s="324"/>
    </row>
    <row r="266" spans="1:39" s="315" customFormat="1" ht="14.25" customHeight="1">
      <c r="A266" s="147">
        <v>265</v>
      </c>
      <c r="B266" s="223">
        <v>228713</v>
      </c>
      <c r="C266" s="221" t="s">
        <v>121</v>
      </c>
      <c r="D266" s="222">
        <v>43272</v>
      </c>
      <c r="E266" s="160" t="s">
        <v>2355</v>
      </c>
      <c r="F266" s="222">
        <v>43288</v>
      </c>
      <c r="G266" s="221">
        <f t="shared" si="9"/>
        <v>16</v>
      </c>
      <c r="H266" s="221" t="s">
        <v>133</v>
      </c>
      <c r="I266" s="324"/>
      <c r="J266" s="324"/>
      <c r="K266" s="319"/>
      <c r="L266" s="221"/>
      <c r="M266" s="221"/>
      <c r="N266" s="227">
        <f t="shared" si="10"/>
        <v>0</v>
      </c>
      <c r="O266" s="154"/>
      <c r="P266" s="221"/>
      <c r="Q266" s="221"/>
      <c r="R266" s="221" t="s">
        <v>122</v>
      </c>
      <c r="S266" s="145" t="s">
        <v>469</v>
      </c>
      <c r="T266" s="221" t="s">
        <v>114</v>
      </c>
      <c r="U266" s="221" t="s">
        <v>2404</v>
      </c>
      <c r="V266" s="221" t="s">
        <v>222</v>
      </c>
      <c r="W266" s="324"/>
      <c r="X266" s="324"/>
      <c r="Y266" s="221"/>
      <c r="Z266" s="221" t="s">
        <v>170</v>
      </c>
      <c r="AA266" s="222"/>
      <c r="AB266" s="221"/>
      <c r="AC266" s="226">
        <f t="shared" si="11"/>
        <v>0</v>
      </c>
      <c r="AD266" s="147"/>
      <c r="AE266" s="147" t="s">
        <v>217</v>
      </c>
      <c r="AF266" s="147" t="s">
        <v>2353</v>
      </c>
      <c r="AG266" s="324"/>
      <c r="AH266" s="154"/>
      <c r="AI266" s="324"/>
      <c r="AJ266" s="324"/>
      <c r="AK266" s="324"/>
      <c r="AL266" s="324"/>
      <c r="AM266" s="324"/>
    </row>
    <row r="267" spans="1:39" s="315" customFormat="1" ht="14.25" customHeight="1">
      <c r="A267" s="147">
        <v>266</v>
      </c>
      <c r="B267" s="223">
        <v>228404</v>
      </c>
      <c r="C267" s="221" t="s">
        <v>121</v>
      </c>
      <c r="D267" s="222">
        <v>43272</v>
      </c>
      <c r="E267" s="160" t="s">
        <v>2355</v>
      </c>
      <c r="F267" s="222">
        <v>43283</v>
      </c>
      <c r="G267" s="221">
        <f t="shared" si="9"/>
        <v>11</v>
      </c>
      <c r="H267" s="221" t="s">
        <v>133</v>
      </c>
      <c r="I267" s="324"/>
      <c r="J267" s="324"/>
      <c r="K267" s="319"/>
      <c r="L267" s="221"/>
      <c r="M267" s="221"/>
      <c r="N267" s="227">
        <f t="shared" si="10"/>
        <v>0</v>
      </c>
      <c r="O267" s="154"/>
      <c r="P267" s="221"/>
      <c r="Q267" s="221"/>
      <c r="R267" s="221" t="s">
        <v>122</v>
      </c>
      <c r="S267" s="145" t="s">
        <v>469</v>
      </c>
      <c r="T267" s="221" t="s">
        <v>164</v>
      </c>
      <c r="U267" s="221" t="s">
        <v>2405</v>
      </c>
      <c r="V267" s="221" t="s">
        <v>222</v>
      </c>
      <c r="W267" s="324"/>
      <c r="X267" s="324"/>
      <c r="Y267" s="221"/>
      <c r="Z267" s="221" t="s">
        <v>2406</v>
      </c>
      <c r="AA267" s="222"/>
      <c r="AB267" s="221"/>
      <c r="AC267" s="226">
        <f t="shared" si="11"/>
        <v>0</v>
      </c>
      <c r="AD267" s="147"/>
      <c r="AE267" s="147" t="s">
        <v>217</v>
      </c>
      <c r="AF267" s="147" t="s">
        <v>2353</v>
      </c>
      <c r="AG267" s="324"/>
      <c r="AH267" s="154"/>
      <c r="AI267" s="324"/>
      <c r="AJ267" s="324"/>
      <c r="AK267" s="324"/>
      <c r="AL267" s="324"/>
      <c r="AM267" s="324"/>
    </row>
    <row r="268" spans="1:39">
      <c r="A268" s="147">
        <v>267</v>
      </c>
      <c r="B268" s="223">
        <v>227740</v>
      </c>
      <c r="C268" s="221" t="s">
        <v>121</v>
      </c>
      <c r="D268" s="222">
        <v>43272</v>
      </c>
      <c r="E268" s="160" t="s">
        <v>2355</v>
      </c>
      <c r="F268" s="222">
        <v>43277</v>
      </c>
      <c r="G268" s="221">
        <f t="shared" ref="G268:G299" si="12">F268-D268</f>
        <v>5</v>
      </c>
      <c r="H268" s="221" t="s">
        <v>363</v>
      </c>
      <c r="K268" s="319"/>
      <c r="M268" s="221"/>
      <c r="N268" s="227">
        <f t="shared" si="10"/>
        <v>0</v>
      </c>
      <c r="P268" s="221" t="s">
        <v>263</v>
      </c>
      <c r="Q268" s="221" t="s">
        <v>1341</v>
      </c>
      <c r="R268" s="221" t="s">
        <v>237</v>
      </c>
      <c r="S268" s="145" t="s">
        <v>465</v>
      </c>
      <c r="T268" s="221" t="s">
        <v>358</v>
      </c>
      <c r="U268" s="221" t="s">
        <v>2411</v>
      </c>
      <c r="V268" s="221" t="s">
        <v>2412</v>
      </c>
      <c r="Z268" s="221" t="s">
        <v>124</v>
      </c>
      <c r="AB268" s="221"/>
      <c r="AC268" s="226">
        <f t="shared" si="11"/>
        <v>0</v>
      </c>
      <c r="AF268" s="147"/>
      <c r="AH268" s="154" t="s">
        <v>2423</v>
      </c>
    </row>
    <row r="269" spans="1:39">
      <c r="A269" s="147">
        <v>268</v>
      </c>
      <c r="B269" s="223">
        <v>228735</v>
      </c>
      <c r="C269" s="221" t="s">
        <v>121</v>
      </c>
      <c r="D269" s="222">
        <v>43273</v>
      </c>
      <c r="E269" s="160" t="s">
        <v>2355</v>
      </c>
      <c r="F269" s="222">
        <v>43288</v>
      </c>
      <c r="G269" s="221">
        <f t="shared" si="12"/>
        <v>15</v>
      </c>
      <c r="H269" s="221" t="s">
        <v>133</v>
      </c>
      <c r="K269" s="319"/>
      <c r="M269" s="221"/>
      <c r="N269" s="227">
        <f t="shared" si="10"/>
        <v>0</v>
      </c>
      <c r="P269" s="221" t="s">
        <v>264</v>
      </c>
      <c r="Q269" s="221" t="s">
        <v>1342</v>
      </c>
      <c r="R269" s="221" t="s">
        <v>122</v>
      </c>
      <c r="S269" s="145" t="s">
        <v>469</v>
      </c>
      <c r="T269" s="221" t="s">
        <v>114</v>
      </c>
      <c r="U269" s="221" t="s">
        <v>2409</v>
      </c>
      <c r="V269" s="221" t="s">
        <v>222</v>
      </c>
      <c r="Z269" s="221" t="s">
        <v>170</v>
      </c>
      <c r="AB269" s="221"/>
      <c r="AC269" s="226">
        <f t="shared" si="11"/>
        <v>0</v>
      </c>
      <c r="AE269" s="147" t="s">
        <v>217</v>
      </c>
      <c r="AF269" s="147" t="s">
        <v>2353</v>
      </c>
    </row>
    <row r="270" spans="1:39">
      <c r="A270" s="147">
        <v>269</v>
      </c>
      <c r="B270" s="223">
        <v>227013</v>
      </c>
      <c r="C270" s="221" t="s">
        <v>121</v>
      </c>
      <c r="D270" s="222">
        <v>43277</v>
      </c>
      <c r="E270" s="160" t="s">
        <v>2355</v>
      </c>
      <c r="F270" s="222">
        <v>43293</v>
      </c>
      <c r="G270" s="221">
        <f t="shared" si="12"/>
        <v>16</v>
      </c>
      <c r="H270" s="221" t="s">
        <v>133</v>
      </c>
      <c r="K270" s="319"/>
      <c r="M270" s="221"/>
      <c r="N270" s="227">
        <f t="shared" si="10"/>
        <v>0</v>
      </c>
      <c r="P270" s="221" t="s">
        <v>261</v>
      </c>
      <c r="Q270" s="221" t="s">
        <v>1341</v>
      </c>
      <c r="R270" s="221" t="s">
        <v>134</v>
      </c>
      <c r="S270" s="145" t="s">
        <v>465</v>
      </c>
      <c r="T270" s="221" t="s">
        <v>162</v>
      </c>
      <c r="U270" s="221" t="s">
        <v>2415</v>
      </c>
      <c r="V270" s="221" t="s">
        <v>1116</v>
      </c>
      <c r="Z270" s="221" t="s">
        <v>203</v>
      </c>
      <c r="AB270" s="221"/>
      <c r="AC270" s="226">
        <f t="shared" si="11"/>
        <v>0</v>
      </c>
      <c r="AE270" s="147" t="s">
        <v>217</v>
      </c>
      <c r="AF270" s="147" t="s">
        <v>2353</v>
      </c>
    </row>
    <row r="271" spans="1:39">
      <c r="A271" s="147">
        <v>270</v>
      </c>
      <c r="B271" s="223">
        <v>228393</v>
      </c>
      <c r="C271" s="221" t="s">
        <v>1130</v>
      </c>
      <c r="D271" s="222">
        <v>43277</v>
      </c>
      <c r="E271" s="160" t="s">
        <v>2355</v>
      </c>
      <c r="F271" s="222">
        <v>43283</v>
      </c>
      <c r="G271" s="221">
        <f t="shared" si="12"/>
        <v>6</v>
      </c>
      <c r="H271" s="221" t="s">
        <v>133</v>
      </c>
      <c r="K271" s="319"/>
      <c r="M271" s="221"/>
      <c r="N271" s="227">
        <f t="shared" si="10"/>
        <v>0</v>
      </c>
      <c r="P271" s="221" t="s">
        <v>264</v>
      </c>
      <c r="Q271" s="221" t="s">
        <v>1342</v>
      </c>
      <c r="R271" s="221" t="s">
        <v>1374</v>
      </c>
      <c r="S271" s="145" t="s">
        <v>469</v>
      </c>
      <c r="T271" s="221" t="s">
        <v>376</v>
      </c>
      <c r="U271" s="221" t="s">
        <v>778</v>
      </c>
      <c r="V271" s="221" t="s">
        <v>90</v>
      </c>
      <c r="Z271" s="221" t="s">
        <v>253</v>
      </c>
      <c r="AB271" s="221"/>
      <c r="AC271" s="226">
        <f t="shared" si="11"/>
        <v>0</v>
      </c>
      <c r="AE271" s="147" t="s">
        <v>217</v>
      </c>
      <c r="AF271" s="147" t="s">
        <v>2353</v>
      </c>
    </row>
    <row r="272" spans="1:39">
      <c r="A272" s="147">
        <v>271</v>
      </c>
      <c r="B272" s="223">
        <v>228797</v>
      </c>
      <c r="C272" s="221" t="s">
        <v>128</v>
      </c>
      <c r="D272" s="222">
        <v>43279</v>
      </c>
      <c r="E272" s="160" t="s">
        <v>2355</v>
      </c>
      <c r="F272" s="222">
        <v>43290</v>
      </c>
      <c r="G272" s="221">
        <f t="shared" si="12"/>
        <v>11</v>
      </c>
      <c r="H272" s="221" t="s">
        <v>363</v>
      </c>
      <c r="K272" s="319"/>
      <c r="M272" s="221"/>
      <c r="N272" s="227">
        <f t="shared" si="10"/>
        <v>0</v>
      </c>
      <c r="P272" s="221" t="s">
        <v>264</v>
      </c>
      <c r="Q272" s="221" t="s">
        <v>1342</v>
      </c>
      <c r="R272" s="221" t="s">
        <v>143</v>
      </c>
      <c r="S272" s="145" t="s">
        <v>465</v>
      </c>
      <c r="T272" s="221" t="s">
        <v>144</v>
      </c>
      <c r="U272" s="221" t="s">
        <v>2425</v>
      </c>
      <c r="V272" s="221" t="s">
        <v>519</v>
      </c>
      <c r="Z272" s="221" t="s">
        <v>252</v>
      </c>
      <c r="AB272" s="221"/>
      <c r="AC272" s="226">
        <f t="shared" si="11"/>
        <v>0</v>
      </c>
      <c r="AF272" s="147"/>
      <c r="AH272" s="154" t="s">
        <v>2429</v>
      </c>
    </row>
    <row r="273" spans="1:34">
      <c r="A273" s="147">
        <v>272</v>
      </c>
      <c r="B273" s="223">
        <v>228610</v>
      </c>
      <c r="C273" s="221" t="s">
        <v>121</v>
      </c>
      <c r="D273" s="222">
        <v>43279</v>
      </c>
      <c r="E273" s="160" t="s">
        <v>2355</v>
      </c>
      <c r="F273" s="222">
        <v>43287</v>
      </c>
      <c r="G273" s="221">
        <f t="shared" si="12"/>
        <v>8</v>
      </c>
      <c r="H273" s="221" t="s">
        <v>363</v>
      </c>
      <c r="K273" s="319"/>
      <c r="M273" s="221"/>
      <c r="N273" s="227">
        <f t="shared" si="10"/>
        <v>0</v>
      </c>
      <c r="O273" s="221"/>
      <c r="P273" s="221" t="s">
        <v>262</v>
      </c>
      <c r="Q273" s="221" t="s">
        <v>1342</v>
      </c>
      <c r="R273" s="221" t="s">
        <v>134</v>
      </c>
      <c r="S273" s="145" t="s">
        <v>465</v>
      </c>
      <c r="T273" s="221" t="s">
        <v>358</v>
      </c>
      <c r="U273" s="221" t="s">
        <v>2426</v>
      </c>
      <c r="V273" s="221" t="s">
        <v>90</v>
      </c>
      <c r="W273" s="221"/>
      <c r="X273" s="221"/>
      <c r="Y273" s="221"/>
      <c r="Z273" s="221" t="s">
        <v>124</v>
      </c>
      <c r="AB273" s="221" t="s">
        <v>140</v>
      </c>
      <c r="AC273" s="226">
        <f t="shared" si="11"/>
        <v>0</v>
      </c>
      <c r="AF273" s="147"/>
      <c r="AH273" s="154" t="s">
        <v>2432</v>
      </c>
    </row>
    <row r="274" spans="1:34">
      <c r="A274" s="147">
        <v>273</v>
      </c>
      <c r="B274" s="223">
        <v>229547</v>
      </c>
      <c r="C274" s="221" t="s">
        <v>121</v>
      </c>
      <c r="D274" s="222">
        <v>43283</v>
      </c>
      <c r="E274" s="160" t="s">
        <v>2424</v>
      </c>
      <c r="F274" s="222">
        <v>43322</v>
      </c>
      <c r="G274" s="221">
        <f t="shared" si="12"/>
        <v>39</v>
      </c>
      <c r="H274" s="221" t="s">
        <v>133</v>
      </c>
      <c r="K274" s="319"/>
      <c r="M274" s="221"/>
      <c r="N274" s="227">
        <f t="shared" si="10"/>
        <v>0</v>
      </c>
      <c r="O274" s="221" t="s">
        <v>32</v>
      </c>
      <c r="P274" s="221" t="s">
        <v>261</v>
      </c>
      <c r="Q274" s="221" t="s">
        <v>1341</v>
      </c>
      <c r="R274" s="221" t="s">
        <v>122</v>
      </c>
      <c r="S274" s="145" t="s">
        <v>469</v>
      </c>
      <c r="T274" s="221" t="s">
        <v>2328</v>
      </c>
      <c r="U274" s="221" t="s">
        <v>2428</v>
      </c>
      <c r="V274" s="221" t="s">
        <v>90</v>
      </c>
      <c r="W274" s="221"/>
      <c r="X274" s="221"/>
      <c r="Y274" s="221"/>
      <c r="Z274" s="221" t="s">
        <v>235</v>
      </c>
      <c r="AB274" s="221"/>
      <c r="AC274" s="226">
        <f t="shared" si="11"/>
        <v>0</v>
      </c>
      <c r="AE274" s="147" t="s">
        <v>217</v>
      </c>
      <c r="AF274" s="147" t="s">
        <v>2353</v>
      </c>
    </row>
    <row r="275" spans="1:34">
      <c r="A275" s="147">
        <v>274</v>
      </c>
      <c r="B275" s="223">
        <v>228947</v>
      </c>
      <c r="C275" s="221" t="s">
        <v>121</v>
      </c>
      <c r="D275" s="222">
        <v>43283</v>
      </c>
      <c r="E275" s="160" t="s">
        <v>2424</v>
      </c>
      <c r="F275" s="222">
        <v>43295</v>
      </c>
      <c r="G275" s="221">
        <f t="shared" si="12"/>
        <v>12</v>
      </c>
      <c r="H275" s="221" t="s">
        <v>133</v>
      </c>
      <c r="K275" s="319"/>
      <c r="M275" s="221"/>
      <c r="N275" s="227">
        <f t="shared" si="10"/>
        <v>0</v>
      </c>
      <c r="O275" s="221" t="s">
        <v>32</v>
      </c>
      <c r="P275" s="221" t="s">
        <v>264</v>
      </c>
      <c r="Q275" s="221" t="s">
        <v>1342</v>
      </c>
      <c r="R275" s="221" t="s">
        <v>122</v>
      </c>
      <c r="S275" s="145" t="s">
        <v>469</v>
      </c>
      <c r="T275" s="221" t="s">
        <v>114</v>
      </c>
      <c r="U275" s="221" t="s">
        <v>2427</v>
      </c>
      <c r="V275" s="221" t="s">
        <v>222</v>
      </c>
      <c r="W275" s="221"/>
      <c r="X275" s="221"/>
      <c r="Y275" s="221"/>
      <c r="Z275" s="221" t="s">
        <v>170</v>
      </c>
      <c r="AB275" s="221"/>
      <c r="AC275" s="226">
        <f t="shared" si="11"/>
        <v>0</v>
      </c>
      <c r="AE275" s="147" t="s">
        <v>217</v>
      </c>
      <c r="AF275" s="147" t="s">
        <v>2353</v>
      </c>
    </row>
    <row r="276" spans="1:34">
      <c r="A276" s="147">
        <v>275</v>
      </c>
      <c r="B276" s="223">
        <v>230048</v>
      </c>
      <c r="C276" s="221" t="s">
        <v>1130</v>
      </c>
      <c r="D276" s="222">
        <v>43284</v>
      </c>
      <c r="E276" s="160" t="s">
        <v>2424</v>
      </c>
      <c r="F276" s="222">
        <v>43297</v>
      </c>
      <c r="G276" s="221">
        <f t="shared" si="12"/>
        <v>13</v>
      </c>
      <c r="H276" s="221" t="s">
        <v>133</v>
      </c>
      <c r="K276" s="319">
        <v>1099</v>
      </c>
      <c r="L276" s="221">
        <v>300</v>
      </c>
      <c r="M276" s="221">
        <v>150</v>
      </c>
      <c r="N276" s="227">
        <f t="shared" si="10"/>
        <v>733.06</v>
      </c>
      <c r="O276" s="221" t="s">
        <v>32</v>
      </c>
      <c r="P276" s="221" t="s">
        <v>264</v>
      </c>
      <c r="Q276" s="221" t="s">
        <v>1342</v>
      </c>
      <c r="R276" s="221" t="s">
        <v>143</v>
      </c>
      <c r="S276" s="145" t="s">
        <v>465</v>
      </c>
      <c r="T276" s="221" t="s">
        <v>164</v>
      </c>
      <c r="U276" s="221" t="s">
        <v>1631</v>
      </c>
      <c r="V276" s="221" t="s">
        <v>519</v>
      </c>
      <c r="W276" s="221"/>
      <c r="X276" s="221"/>
      <c r="Y276" s="221" t="s">
        <v>1942</v>
      </c>
      <c r="Z276" s="221" t="s">
        <v>2302</v>
      </c>
      <c r="AA276" s="222">
        <v>43293</v>
      </c>
      <c r="AB276" s="221" t="s">
        <v>400</v>
      </c>
      <c r="AC276" s="226">
        <f t="shared" si="11"/>
        <v>1</v>
      </c>
      <c r="AD276" s="147" t="s">
        <v>217</v>
      </c>
      <c r="AE276" s="147" t="s">
        <v>218</v>
      </c>
      <c r="AF276" s="147"/>
    </row>
    <row r="277" spans="1:34">
      <c r="A277" s="147">
        <v>276</v>
      </c>
      <c r="B277" s="223">
        <v>229169</v>
      </c>
      <c r="C277" s="221" t="s">
        <v>128</v>
      </c>
      <c r="D277" s="222">
        <v>43285</v>
      </c>
      <c r="E277" s="160" t="s">
        <v>2424</v>
      </c>
      <c r="F277" s="222">
        <v>43296</v>
      </c>
      <c r="G277" s="221">
        <f t="shared" si="12"/>
        <v>11</v>
      </c>
      <c r="H277" s="221" t="s">
        <v>133</v>
      </c>
      <c r="K277" s="319"/>
      <c r="L277" s="221"/>
      <c r="M277" s="221"/>
      <c r="N277" s="227">
        <f t="shared" si="10"/>
        <v>0</v>
      </c>
      <c r="O277" s="221" t="s">
        <v>32</v>
      </c>
      <c r="P277" s="221" t="s">
        <v>264</v>
      </c>
      <c r="Q277" s="221" t="s">
        <v>1342</v>
      </c>
      <c r="R277" s="221" t="s">
        <v>2434</v>
      </c>
      <c r="S277" s="145" t="s">
        <v>465</v>
      </c>
      <c r="T277" s="221" t="s">
        <v>144</v>
      </c>
      <c r="U277" s="221" t="s">
        <v>2435</v>
      </c>
      <c r="V277" s="221" t="s">
        <v>2436</v>
      </c>
      <c r="W277" s="221"/>
      <c r="X277" s="221"/>
      <c r="Y277" s="221"/>
      <c r="Z277" s="221" t="s">
        <v>137</v>
      </c>
      <c r="AB277" s="221"/>
      <c r="AC277" s="226">
        <f t="shared" si="11"/>
        <v>0</v>
      </c>
      <c r="AE277" s="147" t="s">
        <v>217</v>
      </c>
      <c r="AF277" s="147" t="s">
        <v>2353</v>
      </c>
    </row>
    <row r="278" spans="1:34">
      <c r="A278" s="147">
        <v>277</v>
      </c>
      <c r="B278" s="223">
        <v>229666</v>
      </c>
      <c r="C278" s="221" t="s">
        <v>1130</v>
      </c>
      <c r="D278" s="222">
        <v>43286</v>
      </c>
      <c r="E278" s="160" t="s">
        <v>2424</v>
      </c>
      <c r="F278" s="222">
        <v>43299</v>
      </c>
      <c r="G278" s="221">
        <f t="shared" si="12"/>
        <v>13</v>
      </c>
      <c r="H278" s="221" t="s">
        <v>133</v>
      </c>
      <c r="K278" s="319">
        <v>899</v>
      </c>
      <c r="L278" s="221">
        <v>160</v>
      </c>
      <c r="M278" s="221">
        <v>80</v>
      </c>
      <c r="N278" s="227">
        <f t="shared" si="10"/>
        <v>685.06</v>
      </c>
      <c r="O278" s="221" t="s">
        <v>32</v>
      </c>
      <c r="P278" s="221" t="s">
        <v>264</v>
      </c>
      <c r="Q278" s="221" t="s">
        <v>1342</v>
      </c>
      <c r="R278" s="221" t="s">
        <v>143</v>
      </c>
      <c r="S278" s="145" t="s">
        <v>465</v>
      </c>
      <c r="T278" s="221" t="s">
        <v>88</v>
      </c>
      <c r="U278" s="221" t="s">
        <v>1307</v>
      </c>
      <c r="V278" s="221" t="s">
        <v>432</v>
      </c>
      <c r="W278" s="221"/>
      <c r="X278" s="221"/>
      <c r="Y278" s="221" t="s">
        <v>1942</v>
      </c>
      <c r="Z278" s="221" t="s">
        <v>1228</v>
      </c>
      <c r="AA278" s="222">
        <v>43293</v>
      </c>
      <c r="AB278" s="221" t="s">
        <v>140</v>
      </c>
      <c r="AC278" s="226">
        <f t="shared" si="11"/>
        <v>1</v>
      </c>
      <c r="AD278" s="147" t="s">
        <v>217</v>
      </c>
      <c r="AE278" s="147" t="s">
        <v>218</v>
      </c>
      <c r="AF278" s="147"/>
    </row>
    <row r="279" spans="1:34">
      <c r="A279" s="147">
        <v>278</v>
      </c>
      <c r="B279" s="223">
        <v>229454</v>
      </c>
      <c r="C279" s="221" t="s">
        <v>128</v>
      </c>
      <c r="D279" s="222">
        <v>43286</v>
      </c>
      <c r="E279" s="160" t="s">
        <v>2424</v>
      </c>
      <c r="F279" s="222">
        <v>43304</v>
      </c>
      <c r="G279" s="221">
        <f t="shared" si="12"/>
        <v>18</v>
      </c>
      <c r="H279" s="221" t="s">
        <v>363</v>
      </c>
      <c r="K279" s="319"/>
      <c r="L279" s="221"/>
      <c r="M279" s="221"/>
      <c r="N279" s="227">
        <f t="shared" si="10"/>
        <v>0</v>
      </c>
      <c r="O279" s="221" t="s">
        <v>32</v>
      </c>
      <c r="P279" s="221" t="s">
        <v>261</v>
      </c>
      <c r="Q279" s="221" t="s">
        <v>1341</v>
      </c>
      <c r="R279" s="221" t="s">
        <v>143</v>
      </c>
      <c r="S279" s="145" t="s">
        <v>465</v>
      </c>
      <c r="T279" s="221" t="s">
        <v>88</v>
      </c>
      <c r="U279" s="221" t="s">
        <v>2430</v>
      </c>
      <c r="V279" s="221" t="s">
        <v>425</v>
      </c>
      <c r="W279" s="221"/>
      <c r="X279" s="221"/>
      <c r="Y279" s="221"/>
      <c r="Z279" s="221" t="s">
        <v>189</v>
      </c>
      <c r="AB279" s="221"/>
      <c r="AC279" s="226">
        <f t="shared" si="11"/>
        <v>0</v>
      </c>
      <c r="AF279" s="147"/>
      <c r="AH279" s="154" t="s">
        <v>2431</v>
      </c>
    </row>
    <row r="280" spans="1:34">
      <c r="A280" s="147">
        <v>279</v>
      </c>
      <c r="B280" s="223">
        <v>229873</v>
      </c>
      <c r="C280" s="221" t="s">
        <v>128</v>
      </c>
      <c r="D280" s="222">
        <v>43287</v>
      </c>
      <c r="E280" s="160" t="s">
        <v>2424</v>
      </c>
      <c r="F280" s="222">
        <v>43302</v>
      </c>
      <c r="G280" s="221">
        <f t="shared" si="12"/>
        <v>15</v>
      </c>
      <c r="H280" s="221" t="s">
        <v>133</v>
      </c>
      <c r="K280" s="319"/>
      <c r="L280" s="221"/>
      <c r="M280" s="221"/>
      <c r="N280" s="227">
        <f t="shared" si="10"/>
        <v>0</v>
      </c>
      <c r="O280" s="221" t="s">
        <v>32</v>
      </c>
      <c r="P280" s="221" t="s">
        <v>264</v>
      </c>
      <c r="Q280" s="221" t="s">
        <v>1342</v>
      </c>
      <c r="R280" s="221" t="s">
        <v>143</v>
      </c>
      <c r="S280" s="145" t="s">
        <v>465</v>
      </c>
      <c r="T280" s="221" t="s">
        <v>144</v>
      </c>
      <c r="U280" s="221" t="s">
        <v>2437</v>
      </c>
      <c r="V280" s="221" t="s">
        <v>90</v>
      </c>
      <c r="W280" s="221"/>
      <c r="X280" s="221"/>
      <c r="Y280" s="221"/>
      <c r="Z280" s="221" t="s">
        <v>137</v>
      </c>
      <c r="AB280" s="221"/>
      <c r="AC280" s="226">
        <f t="shared" si="11"/>
        <v>0</v>
      </c>
      <c r="AE280" s="147" t="s">
        <v>217</v>
      </c>
      <c r="AF280" s="147" t="s">
        <v>2353</v>
      </c>
    </row>
    <row r="281" spans="1:34">
      <c r="A281" s="147">
        <v>280</v>
      </c>
      <c r="B281" s="223">
        <v>229546</v>
      </c>
      <c r="C281" s="221" t="s">
        <v>128</v>
      </c>
      <c r="D281" s="222">
        <v>43287</v>
      </c>
      <c r="E281" s="160" t="s">
        <v>2424</v>
      </c>
      <c r="F281" s="222">
        <v>43307</v>
      </c>
      <c r="G281" s="221">
        <f t="shared" si="12"/>
        <v>20</v>
      </c>
      <c r="H281" s="221" t="s">
        <v>133</v>
      </c>
      <c r="K281" s="319"/>
      <c r="L281" s="221"/>
      <c r="M281" s="221"/>
      <c r="N281" s="227">
        <f t="shared" si="10"/>
        <v>0</v>
      </c>
      <c r="O281" s="221" t="s">
        <v>32</v>
      </c>
      <c r="P281" s="221" t="s">
        <v>261</v>
      </c>
      <c r="Q281" s="221" t="s">
        <v>1341</v>
      </c>
      <c r="R281" s="221" t="s">
        <v>143</v>
      </c>
      <c r="S281" s="145" t="s">
        <v>465</v>
      </c>
      <c r="T281" s="221" t="s">
        <v>88</v>
      </c>
      <c r="U281" s="221" t="s">
        <v>89</v>
      </c>
      <c r="V281" s="221" t="s">
        <v>90</v>
      </c>
      <c r="W281" s="221"/>
      <c r="X281" s="221"/>
      <c r="Y281" s="221"/>
      <c r="Z281" s="221" t="s">
        <v>189</v>
      </c>
      <c r="AB281" s="221"/>
      <c r="AC281" s="226">
        <f t="shared" si="11"/>
        <v>0</v>
      </c>
      <c r="AE281" s="147" t="s">
        <v>217</v>
      </c>
      <c r="AF281" s="147" t="s">
        <v>2353</v>
      </c>
    </row>
    <row r="282" spans="1:34">
      <c r="A282" s="147">
        <v>281</v>
      </c>
      <c r="B282" s="223">
        <v>229197</v>
      </c>
      <c r="C282" s="221" t="s">
        <v>121</v>
      </c>
      <c r="D282" s="222">
        <v>43290</v>
      </c>
      <c r="E282" s="160" t="s">
        <v>2424</v>
      </c>
      <c r="F282" s="222">
        <v>43295</v>
      </c>
      <c r="G282" s="221">
        <f t="shared" si="12"/>
        <v>5</v>
      </c>
      <c r="H282" s="221" t="s">
        <v>133</v>
      </c>
      <c r="K282" s="319"/>
      <c r="L282" s="221"/>
      <c r="M282" s="221"/>
      <c r="N282" s="227">
        <f t="shared" si="10"/>
        <v>0</v>
      </c>
      <c r="O282" s="221" t="s">
        <v>32</v>
      </c>
      <c r="P282" s="221" t="s">
        <v>264</v>
      </c>
      <c r="Q282" s="221" t="s">
        <v>1342</v>
      </c>
      <c r="R282" s="221" t="s">
        <v>122</v>
      </c>
      <c r="S282" s="145" t="s">
        <v>469</v>
      </c>
      <c r="T282" s="221" t="s">
        <v>114</v>
      </c>
      <c r="U282" s="221" t="s">
        <v>2438</v>
      </c>
      <c r="V282" s="221" t="s">
        <v>222</v>
      </c>
      <c r="W282" s="221"/>
      <c r="X282" s="221"/>
      <c r="Y282" s="221"/>
      <c r="Z282" s="221" t="s">
        <v>170</v>
      </c>
      <c r="AB282" s="221"/>
      <c r="AC282" s="226">
        <f t="shared" si="11"/>
        <v>0</v>
      </c>
      <c r="AE282" s="147" t="s">
        <v>217</v>
      </c>
      <c r="AF282" s="147" t="s">
        <v>2353</v>
      </c>
    </row>
    <row r="283" spans="1:34">
      <c r="A283" s="147">
        <v>282</v>
      </c>
      <c r="B283" s="223">
        <v>229845</v>
      </c>
      <c r="C283" s="221" t="s">
        <v>121</v>
      </c>
      <c r="D283" s="222">
        <v>43290</v>
      </c>
      <c r="E283" s="160" t="s">
        <v>2424</v>
      </c>
      <c r="F283" s="222">
        <v>43302</v>
      </c>
      <c r="G283" s="221">
        <f t="shared" si="12"/>
        <v>12</v>
      </c>
      <c r="H283" s="221" t="s">
        <v>133</v>
      </c>
      <c r="K283" s="319"/>
      <c r="L283" s="221"/>
      <c r="M283" s="221"/>
      <c r="N283" s="227">
        <f t="shared" si="10"/>
        <v>0</v>
      </c>
      <c r="O283" s="221" t="s">
        <v>32</v>
      </c>
      <c r="P283" s="221" t="s">
        <v>264</v>
      </c>
      <c r="Q283" s="221" t="s">
        <v>1342</v>
      </c>
      <c r="R283" s="221" t="s">
        <v>122</v>
      </c>
      <c r="S283" s="145" t="s">
        <v>469</v>
      </c>
      <c r="T283" s="221" t="s">
        <v>114</v>
      </c>
      <c r="U283" s="221" t="s">
        <v>604</v>
      </c>
      <c r="V283" s="221" t="s">
        <v>222</v>
      </c>
      <c r="W283" s="221"/>
      <c r="X283" s="221"/>
      <c r="Y283" s="221"/>
      <c r="Z283" s="221" t="s">
        <v>170</v>
      </c>
      <c r="AB283" s="221"/>
      <c r="AC283" s="226">
        <f t="shared" si="11"/>
        <v>0</v>
      </c>
      <c r="AE283" s="147" t="s">
        <v>217</v>
      </c>
      <c r="AF283" s="147" t="s">
        <v>2353</v>
      </c>
    </row>
    <row r="284" spans="1:34">
      <c r="A284" s="147">
        <v>283</v>
      </c>
      <c r="B284" s="223">
        <v>230077</v>
      </c>
      <c r="C284" s="221" t="s">
        <v>121</v>
      </c>
      <c r="D284" s="222">
        <v>43290</v>
      </c>
      <c r="E284" s="160" t="s">
        <v>2424</v>
      </c>
      <c r="F284" s="222">
        <v>43302</v>
      </c>
      <c r="G284" s="221">
        <f t="shared" si="12"/>
        <v>12</v>
      </c>
      <c r="H284" s="221" t="s">
        <v>133</v>
      </c>
      <c r="K284" s="319"/>
      <c r="L284" s="221"/>
      <c r="M284" s="221"/>
      <c r="N284" s="227">
        <f t="shared" si="10"/>
        <v>0</v>
      </c>
      <c r="O284" s="221" t="s">
        <v>32</v>
      </c>
      <c r="P284" s="221" t="s">
        <v>264</v>
      </c>
      <c r="Q284" s="221" t="s">
        <v>1342</v>
      </c>
      <c r="R284" s="221" t="s">
        <v>122</v>
      </c>
      <c r="S284" s="145" t="s">
        <v>469</v>
      </c>
      <c r="T284" s="221" t="s">
        <v>114</v>
      </c>
      <c r="U284" s="221" t="s">
        <v>2439</v>
      </c>
      <c r="V284" s="221" t="s">
        <v>222</v>
      </c>
      <c r="W284" s="221"/>
      <c r="X284" s="221"/>
      <c r="Y284" s="221"/>
      <c r="Z284" s="221" t="s">
        <v>170</v>
      </c>
      <c r="AB284" s="221"/>
      <c r="AC284" s="226">
        <f t="shared" si="11"/>
        <v>0</v>
      </c>
      <c r="AE284" s="147" t="s">
        <v>217</v>
      </c>
      <c r="AF284" s="147" t="s">
        <v>2353</v>
      </c>
    </row>
    <row r="285" spans="1:34">
      <c r="A285" s="147">
        <v>284</v>
      </c>
      <c r="B285" s="223">
        <v>229485</v>
      </c>
      <c r="C285" s="221" t="s">
        <v>128</v>
      </c>
      <c r="D285" s="222">
        <v>43290</v>
      </c>
      <c r="E285" s="160" t="s">
        <v>2424</v>
      </c>
      <c r="F285" s="222">
        <v>43306</v>
      </c>
      <c r="G285" s="221">
        <f t="shared" si="12"/>
        <v>16</v>
      </c>
      <c r="H285" s="221" t="s">
        <v>363</v>
      </c>
      <c r="K285" s="319"/>
      <c r="L285" s="221"/>
      <c r="M285" s="221"/>
      <c r="N285" s="227">
        <f t="shared" si="10"/>
        <v>0</v>
      </c>
      <c r="O285" s="221" t="s">
        <v>32</v>
      </c>
      <c r="P285" s="221" t="s">
        <v>261</v>
      </c>
      <c r="Q285" s="221" t="s">
        <v>1341</v>
      </c>
      <c r="R285" s="221" t="s">
        <v>134</v>
      </c>
      <c r="S285" s="145" t="s">
        <v>465</v>
      </c>
      <c r="T285" s="221" t="s">
        <v>88</v>
      </c>
      <c r="U285" s="221" t="s">
        <v>2444</v>
      </c>
      <c r="V285" s="221" t="s">
        <v>139</v>
      </c>
      <c r="W285" s="221"/>
      <c r="X285" s="221"/>
      <c r="Y285" s="221"/>
      <c r="Z285" s="221" t="s">
        <v>189</v>
      </c>
      <c r="AB285" s="221"/>
      <c r="AC285" s="226">
        <f t="shared" si="11"/>
        <v>0</v>
      </c>
      <c r="AF285" s="147"/>
      <c r="AH285" s="154" t="s">
        <v>2447</v>
      </c>
    </row>
    <row r="286" spans="1:34">
      <c r="A286" s="147">
        <v>285</v>
      </c>
      <c r="B286" s="223">
        <v>229989</v>
      </c>
      <c r="C286" s="221" t="s">
        <v>128</v>
      </c>
      <c r="D286" s="222">
        <v>43290</v>
      </c>
      <c r="E286" s="160" t="s">
        <v>2424</v>
      </c>
      <c r="F286" s="222">
        <v>43318</v>
      </c>
      <c r="G286" s="221">
        <f t="shared" si="12"/>
        <v>28</v>
      </c>
      <c r="H286" s="221" t="s">
        <v>363</v>
      </c>
      <c r="K286" s="319"/>
      <c r="L286" s="221"/>
      <c r="M286" s="221"/>
      <c r="N286" s="227">
        <f t="shared" si="10"/>
        <v>0</v>
      </c>
      <c r="O286" s="221" t="s">
        <v>32</v>
      </c>
      <c r="P286" s="221" t="s">
        <v>261</v>
      </c>
      <c r="Q286" s="221" t="s">
        <v>1341</v>
      </c>
      <c r="R286" s="221" t="s">
        <v>143</v>
      </c>
      <c r="S286" s="145" t="s">
        <v>465</v>
      </c>
      <c r="T286" s="221" t="s">
        <v>88</v>
      </c>
      <c r="U286" s="221" t="s">
        <v>297</v>
      </c>
      <c r="V286" s="221" t="s">
        <v>90</v>
      </c>
      <c r="W286" s="221"/>
      <c r="X286" s="221"/>
      <c r="Y286" s="221"/>
      <c r="Z286" s="221" t="s">
        <v>189</v>
      </c>
      <c r="AB286" s="221"/>
      <c r="AC286" s="226">
        <f t="shared" si="11"/>
        <v>0</v>
      </c>
      <c r="AF286" s="147"/>
      <c r="AH286" s="154" t="s">
        <v>2445</v>
      </c>
    </row>
    <row r="287" spans="1:34">
      <c r="A287" s="147">
        <v>286</v>
      </c>
      <c r="B287" s="223">
        <v>230008</v>
      </c>
      <c r="C287" s="221" t="s">
        <v>128</v>
      </c>
      <c r="D287" s="222">
        <v>43291</v>
      </c>
      <c r="E287" s="160" t="s">
        <v>2424</v>
      </c>
      <c r="F287" s="222">
        <v>43302</v>
      </c>
      <c r="G287" s="221">
        <f t="shared" si="12"/>
        <v>11</v>
      </c>
      <c r="H287" s="221" t="s">
        <v>133</v>
      </c>
      <c r="K287" s="319">
        <v>2099</v>
      </c>
      <c r="L287" s="221">
        <v>118</v>
      </c>
      <c r="M287" s="221">
        <v>120</v>
      </c>
      <c r="N287" s="227">
        <f t="shared" si="10"/>
        <v>1853.06</v>
      </c>
      <c r="O287" s="221" t="s">
        <v>32</v>
      </c>
      <c r="P287" s="221" t="s">
        <v>262</v>
      </c>
      <c r="Q287" s="221" t="s">
        <v>1342</v>
      </c>
      <c r="R287" s="221" t="s">
        <v>134</v>
      </c>
      <c r="S287" s="145" t="s">
        <v>465</v>
      </c>
      <c r="T287" s="221" t="s">
        <v>164</v>
      </c>
      <c r="U287" s="221" t="s">
        <v>2440</v>
      </c>
      <c r="V287" s="221" t="s">
        <v>2441</v>
      </c>
      <c r="W287" s="221"/>
      <c r="X287" s="221"/>
      <c r="Y287" s="221" t="s">
        <v>1942</v>
      </c>
      <c r="Z287" s="221" t="s">
        <v>404</v>
      </c>
      <c r="AA287" s="222">
        <v>43293</v>
      </c>
      <c r="AB287" s="221" t="s">
        <v>195</v>
      </c>
      <c r="AC287" s="226">
        <f t="shared" si="11"/>
        <v>1</v>
      </c>
      <c r="AD287" s="147" t="s">
        <v>217</v>
      </c>
      <c r="AE287" s="147" t="s">
        <v>218</v>
      </c>
      <c r="AF287" s="147"/>
    </row>
    <row r="288" spans="1:34">
      <c r="A288" s="147">
        <v>287</v>
      </c>
      <c r="B288" s="223">
        <v>229549</v>
      </c>
      <c r="C288" s="221" t="s">
        <v>121</v>
      </c>
      <c r="D288" s="222">
        <v>43291</v>
      </c>
      <c r="E288" s="160" t="s">
        <v>2424</v>
      </c>
      <c r="F288" s="222">
        <v>43300</v>
      </c>
      <c r="G288" s="221">
        <f t="shared" si="12"/>
        <v>9</v>
      </c>
      <c r="H288" s="221" t="s">
        <v>133</v>
      </c>
      <c r="K288" s="319"/>
      <c r="L288" s="221"/>
      <c r="M288" s="221"/>
      <c r="N288" s="227">
        <f t="shared" si="10"/>
        <v>0</v>
      </c>
      <c r="O288" s="221" t="s">
        <v>32</v>
      </c>
      <c r="P288" s="221" t="s">
        <v>262</v>
      </c>
      <c r="Q288" s="221" t="s">
        <v>1342</v>
      </c>
      <c r="R288" s="221" t="s">
        <v>122</v>
      </c>
      <c r="S288" s="145" t="s">
        <v>469</v>
      </c>
      <c r="T288" s="221" t="s">
        <v>164</v>
      </c>
      <c r="U288" s="221" t="s">
        <v>412</v>
      </c>
      <c r="V288" s="221" t="s">
        <v>222</v>
      </c>
      <c r="W288" s="221"/>
      <c r="X288" s="221"/>
      <c r="Y288" s="221"/>
      <c r="Z288" s="221" t="s">
        <v>235</v>
      </c>
      <c r="AB288" s="221"/>
      <c r="AC288" s="226">
        <f t="shared" si="11"/>
        <v>0</v>
      </c>
      <c r="AE288" s="147" t="s">
        <v>217</v>
      </c>
      <c r="AF288" s="147" t="s">
        <v>2353</v>
      </c>
    </row>
    <row r="289" spans="1:34">
      <c r="A289" s="147">
        <v>288</v>
      </c>
      <c r="B289" s="223">
        <v>229037</v>
      </c>
      <c r="C289" s="221" t="s">
        <v>121</v>
      </c>
      <c r="D289" s="222">
        <v>43291</v>
      </c>
      <c r="E289" s="160" t="s">
        <v>2424</v>
      </c>
      <c r="F289" s="222">
        <v>43293</v>
      </c>
      <c r="G289" s="221">
        <f t="shared" si="12"/>
        <v>2</v>
      </c>
      <c r="H289" s="221" t="s">
        <v>133</v>
      </c>
      <c r="K289" s="319">
        <v>1999</v>
      </c>
      <c r="L289" s="221"/>
      <c r="M289" s="221"/>
      <c r="N289" s="227">
        <f t="shared" si="10"/>
        <v>0</v>
      </c>
      <c r="O289" s="221" t="s">
        <v>32</v>
      </c>
      <c r="P289" s="221" t="s">
        <v>264</v>
      </c>
      <c r="Q289" s="221" t="s">
        <v>1342</v>
      </c>
      <c r="R289" s="221" t="s">
        <v>691</v>
      </c>
      <c r="S289" s="145" t="s">
        <v>466</v>
      </c>
      <c r="T289" s="221" t="s">
        <v>255</v>
      </c>
      <c r="U289" s="221" t="s">
        <v>2442</v>
      </c>
      <c r="V289" s="221" t="s">
        <v>2443</v>
      </c>
      <c r="W289" s="221"/>
      <c r="X289" s="221"/>
      <c r="Y289" s="221" t="s">
        <v>1459</v>
      </c>
      <c r="Z289" s="221" t="s">
        <v>259</v>
      </c>
      <c r="AB289" s="221" t="s">
        <v>195</v>
      </c>
      <c r="AC289" s="226">
        <f t="shared" si="11"/>
        <v>0</v>
      </c>
      <c r="AE289" s="147" t="s">
        <v>217</v>
      </c>
      <c r="AF289" s="147" t="s">
        <v>1021</v>
      </c>
    </row>
    <row r="290" spans="1:34">
      <c r="A290" s="147">
        <v>289</v>
      </c>
      <c r="B290" s="223">
        <v>229807</v>
      </c>
      <c r="C290" s="221" t="s">
        <v>128</v>
      </c>
      <c r="D290" s="222">
        <v>43291</v>
      </c>
      <c r="E290" s="160" t="s">
        <v>2424</v>
      </c>
      <c r="F290" s="222">
        <v>43305</v>
      </c>
      <c r="G290" s="221">
        <f t="shared" si="12"/>
        <v>14</v>
      </c>
      <c r="H290" s="221" t="s">
        <v>133</v>
      </c>
      <c r="K290" s="319"/>
      <c r="L290" s="221"/>
      <c r="M290" s="221"/>
      <c r="N290" s="227">
        <f t="shared" si="10"/>
        <v>0</v>
      </c>
      <c r="O290" s="221" t="s">
        <v>32</v>
      </c>
      <c r="P290" s="221" t="s">
        <v>263</v>
      </c>
      <c r="Q290" s="221" t="s">
        <v>1341</v>
      </c>
      <c r="R290" s="221" t="s">
        <v>237</v>
      </c>
      <c r="S290" s="145" t="s">
        <v>465</v>
      </c>
      <c r="T290" s="221" t="s">
        <v>1011</v>
      </c>
      <c r="U290" s="221" t="s">
        <v>2446</v>
      </c>
      <c r="V290" s="221" t="s">
        <v>1188</v>
      </c>
      <c r="W290" s="221"/>
      <c r="X290" s="221"/>
      <c r="Y290" s="221"/>
      <c r="Z290" s="221" t="s">
        <v>1118</v>
      </c>
      <c r="AB290" s="221"/>
      <c r="AC290" s="226">
        <f t="shared" si="11"/>
        <v>0</v>
      </c>
      <c r="AE290" s="147" t="s">
        <v>217</v>
      </c>
      <c r="AF290" s="147" t="s">
        <v>2353</v>
      </c>
    </row>
    <row r="291" spans="1:34">
      <c r="A291" s="147">
        <v>290</v>
      </c>
      <c r="B291" s="223">
        <v>229971</v>
      </c>
      <c r="C291" s="221" t="s">
        <v>128</v>
      </c>
      <c r="D291" s="222">
        <v>43292</v>
      </c>
      <c r="E291" s="160" t="s">
        <v>2424</v>
      </c>
      <c r="F291" s="222">
        <v>43308</v>
      </c>
      <c r="G291" s="221">
        <f t="shared" si="12"/>
        <v>16</v>
      </c>
      <c r="H291" s="221" t="s">
        <v>133</v>
      </c>
      <c r="K291" s="319"/>
      <c r="L291" s="221"/>
      <c r="M291" s="221"/>
      <c r="N291" s="227">
        <f t="shared" si="10"/>
        <v>0</v>
      </c>
      <c r="O291" s="221" t="s">
        <v>32</v>
      </c>
      <c r="P291" s="221" t="s">
        <v>264</v>
      </c>
      <c r="Q291" s="221" t="s">
        <v>1342</v>
      </c>
      <c r="R291" s="221" t="s">
        <v>134</v>
      </c>
      <c r="S291" s="145" t="s">
        <v>465</v>
      </c>
      <c r="T291" s="221" t="s">
        <v>162</v>
      </c>
      <c r="U291" s="221" t="s">
        <v>186</v>
      </c>
      <c r="V291" s="221" t="s">
        <v>2261</v>
      </c>
      <c r="W291" s="221"/>
      <c r="X291" s="221"/>
      <c r="Y291" s="221"/>
      <c r="Z291" s="221" t="s">
        <v>203</v>
      </c>
      <c r="AB291" s="221"/>
      <c r="AC291" s="226">
        <f t="shared" si="11"/>
        <v>0</v>
      </c>
      <c r="AE291" s="147" t="s">
        <v>217</v>
      </c>
      <c r="AF291" s="147" t="s">
        <v>2353</v>
      </c>
    </row>
    <row r="292" spans="1:34">
      <c r="A292" s="147">
        <v>291</v>
      </c>
      <c r="B292" s="223">
        <v>230174</v>
      </c>
      <c r="C292" s="221" t="s">
        <v>121</v>
      </c>
      <c r="D292" s="222">
        <v>43293</v>
      </c>
      <c r="E292" s="160" t="s">
        <v>2424</v>
      </c>
      <c r="F292" s="222">
        <v>43306</v>
      </c>
      <c r="G292" s="221">
        <f t="shared" si="12"/>
        <v>13</v>
      </c>
      <c r="H292" s="221" t="s">
        <v>133</v>
      </c>
      <c r="K292" s="319"/>
      <c r="L292" s="221"/>
      <c r="M292" s="221"/>
      <c r="N292" s="227">
        <f t="shared" si="10"/>
        <v>0</v>
      </c>
      <c r="O292" s="221" t="s">
        <v>32</v>
      </c>
      <c r="P292" s="221" t="s">
        <v>264</v>
      </c>
      <c r="Q292" s="221" t="s">
        <v>1342</v>
      </c>
      <c r="R292" s="221" t="s">
        <v>122</v>
      </c>
      <c r="S292" s="145" t="s">
        <v>469</v>
      </c>
      <c r="T292" s="221" t="s">
        <v>114</v>
      </c>
      <c r="U292" s="221" t="s">
        <v>2409</v>
      </c>
      <c r="V292" s="221" t="s">
        <v>222</v>
      </c>
      <c r="W292" s="221"/>
      <c r="X292" s="221"/>
      <c r="Y292" s="221"/>
      <c r="Z292" s="221" t="s">
        <v>170</v>
      </c>
      <c r="AB292" s="221"/>
      <c r="AC292" s="226">
        <f t="shared" si="11"/>
        <v>0</v>
      </c>
      <c r="AE292" s="147" t="s">
        <v>217</v>
      </c>
      <c r="AF292" s="147" t="s">
        <v>2353</v>
      </c>
    </row>
    <row r="293" spans="1:34">
      <c r="A293" s="147">
        <v>292</v>
      </c>
      <c r="B293" s="223">
        <v>229811</v>
      </c>
      <c r="C293" s="221" t="s">
        <v>121</v>
      </c>
      <c r="D293" s="222">
        <v>43293</v>
      </c>
      <c r="E293" s="160" t="s">
        <v>2424</v>
      </c>
      <c r="F293" s="222">
        <v>43302</v>
      </c>
      <c r="G293" s="221">
        <f t="shared" si="12"/>
        <v>9</v>
      </c>
      <c r="H293" s="221" t="s">
        <v>133</v>
      </c>
      <c r="K293" s="319"/>
      <c r="L293" s="221"/>
      <c r="M293" s="221"/>
      <c r="N293" s="227">
        <f t="shared" si="10"/>
        <v>0</v>
      </c>
      <c r="O293" s="221" t="s">
        <v>32</v>
      </c>
      <c r="P293" s="221" t="s">
        <v>264</v>
      </c>
      <c r="Q293" s="221" t="s">
        <v>1342</v>
      </c>
      <c r="R293" s="221" t="s">
        <v>122</v>
      </c>
      <c r="S293" s="145" t="s">
        <v>469</v>
      </c>
      <c r="T293" s="221" t="s">
        <v>114</v>
      </c>
      <c r="U293" s="221" t="s">
        <v>1125</v>
      </c>
      <c r="V293" s="221" t="s">
        <v>222</v>
      </c>
      <c r="W293" s="221"/>
      <c r="X293" s="221"/>
      <c r="Y293" s="221"/>
      <c r="Z293" s="221" t="s">
        <v>147</v>
      </c>
      <c r="AB293" s="221"/>
      <c r="AC293" s="226">
        <f t="shared" si="11"/>
        <v>0</v>
      </c>
      <c r="AE293" s="147" t="s">
        <v>217</v>
      </c>
      <c r="AF293" s="147" t="s">
        <v>2353</v>
      </c>
    </row>
    <row r="294" spans="1:34">
      <c r="A294" s="147">
        <v>293</v>
      </c>
      <c r="B294" s="223">
        <v>229995</v>
      </c>
      <c r="C294" s="221" t="s">
        <v>121</v>
      </c>
      <c r="D294" s="222">
        <v>43293</v>
      </c>
      <c r="E294" s="160" t="s">
        <v>2424</v>
      </c>
      <c r="F294" s="222">
        <v>43324</v>
      </c>
      <c r="G294" s="221">
        <f t="shared" si="12"/>
        <v>31</v>
      </c>
      <c r="H294" s="221" t="s">
        <v>133</v>
      </c>
      <c r="K294" s="319"/>
      <c r="L294" s="221"/>
      <c r="M294" s="221"/>
      <c r="N294" s="227">
        <f t="shared" si="10"/>
        <v>0</v>
      </c>
      <c r="O294" s="221" t="s">
        <v>32</v>
      </c>
      <c r="P294" s="221" t="s">
        <v>261</v>
      </c>
      <c r="Q294" s="221" t="s">
        <v>1341</v>
      </c>
      <c r="R294" s="221" t="s">
        <v>122</v>
      </c>
      <c r="S294" s="145" t="s">
        <v>469</v>
      </c>
      <c r="T294" s="221" t="s">
        <v>114</v>
      </c>
      <c r="U294" s="221" t="s">
        <v>1932</v>
      </c>
      <c r="V294" s="221" t="s">
        <v>222</v>
      </c>
      <c r="W294" s="221"/>
      <c r="X294" s="221"/>
      <c r="Y294" s="221"/>
      <c r="Z294" s="221" t="s">
        <v>147</v>
      </c>
      <c r="AB294" s="221"/>
      <c r="AC294" s="226">
        <f t="shared" si="11"/>
        <v>0</v>
      </c>
      <c r="AE294" s="147" t="s">
        <v>217</v>
      </c>
      <c r="AF294" s="147" t="s">
        <v>2353</v>
      </c>
    </row>
    <row r="295" spans="1:34">
      <c r="A295" s="147">
        <v>294</v>
      </c>
      <c r="B295" s="223">
        <v>229724</v>
      </c>
      <c r="C295" s="221" t="s">
        <v>1130</v>
      </c>
      <c r="D295" s="222">
        <v>43297</v>
      </c>
      <c r="E295" s="160" t="s">
        <v>2424</v>
      </c>
      <c r="F295" s="222">
        <v>43302</v>
      </c>
      <c r="G295" s="221">
        <f t="shared" si="12"/>
        <v>5</v>
      </c>
      <c r="H295" s="221" t="s">
        <v>133</v>
      </c>
      <c r="K295" s="319"/>
      <c r="L295" s="221"/>
      <c r="M295" s="221"/>
      <c r="N295" s="227">
        <f t="shared" si="10"/>
        <v>0</v>
      </c>
      <c r="O295" s="221" t="s">
        <v>32</v>
      </c>
      <c r="P295" s="221" t="s">
        <v>264</v>
      </c>
      <c r="Q295" s="221" t="s">
        <v>1342</v>
      </c>
      <c r="R295" s="221" t="s">
        <v>210</v>
      </c>
      <c r="S295" s="145" t="s">
        <v>469</v>
      </c>
      <c r="T295" s="221" t="s">
        <v>376</v>
      </c>
      <c r="U295" s="221" t="s">
        <v>2448</v>
      </c>
      <c r="V295" s="221" t="s">
        <v>382</v>
      </c>
      <c r="W295" s="221"/>
      <c r="X295" s="221"/>
      <c r="Y295" s="221"/>
      <c r="Z295" s="221" t="s">
        <v>253</v>
      </c>
      <c r="AB295" s="221"/>
      <c r="AC295" s="226">
        <f t="shared" si="11"/>
        <v>0</v>
      </c>
      <c r="AE295" s="147" t="s">
        <v>2387</v>
      </c>
      <c r="AF295" s="147" t="s">
        <v>2353</v>
      </c>
    </row>
    <row r="296" spans="1:34">
      <c r="A296" s="147">
        <v>295</v>
      </c>
      <c r="B296" s="223">
        <v>229890</v>
      </c>
      <c r="C296" s="221" t="s">
        <v>1130</v>
      </c>
      <c r="D296" s="222">
        <v>43297</v>
      </c>
      <c r="E296" s="160" t="s">
        <v>2424</v>
      </c>
      <c r="F296" s="222">
        <v>43302</v>
      </c>
      <c r="G296" s="221">
        <f t="shared" si="12"/>
        <v>5</v>
      </c>
      <c r="H296" s="221" t="s">
        <v>133</v>
      </c>
      <c r="K296" s="319"/>
      <c r="L296" s="221"/>
      <c r="M296" s="221"/>
      <c r="N296" s="227">
        <f t="shared" si="10"/>
        <v>0</v>
      </c>
      <c r="O296" s="221" t="s">
        <v>2449</v>
      </c>
      <c r="P296" s="221" t="s">
        <v>264</v>
      </c>
      <c r="Q296" s="221" t="s">
        <v>1342</v>
      </c>
      <c r="R296" s="221" t="s">
        <v>122</v>
      </c>
      <c r="S296" s="145" t="s">
        <v>469</v>
      </c>
      <c r="T296" s="221" t="s">
        <v>376</v>
      </c>
      <c r="U296" s="221" t="s">
        <v>2450</v>
      </c>
      <c r="V296" s="221" t="s">
        <v>222</v>
      </c>
      <c r="W296" s="221"/>
      <c r="X296" s="221"/>
      <c r="Y296" s="221"/>
      <c r="Z296" s="221" t="s">
        <v>253</v>
      </c>
      <c r="AB296" s="221"/>
      <c r="AC296" s="226">
        <f t="shared" si="11"/>
        <v>0</v>
      </c>
      <c r="AE296" s="147" t="s">
        <v>2387</v>
      </c>
      <c r="AF296" s="147" t="s">
        <v>2353</v>
      </c>
    </row>
    <row r="297" spans="1:34">
      <c r="A297" s="147">
        <v>296</v>
      </c>
      <c r="B297" s="223">
        <v>230630</v>
      </c>
      <c r="C297" s="221" t="s">
        <v>128</v>
      </c>
      <c r="D297" s="222">
        <v>43297</v>
      </c>
      <c r="E297" s="160" t="s">
        <v>2424</v>
      </c>
      <c r="F297" s="222">
        <v>43311</v>
      </c>
      <c r="G297" s="221">
        <f t="shared" si="12"/>
        <v>14</v>
      </c>
      <c r="H297" s="221" t="s">
        <v>133</v>
      </c>
      <c r="K297" s="319"/>
      <c r="L297" s="221"/>
      <c r="M297" s="221"/>
      <c r="N297" s="227">
        <f t="shared" si="10"/>
        <v>0</v>
      </c>
      <c r="O297" s="221" t="s">
        <v>32</v>
      </c>
      <c r="P297" s="221" t="s">
        <v>264</v>
      </c>
      <c r="Q297" s="221" t="s">
        <v>1342</v>
      </c>
      <c r="R297" s="221" t="s">
        <v>143</v>
      </c>
      <c r="S297" s="145" t="s">
        <v>465</v>
      </c>
      <c r="T297" s="221" t="s">
        <v>144</v>
      </c>
      <c r="U297" s="221" t="s">
        <v>2453</v>
      </c>
      <c r="V297" s="221" t="s">
        <v>425</v>
      </c>
      <c r="W297" s="221"/>
      <c r="X297" s="221"/>
      <c r="Y297" s="221" t="s">
        <v>316</v>
      </c>
      <c r="Z297" s="221" t="s">
        <v>203</v>
      </c>
      <c r="AA297" s="222">
        <v>43208</v>
      </c>
      <c r="AB297" s="221" t="s">
        <v>195</v>
      </c>
      <c r="AC297" s="221">
        <f t="shared" si="11"/>
        <v>0</v>
      </c>
      <c r="AE297" s="147" t="s">
        <v>217</v>
      </c>
      <c r="AF297" s="147" t="s">
        <v>2265</v>
      </c>
      <c r="AH297" s="154" t="s">
        <v>2557</v>
      </c>
    </row>
    <row r="298" spans="1:34">
      <c r="A298" s="147">
        <v>297</v>
      </c>
      <c r="B298" s="223">
        <v>230240</v>
      </c>
      <c r="C298" s="221" t="s">
        <v>128</v>
      </c>
      <c r="D298" s="222">
        <v>43297</v>
      </c>
      <c r="E298" s="160" t="s">
        <v>2424</v>
      </c>
      <c r="F298" s="222">
        <v>43310</v>
      </c>
      <c r="G298" s="221">
        <f t="shared" si="12"/>
        <v>13</v>
      </c>
      <c r="H298" s="221" t="s">
        <v>133</v>
      </c>
      <c r="K298" s="319"/>
      <c r="L298" s="221"/>
      <c r="M298" s="221"/>
      <c r="N298" s="227">
        <f t="shared" si="10"/>
        <v>0</v>
      </c>
      <c r="O298" s="221" t="s">
        <v>32</v>
      </c>
      <c r="P298" s="221" t="s">
        <v>264</v>
      </c>
      <c r="Q298" s="221" t="s">
        <v>1342</v>
      </c>
      <c r="R298" s="221" t="s">
        <v>134</v>
      </c>
      <c r="S298" s="145" t="s">
        <v>465</v>
      </c>
      <c r="T298" s="221" t="s">
        <v>162</v>
      </c>
      <c r="U298" s="221" t="s">
        <v>186</v>
      </c>
      <c r="V298" s="221" t="s">
        <v>2261</v>
      </c>
      <c r="W298" s="221"/>
      <c r="X298" s="221"/>
      <c r="Y298" s="221" t="s">
        <v>316</v>
      </c>
      <c r="Z298" s="221" t="s">
        <v>203</v>
      </c>
      <c r="AB298" s="221" t="s">
        <v>236</v>
      </c>
      <c r="AC298" s="221">
        <f t="shared" si="11"/>
        <v>0</v>
      </c>
      <c r="AE298" s="147" t="s">
        <v>2387</v>
      </c>
      <c r="AF298" s="147" t="s">
        <v>2265</v>
      </c>
    </row>
    <row r="299" spans="1:34">
      <c r="A299" s="147">
        <v>298</v>
      </c>
      <c r="B299" s="223">
        <v>230482</v>
      </c>
      <c r="C299" s="221" t="s">
        <v>128</v>
      </c>
      <c r="D299" s="222">
        <v>43297</v>
      </c>
      <c r="E299" s="160" t="s">
        <v>2424</v>
      </c>
      <c r="F299" s="222">
        <v>43310</v>
      </c>
      <c r="G299" s="221">
        <f t="shared" si="12"/>
        <v>13</v>
      </c>
      <c r="H299" s="221" t="s">
        <v>363</v>
      </c>
      <c r="K299" s="319"/>
      <c r="L299" s="221"/>
      <c r="M299" s="221"/>
      <c r="N299" s="227">
        <f t="shared" si="10"/>
        <v>0</v>
      </c>
      <c r="O299" s="221" t="s">
        <v>32</v>
      </c>
      <c r="P299" s="221" t="s">
        <v>264</v>
      </c>
      <c r="Q299" s="221" t="s">
        <v>1342</v>
      </c>
      <c r="R299" s="221" t="s">
        <v>134</v>
      </c>
      <c r="S299" s="145" t="s">
        <v>465</v>
      </c>
      <c r="T299" s="221" t="s">
        <v>88</v>
      </c>
      <c r="U299" s="221" t="s">
        <v>2153</v>
      </c>
      <c r="V299" s="221" t="s">
        <v>429</v>
      </c>
      <c r="W299" s="221"/>
      <c r="X299" s="221"/>
      <c r="Y299" s="221"/>
      <c r="Z299" s="221" t="s">
        <v>189</v>
      </c>
      <c r="AB299" s="221"/>
      <c r="AC299" s="221">
        <f t="shared" si="11"/>
        <v>0</v>
      </c>
      <c r="AF299" s="147"/>
      <c r="AH299" s="154" t="s">
        <v>2523</v>
      </c>
    </row>
    <row r="300" spans="1:34">
      <c r="A300" s="147">
        <v>299</v>
      </c>
      <c r="B300" s="223">
        <v>230440</v>
      </c>
      <c r="C300" s="221" t="s">
        <v>128</v>
      </c>
      <c r="D300" s="222">
        <v>43297</v>
      </c>
      <c r="E300" s="160" t="s">
        <v>2424</v>
      </c>
      <c r="F300" s="222">
        <v>43310</v>
      </c>
      <c r="G300" s="221">
        <f t="shared" ref="G300:G331" si="13">F300-D300</f>
        <v>13</v>
      </c>
      <c r="H300" s="221" t="s">
        <v>363</v>
      </c>
      <c r="K300" s="319"/>
      <c r="L300" s="221"/>
      <c r="M300" s="221"/>
      <c r="N300" s="227">
        <f t="shared" si="10"/>
        <v>0</v>
      </c>
      <c r="O300" s="221" t="s">
        <v>32</v>
      </c>
      <c r="P300" s="221" t="s">
        <v>262</v>
      </c>
      <c r="Q300" s="221" t="s">
        <v>1342</v>
      </c>
      <c r="R300" s="221" t="s">
        <v>143</v>
      </c>
      <c r="S300" s="145" t="s">
        <v>465</v>
      </c>
      <c r="T300" s="221" t="s">
        <v>88</v>
      </c>
      <c r="U300" s="221" t="s">
        <v>423</v>
      </c>
      <c r="V300" s="221" t="s">
        <v>432</v>
      </c>
      <c r="W300" s="221"/>
      <c r="X300" s="221"/>
      <c r="Y300" s="221" t="s">
        <v>1942</v>
      </c>
      <c r="Z300" s="221" t="s">
        <v>189</v>
      </c>
      <c r="AB300" s="221" t="s">
        <v>140</v>
      </c>
      <c r="AC300" s="221">
        <f t="shared" si="11"/>
        <v>0</v>
      </c>
      <c r="AF300" s="147"/>
      <c r="AH300" s="154" t="s">
        <v>2462</v>
      </c>
    </row>
    <row r="301" spans="1:34">
      <c r="A301" s="147">
        <v>300</v>
      </c>
      <c r="B301" s="223">
        <v>229948</v>
      </c>
      <c r="C301" s="221" t="s">
        <v>128</v>
      </c>
      <c r="D301" s="222">
        <v>43297</v>
      </c>
      <c r="E301" s="160" t="s">
        <v>2424</v>
      </c>
      <c r="F301" s="222">
        <v>43301</v>
      </c>
      <c r="G301" s="221">
        <f t="shared" si="13"/>
        <v>4</v>
      </c>
      <c r="H301" s="221" t="s">
        <v>133</v>
      </c>
      <c r="K301" s="319"/>
      <c r="L301" s="221"/>
      <c r="M301" s="221"/>
      <c r="N301" s="227">
        <f t="shared" si="10"/>
        <v>0</v>
      </c>
      <c r="O301" s="221" t="s">
        <v>32</v>
      </c>
      <c r="P301" s="221" t="s">
        <v>262</v>
      </c>
      <c r="Q301" s="221" t="s">
        <v>1342</v>
      </c>
      <c r="R301" s="221" t="s">
        <v>210</v>
      </c>
      <c r="S301" s="145" t="s">
        <v>469</v>
      </c>
      <c r="T301" s="221" t="s">
        <v>164</v>
      </c>
      <c r="U301" s="221" t="s">
        <v>2454</v>
      </c>
      <c r="V301" s="221" t="s">
        <v>2455</v>
      </c>
      <c r="W301" s="221"/>
      <c r="X301" s="221"/>
      <c r="Y301" s="221"/>
      <c r="Z301" s="221" t="s">
        <v>404</v>
      </c>
      <c r="AB301" s="221"/>
      <c r="AC301" s="221">
        <f t="shared" si="11"/>
        <v>0</v>
      </c>
      <c r="AE301" s="147" t="s">
        <v>217</v>
      </c>
      <c r="AF301" s="147" t="s">
        <v>2353</v>
      </c>
    </row>
    <row r="302" spans="1:34">
      <c r="A302" s="147">
        <v>301</v>
      </c>
      <c r="B302" s="223">
        <v>230026</v>
      </c>
      <c r="C302" s="221" t="s">
        <v>121</v>
      </c>
      <c r="D302" s="222">
        <v>43297</v>
      </c>
      <c r="E302" s="160" t="s">
        <v>2424</v>
      </c>
      <c r="F302" s="222">
        <v>43302</v>
      </c>
      <c r="G302" s="221">
        <f t="shared" si="13"/>
        <v>5</v>
      </c>
      <c r="H302" s="221" t="s">
        <v>363</v>
      </c>
      <c r="K302" s="319"/>
      <c r="L302" s="221"/>
      <c r="M302" s="221"/>
      <c r="N302" s="227">
        <f t="shared" si="10"/>
        <v>0</v>
      </c>
      <c r="O302" s="221" t="s">
        <v>32</v>
      </c>
      <c r="P302" s="221" t="s">
        <v>264</v>
      </c>
      <c r="Q302" s="221" t="s">
        <v>1342</v>
      </c>
      <c r="R302" s="221" t="s">
        <v>143</v>
      </c>
      <c r="S302" s="145" t="s">
        <v>465</v>
      </c>
      <c r="T302" s="221" t="s">
        <v>114</v>
      </c>
      <c r="U302" s="221" t="s">
        <v>2458</v>
      </c>
      <c r="V302" s="221" t="s">
        <v>2459</v>
      </c>
      <c r="W302" s="221"/>
      <c r="X302" s="221"/>
      <c r="Y302" s="221"/>
      <c r="Z302" s="221" t="s">
        <v>170</v>
      </c>
      <c r="AB302" s="221"/>
      <c r="AC302" s="221">
        <f t="shared" si="11"/>
        <v>0</v>
      </c>
      <c r="AF302" s="147"/>
      <c r="AH302" s="154" t="s">
        <v>2466</v>
      </c>
    </row>
    <row r="303" spans="1:34">
      <c r="A303" s="147">
        <v>302</v>
      </c>
      <c r="B303" s="223">
        <v>229398</v>
      </c>
      <c r="C303" s="221" t="s">
        <v>121</v>
      </c>
      <c r="D303" s="222">
        <v>43297</v>
      </c>
      <c r="E303" s="160" t="s">
        <v>2424</v>
      </c>
      <c r="F303" s="222">
        <v>43301</v>
      </c>
      <c r="G303" s="221">
        <f t="shared" si="13"/>
        <v>4</v>
      </c>
      <c r="H303" s="221" t="s">
        <v>133</v>
      </c>
      <c r="K303" s="319"/>
      <c r="L303" s="221"/>
      <c r="M303" s="221"/>
      <c r="N303" s="227">
        <f t="shared" si="10"/>
        <v>0</v>
      </c>
      <c r="O303" s="221" t="s">
        <v>32</v>
      </c>
      <c r="P303" s="221" t="s">
        <v>262</v>
      </c>
      <c r="Q303" s="221" t="s">
        <v>1342</v>
      </c>
      <c r="R303" s="221" t="s">
        <v>143</v>
      </c>
      <c r="S303" s="145" t="s">
        <v>465</v>
      </c>
      <c r="T303" s="221" t="s">
        <v>114</v>
      </c>
      <c r="U303" s="221" t="s">
        <v>832</v>
      </c>
      <c r="V303" s="221" t="s">
        <v>2460</v>
      </c>
      <c r="W303" s="221"/>
      <c r="X303" s="221"/>
      <c r="Y303" s="221"/>
      <c r="Z303" s="221" t="s">
        <v>170</v>
      </c>
      <c r="AB303" s="221"/>
      <c r="AC303" s="221">
        <f t="shared" si="11"/>
        <v>0</v>
      </c>
      <c r="AE303" s="147" t="s">
        <v>2387</v>
      </c>
      <c r="AF303" s="147" t="s">
        <v>2353</v>
      </c>
    </row>
    <row r="304" spans="1:34">
      <c r="A304" s="147">
        <v>303</v>
      </c>
      <c r="B304" s="223">
        <v>230049</v>
      </c>
      <c r="C304" s="221" t="s">
        <v>1130</v>
      </c>
      <c r="D304" s="222">
        <v>43298</v>
      </c>
      <c r="E304" s="160" t="s">
        <v>2424</v>
      </c>
      <c r="F304" s="222">
        <v>43303</v>
      </c>
      <c r="G304" s="221">
        <f t="shared" si="13"/>
        <v>5</v>
      </c>
      <c r="H304" s="221" t="s">
        <v>363</v>
      </c>
      <c r="K304" s="319"/>
      <c r="L304" s="221"/>
      <c r="M304" s="221"/>
      <c r="N304" s="227">
        <f t="shared" si="10"/>
        <v>0</v>
      </c>
      <c r="O304" s="221" t="s">
        <v>32</v>
      </c>
      <c r="P304" s="221" t="s">
        <v>264</v>
      </c>
      <c r="Q304" s="221" t="s">
        <v>1342</v>
      </c>
      <c r="R304" s="221" t="s">
        <v>1374</v>
      </c>
      <c r="S304" s="145" t="s">
        <v>469</v>
      </c>
      <c r="T304" s="221" t="s">
        <v>376</v>
      </c>
      <c r="U304" s="221" t="s">
        <v>2451</v>
      </c>
      <c r="V304" s="221" t="s">
        <v>249</v>
      </c>
      <c r="W304" s="221"/>
      <c r="X304" s="221"/>
      <c r="Y304" s="221"/>
      <c r="Z304" s="221" t="s">
        <v>253</v>
      </c>
      <c r="AB304" s="221"/>
      <c r="AC304" s="221">
        <f t="shared" si="11"/>
        <v>0</v>
      </c>
      <c r="AF304" s="147"/>
      <c r="AH304" s="401" t="s">
        <v>2465</v>
      </c>
    </row>
    <row r="305" spans="1:34">
      <c r="A305" s="147">
        <v>304</v>
      </c>
      <c r="B305" s="223">
        <v>230500</v>
      </c>
      <c r="C305" s="221" t="s">
        <v>128</v>
      </c>
      <c r="D305" s="222">
        <v>43298</v>
      </c>
      <c r="E305" s="160" t="s">
        <v>2424</v>
      </c>
      <c r="F305" s="222">
        <v>43311</v>
      </c>
      <c r="G305" s="221">
        <f t="shared" si="13"/>
        <v>13</v>
      </c>
      <c r="H305" s="221" t="s">
        <v>133</v>
      </c>
      <c r="K305" s="319">
        <v>959</v>
      </c>
      <c r="L305" s="221">
        <v>430</v>
      </c>
      <c r="M305" s="221">
        <v>80</v>
      </c>
      <c r="N305" s="227">
        <f t="shared" si="10"/>
        <v>471.46000000000004</v>
      </c>
      <c r="O305" s="221" t="s">
        <v>32</v>
      </c>
      <c r="P305" s="221" t="s">
        <v>264</v>
      </c>
      <c r="Q305" s="221" t="s">
        <v>1342</v>
      </c>
      <c r="R305" s="221" t="s">
        <v>143</v>
      </c>
      <c r="S305" s="145" t="s">
        <v>465</v>
      </c>
      <c r="T305" s="221" t="s">
        <v>164</v>
      </c>
      <c r="U305" s="221" t="s">
        <v>2452</v>
      </c>
      <c r="V305" s="221" t="s">
        <v>2226</v>
      </c>
      <c r="W305" s="221"/>
      <c r="X305" s="221"/>
      <c r="Y305" s="221" t="s">
        <v>1942</v>
      </c>
      <c r="Z305" s="221" t="s">
        <v>404</v>
      </c>
      <c r="AB305" s="221" t="s">
        <v>195</v>
      </c>
      <c r="AC305" s="221">
        <f t="shared" si="11"/>
        <v>1</v>
      </c>
      <c r="AD305" s="147" t="s">
        <v>217</v>
      </c>
      <c r="AE305" s="147" t="s">
        <v>218</v>
      </c>
      <c r="AF305" s="147"/>
    </row>
    <row r="306" spans="1:34">
      <c r="A306" s="147">
        <v>305</v>
      </c>
      <c r="B306" s="223">
        <v>230641</v>
      </c>
      <c r="C306" s="221" t="s">
        <v>121</v>
      </c>
      <c r="D306" s="222">
        <v>43298</v>
      </c>
      <c r="E306" s="160" t="s">
        <v>2424</v>
      </c>
      <c r="F306" s="222">
        <v>43311</v>
      </c>
      <c r="G306" s="221">
        <f t="shared" si="13"/>
        <v>13</v>
      </c>
      <c r="H306" s="221" t="s">
        <v>133</v>
      </c>
      <c r="K306" s="319"/>
      <c r="L306" s="221"/>
      <c r="M306" s="221"/>
      <c r="N306" s="227">
        <f t="shared" si="10"/>
        <v>0</v>
      </c>
      <c r="O306" s="221" t="s">
        <v>32</v>
      </c>
      <c r="P306" s="221" t="s">
        <v>263</v>
      </c>
      <c r="Q306" s="221" t="s">
        <v>1341</v>
      </c>
      <c r="R306" s="221" t="s">
        <v>210</v>
      </c>
      <c r="S306" s="145" t="s">
        <v>469</v>
      </c>
      <c r="T306" s="221" t="s">
        <v>380</v>
      </c>
      <c r="U306" s="221" t="s">
        <v>2456</v>
      </c>
      <c r="V306" s="221" t="s">
        <v>2457</v>
      </c>
      <c r="W306" s="221"/>
      <c r="X306" s="221"/>
      <c r="Y306" s="221"/>
      <c r="Z306" s="221" t="s">
        <v>687</v>
      </c>
      <c r="AB306" s="221"/>
      <c r="AC306" s="221">
        <f t="shared" si="11"/>
        <v>0</v>
      </c>
      <c r="AE306" s="147" t="s">
        <v>217</v>
      </c>
      <c r="AF306" s="147" t="s">
        <v>2353</v>
      </c>
    </row>
    <row r="307" spans="1:34">
      <c r="A307" s="147">
        <v>306</v>
      </c>
      <c r="B307" s="223">
        <v>230828</v>
      </c>
      <c r="C307" s="221" t="s">
        <v>121</v>
      </c>
      <c r="D307" s="222">
        <v>43298</v>
      </c>
      <c r="E307" s="160" t="s">
        <v>2424</v>
      </c>
      <c r="F307" s="222">
        <v>43311</v>
      </c>
      <c r="G307" s="221">
        <f t="shared" si="13"/>
        <v>13</v>
      </c>
      <c r="H307" s="221" t="s">
        <v>363</v>
      </c>
      <c r="K307" s="319"/>
      <c r="L307" s="221"/>
      <c r="M307" s="221"/>
      <c r="N307" s="227">
        <f t="shared" si="10"/>
        <v>0</v>
      </c>
      <c r="O307" s="221" t="s">
        <v>32</v>
      </c>
      <c r="P307" s="221" t="s">
        <v>262</v>
      </c>
      <c r="Q307" s="221" t="s">
        <v>1342</v>
      </c>
      <c r="R307" s="221" t="s">
        <v>143</v>
      </c>
      <c r="S307" s="145" t="s">
        <v>465</v>
      </c>
      <c r="T307" s="221" t="s">
        <v>114</v>
      </c>
      <c r="U307" s="221" t="s">
        <v>2458</v>
      </c>
      <c r="V307" s="221" t="s">
        <v>432</v>
      </c>
      <c r="W307" s="221"/>
      <c r="X307" s="221"/>
      <c r="Y307" s="221" t="s">
        <v>1942</v>
      </c>
      <c r="Z307" s="221" t="s">
        <v>170</v>
      </c>
      <c r="AB307" s="221" t="s">
        <v>195</v>
      </c>
      <c r="AC307" s="221">
        <f t="shared" si="11"/>
        <v>0</v>
      </c>
      <c r="AF307" s="147"/>
      <c r="AH307" s="154" t="s">
        <v>2462</v>
      </c>
    </row>
    <row r="308" spans="1:34">
      <c r="A308" s="147">
        <v>307</v>
      </c>
      <c r="B308" s="223">
        <v>231163</v>
      </c>
      <c r="C308" s="221" t="s">
        <v>128</v>
      </c>
      <c r="D308" s="222">
        <v>43304</v>
      </c>
      <c r="E308" s="160" t="s">
        <v>2424</v>
      </c>
      <c r="F308" s="222">
        <v>43309</v>
      </c>
      <c r="G308" s="221">
        <f t="shared" si="13"/>
        <v>5</v>
      </c>
      <c r="H308" s="221" t="s">
        <v>133</v>
      </c>
      <c r="K308" s="319"/>
      <c r="L308" s="221"/>
      <c r="M308" s="221"/>
      <c r="N308" s="227">
        <f t="shared" si="10"/>
        <v>0</v>
      </c>
      <c r="O308" s="221" t="s">
        <v>32</v>
      </c>
      <c r="P308" s="221" t="s">
        <v>264</v>
      </c>
      <c r="Q308" s="221" t="s">
        <v>1342</v>
      </c>
      <c r="R308" s="221" t="s">
        <v>122</v>
      </c>
      <c r="S308" s="145" t="s">
        <v>469</v>
      </c>
      <c r="T308" s="221" t="s">
        <v>164</v>
      </c>
      <c r="U308" s="221" t="s">
        <v>2192</v>
      </c>
      <c r="V308" s="221" t="s">
        <v>222</v>
      </c>
      <c r="W308" s="221"/>
      <c r="X308" s="221"/>
      <c r="Y308" s="221"/>
      <c r="Z308" s="221" t="s">
        <v>379</v>
      </c>
      <c r="AB308" s="221"/>
      <c r="AC308" s="221">
        <f t="shared" si="11"/>
        <v>0</v>
      </c>
      <c r="AE308" s="147" t="s">
        <v>2387</v>
      </c>
      <c r="AF308" s="147" t="s">
        <v>2353</v>
      </c>
    </row>
    <row r="309" spans="1:34">
      <c r="A309" s="147">
        <v>308</v>
      </c>
      <c r="B309" s="223">
        <v>229952</v>
      </c>
      <c r="C309" s="221" t="s">
        <v>128</v>
      </c>
      <c r="D309" s="222">
        <v>43304</v>
      </c>
      <c r="E309" s="160" t="s">
        <v>2424</v>
      </c>
      <c r="F309" s="222">
        <v>43310</v>
      </c>
      <c r="G309" s="221">
        <f t="shared" si="13"/>
        <v>6</v>
      </c>
      <c r="H309" s="221" t="s">
        <v>133</v>
      </c>
      <c r="K309" s="319"/>
      <c r="L309" s="221"/>
      <c r="M309" s="221"/>
      <c r="N309" s="227">
        <f t="shared" si="10"/>
        <v>0</v>
      </c>
      <c r="O309" s="221" t="s">
        <v>32</v>
      </c>
      <c r="P309" s="221" t="s">
        <v>264</v>
      </c>
      <c r="Q309" s="221" t="s">
        <v>1342</v>
      </c>
      <c r="R309" s="221" t="s">
        <v>122</v>
      </c>
      <c r="S309" s="145" t="s">
        <v>469</v>
      </c>
      <c r="T309" s="221" t="s">
        <v>164</v>
      </c>
      <c r="U309" s="221" t="s">
        <v>569</v>
      </c>
      <c r="V309" s="221" t="s">
        <v>222</v>
      </c>
      <c r="W309" s="221"/>
      <c r="X309" s="221"/>
      <c r="Y309" s="221"/>
      <c r="Z309" s="221" t="s">
        <v>404</v>
      </c>
      <c r="AB309" s="221"/>
      <c r="AC309" s="221">
        <f t="shared" si="11"/>
        <v>0</v>
      </c>
      <c r="AE309" s="147" t="s">
        <v>2387</v>
      </c>
      <c r="AF309" s="147" t="s">
        <v>2353</v>
      </c>
    </row>
    <row r="310" spans="1:34">
      <c r="A310" s="147">
        <v>309</v>
      </c>
      <c r="B310" s="223">
        <v>230969</v>
      </c>
      <c r="C310" s="221" t="s">
        <v>128</v>
      </c>
      <c r="D310" s="222">
        <v>43304</v>
      </c>
      <c r="E310" s="160" t="s">
        <v>2424</v>
      </c>
      <c r="F310" s="222">
        <v>43314</v>
      </c>
      <c r="G310" s="221">
        <f t="shared" si="13"/>
        <v>10</v>
      </c>
      <c r="H310" s="221" t="s">
        <v>133</v>
      </c>
      <c r="K310" s="319">
        <v>1999</v>
      </c>
      <c r="L310" s="221">
        <v>135</v>
      </c>
      <c r="M310" s="221">
        <v>17.5</v>
      </c>
      <c r="N310" s="227">
        <f t="shared" si="10"/>
        <v>1744.06</v>
      </c>
      <c r="O310" s="221" t="s">
        <v>32</v>
      </c>
      <c r="P310" s="221" t="s">
        <v>264</v>
      </c>
      <c r="Q310" s="221" t="s">
        <v>1342</v>
      </c>
      <c r="R310" s="221" t="s">
        <v>293</v>
      </c>
      <c r="S310" s="145" t="s">
        <v>469</v>
      </c>
      <c r="T310" s="221" t="s">
        <v>164</v>
      </c>
      <c r="U310" s="221" t="s">
        <v>2463</v>
      </c>
      <c r="V310" s="221" t="s">
        <v>293</v>
      </c>
      <c r="W310" s="221"/>
      <c r="X310" s="221"/>
      <c r="Y310" s="221" t="s">
        <v>316</v>
      </c>
      <c r="Z310" s="221" t="s">
        <v>404</v>
      </c>
      <c r="AA310" s="222">
        <v>43307</v>
      </c>
      <c r="AB310" s="221" t="s">
        <v>140</v>
      </c>
      <c r="AC310" s="221">
        <f t="shared" si="11"/>
        <v>1</v>
      </c>
      <c r="AD310" s="147" t="s">
        <v>217</v>
      </c>
      <c r="AE310" s="147" t="s">
        <v>218</v>
      </c>
      <c r="AF310" s="147"/>
    </row>
    <row r="311" spans="1:34">
      <c r="A311" s="147">
        <v>310</v>
      </c>
      <c r="B311" s="223">
        <v>230512</v>
      </c>
      <c r="C311" s="221" t="s">
        <v>128</v>
      </c>
      <c r="D311" s="222">
        <v>43304</v>
      </c>
      <c r="E311" s="160" t="s">
        <v>2424</v>
      </c>
      <c r="F311" s="222">
        <v>43308</v>
      </c>
      <c r="G311" s="221">
        <f t="shared" si="13"/>
        <v>4</v>
      </c>
      <c r="H311" s="221" t="s">
        <v>133</v>
      </c>
      <c r="K311" s="319">
        <v>1999</v>
      </c>
      <c r="L311" s="221">
        <v>85</v>
      </c>
      <c r="M311" s="221">
        <v>25</v>
      </c>
      <c r="N311" s="227">
        <f t="shared" si="10"/>
        <v>1794.06</v>
      </c>
      <c r="O311" s="221" t="s">
        <v>32</v>
      </c>
      <c r="P311" s="221" t="s">
        <v>264</v>
      </c>
      <c r="Q311" s="221" t="s">
        <v>1342</v>
      </c>
      <c r="R311" s="221" t="s">
        <v>293</v>
      </c>
      <c r="S311" s="145" t="s">
        <v>469</v>
      </c>
      <c r="T311" s="221" t="s">
        <v>164</v>
      </c>
      <c r="U311" s="221" t="s">
        <v>2464</v>
      </c>
      <c r="V311" s="221" t="s">
        <v>293</v>
      </c>
      <c r="W311" s="221"/>
      <c r="X311" s="221"/>
      <c r="Y311" s="221" t="s">
        <v>316</v>
      </c>
      <c r="Z311" s="221" t="s">
        <v>404</v>
      </c>
      <c r="AA311" s="222">
        <v>43312</v>
      </c>
      <c r="AB311" s="221" t="s">
        <v>140</v>
      </c>
      <c r="AC311" s="221">
        <f t="shared" si="11"/>
        <v>1</v>
      </c>
      <c r="AD311" s="147" t="s">
        <v>217</v>
      </c>
      <c r="AE311" s="147" t="s">
        <v>218</v>
      </c>
      <c r="AF311" s="147"/>
    </row>
    <row r="312" spans="1:34">
      <c r="A312" s="147">
        <v>311</v>
      </c>
      <c r="B312" s="223">
        <v>230324</v>
      </c>
      <c r="C312" s="221" t="s">
        <v>128</v>
      </c>
      <c r="D312" s="222">
        <v>43304</v>
      </c>
      <c r="E312" s="160" t="s">
        <v>2424</v>
      </c>
      <c r="F312" s="222">
        <v>43311</v>
      </c>
      <c r="G312" s="221">
        <f t="shared" si="13"/>
        <v>7</v>
      </c>
      <c r="H312" s="221" t="s">
        <v>133</v>
      </c>
      <c r="K312" s="319">
        <v>12609</v>
      </c>
      <c r="L312" s="221">
        <v>447</v>
      </c>
      <c r="M312" s="221">
        <v>17.5</v>
      </c>
      <c r="N312" s="227">
        <f t="shared" si="10"/>
        <v>11405.46</v>
      </c>
      <c r="O312" s="221" t="s">
        <v>32</v>
      </c>
      <c r="P312" s="221" t="s">
        <v>264</v>
      </c>
      <c r="Q312" s="221" t="s">
        <v>1342</v>
      </c>
      <c r="R312" s="221" t="s">
        <v>293</v>
      </c>
      <c r="S312" s="145" t="s">
        <v>469</v>
      </c>
      <c r="T312" s="221" t="s">
        <v>164</v>
      </c>
      <c r="U312" s="221" t="s">
        <v>2508</v>
      </c>
      <c r="V312" s="221" t="s">
        <v>293</v>
      </c>
      <c r="W312" s="221"/>
      <c r="X312" s="221"/>
      <c r="Y312" s="221" t="s">
        <v>1942</v>
      </c>
      <c r="Z312" s="221" t="s">
        <v>404</v>
      </c>
      <c r="AA312" s="222">
        <v>43311</v>
      </c>
      <c r="AB312" s="221" t="s">
        <v>1102</v>
      </c>
      <c r="AC312" s="221">
        <f t="shared" si="11"/>
        <v>1</v>
      </c>
      <c r="AD312" s="147" t="s">
        <v>217</v>
      </c>
      <c r="AE312" s="147" t="s">
        <v>218</v>
      </c>
      <c r="AF312" s="147"/>
    </row>
    <row r="313" spans="1:34">
      <c r="A313" s="147">
        <v>312</v>
      </c>
      <c r="B313" s="223">
        <v>231212</v>
      </c>
      <c r="C313" s="221" t="s">
        <v>121</v>
      </c>
      <c r="D313" s="222">
        <v>43305</v>
      </c>
      <c r="E313" s="160" t="s">
        <v>2424</v>
      </c>
      <c r="F313" s="222">
        <v>43316</v>
      </c>
      <c r="G313" s="221">
        <f t="shared" si="13"/>
        <v>11</v>
      </c>
      <c r="H313" s="221" t="s">
        <v>133</v>
      </c>
      <c r="K313" s="319"/>
      <c r="L313" s="221"/>
      <c r="M313" s="221"/>
      <c r="N313" s="227">
        <f t="shared" si="10"/>
        <v>0</v>
      </c>
      <c r="O313" s="221" t="s">
        <v>32</v>
      </c>
      <c r="P313" s="221" t="s">
        <v>264</v>
      </c>
      <c r="Q313" s="221" t="s">
        <v>1342</v>
      </c>
      <c r="R313" s="221" t="s">
        <v>134</v>
      </c>
      <c r="S313" s="145" t="s">
        <v>465</v>
      </c>
      <c r="T313" s="221" t="s">
        <v>114</v>
      </c>
      <c r="U313" s="221" t="s">
        <v>280</v>
      </c>
      <c r="V313" s="221" t="s">
        <v>2511</v>
      </c>
      <c r="W313" s="221"/>
      <c r="X313" s="221"/>
      <c r="Y313" s="221" t="s">
        <v>1942</v>
      </c>
      <c r="Z313" s="221" t="s">
        <v>367</v>
      </c>
      <c r="AB313" s="221" t="s">
        <v>1102</v>
      </c>
      <c r="AC313" s="221">
        <f t="shared" si="11"/>
        <v>0</v>
      </c>
      <c r="AE313" s="147" t="s">
        <v>217</v>
      </c>
      <c r="AF313" s="147" t="s">
        <v>2265</v>
      </c>
    </row>
    <row r="314" spans="1:34">
      <c r="A314" s="147">
        <v>313</v>
      </c>
      <c r="B314" s="223">
        <v>231094</v>
      </c>
      <c r="C314" s="221" t="s">
        <v>128</v>
      </c>
      <c r="D314" s="222">
        <v>43305</v>
      </c>
      <c r="E314" s="160" t="s">
        <v>2424</v>
      </c>
      <c r="F314" s="222">
        <v>43317</v>
      </c>
      <c r="G314" s="221">
        <f t="shared" si="13"/>
        <v>12</v>
      </c>
      <c r="H314" s="221" t="s">
        <v>133</v>
      </c>
      <c r="K314" s="319"/>
      <c r="L314" s="221"/>
      <c r="M314" s="221"/>
      <c r="N314" s="227">
        <f t="shared" si="10"/>
        <v>0</v>
      </c>
      <c r="O314" s="221" t="s">
        <v>32</v>
      </c>
      <c r="P314" s="221" t="s">
        <v>262</v>
      </c>
      <c r="Q314" s="221" t="s">
        <v>1342</v>
      </c>
      <c r="R314" s="221" t="s">
        <v>210</v>
      </c>
      <c r="S314" s="145" t="s">
        <v>469</v>
      </c>
      <c r="T314" s="221" t="s">
        <v>114</v>
      </c>
      <c r="U314" s="221" t="s">
        <v>2516</v>
      </c>
      <c r="V314" s="221" t="s">
        <v>90</v>
      </c>
      <c r="W314" s="221"/>
      <c r="X314" s="221"/>
      <c r="Y314" s="221"/>
      <c r="Z314" s="221" t="s">
        <v>203</v>
      </c>
      <c r="AB314" s="221"/>
      <c r="AC314" s="221">
        <f t="shared" si="11"/>
        <v>0</v>
      </c>
      <c r="AE314" s="147" t="s">
        <v>217</v>
      </c>
      <c r="AF314" s="147" t="s">
        <v>2353</v>
      </c>
    </row>
    <row r="315" spans="1:34">
      <c r="A315" s="147">
        <v>314</v>
      </c>
      <c r="B315" s="223">
        <v>231098</v>
      </c>
      <c r="C315" s="221" t="s">
        <v>128</v>
      </c>
      <c r="D315" s="222">
        <v>43305</v>
      </c>
      <c r="E315" s="160" t="s">
        <v>2424</v>
      </c>
      <c r="F315" s="222">
        <v>43320</v>
      </c>
      <c r="G315" s="221">
        <f t="shared" si="13"/>
        <v>15</v>
      </c>
      <c r="H315" s="221" t="s">
        <v>133</v>
      </c>
      <c r="K315" s="319"/>
      <c r="L315" s="221">
        <v>578</v>
      </c>
      <c r="M315" s="221"/>
      <c r="N315" s="227">
        <f t="shared" si="10"/>
        <v>0</v>
      </c>
      <c r="O315" s="221" t="s">
        <v>32</v>
      </c>
      <c r="P315" s="221" t="s">
        <v>264</v>
      </c>
      <c r="Q315" s="221" t="s">
        <v>1342</v>
      </c>
      <c r="R315" s="221" t="s">
        <v>134</v>
      </c>
      <c r="S315" s="145" t="s">
        <v>465</v>
      </c>
      <c r="T315" s="221" t="s">
        <v>164</v>
      </c>
      <c r="U315" s="221" t="s">
        <v>2517</v>
      </c>
      <c r="V315" s="221" t="s">
        <v>2518</v>
      </c>
      <c r="W315" s="221"/>
      <c r="X315" s="221"/>
      <c r="Y315" s="221" t="s">
        <v>1942</v>
      </c>
      <c r="Z315" s="221" t="s">
        <v>203</v>
      </c>
      <c r="AB315" s="221"/>
      <c r="AC315" s="221">
        <f t="shared" si="11"/>
        <v>0</v>
      </c>
      <c r="AE315" s="147" t="s">
        <v>217</v>
      </c>
      <c r="AF315" s="147" t="s">
        <v>2265</v>
      </c>
    </row>
    <row r="316" spans="1:34">
      <c r="A316" s="147">
        <v>315</v>
      </c>
      <c r="B316" s="223">
        <v>231134</v>
      </c>
      <c r="C316" s="221" t="s">
        <v>128</v>
      </c>
      <c r="D316" s="222">
        <v>43305</v>
      </c>
      <c r="E316" s="160" t="s">
        <v>2424</v>
      </c>
      <c r="F316" s="222">
        <v>43317</v>
      </c>
      <c r="G316" s="221">
        <f t="shared" si="13"/>
        <v>12</v>
      </c>
      <c r="H316" s="221" t="s">
        <v>133</v>
      </c>
      <c r="K316" s="319"/>
      <c r="L316" s="221"/>
      <c r="M316" s="221"/>
      <c r="N316" s="227">
        <f t="shared" si="10"/>
        <v>0</v>
      </c>
      <c r="O316" s="221" t="s">
        <v>32</v>
      </c>
      <c r="P316" s="221" t="s">
        <v>261</v>
      </c>
      <c r="Q316" s="221" t="s">
        <v>1341</v>
      </c>
      <c r="R316" s="221" t="s">
        <v>134</v>
      </c>
      <c r="S316" s="145" t="s">
        <v>465</v>
      </c>
      <c r="T316" s="221" t="s">
        <v>88</v>
      </c>
      <c r="U316" s="221" t="s">
        <v>1617</v>
      </c>
      <c r="V316" s="221" t="s">
        <v>429</v>
      </c>
      <c r="W316" s="221"/>
      <c r="X316" s="221"/>
      <c r="Y316" s="221"/>
      <c r="Z316" s="221" t="s">
        <v>189</v>
      </c>
      <c r="AB316" s="221"/>
      <c r="AC316" s="221">
        <f t="shared" si="11"/>
        <v>0</v>
      </c>
      <c r="AE316" s="147" t="s">
        <v>217</v>
      </c>
      <c r="AF316" s="147" t="s">
        <v>2353</v>
      </c>
    </row>
    <row r="317" spans="1:34">
      <c r="A317" s="147">
        <v>316</v>
      </c>
      <c r="B317" s="223">
        <v>230818</v>
      </c>
      <c r="C317" s="221" t="s">
        <v>128</v>
      </c>
      <c r="D317" s="222">
        <v>43305</v>
      </c>
      <c r="E317" s="160" t="s">
        <v>2424</v>
      </c>
      <c r="F317" s="222">
        <v>43315</v>
      </c>
      <c r="G317" s="221">
        <f t="shared" si="13"/>
        <v>10</v>
      </c>
      <c r="H317" s="221" t="s">
        <v>363</v>
      </c>
      <c r="K317" s="319"/>
      <c r="L317" s="221"/>
      <c r="M317" s="221"/>
      <c r="N317" s="227">
        <f t="shared" si="10"/>
        <v>0</v>
      </c>
      <c r="O317" s="221" t="s">
        <v>32</v>
      </c>
      <c r="P317" s="221" t="s">
        <v>264</v>
      </c>
      <c r="Q317" s="221" t="s">
        <v>1342</v>
      </c>
      <c r="R317" s="221" t="s">
        <v>134</v>
      </c>
      <c r="S317" s="145" t="s">
        <v>465</v>
      </c>
      <c r="T317" s="221" t="s">
        <v>88</v>
      </c>
      <c r="U317" s="221" t="s">
        <v>2164</v>
      </c>
      <c r="V317" s="221" t="s">
        <v>429</v>
      </c>
      <c r="W317" s="221"/>
      <c r="X317" s="221"/>
      <c r="Y317" s="221"/>
      <c r="Z317" s="221" t="s">
        <v>189</v>
      </c>
      <c r="AB317" s="221"/>
      <c r="AC317" s="221">
        <f t="shared" si="11"/>
        <v>0</v>
      </c>
      <c r="AF317" s="147"/>
      <c r="AH317" s="154" t="s">
        <v>2519</v>
      </c>
    </row>
    <row r="318" spans="1:34">
      <c r="A318" s="147">
        <v>317</v>
      </c>
      <c r="B318" s="223">
        <v>230266</v>
      </c>
      <c r="C318" s="221" t="s">
        <v>128</v>
      </c>
      <c r="D318" s="222">
        <v>43305</v>
      </c>
      <c r="E318" s="160" t="s">
        <v>2424</v>
      </c>
      <c r="F318" s="222">
        <v>43316</v>
      </c>
      <c r="G318" s="221">
        <f t="shared" si="13"/>
        <v>11</v>
      </c>
      <c r="H318" s="221" t="s">
        <v>133</v>
      </c>
      <c r="K318" s="319"/>
      <c r="L318" s="221"/>
      <c r="M318" s="221"/>
      <c r="N318" s="227">
        <f t="shared" si="10"/>
        <v>0</v>
      </c>
      <c r="O318" s="221" t="s">
        <v>32</v>
      </c>
      <c r="P318" s="221" t="s">
        <v>264</v>
      </c>
      <c r="Q318" s="221" t="s">
        <v>1342</v>
      </c>
      <c r="R318" s="221" t="s">
        <v>2434</v>
      </c>
      <c r="S318" s="145" t="s">
        <v>465</v>
      </c>
      <c r="T318" s="221" t="s">
        <v>162</v>
      </c>
      <c r="U318" s="221" t="s">
        <v>2520</v>
      </c>
      <c r="V318" s="221" t="s">
        <v>2402</v>
      </c>
      <c r="W318" s="221"/>
      <c r="X318" s="221"/>
      <c r="Y318" s="221"/>
      <c r="Z318" s="221" t="s">
        <v>1599</v>
      </c>
      <c r="AB318" s="221"/>
      <c r="AC318" s="221">
        <f t="shared" si="11"/>
        <v>0</v>
      </c>
      <c r="AE318" s="147" t="s">
        <v>217</v>
      </c>
      <c r="AF318" s="147" t="s">
        <v>2353</v>
      </c>
    </row>
    <row r="319" spans="1:34">
      <c r="A319" s="147">
        <v>318</v>
      </c>
      <c r="B319" s="223">
        <v>231090</v>
      </c>
      <c r="C319" s="221" t="s">
        <v>1130</v>
      </c>
      <c r="D319" s="222">
        <v>43306</v>
      </c>
      <c r="E319" s="160" t="s">
        <v>2424</v>
      </c>
      <c r="F319" s="222">
        <v>43312</v>
      </c>
      <c r="G319" s="221">
        <f t="shared" si="13"/>
        <v>6</v>
      </c>
      <c r="H319" s="221" t="s">
        <v>363</v>
      </c>
      <c r="K319" s="319"/>
      <c r="L319" s="221"/>
      <c r="M319" s="221"/>
      <c r="N319" s="227">
        <f t="shared" si="10"/>
        <v>0</v>
      </c>
      <c r="O319" s="221" t="s">
        <v>32</v>
      </c>
      <c r="P319" s="221" t="s">
        <v>264</v>
      </c>
      <c r="Q319" s="221" t="s">
        <v>1342</v>
      </c>
      <c r="R319" s="221" t="s">
        <v>134</v>
      </c>
      <c r="S319" s="145" t="s">
        <v>465</v>
      </c>
      <c r="T319" s="221" t="s">
        <v>164</v>
      </c>
      <c r="U319" s="221" t="s">
        <v>2510</v>
      </c>
      <c r="V319" s="221" t="s">
        <v>90</v>
      </c>
      <c r="W319" s="221"/>
      <c r="X319" s="221"/>
      <c r="Y319" s="221" t="s">
        <v>1942</v>
      </c>
      <c r="Z319" s="221" t="s">
        <v>1228</v>
      </c>
      <c r="AB319" s="221"/>
      <c r="AC319" s="221">
        <f t="shared" si="11"/>
        <v>0</v>
      </c>
      <c r="AF319" s="147"/>
      <c r="AH319" s="154" t="s">
        <v>2527</v>
      </c>
    </row>
    <row r="320" spans="1:34">
      <c r="A320" s="147">
        <v>319</v>
      </c>
      <c r="B320" s="223">
        <v>230881</v>
      </c>
      <c r="C320" s="221" t="s">
        <v>121</v>
      </c>
      <c r="D320" s="222">
        <v>43306</v>
      </c>
      <c r="E320" s="160" t="s">
        <v>2424</v>
      </c>
      <c r="F320" s="222">
        <v>43314</v>
      </c>
      <c r="G320" s="221">
        <f t="shared" si="13"/>
        <v>8</v>
      </c>
      <c r="H320" s="221" t="s">
        <v>133</v>
      </c>
      <c r="K320" s="319">
        <v>1099</v>
      </c>
      <c r="L320" s="221"/>
      <c r="M320" s="221"/>
      <c r="N320" s="227">
        <f t="shared" si="10"/>
        <v>0</v>
      </c>
      <c r="O320" s="221" t="s">
        <v>32</v>
      </c>
      <c r="P320" s="221" t="s">
        <v>264</v>
      </c>
      <c r="Q320" s="221" t="s">
        <v>1342</v>
      </c>
      <c r="R320" s="221" t="s">
        <v>501</v>
      </c>
      <c r="S320" s="145" t="s">
        <v>466</v>
      </c>
      <c r="T320" s="221" t="s">
        <v>313</v>
      </c>
      <c r="U320" s="221" t="s">
        <v>2509</v>
      </c>
      <c r="V320" s="221" t="s">
        <v>2512</v>
      </c>
      <c r="W320" s="221"/>
      <c r="X320" s="221"/>
      <c r="Y320" s="221"/>
      <c r="Z320" s="221" t="s">
        <v>259</v>
      </c>
      <c r="AB320" s="221"/>
      <c r="AC320" s="221">
        <f t="shared" si="11"/>
        <v>0</v>
      </c>
      <c r="AE320" s="147" t="s">
        <v>217</v>
      </c>
      <c r="AF320" s="147" t="s">
        <v>2349</v>
      </c>
    </row>
    <row r="321" spans="1:40">
      <c r="A321" s="147">
        <v>320</v>
      </c>
      <c r="B321" s="223">
        <v>228184</v>
      </c>
      <c r="C321" s="221" t="s">
        <v>121</v>
      </c>
      <c r="D321" s="222">
        <v>43306</v>
      </c>
      <c r="E321" s="160" t="s">
        <v>2424</v>
      </c>
      <c r="F321" s="222">
        <v>43314</v>
      </c>
      <c r="G321" s="221">
        <f t="shared" si="13"/>
        <v>8</v>
      </c>
      <c r="H321" s="221" t="s">
        <v>363</v>
      </c>
      <c r="K321" s="319"/>
      <c r="L321" s="221"/>
      <c r="M321" s="221"/>
      <c r="N321" s="227">
        <f t="shared" si="10"/>
        <v>0</v>
      </c>
      <c r="O321" s="221" t="s">
        <v>32</v>
      </c>
      <c r="P321" s="221" t="s">
        <v>264</v>
      </c>
      <c r="Q321" s="221" t="s">
        <v>1342</v>
      </c>
      <c r="R321" s="221" t="s">
        <v>122</v>
      </c>
      <c r="S321" s="145" t="s">
        <v>469</v>
      </c>
      <c r="T321" s="221" t="s">
        <v>114</v>
      </c>
      <c r="U321" s="221" t="s">
        <v>2513</v>
      </c>
      <c r="V321" s="221" t="s">
        <v>90</v>
      </c>
      <c r="W321" s="221"/>
      <c r="X321" s="221"/>
      <c r="Y321" s="221" t="s">
        <v>1942</v>
      </c>
      <c r="Z321" s="221" t="s">
        <v>170</v>
      </c>
      <c r="AB321" s="221" t="s">
        <v>195</v>
      </c>
      <c r="AC321" s="221">
        <f t="shared" si="11"/>
        <v>0</v>
      </c>
      <c r="AF321" s="147"/>
      <c r="AH321" s="154" t="s">
        <v>2528</v>
      </c>
    </row>
    <row r="322" spans="1:40">
      <c r="A322" s="147">
        <v>321</v>
      </c>
      <c r="B322" s="223">
        <v>230415</v>
      </c>
      <c r="C322" s="221" t="s">
        <v>121</v>
      </c>
      <c r="D322" s="222">
        <v>43306</v>
      </c>
      <c r="E322" s="160" t="s">
        <v>2424</v>
      </c>
      <c r="F322" s="222">
        <v>43310</v>
      </c>
      <c r="G322" s="221">
        <f t="shared" si="13"/>
        <v>4</v>
      </c>
      <c r="H322" s="221" t="s">
        <v>133</v>
      </c>
      <c r="K322" s="319"/>
      <c r="L322" s="221"/>
      <c r="M322" s="221"/>
      <c r="N322" s="227">
        <f t="shared" ref="N322:N385" si="14">IF(AE322="Reemplazo",0,K322-(K322*0.12*0.5)-(MAX(L322,M322)))</f>
        <v>0</v>
      </c>
      <c r="O322" s="221" t="s">
        <v>32</v>
      </c>
      <c r="P322" s="221" t="s">
        <v>264</v>
      </c>
      <c r="Q322" s="221" t="s">
        <v>1342</v>
      </c>
      <c r="R322" s="221" t="s">
        <v>143</v>
      </c>
      <c r="S322" s="145" t="s">
        <v>465</v>
      </c>
      <c r="T322" s="221" t="s">
        <v>114</v>
      </c>
      <c r="U322" s="221" t="s">
        <v>2514</v>
      </c>
      <c r="V322" s="221" t="s">
        <v>2515</v>
      </c>
      <c r="W322" s="221"/>
      <c r="X322" s="221"/>
      <c r="Y322" s="221"/>
      <c r="Z322" s="221" t="s">
        <v>124</v>
      </c>
      <c r="AB322" s="221"/>
      <c r="AC322" s="221">
        <f t="shared" ref="AC322:AC385" si="15">+IF(N322&gt;0,1,0)</f>
        <v>0</v>
      </c>
      <c r="AE322" s="147" t="s">
        <v>217</v>
      </c>
      <c r="AF322" s="147" t="s">
        <v>2265</v>
      </c>
    </row>
    <row r="323" spans="1:40">
      <c r="A323" s="147">
        <v>322</v>
      </c>
      <c r="B323" s="223">
        <v>230691</v>
      </c>
      <c r="C323" s="221" t="s">
        <v>128</v>
      </c>
      <c r="D323" s="222">
        <v>43307</v>
      </c>
      <c r="E323" s="160" t="s">
        <v>2424</v>
      </c>
      <c r="F323" s="222">
        <v>43314</v>
      </c>
      <c r="G323" s="221">
        <f t="shared" si="13"/>
        <v>7</v>
      </c>
      <c r="H323" s="221" t="s">
        <v>133</v>
      </c>
      <c r="K323" s="319"/>
      <c r="L323" s="221"/>
      <c r="M323" s="221"/>
      <c r="N323" s="227">
        <f t="shared" si="14"/>
        <v>0</v>
      </c>
      <c r="O323" s="221" t="s">
        <v>32</v>
      </c>
      <c r="P323" s="221" t="s">
        <v>264</v>
      </c>
      <c r="Q323" s="221" t="s">
        <v>1342</v>
      </c>
      <c r="R323" s="221" t="s">
        <v>122</v>
      </c>
      <c r="S323" s="145" t="s">
        <v>469</v>
      </c>
      <c r="T323" s="221" t="s">
        <v>164</v>
      </c>
      <c r="U323" s="221" t="s">
        <v>1208</v>
      </c>
      <c r="V323" s="221" t="s">
        <v>90</v>
      </c>
      <c r="W323" s="221"/>
      <c r="X323" s="221"/>
      <c r="Y323" s="221" t="s">
        <v>1942</v>
      </c>
      <c r="Z323" s="221" t="s">
        <v>2414</v>
      </c>
      <c r="AB323" s="221" t="s">
        <v>195</v>
      </c>
      <c r="AC323" s="221">
        <f t="shared" si="15"/>
        <v>0</v>
      </c>
      <c r="AE323" s="147" t="s">
        <v>217</v>
      </c>
      <c r="AF323" s="147" t="s">
        <v>1021</v>
      </c>
    </row>
    <row r="324" spans="1:40">
      <c r="A324" s="147">
        <v>323</v>
      </c>
      <c r="B324" s="223">
        <v>230952</v>
      </c>
      <c r="C324" s="221" t="s">
        <v>1130</v>
      </c>
      <c r="D324" s="222">
        <v>43307</v>
      </c>
      <c r="E324" s="160" t="s">
        <v>2424</v>
      </c>
      <c r="F324" s="222">
        <v>43315</v>
      </c>
      <c r="G324" s="221">
        <f t="shared" si="13"/>
        <v>8</v>
      </c>
      <c r="H324" s="221" t="s">
        <v>133</v>
      </c>
      <c r="K324" s="319"/>
      <c r="L324" s="221"/>
      <c r="M324" s="221"/>
      <c r="N324" s="227">
        <f t="shared" si="14"/>
        <v>0</v>
      </c>
      <c r="O324" s="221" t="s">
        <v>32</v>
      </c>
      <c r="P324" s="221" t="s">
        <v>264</v>
      </c>
      <c r="Q324" s="221" t="s">
        <v>1342</v>
      </c>
      <c r="R324" s="221" t="s">
        <v>122</v>
      </c>
      <c r="S324" s="145" t="s">
        <v>469</v>
      </c>
      <c r="T324" s="221" t="s">
        <v>376</v>
      </c>
      <c r="U324" s="221" t="s">
        <v>1220</v>
      </c>
      <c r="V324" s="221" t="s">
        <v>222</v>
      </c>
      <c r="W324" s="221"/>
      <c r="X324" s="221"/>
      <c r="Y324" s="221"/>
      <c r="Z324" s="221" t="s">
        <v>253</v>
      </c>
      <c r="AB324" s="221"/>
      <c r="AC324" s="221">
        <f t="shared" si="15"/>
        <v>0</v>
      </c>
      <c r="AE324" s="147" t="s">
        <v>217</v>
      </c>
      <c r="AF324" s="147" t="s">
        <v>2353</v>
      </c>
    </row>
    <row r="325" spans="1:40">
      <c r="A325" s="147">
        <v>324</v>
      </c>
      <c r="B325" s="223">
        <v>230166</v>
      </c>
      <c r="C325" s="221" t="s">
        <v>1130</v>
      </c>
      <c r="D325" s="222">
        <v>43307</v>
      </c>
      <c r="E325" s="160" t="s">
        <v>2424</v>
      </c>
      <c r="F325" s="222">
        <v>43312</v>
      </c>
      <c r="G325" s="221">
        <f t="shared" si="13"/>
        <v>5</v>
      </c>
      <c r="H325" s="221" t="s">
        <v>133</v>
      </c>
      <c r="K325" s="319"/>
      <c r="L325" s="221"/>
      <c r="M325" s="221"/>
      <c r="N325" s="227">
        <f t="shared" si="14"/>
        <v>0</v>
      </c>
      <c r="O325" s="221" t="s">
        <v>32</v>
      </c>
      <c r="P325" s="221" t="s">
        <v>264</v>
      </c>
      <c r="Q325" s="221" t="s">
        <v>1342</v>
      </c>
      <c r="R325" s="221" t="s">
        <v>143</v>
      </c>
      <c r="S325" s="145" t="s">
        <v>465</v>
      </c>
      <c r="T325" s="221" t="s">
        <v>164</v>
      </c>
      <c r="U325" s="221" t="s">
        <v>2521</v>
      </c>
      <c r="V325" s="221" t="s">
        <v>2522</v>
      </c>
      <c r="W325" s="221"/>
      <c r="X325" s="221"/>
      <c r="Y325" s="221"/>
      <c r="Z325" s="221" t="s">
        <v>1228</v>
      </c>
      <c r="AB325" s="221"/>
      <c r="AC325" s="221">
        <f t="shared" si="15"/>
        <v>0</v>
      </c>
      <c r="AE325" s="147" t="s">
        <v>217</v>
      </c>
      <c r="AF325" s="147" t="s">
        <v>2265</v>
      </c>
    </row>
    <row r="326" spans="1:40">
      <c r="A326" s="147">
        <v>325</v>
      </c>
      <c r="B326" s="223">
        <v>231451</v>
      </c>
      <c r="C326" s="221" t="s">
        <v>121</v>
      </c>
      <c r="D326" s="222">
        <v>43311</v>
      </c>
      <c r="E326" s="160" t="s">
        <v>2424</v>
      </c>
      <c r="F326" s="222">
        <v>43322</v>
      </c>
      <c r="G326" s="221">
        <f t="shared" si="13"/>
        <v>11</v>
      </c>
      <c r="H326" s="221" t="s">
        <v>133</v>
      </c>
      <c r="K326" s="319"/>
      <c r="L326" s="221"/>
      <c r="M326" s="221"/>
      <c r="N326" s="227">
        <f t="shared" si="14"/>
        <v>0</v>
      </c>
      <c r="O326" s="221" t="s">
        <v>32</v>
      </c>
      <c r="P326" s="221" t="s">
        <v>264</v>
      </c>
      <c r="Q326" s="221" t="s">
        <v>1342</v>
      </c>
      <c r="R326" s="221" t="s">
        <v>210</v>
      </c>
      <c r="S326" s="145" t="s">
        <v>469</v>
      </c>
      <c r="T326" s="221" t="s">
        <v>380</v>
      </c>
      <c r="U326" s="221" t="s">
        <v>2524</v>
      </c>
      <c r="V326" s="221" t="s">
        <v>2525</v>
      </c>
      <c r="W326" s="221"/>
      <c r="X326" s="221"/>
      <c r="Y326" s="221"/>
      <c r="Z326" s="221" t="s">
        <v>124</v>
      </c>
      <c r="AB326" s="221"/>
      <c r="AC326" s="226">
        <f t="shared" si="15"/>
        <v>0</v>
      </c>
      <c r="AE326" s="147" t="s">
        <v>217</v>
      </c>
      <c r="AF326" s="147" t="s">
        <v>2353</v>
      </c>
    </row>
    <row r="327" spans="1:40">
      <c r="A327" s="147">
        <v>326</v>
      </c>
      <c r="B327" s="223">
        <v>230758</v>
      </c>
      <c r="C327" s="221" t="s">
        <v>121</v>
      </c>
      <c r="D327" s="222">
        <v>43311</v>
      </c>
      <c r="E327" s="160" t="s">
        <v>2424</v>
      </c>
      <c r="F327" s="222">
        <v>43314</v>
      </c>
      <c r="G327" s="221">
        <f t="shared" si="13"/>
        <v>3</v>
      </c>
      <c r="H327" s="221" t="s">
        <v>133</v>
      </c>
      <c r="K327" s="319">
        <v>1219</v>
      </c>
      <c r="L327" s="221"/>
      <c r="M327" s="221"/>
      <c r="N327" s="227">
        <f t="shared" si="14"/>
        <v>0</v>
      </c>
      <c r="O327" s="221" t="s">
        <v>32</v>
      </c>
      <c r="P327" s="221" t="s">
        <v>264</v>
      </c>
      <c r="Q327" s="221" t="s">
        <v>1342</v>
      </c>
      <c r="R327" s="221" t="s">
        <v>210</v>
      </c>
      <c r="S327" s="145" t="s">
        <v>469</v>
      </c>
      <c r="T327" s="221" t="s">
        <v>376</v>
      </c>
      <c r="U327" s="221" t="s">
        <v>2526</v>
      </c>
      <c r="V327" s="221" t="s">
        <v>90</v>
      </c>
      <c r="W327" s="221"/>
      <c r="X327" s="221"/>
      <c r="Y327" s="221"/>
      <c r="Z327" s="221" t="s">
        <v>170</v>
      </c>
      <c r="AB327" s="221"/>
      <c r="AC327" s="226">
        <f t="shared" si="15"/>
        <v>0</v>
      </c>
      <c r="AE327" s="147" t="s">
        <v>217</v>
      </c>
      <c r="AF327" s="147" t="s">
        <v>1021</v>
      </c>
    </row>
    <row r="328" spans="1:40">
      <c r="A328" s="147">
        <v>327</v>
      </c>
      <c r="B328" s="223">
        <v>231376</v>
      </c>
      <c r="C328" s="221" t="s">
        <v>128</v>
      </c>
      <c r="D328" s="222">
        <v>43313</v>
      </c>
      <c r="E328" s="160" t="s">
        <v>2532</v>
      </c>
      <c r="F328" s="222">
        <v>43322</v>
      </c>
      <c r="G328" s="221">
        <f t="shared" si="13"/>
        <v>9</v>
      </c>
      <c r="H328" s="221" t="s">
        <v>133</v>
      </c>
      <c r="K328" s="319">
        <v>4399</v>
      </c>
      <c r="L328" s="221">
        <v>1980</v>
      </c>
      <c r="M328" s="221">
        <v>80</v>
      </c>
      <c r="N328" s="227">
        <f t="shared" si="14"/>
        <v>2155.0600000000004</v>
      </c>
      <c r="O328" s="221" t="s">
        <v>32</v>
      </c>
      <c r="P328" s="221" t="s">
        <v>264</v>
      </c>
      <c r="Q328" s="221" t="s">
        <v>1342</v>
      </c>
      <c r="R328" s="221" t="s">
        <v>87</v>
      </c>
      <c r="S328" s="145" t="s">
        <v>465</v>
      </c>
      <c r="T328" s="221" t="s">
        <v>164</v>
      </c>
      <c r="U328" s="221" t="s">
        <v>817</v>
      </c>
      <c r="V328" s="221" t="s">
        <v>2531</v>
      </c>
      <c r="W328" s="221"/>
      <c r="X328" s="221"/>
      <c r="Y328" s="221" t="s">
        <v>1942</v>
      </c>
      <c r="Z328" s="221" t="s">
        <v>404</v>
      </c>
      <c r="AA328" s="222">
        <v>43314</v>
      </c>
      <c r="AB328" s="221" t="s">
        <v>1102</v>
      </c>
      <c r="AC328" s="226">
        <f t="shared" si="15"/>
        <v>1</v>
      </c>
      <c r="AD328" s="147" t="s">
        <v>217</v>
      </c>
      <c r="AE328" s="147" t="s">
        <v>218</v>
      </c>
      <c r="AF328" s="147"/>
    </row>
    <row r="329" spans="1:40">
      <c r="A329" s="147">
        <v>328</v>
      </c>
      <c r="B329" s="223">
        <v>231639</v>
      </c>
      <c r="C329" s="221" t="s">
        <v>128</v>
      </c>
      <c r="D329" s="222">
        <v>43313</v>
      </c>
      <c r="E329" s="160" t="s">
        <v>2532</v>
      </c>
      <c r="F329" s="222">
        <v>43324</v>
      </c>
      <c r="G329" s="221">
        <f t="shared" si="13"/>
        <v>11</v>
      </c>
      <c r="H329" s="221" t="s">
        <v>133</v>
      </c>
      <c r="K329" s="319">
        <v>999</v>
      </c>
      <c r="L329" s="221"/>
      <c r="M329" s="221"/>
      <c r="N329" s="227">
        <f t="shared" si="14"/>
        <v>0</v>
      </c>
      <c r="O329" s="221" t="s">
        <v>32</v>
      </c>
      <c r="P329" s="221" t="s">
        <v>264</v>
      </c>
      <c r="Q329" s="221" t="s">
        <v>1342</v>
      </c>
      <c r="R329" s="221" t="s">
        <v>210</v>
      </c>
      <c r="S329" s="145" t="s">
        <v>469</v>
      </c>
      <c r="T329" s="221" t="s">
        <v>380</v>
      </c>
      <c r="U329" s="221" t="s">
        <v>2524</v>
      </c>
      <c r="V329" s="221" t="s">
        <v>382</v>
      </c>
      <c r="W329" s="221"/>
      <c r="X329" s="221"/>
      <c r="Y329" s="221" t="s">
        <v>316</v>
      </c>
      <c r="Z329" s="221" t="s">
        <v>252</v>
      </c>
      <c r="AA329" s="222">
        <v>43315</v>
      </c>
      <c r="AB329" s="221" t="s">
        <v>195</v>
      </c>
      <c r="AC329" s="226">
        <f t="shared" si="15"/>
        <v>0</v>
      </c>
      <c r="AE329" s="147" t="s">
        <v>217</v>
      </c>
      <c r="AF329" s="147" t="s">
        <v>2353</v>
      </c>
      <c r="AH329" s="154" t="s">
        <v>2565</v>
      </c>
      <c r="AN329" t="s">
        <v>2579</v>
      </c>
    </row>
    <row r="330" spans="1:40">
      <c r="A330" s="147">
        <v>329</v>
      </c>
      <c r="B330" s="223">
        <v>231745</v>
      </c>
      <c r="C330" s="221" t="s">
        <v>128</v>
      </c>
      <c r="D330" s="222">
        <v>43314</v>
      </c>
      <c r="E330" s="160" t="s">
        <v>2532</v>
      </c>
      <c r="F330" s="222">
        <v>43326</v>
      </c>
      <c r="G330" s="221">
        <f t="shared" si="13"/>
        <v>12</v>
      </c>
      <c r="H330" s="221" t="s">
        <v>363</v>
      </c>
      <c r="K330" s="319"/>
      <c r="L330" s="221"/>
      <c r="M330" s="221"/>
      <c r="N330" s="227">
        <f t="shared" si="14"/>
        <v>0</v>
      </c>
      <c r="O330" s="221" t="s">
        <v>32</v>
      </c>
      <c r="P330" s="221" t="s">
        <v>262</v>
      </c>
      <c r="Q330" s="221" t="s">
        <v>1342</v>
      </c>
      <c r="R330" s="221" t="s">
        <v>143</v>
      </c>
      <c r="S330" s="145" t="s">
        <v>465</v>
      </c>
      <c r="T330" s="221" t="s">
        <v>88</v>
      </c>
      <c r="U330" s="221" t="s">
        <v>89</v>
      </c>
      <c r="V330" s="221" t="s">
        <v>2535</v>
      </c>
      <c r="W330" s="221"/>
      <c r="X330" s="221"/>
      <c r="Y330" s="221"/>
      <c r="Z330" s="221" t="s">
        <v>802</v>
      </c>
      <c r="AB330" s="221"/>
      <c r="AC330" s="226">
        <f t="shared" si="15"/>
        <v>0</v>
      </c>
      <c r="AF330" s="147"/>
      <c r="AH330" s="154" t="s">
        <v>2536</v>
      </c>
    </row>
    <row r="331" spans="1:40">
      <c r="A331" s="147">
        <v>330</v>
      </c>
      <c r="B331" s="223">
        <v>232246</v>
      </c>
      <c r="C331" s="221" t="s">
        <v>128</v>
      </c>
      <c r="D331" s="222">
        <v>43318</v>
      </c>
      <c r="E331" s="160" t="s">
        <v>2532</v>
      </c>
      <c r="F331" s="222">
        <v>43330</v>
      </c>
      <c r="G331" s="221">
        <f t="shared" si="13"/>
        <v>12</v>
      </c>
      <c r="H331" s="221" t="s">
        <v>133</v>
      </c>
      <c r="K331" s="319">
        <v>1999</v>
      </c>
      <c r="L331" s="221"/>
      <c r="M331" s="221"/>
      <c r="N331" s="227">
        <f t="shared" si="14"/>
        <v>0</v>
      </c>
      <c r="O331" s="221" t="s">
        <v>32</v>
      </c>
      <c r="P331" s="221" t="s">
        <v>264</v>
      </c>
      <c r="Q331" s="221" t="s">
        <v>1342</v>
      </c>
      <c r="R331" s="221" t="s">
        <v>143</v>
      </c>
      <c r="S331" s="145" t="s">
        <v>465</v>
      </c>
      <c r="T331" s="221" t="s">
        <v>144</v>
      </c>
      <c r="U331" s="221" t="s">
        <v>1344</v>
      </c>
      <c r="V331" s="221" t="s">
        <v>90</v>
      </c>
      <c r="W331" s="221"/>
      <c r="X331" s="221"/>
      <c r="Y331" s="221"/>
      <c r="Z331" s="221" t="s">
        <v>137</v>
      </c>
      <c r="AB331" s="221"/>
      <c r="AC331" s="226">
        <f t="shared" si="15"/>
        <v>0</v>
      </c>
      <c r="AE331" s="147" t="s">
        <v>217</v>
      </c>
      <c r="AF331" s="147" t="s">
        <v>2349</v>
      </c>
    </row>
    <row r="332" spans="1:40">
      <c r="A332" s="147">
        <v>331</v>
      </c>
      <c r="B332" s="223">
        <v>232379</v>
      </c>
      <c r="C332" s="221" t="s">
        <v>128</v>
      </c>
      <c r="D332" s="222">
        <v>43318</v>
      </c>
      <c r="E332" s="160" t="s">
        <v>2532</v>
      </c>
      <c r="F332" s="222">
        <v>43330</v>
      </c>
      <c r="G332" s="221">
        <f t="shared" ref="G332:G363" si="16">F332-D332</f>
        <v>12</v>
      </c>
      <c r="H332" s="221" t="s">
        <v>133</v>
      </c>
      <c r="K332" s="319">
        <v>899</v>
      </c>
      <c r="L332" s="221">
        <v>430</v>
      </c>
      <c r="M332" s="221">
        <v>80</v>
      </c>
      <c r="N332" s="227">
        <f t="shared" si="14"/>
        <v>415.05999999999995</v>
      </c>
      <c r="O332" s="221" t="s">
        <v>32</v>
      </c>
      <c r="P332" s="221" t="s">
        <v>264</v>
      </c>
      <c r="Q332" s="221" t="s">
        <v>1342</v>
      </c>
      <c r="R332" s="221" t="s">
        <v>143</v>
      </c>
      <c r="S332" s="145" t="s">
        <v>465</v>
      </c>
      <c r="T332" s="221" t="s">
        <v>120</v>
      </c>
      <c r="U332" s="221" t="s">
        <v>2537</v>
      </c>
      <c r="V332" s="221" t="s">
        <v>425</v>
      </c>
      <c r="W332" s="221"/>
      <c r="X332" s="221"/>
      <c r="Y332" s="221" t="s">
        <v>292</v>
      </c>
      <c r="Z332" s="221" t="s">
        <v>1118</v>
      </c>
      <c r="AA332" s="222">
        <v>43325</v>
      </c>
      <c r="AB332" s="221" t="s">
        <v>236</v>
      </c>
      <c r="AC332" s="226">
        <f t="shared" si="15"/>
        <v>1</v>
      </c>
      <c r="AD332" s="147" t="s">
        <v>217</v>
      </c>
      <c r="AE332" s="147" t="s">
        <v>218</v>
      </c>
      <c r="AF332" s="147"/>
    </row>
    <row r="333" spans="1:40">
      <c r="A333" s="147">
        <v>332</v>
      </c>
      <c r="B333" s="223">
        <v>232663</v>
      </c>
      <c r="C333" s="221" t="s">
        <v>121</v>
      </c>
      <c r="D333" s="222">
        <v>43318</v>
      </c>
      <c r="E333" s="160" t="s">
        <v>2532</v>
      </c>
      <c r="F333" s="222">
        <v>43357</v>
      </c>
      <c r="G333" s="221">
        <f t="shared" si="16"/>
        <v>39</v>
      </c>
      <c r="H333" s="221" t="s">
        <v>133</v>
      </c>
      <c r="K333" s="319">
        <v>14999</v>
      </c>
      <c r="L333" s="221"/>
      <c r="M333" s="221"/>
      <c r="N333" s="227">
        <f t="shared" si="14"/>
        <v>0</v>
      </c>
      <c r="O333" s="221" t="s">
        <v>32</v>
      </c>
      <c r="P333" s="221" t="s">
        <v>261</v>
      </c>
      <c r="Q333" s="221" t="s">
        <v>1341</v>
      </c>
      <c r="R333" s="221" t="s">
        <v>122</v>
      </c>
      <c r="S333" s="145" t="s">
        <v>469</v>
      </c>
      <c r="T333" s="221" t="s">
        <v>114</v>
      </c>
      <c r="U333" s="221" t="s">
        <v>1253</v>
      </c>
      <c r="V333" s="221" t="s">
        <v>2539</v>
      </c>
      <c r="W333" s="221"/>
      <c r="X333" s="221"/>
      <c r="Y333" s="221"/>
      <c r="Z333" s="221" t="s">
        <v>780</v>
      </c>
      <c r="AB333" s="221"/>
      <c r="AC333" s="226">
        <f t="shared" si="15"/>
        <v>0</v>
      </c>
      <c r="AE333" s="147" t="s">
        <v>217</v>
      </c>
      <c r="AF333" s="147" t="s">
        <v>2353</v>
      </c>
    </row>
    <row r="334" spans="1:40">
      <c r="A334" s="147">
        <v>333</v>
      </c>
      <c r="B334" s="223">
        <v>231521</v>
      </c>
      <c r="C334" s="221" t="s">
        <v>121</v>
      </c>
      <c r="D334" s="222">
        <v>43318</v>
      </c>
      <c r="E334" s="160" t="s">
        <v>2532</v>
      </c>
      <c r="F334" s="222">
        <v>43323</v>
      </c>
      <c r="G334" s="221">
        <f t="shared" si="16"/>
        <v>5</v>
      </c>
      <c r="H334" s="221" t="s">
        <v>133</v>
      </c>
      <c r="K334" s="319">
        <v>3799</v>
      </c>
      <c r="L334" s="221"/>
      <c r="M334" s="221"/>
      <c r="N334" s="227">
        <f t="shared" si="14"/>
        <v>0</v>
      </c>
      <c r="O334" s="221" t="s">
        <v>32</v>
      </c>
      <c r="P334" s="221" t="s">
        <v>264</v>
      </c>
      <c r="Q334" s="221" t="s">
        <v>1342</v>
      </c>
      <c r="R334" s="221" t="s">
        <v>691</v>
      </c>
      <c r="S334" s="145" t="s">
        <v>466</v>
      </c>
      <c r="T334" s="221" t="s">
        <v>338</v>
      </c>
      <c r="U334" s="221" t="s">
        <v>2540</v>
      </c>
      <c r="V334" s="221" t="s">
        <v>257</v>
      </c>
      <c r="W334" s="221"/>
      <c r="X334" s="221"/>
      <c r="Y334" s="221"/>
      <c r="Z334" s="221" t="s">
        <v>259</v>
      </c>
      <c r="AB334" s="221"/>
      <c r="AC334" s="226">
        <f t="shared" si="15"/>
        <v>0</v>
      </c>
      <c r="AE334" s="147" t="s">
        <v>217</v>
      </c>
      <c r="AF334" s="147" t="s">
        <v>2353</v>
      </c>
    </row>
    <row r="335" spans="1:40">
      <c r="A335" s="147">
        <v>334</v>
      </c>
      <c r="B335" s="223">
        <v>231979</v>
      </c>
      <c r="C335" s="221" t="s">
        <v>121</v>
      </c>
      <c r="D335" s="222">
        <v>43318</v>
      </c>
      <c r="E335" s="160" t="s">
        <v>2532</v>
      </c>
      <c r="F335" s="222">
        <v>43333</v>
      </c>
      <c r="G335" s="221">
        <f t="shared" si="16"/>
        <v>15</v>
      </c>
      <c r="H335" s="221" t="s">
        <v>133</v>
      </c>
      <c r="K335" s="319">
        <v>999</v>
      </c>
      <c r="L335" s="221"/>
      <c r="M335" s="221"/>
      <c r="N335" s="227">
        <f t="shared" si="14"/>
        <v>0</v>
      </c>
      <c r="O335" s="221" t="s">
        <v>32</v>
      </c>
      <c r="P335" s="221" t="s">
        <v>263</v>
      </c>
      <c r="Q335" s="221" t="s">
        <v>1341</v>
      </c>
      <c r="R335" s="221" t="s">
        <v>122</v>
      </c>
      <c r="S335" s="145" t="s">
        <v>469</v>
      </c>
      <c r="T335" s="221" t="s">
        <v>1541</v>
      </c>
      <c r="U335" s="221" t="s">
        <v>2541</v>
      </c>
      <c r="V335" s="221" t="s">
        <v>222</v>
      </c>
      <c r="W335" s="221"/>
      <c r="X335" s="221"/>
      <c r="Y335" s="221"/>
      <c r="Z335" s="221" t="s">
        <v>2542</v>
      </c>
      <c r="AB335" s="221"/>
      <c r="AC335" s="226">
        <f t="shared" si="15"/>
        <v>0</v>
      </c>
      <c r="AE335" s="147" t="s">
        <v>217</v>
      </c>
      <c r="AF335" s="147" t="s">
        <v>2353</v>
      </c>
    </row>
    <row r="336" spans="1:40">
      <c r="A336" s="147">
        <v>335</v>
      </c>
      <c r="B336" s="223">
        <v>232109</v>
      </c>
      <c r="C336" s="221" t="s">
        <v>121</v>
      </c>
      <c r="D336" s="222">
        <v>43318</v>
      </c>
      <c r="E336" s="160" t="s">
        <v>2532</v>
      </c>
      <c r="F336" s="222">
        <v>43329</v>
      </c>
      <c r="G336" s="221">
        <f t="shared" si="16"/>
        <v>11</v>
      </c>
      <c r="H336" s="221" t="s">
        <v>133</v>
      </c>
      <c r="K336" s="319">
        <v>2450</v>
      </c>
      <c r="L336" s="221"/>
      <c r="M336" s="221"/>
      <c r="N336" s="227">
        <f t="shared" si="14"/>
        <v>0</v>
      </c>
      <c r="O336" s="221" t="s">
        <v>32</v>
      </c>
      <c r="P336" s="221" t="s">
        <v>264</v>
      </c>
      <c r="Q336" s="221" t="s">
        <v>1342</v>
      </c>
      <c r="R336" s="221" t="s">
        <v>122</v>
      </c>
      <c r="S336" s="145" t="s">
        <v>469</v>
      </c>
      <c r="T336" s="221" t="s">
        <v>114</v>
      </c>
      <c r="U336" s="221" t="s">
        <v>820</v>
      </c>
      <c r="V336" s="221" t="s">
        <v>222</v>
      </c>
      <c r="Z336" s="221" t="s">
        <v>170</v>
      </c>
      <c r="AB336" s="221"/>
      <c r="AC336" s="226">
        <f t="shared" si="15"/>
        <v>0</v>
      </c>
      <c r="AE336" s="147" t="s">
        <v>217</v>
      </c>
      <c r="AF336" s="147" t="s">
        <v>2353</v>
      </c>
    </row>
    <row r="337" spans="1:34">
      <c r="A337" s="147">
        <v>336</v>
      </c>
      <c r="B337" s="223">
        <v>231438</v>
      </c>
      <c r="C337" s="221" t="s">
        <v>121</v>
      </c>
      <c r="D337" s="222">
        <v>43318</v>
      </c>
      <c r="E337" s="160" t="s">
        <v>2532</v>
      </c>
      <c r="F337" s="222">
        <v>43329</v>
      </c>
      <c r="G337" s="221">
        <f t="shared" si="16"/>
        <v>11</v>
      </c>
      <c r="H337" s="221" t="s">
        <v>133</v>
      </c>
      <c r="K337" s="319">
        <v>1999</v>
      </c>
      <c r="L337" s="221"/>
      <c r="M337" s="221"/>
      <c r="N337" s="227">
        <f t="shared" si="14"/>
        <v>0</v>
      </c>
      <c r="O337" s="221" t="s">
        <v>32</v>
      </c>
      <c r="P337" s="221" t="s">
        <v>262</v>
      </c>
      <c r="Q337" s="221" t="s">
        <v>1342</v>
      </c>
      <c r="R337" s="221" t="s">
        <v>210</v>
      </c>
      <c r="S337" s="145" t="s">
        <v>469</v>
      </c>
      <c r="T337" s="221" t="s">
        <v>114</v>
      </c>
      <c r="U337" s="221" t="s">
        <v>2543</v>
      </c>
      <c r="V337" s="221" t="s">
        <v>90</v>
      </c>
      <c r="W337" s="221"/>
      <c r="X337" s="221"/>
      <c r="Y337" s="221"/>
      <c r="Z337" s="221" t="s">
        <v>170</v>
      </c>
      <c r="AB337" s="221"/>
      <c r="AC337" s="226">
        <f t="shared" si="15"/>
        <v>0</v>
      </c>
      <c r="AE337" s="147" t="s">
        <v>217</v>
      </c>
      <c r="AF337" s="147" t="s">
        <v>2353</v>
      </c>
    </row>
    <row r="338" spans="1:34">
      <c r="A338" s="147">
        <v>337</v>
      </c>
      <c r="B338" s="223">
        <v>232475</v>
      </c>
      <c r="C338" s="221" t="s">
        <v>121</v>
      </c>
      <c r="D338" s="222">
        <v>43318</v>
      </c>
      <c r="E338" s="160" t="s">
        <v>2532</v>
      </c>
      <c r="F338" s="222">
        <v>43332</v>
      </c>
      <c r="G338" s="221">
        <f t="shared" si="16"/>
        <v>14</v>
      </c>
      <c r="H338" s="221" t="s">
        <v>133</v>
      </c>
      <c r="K338" s="319">
        <v>1649</v>
      </c>
      <c r="L338" s="221"/>
      <c r="M338" s="221"/>
      <c r="N338" s="227">
        <f>IF(AE338="Reemplazo",0,K338-(K338*0.12*0.5)-(MAX(L338,M338)))</f>
        <v>0</v>
      </c>
      <c r="O338" s="221" t="s">
        <v>2449</v>
      </c>
      <c r="P338" s="221" t="s">
        <v>264</v>
      </c>
      <c r="Q338" s="221" t="s">
        <v>1342</v>
      </c>
      <c r="R338" s="221" t="s">
        <v>122</v>
      </c>
      <c r="S338" s="145" t="s">
        <v>469</v>
      </c>
      <c r="T338" s="221" t="s">
        <v>114</v>
      </c>
      <c r="U338" s="221" t="s">
        <v>2544</v>
      </c>
      <c r="V338" s="221" t="s">
        <v>222</v>
      </c>
      <c r="W338" s="221"/>
      <c r="X338" s="221"/>
      <c r="Y338" s="221"/>
      <c r="Z338" s="221" t="s">
        <v>170</v>
      </c>
      <c r="AB338" s="221"/>
      <c r="AC338" s="226">
        <f t="shared" si="15"/>
        <v>0</v>
      </c>
      <c r="AE338" s="147" t="s">
        <v>217</v>
      </c>
      <c r="AF338" s="147" t="s">
        <v>2353</v>
      </c>
    </row>
    <row r="339" spans="1:34">
      <c r="A339" s="147">
        <v>338</v>
      </c>
      <c r="B339" s="223">
        <v>232458</v>
      </c>
      <c r="C339" s="221" t="s">
        <v>121</v>
      </c>
      <c r="D339" s="222">
        <v>43318</v>
      </c>
      <c r="E339" s="160" t="s">
        <v>2532</v>
      </c>
      <c r="F339" s="222">
        <v>43332</v>
      </c>
      <c r="G339" s="221">
        <f t="shared" si="16"/>
        <v>14</v>
      </c>
      <c r="H339" s="221" t="s">
        <v>133</v>
      </c>
      <c r="K339" s="319">
        <v>1499</v>
      </c>
      <c r="L339" s="221"/>
      <c r="M339" s="221"/>
      <c r="N339" s="227">
        <f t="shared" si="14"/>
        <v>0</v>
      </c>
      <c r="O339" s="221" t="s">
        <v>2449</v>
      </c>
      <c r="P339" s="221" t="s">
        <v>262</v>
      </c>
      <c r="Q339" s="221" t="s">
        <v>1342</v>
      </c>
      <c r="R339" s="221" t="s">
        <v>122</v>
      </c>
      <c r="S339" s="145" t="s">
        <v>469</v>
      </c>
      <c r="T339" s="221" t="s">
        <v>114</v>
      </c>
      <c r="U339" s="221" t="s">
        <v>2545</v>
      </c>
      <c r="V339" s="221" t="s">
        <v>222</v>
      </c>
      <c r="W339" s="221"/>
      <c r="X339" s="221"/>
      <c r="Y339" s="221"/>
      <c r="Z339" s="221" t="s">
        <v>170</v>
      </c>
      <c r="AB339" s="221"/>
      <c r="AC339" s="226">
        <f t="shared" si="15"/>
        <v>0</v>
      </c>
      <c r="AE339" s="147" t="s">
        <v>217</v>
      </c>
      <c r="AF339" s="147" t="s">
        <v>2353</v>
      </c>
    </row>
    <row r="340" spans="1:34">
      <c r="A340" s="147">
        <v>339</v>
      </c>
      <c r="B340" s="223">
        <v>231028</v>
      </c>
      <c r="C340" s="221" t="s">
        <v>128</v>
      </c>
      <c r="D340" s="222">
        <v>43319</v>
      </c>
      <c r="E340" s="160" t="s">
        <v>2532</v>
      </c>
      <c r="F340" s="222">
        <v>43330</v>
      </c>
      <c r="G340" s="221">
        <f t="shared" si="16"/>
        <v>11</v>
      </c>
      <c r="H340" s="221" t="s">
        <v>133</v>
      </c>
      <c r="K340" s="319">
        <v>2100</v>
      </c>
      <c r="L340" s="221">
        <v>134</v>
      </c>
      <c r="M340" s="221">
        <v>25</v>
      </c>
      <c r="N340" s="227">
        <f t="shared" si="14"/>
        <v>1840</v>
      </c>
      <c r="O340" s="221" t="s">
        <v>32</v>
      </c>
      <c r="P340" s="221" t="s">
        <v>264</v>
      </c>
      <c r="Q340" s="221" t="s">
        <v>1342</v>
      </c>
      <c r="R340" s="221" t="s">
        <v>293</v>
      </c>
      <c r="S340" s="145" t="s">
        <v>469</v>
      </c>
      <c r="T340" s="221" t="s">
        <v>164</v>
      </c>
      <c r="U340" s="221" t="s">
        <v>2534</v>
      </c>
      <c r="V340" s="221" t="s">
        <v>293</v>
      </c>
      <c r="W340" s="221"/>
      <c r="X340" s="221"/>
      <c r="Y340" s="221" t="s">
        <v>1942</v>
      </c>
      <c r="Z340" s="221" t="s">
        <v>203</v>
      </c>
      <c r="AA340" s="222">
        <v>43321</v>
      </c>
      <c r="AB340" s="221" t="s">
        <v>195</v>
      </c>
      <c r="AC340" s="226">
        <f t="shared" si="15"/>
        <v>1</v>
      </c>
      <c r="AD340" s="147" t="s">
        <v>217</v>
      </c>
      <c r="AE340" s="147" t="s">
        <v>218</v>
      </c>
      <c r="AF340" s="147"/>
    </row>
    <row r="341" spans="1:34">
      <c r="A341" s="147">
        <v>340</v>
      </c>
      <c r="B341" s="223">
        <v>231359</v>
      </c>
      <c r="C341" s="221" t="s">
        <v>128</v>
      </c>
      <c r="D341" s="222">
        <v>43319</v>
      </c>
      <c r="E341" s="160" t="s">
        <v>2532</v>
      </c>
      <c r="F341" s="222">
        <v>43321</v>
      </c>
      <c r="G341" s="221">
        <f t="shared" si="16"/>
        <v>2</v>
      </c>
      <c r="H341" s="221" t="s">
        <v>133</v>
      </c>
      <c r="K341" s="319">
        <v>3999</v>
      </c>
      <c r="L341" s="221">
        <v>1079</v>
      </c>
      <c r="M341" s="221">
        <v>160</v>
      </c>
      <c r="N341" s="227">
        <f t="shared" si="14"/>
        <v>2680.06</v>
      </c>
      <c r="O341" s="221" t="s">
        <v>32</v>
      </c>
      <c r="P341" s="221" t="s">
        <v>264</v>
      </c>
      <c r="Q341" s="221" t="s">
        <v>1342</v>
      </c>
      <c r="R341" s="221" t="s">
        <v>143</v>
      </c>
      <c r="S341" s="145" t="s">
        <v>465</v>
      </c>
      <c r="T341" s="221" t="s">
        <v>164</v>
      </c>
      <c r="U341" s="221" t="s">
        <v>817</v>
      </c>
      <c r="V341" s="221" t="s">
        <v>2538</v>
      </c>
      <c r="W341" s="221"/>
      <c r="X341" s="221"/>
      <c r="Y341" s="221" t="s">
        <v>1942</v>
      </c>
      <c r="Z341" s="221" t="s">
        <v>2337</v>
      </c>
      <c r="AA341" s="222">
        <v>43321</v>
      </c>
      <c r="AB341" s="221" t="s">
        <v>195</v>
      </c>
      <c r="AC341" s="226">
        <f t="shared" si="15"/>
        <v>1</v>
      </c>
      <c r="AD341" s="147" t="s">
        <v>217</v>
      </c>
      <c r="AE341" s="147" t="s">
        <v>218</v>
      </c>
      <c r="AF341" s="147"/>
    </row>
    <row r="342" spans="1:34">
      <c r="A342" s="147">
        <v>341</v>
      </c>
      <c r="B342" s="223">
        <v>231969</v>
      </c>
      <c r="C342" s="221" t="s">
        <v>128</v>
      </c>
      <c r="D342" s="222">
        <v>43319</v>
      </c>
      <c r="E342" s="160" t="s">
        <v>2532</v>
      </c>
      <c r="F342" s="222">
        <v>43326</v>
      </c>
      <c r="G342" s="221">
        <f t="shared" si="16"/>
        <v>7</v>
      </c>
      <c r="H342" s="221" t="s">
        <v>363</v>
      </c>
      <c r="K342" s="319"/>
      <c r="L342" s="221"/>
      <c r="M342" s="221"/>
      <c r="N342" s="227">
        <f t="shared" si="14"/>
        <v>0</v>
      </c>
      <c r="O342" s="221" t="s">
        <v>32</v>
      </c>
      <c r="P342" s="221" t="s">
        <v>264</v>
      </c>
      <c r="Q342" s="221" t="s">
        <v>1342</v>
      </c>
      <c r="R342" s="221" t="s">
        <v>143</v>
      </c>
      <c r="S342" s="145" t="s">
        <v>465</v>
      </c>
      <c r="T342" s="221" t="s">
        <v>88</v>
      </c>
      <c r="U342" s="221" t="s">
        <v>2546</v>
      </c>
      <c r="V342" s="221" t="s">
        <v>2547</v>
      </c>
      <c r="W342" s="221"/>
      <c r="X342" s="221"/>
      <c r="Y342" s="221"/>
      <c r="Z342" s="221" t="s">
        <v>189</v>
      </c>
      <c r="AB342" s="221"/>
      <c r="AC342" s="226">
        <f t="shared" si="15"/>
        <v>0</v>
      </c>
      <c r="AH342" s="154" t="s">
        <v>2559</v>
      </c>
    </row>
    <row r="343" spans="1:34">
      <c r="A343" s="147">
        <v>342</v>
      </c>
      <c r="B343" s="223">
        <v>231791</v>
      </c>
      <c r="C343" s="221" t="s">
        <v>1130</v>
      </c>
      <c r="D343" s="222">
        <v>43319</v>
      </c>
      <c r="E343" s="160" t="s">
        <v>2532</v>
      </c>
      <c r="F343" s="222">
        <v>43326</v>
      </c>
      <c r="G343" s="221">
        <f t="shared" si="16"/>
        <v>7</v>
      </c>
      <c r="H343" s="221" t="s">
        <v>133</v>
      </c>
      <c r="K343" s="319">
        <v>1721</v>
      </c>
      <c r="L343" s="221">
        <v>290</v>
      </c>
      <c r="M343" s="221">
        <v>232</v>
      </c>
      <c r="N343" s="227">
        <f t="shared" si="14"/>
        <v>1327.74</v>
      </c>
      <c r="O343" s="221" t="s">
        <v>32</v>
      </c>
      <c r="P343" s="221" t="s">
        <v>264</v>
      </c>
      <c r="Q343" s="221" t="s">
        <v>1342</v>
      </c>
      <c r="R343" s="221" t="s">
        <v>143</v>
      </c>
      <c r="S343" s="145" t="s">
        <v>465</v>
      </c>
      <c r="T343" s="221" t="s">
        <v>164</v>
      </c>
      <c r="U343" s="221" t="s">
        <v>2548</v>
      </c>
      <c r="V343" s="221" t="s">
        <v>519</v>
      </c>
      <c r="W343" s="221"/>
      <c r="X343" s="221"/>
      <c r="Y343" s="221" t="s">
        <v>1942</v>
      </c>
      <c r="Z343" s="221" t="s">
        <v>2302</v>
      </c>
      <c r="AA343" s="222">
        <v>43320</v>
      </c>
      <c r="AB343" s="221" t="s">
        <v>140</v>
      </c>
      <c r="AC343" s="226">
        <f t="shared" si="15"/>
        <v>1</v>
      </c>
      <c r="AD343" s="147" t="s">
        <v>217</v>
      </c>
      <c r="AE343" s="147" t="s">
        <v>218</v>
      </c>
    </row>
    <row r="344" spans="1:34">
      <c r="A344" s="147">
        <v>343</v>
      </c>
      <c r="B344" s="223">
        <v>231965</v>
      </c>
      <c r="C344" s="221" t="s">
        <v>121</v>
      </c>
      <c r="D344" s="222">
        <v>43319</v>
      </c>
      <c r="E344" s="160" t="s">
        <v>2532</v>
      </c>
      <c r="F344" s="222">
        <v>43334</v>
      </c>
      <c r="G344" s="221">
        <f t="shared" si="16"/>
        <v>15</v>
      </c>
      <c r="H344" s="221" t="s">
        <v>363</v>
      </c>
      <c r="K344" s="319"/>
      <c r="L344" s="221"/>
      <c r="M344" s="221"/>
      <c r="N344" s="227">
        <f t="shared" si="14"/>
        <v>0</v>
      </c>
      <c r="O344" s="221" t="s">
        <v>2449</v>
      </c>
      <c r="P344" s="221" t="s">
        <v>264</v>
      </c>
      <c r="Q344" s="221" t="s">
        <v>1342</v>
      </c>
      <c r="R344" s="221" t="s">
        <v>122</v>
      </c>
      <c r="S344" s="145" t="s">
        <v>469</v>
      </c>
      <c r="T344" s="221" t="s">
        <v>114</v>
      </c>
      <c r="U344" s="221" t="s">
        <v>2549</v>
      </c>
      <c r="V344" s="221" t="s">
        <v>90</v>
      </c>
      <c r="W344" s="221"/>
      <c r="X344" s="221"/>
      <c r="Y344" s="221"/>
      <c r="Z344" s="221" t="s">
        <v>170</v>
      </c>
      <c r="AB344" s="221"/>
      <c r="AC344" s="226">
        <f t="shared" si="15"/>
        <v>0</v>
      </c>
      <c r="AH344" s="154" t="s">
        <v>2567</v>
      </c>
    </row>
    <row r="345" spans="1:34">
      <c r="A345" s="147">
        <v>344</v>
      </c>
      <c r="B345" s="223">
        <v>232502</v>
      </c>
      <c r="C345" s="221" t="s">
        <v>121</v>
      </c>
      <c r="D345" s="222">
        <v>43319</v>
      </c>
      <c r="E345" s="160" t="s">
        <v>2532</v>
      </c>
      <c r="F345" s="222">
        <v>43334</v>
      </c>
      <c r="G345" s="221">
        <f t="shared" si="16"/>
        <v>15</v>
      </c>
      <c r="H345" s="221" t="s">
        <v>363</v>
      </c>
      <c r="K345" s="319"/>
      <c r="L345" s="221"/>
      <c r="M345" s="221"/>
      <c r="N345" s="227">
        <f t="shared" si="14"/>
        <v>0</v>
      </c>
      <c r="O345" s="221" t="s">
        <v>32</v>
      </c>
      <c r="P345" s="221" t="s">
        <v>264</v>
      </c>
      <c r="Q345" s="221" t="s">
        <v>1342</v>
      </c>
      <c r="R345" s="221" t="s">
        <v>691</v>
      </c>
      <c r="S345" s="145" t="s">
        <v>466</v>
      </c>
      <c r="T345" s="221" t="s">
        <v>313</v>
      </c>
      <c r="U345" s="221" t="s">
        <v>2550</v>
      </c>
      <c r="V345" s="221" t="s">
        <v>257</v>
      </c>
      <c r="W345" s="221"/>
      <c r="X345" s="221"/>
      <c r="Y345" s="221"/>
      <c r="Z345" s="221" t="s">
        <v>726</v>
      </c>
      <c r="AB345" s="221"/>
      <c r="AC345" s="226">
        <f t="shared" si="15"/>
        <v>0</v>
      </c>
      <c r="AH345" s="154" t="s">
        <v>2560</v>
      </c>
    </row>
    <row r="346" spans="1:34">
      <c r="A346" s="147">
        <v>345</v>
      </c>
      <c r="B346" s="223">
        <v>232375</v>
      </c>
      <c r="C346" s="221" t="s">
        <v>128</v>
      </c>
      <c r="D346" s="222">
        <v>43320</v>
      </c>
      <c r="E346" s="160" t="s">
        <v>2532</v>
      </c>
      <c r="F346" s="222">
        <v>43334</v>
      </c>
      <c r="G346" s="221">
        <f t="shared" si="16"/>
        <v>14</v>
      </c>
      <c r="H346" s="221" t="s">
        <v>133</v>
      </c>
      <c r="K346" s="319">
        <v>799</v>
      </c>
      <c r="L346" s="221">
        <v>230</v>
      </c>
      <c r="M346" s="221"/>
      <c r="N346" s="227">
        <f t="shared" si="14"/>
        <v>0</v>
      </c>
      <c r="O346" s="221" t="s">
        <v>32</v>
      </c>
      <c r="P346" s="221" t="s">
        <v>264</v>
      </c>
      <c r="Q346" s="221" t="s">
        <v>1342</v>
      </c>
      <c r="R346" s="221" t="s">
        <v>143</v>
      </c>
      <c r="S346" s="145" t="s">
        <v>465</v>
      </c>
      <c r="T346" s="221" t="s">
        <v>120</v>
      </c>
      <c r="U346" s="221" t="s">
        <v>2325</v>
      </c>
      <c r="V346" s="221" t="s">
        <v>519</v>
      </c>
      <c r="W346" s="221"/>
      <c r="X346" s="221"/>
      <c r="Y346" s="221" t="s">
        <v>1942</v>
      </c>
      <c r="Z346" s="221" t="s">
        <v>137</v>
      </c>
      <c r="AB346" s="221" t="s">
        <v>140</v>
      </c>
      <c r="AC346" s="226">
        <f t="shared" si="15"/>
        <v>0</v>
      </c>
      <c r="AE346" s="147" t="s">
        <v>217</v>
      </c>
      <c r="AF346" s="154" t="s">
        <v>1523</v>
      </c>
    </row>
    <row r="347" spans="1:34">
      <c r="A347" s="147">
        <v>346</v>
      </c>
      <c r="B347" s="223">
        <v>231703</v>
      </c>
      <c r="C347" s="221" t="s">
        <v>128</v>
      </c>
      <c r="D347" s="222">
        <v>43320</v>
      </c>
      <c r="E347" s="160" t="s">
        <v>2532</v>
      </c>
      <c r="F347" s="222">
        <v>43329</v>
      </c>
      <c r="G347" s="221">
        <f t="shared" si="16"/>
        <v>9</v>
      </c>
      <c r="H347" s="221" t="s">
        <v>133</v>
      </c>
      <c r="K347" s="319">
        <v>649</v>
      </c>
      <c r="L347" s="221">
        <v>230</v>
      </c>
      <c r="M347" s="221"/>
      <c r="N347" s="227">
        <f t="shared" si="14"/>
        <v>0</v>
      </c>
      <c r="O347" s="221" t="s">
        <v>32</v>
      </c>
      <c r="P347" s="221" t="s">
        <v>264</v>
      </c>
      <c r="Q347" s="221" t="s">
        <v>1342</v>
      </c>
      <c r="R347" s="221" t="s">
        <v>143</v>
      </c>
      <c r="S347" s="145" t="s">
        <v>465</v>
      </c>
      <c r="T347" s="221" t="s">
        <v>120</v>
      </c>
      <c r="U347" s="221" t="s">
        <v>2551</v>
      </c>
      <c r="V347" s="221" t="s">
        <v>519</v>
      </c>
      <c r="W347" s="221"/>
      <c r="X347" s="221"/>
      <c r="Y347" s="221" t="s">
        <v>1942</v>
      </c>
      <c r="Z347" s="221" t="s">
        <v>137</v>
      </c>
      <c r="AB347" s="221" t="s">
        <v>140</v>
      </c>
      <c r="AC347" s="226">
        <f t="shared" si="15"/>
        <v>0</v>
      </c>
      <c r="AE347" s="147" t="s">
        <v>217</v>
      </c>
      <c r="AF347" s="154" t="s">
        <v>1523</v>
      </c>
    </row>
    <row r="348" spans="1:34">
      <c r="A348" s="147">
        <v>347</v>
      </c>
      <c r="B348" s="430">
        <v>232412</v>
      </c>
      <c r="C348" s="221" t="s">
        <v>128</v>
      </c>
      <c r="D348" s="222">
        <v>43320</v>
      </c>
      <c r="E348" s="160" t="s">
        <v>2532</v>
      </c>
      <c r="F348" s="222">
        <v>43336</v>
      </c>
      <c r="G348" s="221">
        <f t="shared" si="16"/>
        <v>16</v>
      </c>
      <c r="H348" s="221" t="s">
        <v>133</v>
      </c>
      <c r="K348" s="319">
        <v>899</v>
      </c>
      <c r="L348" s="221">
        <v>230</v>
      </c>
      <c r="M348" s="221">
        <v>100</v>
      </c>
      <c r="N348" s="227">
        <f t="shared" si="14"/>
        <v>0</v>
      </c>
      <c r="O348" s="221" t="s">
        <v>32</v>
      </c>
      <c r="P348" s="221" t="s">
        <v>264</v>
      </c>
      <c r="Q348" s="221" t="s">
        <v>1342</v>
      </c>
      <c r="R348" s="221" t="s">
        <v>143</v>
      </c>
      <c r="S348" s="145" t="s">
        <v>465</v>
      </c>
      <c r="T348" s="221" t="s">
        <v>120</v>
      </c>
      <c r="U348" s="221" t="s">
        <v>2325</v>
      </c>
      <c r="V348" s="221" t="s">
        <v>2556</v>
      </c>
      <c r="W348" s="221"/>
      <c r="X348" s="221"/>
      <c r="Y348" s="221" t="s">
        <v>1942</v>
      </c>
      <c r="Z348" s="221" t="s">
        <v>137</v>
      </c>
      <c r="AA348" s="222">
        <v>43325</v>
      </c>
      <c r="AB348" s="221" t="s">
        <v>140</v>
      </c>
      <c r="AC348" s="226">
        <f t="shared" si="15"/>
        <v>0</v>
      </c>
      <c r="AE348" s="147" t="s">
        <v>217</v>
      </c>
      <c r="AF348" s="154" t="s">
        <v>2349</v>
      </c>
      <c r="AH348" s="154" t="s">
        <v>2597</v>
      </c>
    </row>
    <row r="349" spans="1:34">
      <c r="A349" s="147">
        <v>348</v>
      </c>
      <c r="B349" s="223">
        <v>232180</v>
      </c>
      <c r="C349" s="221" t="s">
        <v>1130</v>
      </c>
      <c r="D349" s="222">
        <v>43321</v>
      </c>
      <c r="E349" s="160" t="s">
        <v>2532</v>
      </c>
      <c r="F349" s="222">
        <v>43330</v>
      </c>
      <c r="G349" s="221">
        <f t="shared" si="16"/>
        <v>9</v>
      </c>
      <c r="H349" s="221" t="s">
        <v>133</v>
      </c>
      <c r="K349" s="319">
        <v>6204</v>
      </c>
      <c r="L349" s="221"/>
      <c r="M349" s="221"/>
      <c r="N349" s="227">
        <f t="shared" si="14"/>
        <v>0</v>
      </c>
      <c r="O349" s="221" t="s">
        <v>32</v>
      </c>
      <c r="P349" s="221" t="s">
        <v>264</v>
      </c>
      <c r="Q349" s="221" t="s">
        <v>1342</v>
      </c>
      <c r="R349" s="221" t="s">
        <v>134</v>
      </c>
      <c r="S349" s="145" t="s">
        <v>465</v>
      </c>
      <c r="T349" s="221" t="s">
        <v>164</v>
      </c>
      <c r="U349" s="221" t="s">
        <v>2558</v>
      </c>
      <c r="V349" s="221" t="s">
        <v>2402</v>
      </c>
      <c r="W349" s="221"/>
      <c r="X349" s="221"/>
      <c r="Y349" s="221"/>
      <c r="Z349" s="221" t="s">
        <v>315</v>
      </c>
      <c r="AB349" s="221"/>
      <c r="AC349" s="226">
        <f t="shared" si="15"/>
        <v>0</v>
      </c>
      <c r="AE349" s="147" t="s">
        <v>217</v>
      </c>
      <c r="AF349" s="154" t="s">
        <v>2349</v>
      </c>
    </row>
    <row r="350" spans="1:34">
      <c r="A350" s="147">
        <v>349</v>
      </c>
      <c r="B350" s="223">
        <v>232622</v>
      </c>
      <c r="C350" s="221" t="s">
        <v>128</v>
      </c>
      <c r="D350" s="222">
        <v>43321</v>
      </c>
      <c r="E350" s="160" t="s">
        <v>2532</v>
      </c>
      <c r="F350" s="222">
        <v>43336</v>
      </c>
      <c r="G350" s="221">
        <f t="shared" si="16"/>
        <v>15</v>
      </c>
      <c r="H350" s="221" t="s">
        <v>133</v>
      </c>
      <c r="K350" s="319">
        <v>1488</v>
      </c>
      <c r="L350" s="221"/>
      <c r="M350" s="221"/>
      <c r="N350" s="227">
        <f t="shared" si="14"/>
        <v>0</v>
      </c>
      <c r="O350" s="221" t="s">
        <v>32</v>
      </c>
      <c r="P350" s="221" t="s">
        <v>264</v>
      </c>
      <c r="Q350" s="221" t="s">
        <v>1342</v>
      </c>
      <c r="R350" s="221" t="s">
        <v>143</v>
      </c>
      <c r="S350" s="145" t="s">
        <v>465</v>
      </c>
      <c r="T350" s="221" t="s">
        <v>88</v>
      </c>
      <c r="U350" s="221" t="s">
        <v>352</v>
      </c>
      <c r="V350" s="221" t="s">
        <v>2561</v>
      </c>
      <c r="Z350" s="221" t="s">
        <v>189</v>
      </c>
      <c r="AB350" s="221"/>
      <c r="AC350" s="226">
        <f t="shared" si="15"/>
        <v>0</v>
      </c>
      <c r="AE350" s="147" t="s">
        <v>217</v>
      </c>
      <c r="AF350" s="154" t="s">
        <v>2349</v>
      </c>
    </row>
    <row r="351" spans="1:34">
      <c r="A351" s="147">
        <v>350</v>
      </c>
      <c r="B351" s="223">
        <v>232906</v>
      </c>
      <c r="C351" s="221" t="s">
        <v>128</v>
      </c>
      <c r="D351" s="222">
        <v>43321</v>
      </c>
      <c r="E351" s="160" t="s">
        <v>2532</v>
      </c>
      <c r="F351" s="222">
        <v>43337</v>
      </c>
      <c r="G351" s="221">
        <f t="shared" si="16"/>
        <v>16</v>
      </c>
      <c r="H351" s="221" t="s">
        <v>363</v>
      </c>
      <c r="K351" s="319"/>
      <c r="L351" s="221"/>
      <c r="M351" s="221"/>
      <c r="N351" s="227">
        <f t="shared" si="14"/>
        <v>0</v>
      </c>
      <c r="O351" s="221" t="s">
        <v>32</v>
      </c>
      <c r="P351" s="221" t="s">
        <v>264</v>
      </c>
      <c r="Q351" s="221" t="s">
        <v>1342</v>
      </c>
      <c r="R351" s="221" t="s">
        <v>143</v>
      </c>
      <c r="S351" s="145" t="s">
        <v>465</v>
      </c>
      <c r="T351" s="221" t="s">
        <v>164</v>
      </c>
      <c r="U351" s="221" t="s">
        <v>2562</v>
      </c>
      <c r="V351" s="221" t="s">
        <v>432</v>
      </c>
      <c r="Z351" s="221" t="s">
        <v>2337</v>
      </c>
      <c r="AB351" s="221"/>
      <c r="AC351" s="226">
        <f t="shared" si="15"/>
        <v>0</v>
      </c>
      <c r="AH351" s="154" t="s">
        <v>2563</v>
      </c>
    </row>
    <row r="352" spans="1:34">
      <c r="A352" s="147">
        <v>351</v>
      </c>
      <c r="B352" s="223">
        <v>232038</v>
      </c>
      <c r="C352" s="221" t="s">
        <v>121</v>
      </c>
      <c r="D352" s="222">
        <v>43321</v>
      </c>
      <c r="E352" s="160" t="s">
        <v>2532</v>
      </c>
      <c r="F352" s="222">
        <v>43329</v>
      </c>
      <c r="G352" s="221">
        <f t="shared" si="16"/>
        <v>8</v>
      </c>
      <c r="H352" s="221" t="s">
        <v>133</v>
      </c>
      <c r="K352" s="319">
        <v>1599</v>
      </c>
      <c r="L352" s="221">
        <v>265</v>
      </c>
      <c r="M352" s="221">
        <v>160</v>
      </c>
      <c r="N352" s="227">
        <f t="shared" si="14"/>
        <v>1238.06</v>
      </c>
      <c r="O352" s="221" t="s">
        <v>32</v>
      </c>
      <c r="P352" s="221" t="s">
        <v>262</v>
      </c>
      <c r="Q352" s="221" t="s">
        <v>1342</v>
      </c>
      <c r="R352" s="221" t="s">
        <v>122</v>
      </c>
      <c r="S352" s="145" t="s">
        <v>469</v>
      </c>
      <c r="T352" s="221" t="s">
        <v>114</v>
      </c>
      <c r="U352" s="221" t="s">
        <v>2564</v>
      </c>
      <c r="V352" s="221" t="s">
        <v>90</v>
      </c>
      <c r="Y352" s="221" t="s">
        <v>1942</v>
      </c>
      <c r="Z352" s="221" t="s">
        <v>170</v>
      </c>
      <c r="AB352" s="222" t="s">
        <v>140</v>
      </c>
      <c r="AC352" s="226">
        <f t="shared" si="15"/>
        <v>1</v>
      </c>
      <c r="AD352" s="147" t="s">
        <v>217</v>
      </c>
      <c r="AE352" s="147" t="s">
        <v>218</v>
      </c>
      <c r="AH352" s="154" t="s">
        <v>2578</v>
      </c>
    </row>
    <row r="353" spans="1:34">
      <c r="A353" s="147">
        <v>352</v>
      </c>
      <c r="B353" s="430">
        <v>232464</v>
      </c>
      <c r="C353" s="221" t="s">
        <v>128</v>
      </c>
      <c r="D353" s="222">
        <v>43325</v>
      </c>
      <c r="E353" s="160" t="s">
        <v>2532</v>
      </c>
      <c r="F353" s="222">
        <v>43333</v>
      </c>
      <c r="G353" s="221">
        <f t="shared" si="16"/>
        <v>8</v>
      </c>
      <c r="H353" s="221" t="s">
        <v>133</v>
      </c>
      <c r="K353" s="319">
        <v>899</v>
      </c>
      <c r="L353" s="221">
        <v>350</v>
      </c>
      <c r="M353" s="221">
        <v>120</v>
      </c>
      <c r="N353" s="227">
        <f t="shared" si="14"/>
        <v>0</v>
      </c>
      <c r="O353" s="221" t="s">
        <v>32</v>
      </c>
      <c r="P353" s="221" t="s">
        <v>264</v>
      </c>
      <c r="Q353" s="221" t="s">
        <v>1342</v>
      </c>
      <c r="R353" s="221" t="s">
        <v>143</v>
      </c>
      <c r="S353" s="145" t="s">
        <v>465</v>
      </c>
      <c r="T353" s="221" t="s">
        <v>120</v>
      </c>
      <c r="U353" s="221" t="s">
        <v>2566</v>
      </c>
      <c r="V353" s="221" t="s">
        <v>425</v>
      </c>
      <c r="Y353" s="221" t="s">
        <v>316</v>
      </c>
      <c r="Z353" s="221" t="s">
        <v>137</v>
      </c>
      <c r="AA353" s="222">
        <v>43328</v>
      </c>
      <c r="AB353" s="221" t="s">
        <v>195</v>
      </c>
      <c r="AC353" s="226">
        <f t="shared" si="15"/>
        <v>0</v>
      </c>
      <c r="AE353" s="147" t="s">
        <v>217</v>
      </c>
      <c r="AF353" s="154" t="s">
        <v>2349</v>
      </c>
      <c r="AH353" s="154" t="s">
        <v>2596</v>
      </c>
    </row>
    <row r="354" spans="1:34">
      <c r="A354" s="147">
        <v>353</v>
      </c>
      <c r="B354" s="223">
        <v>232079</v>
      </c>
      <c r="C354" s="221" t="s">
        <v>121</v>
      </c>
      <c r="D354" s="222">
        <v>43326</v>
      </c>
      <c r="E354" s="160" t="s">
        <v>2532</v>
      </c>
      <c r="F354" s="222">
        <v>43329</v>
      </c>
      <c r="G354" s="221">
        <f t="shared" si="16"/>
        <v>3</v>
      </c>
      <c r="H354" s="221" t="s">
        <v>363</v>
      </c>
      <c r="K354" s="319"/>
      <c r="L354" s="221"/>
      <c r="N354" s="227">
        <f t="shared" si="14"/>
        <v>0</v>
      </c>
      <c r="O354" s="221" t="s">
        <v>32</v>
      </c>
      <c r="P354" s="221" t="s">
        <v>264</v>
      </c>
      <c r="Q354" s="221" t="s">
        <v>1342</v>
      </c>
      <c r="R354" s="221" t="s">
        <v>143</v>
      </c>
      <c r="S354" s="145" t="s">
        <v>465</v>
      </c>
      <c r="T354" s="221" t="s">
        <v>114</v>
      </c>
      <c r="U354" s="221" t="s">
        <v>244</v>
      </c>
      <c r="V354" s="221" t="s">
        <v>90</v>
      </c>
      <c r="Z354" s="221" t="s">
        <v>170</v>
      </c>
      <c r="AB354" s="221"/>
      <c r="AC354" s="226">
        <f t="shared" si="15"/>
        <v>0</v>
      </c>
      <c r="AH354" s="154" t="s">
        <v>2575</v>
      </c>
    </row>
    <row r="355" spans="1:34">
      <c r="A355" s="147">
        <v>354</v>
      </c>
      <c r="B355" s="223">
        <v>232321</v>
      </c>
      <c r="C355" s="221" t="s">
        <v>121</v>
      </c>
      <c r="D355" s="222">
        <v>43326</v>
      </c>
      <c r="E355" s="160" t="s">
        <v>2532</v>
      </c>
      <c r="F355" s="222">
        <v>43331</v>
      </c>
      <c r="G355" s="221">
        <f t="shared" si="16"/>
        <v>5</v>
      </c>
      <c r="H355" s="221" t="s">
        <v>363</v>
      </c>
      <c r="K355" s="319"/>
      <c r="N355" s="227">
        <f t="shared" si="14"/>
        <v>0</v>
      </c>
      <c r="O355" s="221" t="s">
        <v>32</v>
      </c>
      <c r="P355" s="221" t="s">
        <v>264</v>
      </c>
      <c r="Q355" s="221" t="s">
        <v>1342</v>
      </c>
      <c r="R355" s="221" t="s">
        <v>143</v>
      </c>
      <c r="S355" s="145" t="s">
        <v>465</v>
      </c>
      <c r="T355" s="221" t="s">
        <v>114</v>
      </c>
      <c r="U355" s="221" t="s">
        <v>1603</v>
      </c>
      <c r="V355" s="221" t="s">
        <v>425</v>
      </c>
      <c r="Z355" s="221" t="s">
        <v>170</v>
      </c>
      <c r="AB355" s="221"/>
      <c r="AC355" s="226">
        <f t="shared" si="15"/>
        <v>0</v>
      </c>
      <c r="AH355" s="154" t="s">
        <v>2575</v>
      </c>
    </row>
    <row r="356" spans="1:34">
      <c r="A356" s="147">
        <v>355</v>
      </c>
      <c r="B356" s="223">
        <v>232451</v>
      </c>
      <c r="C356" s="221" t="s">
        <v>121</v>
      </c>
      <c r="D356" s="222">
        <v>43326</v>
      </c>
      <c r="E356" s="160" t="s">
        <v>2532</v>
      </c>
      <c r="F356" s="222">
        <v>43333</v>
      </c>
      <c r="G356" s="221">
        <f t="shared" si="16"/>
        <v>7</v>
      </c>
      <c r="H356" s="221" t="s">
        <v>363</v>
      </c>
      <c r="K356" s="319"/>
      <c r="N356" s="227">
        <f t="shared" si="14"/>
        <v>0</v>
      </c>
      <c r="O356" s="221" t="s">
        <v>32</v>
      </c>
      <c r="P356" s="221" t="s">
        <v>263</v>
      </c>
      <c r="Q356" s="221" t="s">
        <v>1341</v>
      </c>
      <c r="R356" s="221" t="s">
        <v>122</v>
      </c>
      <c r="S356" s="145" t="s">
        <v>469</v>
      </c>
      <c r="T356" s="221" t="s">
        <v>114</v>
      </c>
      <c r="U356" s="221" t="s">
        <v>2568</v>
      </c>
      <c r="V356" s="221" t="s">
        <v>222</v>
      </c>
      <c r="Z356" s="221" t="s">
        <v>170</v>
      </c>
      <c r="AB356" s="221"/>
      <c r="AC356" s="226">
        <f t="shared" si="15"/>
        <v>0</v>
      </c>
      <c r="AH356" s="154" t="s">
        <v>2576</v>
      </c>
    </row>
    <row r="357" spans="1:34">
      <c r="A357" s="147">
        <v>356</v>
      </c>
      <c r="B357" s="223">
        <v>232654</v>
      </c>
      <c r="C357" s="221" t="s">
        <v>1130</v>
      </c>
      <c r="D357" s="222">
        <v>43326</v>
      </c>
      <c r="E357" s="160" t="s">
        <v>2532</v>
      </c>
      <c r="F357" s="222">
        <v>43338</v>
      </c>
      <c r="G357" s="221">
        <f t="shared" si="16"/>
        <v>12</v>
      </c>
      <c r="H357" s="221" t="s">
        <v>363</v>
      </c>
      <c r="K357" s="319"/>
      <c r="N357" s="227">
        <f t="shared" si="14"/>
        <v>0</v>
      </c>
      <c r="O357" s="221" t="s">
        <v>32</v>
      </c>
      <c r="P357" s="221" t="s">
        <v>263</v>
      </c>
      <c r="Q357" s="221" t="s">
        <v>1341</v>
      </c>
      <c r="R357" s="221" t="s">
        <v>143</v>
      </c>
      <c r="S357" s="145" t="s">
        <v>465</v>
      </c>
      <c r="T357" s="221" t="s">
        <v>164</v>
      </c>
      <c r="U357" s="221" t="s">
        <v>2301</v>
      </c>
      <c r="V357" s="221" t="s">
        <v>519</v>
      </c>
      <c r="Z357" s="221" t="s">
        <v>2302</v>
      </c>
      <c r="AB357" s="221"/>
      <c r="AC357" s="226">
        <f t="shared" si="15"/>
        <v>0</v>
      </c>
      <c r="AH357" s="154" t="s">
        <v>2569</v>
      </c>
    </row>
    <row r="358" spans="1:34">
      <c r="A358" s="147">
        <v>357</v>
      </c>
      <c r="B358" s="223">
        <v>233101</v>
      </c>
      <c r="C358" s="221" t="s">
        <v>128</v>
      </c>
      <c r="D358" s="222">
        <v>43327</v>
      </c>
      <c r="E358" s="160" t="s">
        <v>2532</v>
      </c>
      <c r="F358" s="222">
        <v>43345</v>
      </c>
      <c r="G358" s="221">
        <f t="shared" si="16"/>
        <v>18</v>
      </c>
      <c r="H358" s="221" t="s">
        <v>133</v>
      </c>
      <c r="K358" s="319">
        <v>751</v>
      </c>
      <c r="N358" s="227">
        <f t="shared" si="14"/>
        <v>0</v>
      </c>
      <c r="O358" s="221" t="s">
        <v>32</v>
      </c>
      <c r="P358" s="221" t="s">
        <v>263</v>
      </c>
      <c r="Q358" s="221" t="s">
        <v>1341</v>
      </c>
      <c r="R358" s="221" t="s">
        <v>143</v>
      </c>
      <c r="S358" s="145" t="s">
        <v>465</v>
      </c>
      <c r="T358" s="221" t="s">
        <v>120</v>
      </c>
      <c r="U358" s="221" t="s">
        <v>722</v>
      </c>
      <c r="V358" s="221" t="s">
        <v>2570</v>
      </c>
      <c r="Z358" s="221" t="s">
        <v>137</v>
      </c>
      <c r="AB358" s="221"/>
      <c r="AC358" s="226">
        <f t="shared" si="15"/>
        <v>0</v>
      </c>
      <c r="AE358" s="147" t="s">
        <v>217</v>
      </c>
      <c r="AF358" s="154" t="s">
        <v>2349</v>
      </c>
    </row>
    <row r="359" spans="1:34">
      <c r="A359" s="147">
        <v>358</v>
      </c>
      <c r="B359" s="223">
        <v>232498</v>
      </c>
      <c r="C359" s="221" t="s">
        <v>121</v>
      </c>
      <c r="D359" s="222">
        <v>43327</v>
      </c>
      <c r="E359" s="160" t="s">
        <v>2532</v>
      </c>
      <c r="F359" s="222">
        <v>43336</v>
      </c>
      <c r="G359" s="221">
        <f t="shared" si="16"/>
        <v>9</v>
      </c>
      <c r="H359" s="221" t="s">
        <v>133</v>
      </c>
      <c r="K359" s="319">
        <v>1530</v>
      </c>
      <c r="N359" s="227">
        <f t="shared" si="14"/>
        <v>0</v>
      </c>
      <c r="O359" s="221" t="s">
        <v>32</v>
      </c>
      <c r="P359" s="221" t="s">
        <v>264</v>
      </c>
      <c r="Q359" s="221" t="s">
        <v>1342</v>
      </c>
      <c r="R359" s="221" t="s">
        <v>691</v>
      </c>
      <c r="S359" s="145" t="s">
        <v>466</v>
      </c>
      <c r="T359" s="221" t="s">
        <v>405</v>
      </c>
      <c r="U359" s="221" t="s">
        <v>502</v>
      </c>
      <c r="V359" s="221" t="s">
        <v>257</v>
      </c>
      <c r="Z359" s="221" t="s">
        <v>235</v>
      </c>
      <c r="AB359" s="221"/>
      <c r="AC359" s="226">
        <f t="shared" si="15"/>
        <v>0</v>
      </c>
      <c r="AE359" s="147" t="s">
        <v>217</v>
      </c>
      <c r="AF359" s="154" t="s">
        <v>2349</v>
      </c>
      <c r="AH359" s="154" t="s">
        <v>2580</v>
      </c>
    </row>
    <row r="360" spans="1:34">
      <c r="A360" s="147">
        <v>359</v>
      </c>
      <c r="B360" s="223">
        <v>232216</v>
      </c>
      <c r="C360" s="221" t="s">
        <v>121</v>
      </c>
      <c r="D360" s="222">
        <v>43327</v>
      </c>
      <c r="E360" s="160" t="s">
        <v>2532</v>
      </c>
      <c r="F360" s="222">
        <v>43336</v>
      </c>
      <c r="G360" s="221">
        <f t="shared" si="16"/>
        <v>9</v>
      </c>
      <c r="H360" s="221" t="s">
        <v>363</v>
      </c>
      <c r="K360" s="319"/>
      <c r="N360" s="227">
        <f t="shared" si="14"/>
        <v>0</v>
      </c>
      <c r="O360" s="221" t="s">
        <v>32</v>
      </c>
      <c r="P360" s="221" t="s">
        <v>264</v>
      </c>
      <c r="Q360" s="221" t="s">
        <v>1342</v>
      </c>
      <c r="R360" s="221" t="s">
        <v>501</v>
      </c>
      <c r="S360" s="145" t="s">
        <v>466</v>
      </c>
      <c r="T360" s="221" t="s">
        <v>313</v>
      </c>
      <c r="U360" s="221" t="s">
        <v>2571</v>
      </c>
      <c r="V360" s="221" t="s">
        <v>222</v>
      </c>
      <c r="Z360" s="221" t="s">
        <v>259</v>
      </c>
      <c r="AB360" s="221"/>
      <c r="AC360" s="226">
        <f t="shared" si="15"/>
        <v>0</v>
      </c>
      <c r="AH360" s="154" t="s">
        <v>2574</v>
      </c>
    </row>
    <row r="361" spans="1:34">
      <c r="A361" s="147">
        <v>360</v>
      </c>
      <c r="B361" s="223">
        <v>232217</v>
      </c>
      <c r="C361" s="221" t="s">
        <v>121</v>
      </c>
      <c r="D361" s="222">
        <v>43327</v>
      </c>
      <c r="E361" s="160" t="s">
        <v>2532</v>
      </c>
      <c r="F361" s="222">
        <v>43331</v>
      </c>
      <c r="G361" s="221">
        <f t="shared" si="16"/>
        <v>4</v>
      </c>
      <c r="H361" s="221" t="s">
        <v>363</v>
      </c>
      <c r="K361" s="319"/>
      <c r="N361" s="227">
        <f t="shared" si="14"/>
        <v>0</v>
      </c>
      <c r="O361" s="221" t="s">
        <v>32</v>
      </c>
      <c r="P361" s="221" t="s">
        <v>264</v>
      </c>
      <c r="Q361" s="221" t="s">
        <v>1342</v>
      </c>
      <c r="R361" s="221" t="s">
        <v>691</v>
      </c>
      <c r="S361" s="145" t="s">
        <v>466</v>
      </c>
      <c r="T361" s="221" t="s">
        <v>255</v>
      </c>
      <c r="U361" s="221" t="s">
        <v>2572</v>
      </c>
      <c r="V361" s="221" t="s">
        <v>257</v>
      </c>
      <c r="Z361" s="221" t="s">
        <v>259</v>
      </c>
      <c r="AB361" s="221"/>
      <c r="AC361" s="226">
        <f t="shared" si="15"/>
        <v>0</v>
      </c>
      <c r="AH361" s="154" t="s">
        <v>2573</v>
      </c>
    </row>
    <row r="362" spans="1:34">
      <c r="A362" s="147">
        <v>361</v>
      </c>
      <c r="B362" s="223">
        <v>233065</v>
      </c>
      <c r="C362" s="221" t="s">
        <v>121</v>
      </c>
      <c r="D362" s="222">
        <v>43327</v>
      </c>
      <c r="E362" s="160" t="s">
        <v>2532</v>
      </c>
      <c r="F362" s="222">
        <v>43339</v>
      </c>
      <c r="G362" s="221">
        <f t="shared" si="16"/>
        <v>12</v>
      </c>
      <c r="H362" s="221" t="s">
        <v>133</v>
      </c>
      <c r="K362" s="319">
        <v>1699</v>
      </c>
      <c r="N362" s="227">
        <f t="shared" si="14"/>
        <v>0</v>
      </c>
      <c r="O362" s="221" t="s">
        <v>2449</v>
      </c>
      <c r="P362" s="221" t="s">
        <v>264</v>
      </c>
      <c r="Q362" s="221" t="s">
        <v>1342</v>
      </c>
      <c r="R362" s="221" t="s">
        <v>122</v>
      </c>
      <c r="S362" s="145" t="s">
        <v>469</v>
      </c>
      <c r="T362" s="221" t="s">
        <v>114</v>
      </c>
      <c r="U362" s="221" t="s">
        <v>2544</v>
      </c>
      <c r="V362" s="221" t="s">
        <v>222</v>
      </c>
      <c r="Z362" s="221" t="s">
        <v>170</v>
      </c>
      <c r="AB362" s="221"/>
      <c r="AC362" s="226">
        <f t="shared" si="15"/>
        <v>0</v>
      </c>
      <c r="AE362" s="147" t="s">
        <v>217</v>
      </c>
      <c r="AF362" s="154" t="s">
        <v>2349</v>
      </c>
    </row>
    <row r="363" spans="1:34">
      <c r="A363" s="147">
        <v>362</v>
      </c>
      <c r="B363" s="223">
        <v>231895</v>
      </c>
      <c r="C363" s="221" t="s">
        <v>1130</v>
      </c>
      <c r="D363" s="222">
        <v>43329</v>
      </c>
      <c r="E363" s="160" t="s">
        <v>2532</v>
      </c>
      <c r="F363" s="325">
        <v>43340</v>
      </c>
      <c r="G363" s="221">
        <f t="shared" si="16"/>
        <v>11</v>
      </c>
      <c r="H363" s="221" t="s">
        <v>133</v>
      </c>
      <c r="K363" s="319">
        <v>4749</v>
      </c>
      <c r="N363" s="227">
        <f t="shared" si="14"/>
        <v>0</v>
      </c>
      <c r="O363" s="221" t="s">
        <v>2449</v>
      </c>
      <c r="P363" s="221" t="s">
        <v>264</v>
      </c>
      <c r="Q363" s="221" t="s">
        <v>1342</v>
      </c>
      <c r="R363" s="221" t="s">
        <v>122</v>
      </c>
      <c r="S363" s="145" t="s">
        <v>469</v>
      </c>
      <c r="T363" s="221" t="s">
        <v>376</v>
      </c>
      <c r="U363" s="154" t="s">
        <v>2577</v>
      </c>
      <c r="V363" s="221" t="s">
        <v>222</v>
      </c>
      <c r="Z363" s="221" t="s">
        <v>253</v>
      </c>
      <c r="AB363" s="221"/>
      <c r="AC363" s="226">
        <f t="shared" si="15"/>
        <v>0</v>
      </c>
      <c r="AE363" s="147" t="s">
        <v>217</v>
      </c>
      <c r="AF363" s="154" t="s">
        <v>2349</v>
      </c>
    </row>
    <row r="364" spans="1:34">
      <c r="A364" s="147">
        <v>363</v>
      </c>
      <c r="B364" s="223">
        <v>232638</v>
      </c>
      <c r="C364" s="221" t="s">
        <v>128</v>
      </c>
      <c r="D364" s="222">
        <v>43329</v>
      </c>
      <c r="E364" s="160" t="s">
        <v>2532</v>
      </c>
      <c r="F364" s="325">
        <v>43340</v>
      </c>
      <c r="G364" s="221">
        <f t="shared" ref="G364:G381" si="17">F364-D364</f>
        <v>11</v>
      </c>
      <c r="H364" s="221" t="s">
        <v>133</v>
      </c>
      <c r="K364" s="319">
        <v>1999</v>
      </c>
      <c r="N364" s="227">
        <f t="shared" si="14"/>
        <v>0</v>
      </c>
      <c r="O364" s="221" t="s">
        <v>32</v>
      </c>
      <c r="P364" s="154" t="s">
        <v>264</v>
      </c>
      <c r="Q364" s="154" t="s">
        <v>1342</v>
      </c>
      <c r="R364" s="154" t="s">
        <v>122</v>
      </c>
      <c r="S364" s="145" t="s">
        <v>469</v>
      </c>
      <c r="T364" s="154" t="s">
        <v>164</v>
      </c>
      <c r="U364" s="154" t="s">
        <v>1386</v>
      </c>
      <c r="V364" s="154" t="s">
        <v>2581</v>
      </c>
      <c r="Z364" s="221" t="s">
        <v>404</v>
      </c>
      <c r="AB364" s="221"/>
      <c r="AC364" s="226">
        <f>+IF(N364&gt;0,1,0)</f>
        <v>0</v>
      </c>
      <c r="AE364" s="147" t="s">
        <v>217</v>
      </c>
      <c r="AH364" s="154" t="s">
        <v>2598</v>
      </c>
    </row>
    <row r="365" spans="1:34">
      <c r="A365" s="147">
        <v>364</v>
      </c>
      <c r="B365" s="431">
        <v>232791</v>
      </c>
      <c r="C365" s="221" t="s">
        <v>1130</v>
      </c>
      <c r="D365" s="434">
        <v>43332</v>
      </c>
      <c r="E365" s="160" t="s">
        <v>2532</v>
      </c>
      <c r="F365" s="325">
        <v>43353</v>
      </c>
      <c r="G365" s="221">
        <f t="shared" si="17"/>
        <v>21</v>
      </c>
      <c r="H365" s="221" t="s">
        <v>363</v>
      </c>
      <c r="K365" s="319"/>
      <c r="N365" s="227">
        <f t="shared" si="14"/>
        <v>0</v>
      </c>
      <c r="O365" s="221" t="s">
        <v>32</v>
      </c>
      <c r="P365" s="154" t="s">
        <v>263</v>
      </c>
      <c r="Q365" s="154" t="s">
        <v>1341</v>
      </c>
      <c r="R365" s="221" t="s">
        <v>691</v>
      </c>
      <c r="S365" s="145" t="s">
        <v>466</v>
      </c>
      <c r="T365" s="154" t="s">
        <v>338</v>
      </c>
      <c r="U365" s="432" t="s">
        <v>2582</v>
      </c>
      <c r="V365" s="433" t="s">
        <v>2583</v>
      </c>
      <c r="Z365" s="431" t="s">
        <v>2584</v>
      </c>
      <c r="AB365" s="221"/>
      <c r="AC365" s="226">
        <f t="shared" si="15"/>
        <v>0</v>
      </c>
      <c r="AE365" s="147" t="s">
        <v>218</v>
      </c>
      <c r="AH365" s="154" t="s">
        <v>2600</v>
      </c>
    </row>
    <row r="366" spans="1:34">
      <c r="A366" s="147">
        <v>365</v>
      </c>
      <c r="B366" s="223">
        <v>233545</v>
      </c>
      <c r="C366" s="221" t="s">
        <v>128</v>
      </c>
      <c r="D366" s="434">
        <v>43332</v>
      </c>
      <c r="E366" s="160" t="s">
        <v>2532</v>
      </c>
      <c r="F366" s="325">
        <v>43342</v>
      </c>
      <c r="G366" s="221">
        <f t="shared" si="17"/>
        <v>10</v>
      </c>
      <c r="H366" s="221" t="s">
        <v>125</v>
      </c>
      <c r="K366" s="319">
        <v>4274</v>
      </c>
      <c r="L366" s="10">
        <v>1120</v>
      </c>
      <c r="M366" s="154">
        <v>90</v>
      </c>
      <c r="N366" s="227">
        <f t="shared" si="14"/>
        <v>2897.56</v>
      </c>
      <c r="O366" s="221" t="s">
        <v>32</v>
      </c>
      <c r="P366" s="154" t="s">
        <v>264</v>
      </c>
      <c r="Q366" s="154" t="s">
        <v>1342</v>
      </c>
      <c r="R366" s="221" t="s">
        <v>691</v>
      </c>
      <c r="S366" s="145" t="s">
        <v>466</v>
      </c>
      <c r="T366" s="154" t="s">
        <v>255</v>
      </c>
      <c r="U366" s="432" t="s">
        <v>2585</v>
      </c>
      <c r="V366" s="154" t="s">
        <v>2586</v>
      </c>
      <c r="Y366" s="154" t="s">
        <v>1459</v>
      </c>
      <c r="Z366" s="221" t="s">
        <v>1118</v>
      </c>
      <c r="AA366" s="222">
        <v>43336</v>
      </c>
      <c r="AB366" s="221">
        <v>2</v>
      </c>
      <c r="AC366" s="226">
        <f t="shared" si="15"/>
        <v>1</v>
      </c>
      <c r="AD366" s="147" t="s">
        <v>217</v>
      </c>
      <c r="AE366" s="147" t="s">
        <v>218</v>
      </c>
    </row>
    <row r="367" spans="1:34">
      <c r="A367" s="147">
        <v>366</v>
      </c>
      <c r="B367" s="431">
        <v>233475</v>
      </c>
      <c r="C367" s="221" t="s">
        <v>1130</v>
      </c>
      <c r="D367" s="434">
        <v>43333</v>
      </c>
      <c r="E367" s="160" t="s">
        <v>2532</v>
      </c>
      <c r="F367" s="325">
        <v>43336</v>
      </c>
      <c r="G367" s="221">
        <f t="shared" si="17"/>
        <v>3</v>
      </c>
      <c r="H367" s="221" t="s">
        <v>133</v>
      </c>
      <c r="K367" s="319">
        <v>4199</v>
      </c>
      <c r="L367" s="10">
        <v>150</v>
      </c>
      <c r="M367" s="154">
        <v>95</v>
      </c>
      <c r="N367" s="227">
        <f t="shared" si="14"/>
        <v>3797.06</v>
      </c>
      <c r="O367" s="221" t="s">
        <v>32</v>
      </c>
      <c r="P367" s="154" t="s">
        <v>264</v>
      </c>
      <c r="Q367" s="154" t="s">
        <v>1342</v>
      </c>
      <c r="R367" s="221" t="s">
        <v>143</v>
      </c>
      <c r="S367" s="145" t="s">
        <v>465</v>
      </c>
      <c r="T367" s="154" t="s">
        <v>164</v>
      </c>
      <c r="U367" s="432" t="s">
        <v>2587</v>
      </c>
      <c r="V367" s="433" t="s">
        <v>2588</v>
      </c>
      <c r="Y367" s="154" t="s">
        <v>1172</v>
      </c>
      <c r="Z367" s="431" t="s">
        <v>2589</v>
      </c>
      <c r="AA367" s="222">
        <v>43334</v>
      </c>
      <c r="AB367" s="221">
        <v>1</v>
      </c>
      <c r="AC367" s="226">
        <f t="shared" si="15"/>
        <v>1</v>
      </c>
      <c r="AD367" s="147" t="s">
        <v>217</v>
      </c>
      <c r="AE367" s="147" t="s">
        <v>218</v>
      </c>
      <c r="AH367" s="401" t="s">
        <v>2599</v>
      </c>
    </row>
    <row r="368" spans="1:34">
      <c r="A368" s="147">
        <v>367</v>
      </c>
      <c r="B368" s="10">
        <v>232827</v>
      </c>
      <c r="C368" s="154" t="s">
        <v>540</v>
      </c>
      <c r="D368" s="434">
        <v>43333</v>
      </c>
      <c r="E368" s="160" t="s">
        <v>2532</v>
      </c>
      <c r="F368" s="325">
        <v>43337</v>
      </c>
      <c r="G368" s="221">
        <f t="shared" si="17"/>
        <v>4</v>
      </c>
      <c r="H368" s="221" t="s">
        <v>133</v>
      </c>
      <c r="K368" s="319">
        <v>1299</v>
      </c>
      <c r="N368" s="227">
        <f t="shared" si="14"/>
        <v>0</v>
      </c>
      <c r="O368" s="221" t="s">
        <v>32</v>
      </c>
      <c r="P368" s="154" t="s">
        <v>264</v>
      </c>
      <c r="Q368" s="154" t="s">
        <v>1342</v>
      </c>
      <c r="R368" s="221" t="s">
        <v>143</v>
      </c>
      <c r="S368" s="145" t="s">
        <v>465</v>
      </c>
      <c r="T368" s="154" t="s">
        <v>120</v>
      </c>
      <c r="U368" s="154" t="s">
        <v>2590</v>
      </c>
      <c r="V368" s="154" t="s">
        <v>2591</v>
      </c>
      <c r="Z368" s="154" t="s">
        <v>137</v>
      </c>
      <c r="AB368" s="221"/>
      <c r="AC368" s="226">
        <f t="shared" si="15"/>
        <v>0</v>
      </c>
      <c r="AE368" s="147" t="s">
        <v>217</v>
      </c>
      <c r="AF368" s="154" t="s">
        <v>2349</v>
      </c>
    </row>
    <row r="369" spans="1:34">
      <c r="A369" s="147">
        <v>368</v>
      </c>
      <c r="B369" s="223">
        <v>233127</v>
      </c>
      <c r="C369" s="154" t="s">
        <v>540</v>
      </c>
      <c r="D369" s="434">
        <v>43333</v>
      </c>
      <c r="E369" s="160" t="s">
        <v>2532</v>
      </c>
      <c r="F369" s="325">
        <v>43337</v>
      </c>
      <c r="G369" s="221">
        <f t="shared" si="17"/>
        <v>4</v>
      </c>
      <c r="H369" s="221" t="s">
        <v>363</v>
      </c>
      <c r="K369" s="319"/>
      <c r="N369" s="227">
        <f t="shared" si="14"/>
        <v>0</v>
      </c>
      <c r="O369" s="221" t="s">
        <v>32</v>
      </c>
      <c r="P369" s="154" t="s">
        <v>264</v>
      </c>
      <c r="Q369" s="154" t="s">
        <v>1342</v>
      </c>
      <c r="R369" s="154" t="s">
        <v>134</v>
      </c>
      <c r="S369" s="145" t="s">
        <v>465</v>
      </c>
      <c r="T369" s="154" t="s">
        <v>164</v>
      </c>
      <c r="U369" s="154" t="s">
        <v>2592</v>
      </c>
      <c r="V369" s="154" t="s">
        <v>2594</v>
      </c>
      <c r="AB369" s="221"/>
      <c r="AC369" s="226">
        <f>+IF(N369&gt;0,1,0)</f>
        <v>0</v>
      </c>
      <c r="AH369" s="154" t="s">
        <v>2601</v>
      </c>
    </row>
    <row r="370" spans="1:34" ht="60">
      <c r="A370" s="147">
        <v>369</v>
      </c>
      <c r="B370" s="223">
        <v>233590</v>
      </c>
      <c r="C370" s="154" t="s">
        <v>540</v>
      </c>
      <c r="D370" s="434">
        <v>43333</v>
      </c>
      <c r="E370" s="160" t="s">
        <v>2532</v>
      </c>
      <c r="F370" s="325">
        <v>43337</v>
      </c>
      <c r="G370" s="221">
        <f t="shared" si="17"/>
        <v>4</v>
      </c>
      <c r="H370" s="221" t="s">
        <v>363</v>
      </c>
      <c r="K370" s="319"/>
      <c r="N370" s="227">
        <f t="shared" si="14"/>
        <v>0</v>
      </c>
      <c r="O370" s="221" t="s">
        <v>32</v>
      </c>
      <c r="P370" s="154" t="s">
        <v>264</v>
      </c>
      <c r="Q370" s="154" t="s">
        <v>1342</v>
      </c>
      <c r="R370" s="154" t="s">
        <v>134</v>
      </c>
      <c r="S370" s="145" t="s">
        <v>465</v>
      </c>
      <c r="T370" s="154" t="s">
        <v>164</v>
      </c>
      <c r="U370" s="154" t="s">
        <v>2593</v>
      </c>
      <c r="V370" s="435" t="s">
        <v>2595</v>
      </c>
      <c r="AB370" s="221"/>
      <c r="AC370" s="226">
        <f t="shared" si="15"/>
        <v>0</v>
      </c>
      <c r="AH370" s="154" t="s">
        <v>2601</v>
      </c>
    </row>
    <row r="371" spans="1:34">
      <c r="A371" s="147">
        <v>370</v>
      </c>
      <c r="B371" s="431">
        <v>233178</v>
      </c>
      <c r="C371" s="154" t="s">
        <v>540</v>
      </c>
      <c r="D371" s="325">
        <v>43334</v>
      </c>
      <c r="E371" s="160" t="s">
        <v>2532</v>
      </c>
      <c r="F371" s="325">
        <v>43345</v>
      </c>
      <c r="G371" s="221">
        <f t="shared" si="17"/>
        <v>11</v>
      </c>
      <c r="H371" s="221" t="s">
        <v>125</v>
      </c>
      <c r="K371" s="400">
        <v>1599</v>
      </c>
      <c r="L371" s="10">
        <v>723</v>
      </c>
      <c r="M371" s="154">
        <v>80</v>
      </c>
      <c r="N371" s="227">
        <f t="shared" si="14"/>
        <v>780.06</v>
      </c>
      <c r="O371" s="154" t="s">
        <v>32</v>
      </c>
      <c r="P371" s="154" t="s">
        <v>264</v>
      </c>
      <c r="Q371" s="154" t="s">
        <v>1342</v>
      </c>
      <c r="R371" s="431" t="s">
        <v>210</v>
      </c>
      <c r="S371" s="157" t="s">
        <v>469</v>
      </c>
      <c r="T371" s="154" t="s">
        <v>164</v>
      </c>
      <c r="U371" s="154" t="s">
        <v>2603</v>
      </c>
      <c r="V371" s="154" t="s">
        <v>2602</v>
      </c>
      <c r="Y371" s="154" t="s">
        <v>1942</v>
      </c>
      <c r="Z371" s="221" t="s">
        <v>404</v>
      </c>
      <c r="AA371" s="222">
        <v>43336</v>
      </c>
      <c r="AB371" s="221">
        <v>3</v>
      </c>
      <c r="AC371" s="226">
        <f t="shared" si="15"/>
        <v>1</v>
      </c>
      <c r="AD371" s="147" t="s">
        <v>217</v>
      </c>
      <c r="AE371" s="147" t="s">
        <v>218</v>
      </c>
    </row>
    <row r="372" spans="1:34">
      <c r="A372" s="147">
        <v>371</v>
      </c>
      <c r="B372" s="223">
        <v>233727</v>
      </c>
      <c r="C372" s="154" t="s">
        <v>540</v>
      </c>
      <c r="D372" s="325">
        <v>43334</v>
      </c>
      <c r="E372" s="160" t="s">
        <v>2532</v>
      </c>
      <c r="F372" s="325">
        <v>43350</v>
      </c>
      <c r="G372" s="221">
        <f t="shared" si="17"/>
        <v>16</v>
      </c>
      <c r="H372" s="221" t="s">
        <v>133</v>
      </c>
      <c r="N372" s="227">
        <f t="shared" si="14"/>
        <v>0</v>
      </c>
      <c r="O372" s="154" t="s">
        <v>32</v>
      </c>
      <c r="P372" s="154" t="s">
        <v>264</v>
      </c>
      <c r="R372" s="154" t="s">
        <v>122</v>
      </c>
      <c r="S372" s="157" t="s">
        <v>469</v>
      </c>
      <c r="T372" s="154" t="s">
        <v>164</v>
      </c>
      <c r="U372" s="154" t="s">
        <v>2604</v>
      </c>
      <c r="V372" s="154" t="s">
        <v>222</v>
      </c>
      <c r="Z372" s="221" t="s">
        <v>292</v>
      </c>
      <c r="AB372" s="221"/>
      <c r="AC372" s="226">
        <f t="shared" si="15"/>
        <v>0</v>
      </c>
      <c r="AE372" s="147" t="s">
        <v>217</v>
      </c>
      <c r="AF372" s="154" t="s">
        <v>2349</v>
      </c>
    </row>
    <row r="373" spans="1:34">
      <c r="A373" s="147">
        <v>372</v>
      </c>
      <c r="B373" s="223">
        <v>233710</v>
      </c>
      <c r="C373" s="154" t="s">
        <v>540</v>
      </c>
      <c r="D373" s="325">
        <v>43334</v>
      </c>
      <c r="E373" s="160" t="s">
        <v>2532</v>
      </c>
      <c r="F373" s="325">
        <v>43347</v>
      </c>
      <c r="G373" s="221">
        <f t="shared" si="17"/>
        <v>13</v>
      </c>
      <c r="H373" s="221" t="s">
        <v>133</v>
      </c>
      <c r="N373" s="227">
        <f t="shared" si="14"/>
        <v>0</v>
      </c>
      <c r="O373" s="154" t="s">
        <v>32</v>
      </c>
      <c r="P373" s="154" t="s">
        <v>262</v>
      </c>
      <c r="Q373" s="154" t="s">
        <v>1342</v>
      </c>
      <c r="R373" s="154" t="s">
        <v>143</v>
      </c>
      <c r="S373" s="157" t="s">
        <v>465</v>
      </c>
      <c r="T373" s="154" t="s">
        <v>120</v>
      </c>
      <c r="U373" s="154" t="s">
        <v>2606</v>
      </c>
      <c r="V373" s="154" t="s">
        <v>2605</v>
      </c>
      <c r="Z373" s="221" t="s">
        <v>137</v>
      </c>
      <c r="AB373" s="221"/>
      <c r="AC373" s="226">
        <f t="shared" si="15"/>
        <v>0</v>
      </c>
      <c r="AE373" s="147" t="s">
        <v>217</v>
      </c>
      <c r="AF373" s="154" t="s">
        <v>2349</v>
      </c>
    </row>
    <row r="374" spans="1:34">
      <c r="A374" s="147">
        <v>373</v>
      </c>
      <c r="B374" s="431">
        <v>233119</v>
      </c>
      <c r="C374" s="221" t="s">
        <v>1130</v>
      </c>
      <c r="D374" s="325">
        <v>43334</v>
      </c>
      <c r="E374" s="160" t="s">
        <v>2532</v>
      </c>
      <c r="F374" s="437">
        <v>43339</v>
      </c>
      <c r="G374" s="221">
        <f t="shared" si="17"/>
        <v>5</v>
      </c>
      <c r="H374" s="221" t="s">
        <v>133</v>
      </c>
      <c r="N374" s="227">
        <f t="shared" si="14"/>
        <v>0</v>
      </c>
      <c r="O374" s="154" t="s">
        <v>32</v>
      </c>
      <c r="P374" s="154" t="s">
        <v>264</v>
      </c>
      <c r="Q374" s="154" t="s">
        <v>1342</v>
      </c>
      <c r="R374" s="154" t="s">
        <v>1374</v>
      </c>
      <c r="S374" s="157" t="s">
        <v>469</v>
      </c>
      <c r="T374" s="437" t="s">
        <v>2607</v>
      </c>
      <c r="U374" s="432" t="s">
        <v>778</v>
      </c>
      <c r="V374" s="433" t="s">
        <v>2608</v>
      </c>
      <c r="Z374" s="221" t="s">
        <v>253</v>
      </c>
      <c r="AB374" s="221"/>
      <c r="AC374" s="226">
        <f t="shared" si="15"/>
        <v>0</v>
      </c>
      <c r="AE374" s="147" t="s">
        <v>217</v>
      </c>
      <c r="AF374" s="154" t="s">
        <v>2349</v>
      </c>
    </row>
    <row r="375" spans="1:34">
      <c r="A375" s="147">
        <v>374</v>
      </c>
      <c r="B375" s="223">
        <v>234243</v>
      </c>
      <c r="C375" s="154" t="s">
        <v>540</v>
      </c>
      <c r="D375" s="325">
        <v>43339</v>
      </c>
      <c r="E375" s="160" t="s">
        <v>2532</v>
      </c>
      <c r="F375" s="325">
        <v>43352</v>
      </c>
      <c r="G375" s="221">
        <f t="shared" si="17"/>
        <v>13</v>
      </c>
      <c r="H375" s="221" t="s">
        <v>133</v>
      </c>
      <c r="N375" s="227">
        <f t="shared" si="14"/>
        <v>0</v>
      </c>
      <c r="O375" s="154" t="s">
        <v>32</v>
      </c>
      <c r="P375" s="154" t="s">
        <v>264</v>
      </c>
      <c r="Q375" s="154" t="s">
        <v>1342</v>
      </c>
      <c r="R375" s="154" t="s">
        <v>122</v>
      </c>
      <c r="S375" s="157" t="s">
        <v>2609</v>
      </c>
      <c r="T375" s="154" t="s">
        <v>164</v>
      </c>
      <c r="U375" s="154" t="s">
        <v>2610</v>
      </c>
      <c r="V375" s="154" t="s">
        <v>222</v>
      </c>
      <c r="Z375" s="221" t="s">
        <v>2414</v>
      </c>
      <c r="AB375" s="221"/>
      <c r="AC375" s="226">
        <f t="shared" si="15"/>
        <v>0</v>
      </c>
      <c r="AE375" s="147" t="s">
        <v>217</v>
      </c>
      <c r="AF375" s="154" t="s">
        <v>1021</v>
      </c>
    </row>
    <row r="376" spans="1:34">
      <c r="A376" s="147">
        <v>375</v>
      </c>
      <c r="B376" s="223"/>
      <c r="C376" s="221"/>
      <c r="E376" s="160" t="s">
        <v>2532</v>
      </c>
      <c r="G376" s="221">
        <f t="shared" si="17"/>
        <v>0</v>
      </c>
      <c r="H376" s="221"/>
      <c r="N376" s="227">
        <f t="shared" si="14"/>
        <v>0</v>
      </c>
      <c r="AB376" s="221"/>
      <c r="AC376" s="226">
        <f t="shared" si="15"/>
        <v>0</v>
      </c>
    </row>
    <row r="377" spans="1:34">
      <c r="A377" s="147">
        <v>376</v>
      </c>
      <c r="B377" s="223"/>
      <c r="C377" s="221"/>
      <c r="E377" s="160" t="s">
        <v>2532</v>
      </c>
      <c r="G377" s="221">
        <f t="shared" si="17"/>
        <v>0</v>
      </c>
      <c r="H377" s="221"/>
      <c r="N377" s="227">
        <f t="shared" si="14"/>
        <v>0</v>
      </c>
      <c r="AB377" s="221"/>
      <c r="AC377" s="226">
        <f t="shared" si="15"/>
        <v>0</v>
      </c>
    </row>
    <row r="378" spans="1:34">
      <c r="A378" s="147">
        <v>377</v>
      </c>
      <c r="B378" s="223"/>
      <c r="C378" s="221"/>
      <c r="E378" s="160" t="s">
        <v>2532</v>
      </c>
      <c r="G378" s="221">
        <f t="shared" si="17"/>
        <v>0</v>
      </c>
      <c r="H378" s="221"/>
      <c r="N378" s="227">
        <f t="shared" si="14"/>
        <v>0</v>
      </c>
      <c r="AB378" s="221"/>
      <c r="AC378" s="226">
        <f t="shared" si="15"/>
        <v>0</v>
      </c>
    </row>
    <row r="379" spans="1:34">
      <c r="A379" s="147">
        <v>378</v>
      </c>
      <c r="B379" s="223"/>
      <c r="C379" s="221"/>
      <c r="G379" s="221">
        <f t="shared" si="17"/>
        <v>0</v>
      </c>
      <c r="H379" s="221"/>
      <c r="N379" s="227">
        <f t="shared" si="14"/>
        <v>0</v>
      </c>
      <c r="AB379" s="221"/>
      <c r="AC379" s="226">
        <f t="shared" si="15"/>
        <v>0</v>
      </c>
    </row>
    <row r="380" spans="1:34">
      <c r="A380" s="147">
        <v>379</v>
      </c>
      <c r="B380" s="223"/>
      <c r="C380" s="221"/>
      <c r="G380" s="221">
        <f t="shared" si="17"/>
        <v>0</v>
      </c>
      <c r="H380" s="221"/>
      <c r="N380" s="227">
        <f t="shared" si="14"/>
        <v>0</v>
      </c>
      <c r="AB380" s="221"/>
      <c r="AC380" s="226">
        <f t="shared" si="15"/>
        <v>0</v>
      </c>
    </row>
    <row r="381" spans="1:34">
      <c r="A381" s="147">
        <v>380</v>
      </c>
      <c r="B381" s="223"/>
      <c r="C381" s="221"/>
      <c r="G381" s="221">
        <f t="shared" si="17"/>
        <v>0</v>
      </c>
      <c r="H381" s="221"/>
      <c r="N381" s="227">
        <f t="shared" si="14"/>
        <v>0</v>
      </c>
      <c r="AB381" s="221"/>
      <c r="AC381" s="226">
        <f t="shared" si="15"/>
        <v>0</v>
      </c>
    </row>
    <row r="382" spans="1:34">
      <c r="A382" s="147">
        <v>381</v>
      </c>
      <c r="B382" s="223"/>
      <c r="C382" s="221"/>
      <c r="H382" s="221"/>
      <c r="N382" s="227">
        <f t="shared" si="14"/>
        <v>0</v>
      </c>
      <c r="AB382" s="221"/>
      <c r="AC382" s="226">
        <f t="shared" si="15"/>
        <v>0</v>
      </c>
    </row>
    <row r="383" spans="1:34">
      <c r="A383" s="147">
        <v>382</v>
      </c>
      <c r="B383" s="223"/>
      <c r="C383" s="221"/>
      <c r="H383" s="221"/>
      <c r="N383" s="227">
        <f t="shared" si="14"/>
        <v>0</v>
      </c>
      <c r="AB383" s="221"/>
      <c r="AC383" s="226">
        <f t="shared" si="15"/>
        <v>0</v>
      </c>
    </row>
    <row r="384" spans="1:34">
      <c r="A384" s="147">
        <v>383</v>
      </c>
      <c r="B384" s="223"/>
      <c r="C384" s="221"/>
      <c r="H384" s="221"/>
      <c r="N384" s="227">
        <f t="shared" si="14"/>
        <v>0</v>
      </c>
      <c r="AB384" s="221"/>
      <c r="AC384" s="226">
        <f t="shared" si="15"/>
        <v>0</v>
      </c>
    </row>
    <row r="385" spans="1:29">
      <c r="A385" s="147">
        <v>384</v>
      </c>
      <c r="B385" s="223"/>
      <c r="C385" s="221"/>
      <c r="H385" s="221"/>
      <c r="N385" s="227">
        <f t="shared" si="14"/>
        <v>0</v>
      </c>
      <c r="AB385" s="221"/>
      <c r="AC385" s="226">
        <f t="shared" si="15"/>
        <v>0</v>
      </c>
    </row>
    <row r="386" spans="1:29">
      <c r="A386" s="147">
        <v>385</v>
      </c>
      <c r="B386" s="223"/>
      <c r="C386" s="221"/>
      <c r="H386" s="221"/>
      <c r="N386" s="227">
        <f t="shared" ref="N386:N391" si="18">IF(AE386="Reemplazo",0,K386-(K386*0.12*0.5)-(MAX(L386,M386)))</f>
        <v>0</v>
      </c>
      <c r="AB386" s="221"/>
      <c r="AC386" s="226">
        <f t="shared" ref="AC386:AC391" si="19">+IF(N386&gt;0,1,0)</f>
        <v>0</v>
      </c>
    </row>
    <row r="387" spans="1:29">
      <c r="A387" s="147">
        <v>386</v>
      </c>
      <c r="B387" s="223"/>
      <c r="C387" s="221"/>
      <c r="H387" s="221"/>
      <c r="N387" s="227">
        <f t="shared" si="18"/>
        <v>0</v>
      </c>
      <c r="AB387" s="221"/>
      <c r="AC387" s="226">
        <f t="shared" si="19"/>
        <v>0</v>
      </c>
    </row>
    <row r="388" spans="1:29">
      <c r="A388" s="147">
        <v>387</v>
      </c>
      <c r="B388" s="223"/>
      <c r="C388" s="221"/>
      <c r="H388" s="221"/>
      <c r="N388" s="227">
        <f t="shared" si="18"/>
        <v>0</v>
      </c>
      <c r="AB388" s="221"/>
      <c r="AC388" s="226">
        <f t="shared" si="19"/>
        <v>0</v>
      </c>
    </row>
    <row r="389" spans="1:29">
      <c r="B389" s="223"/>
      <c r="C389" s="221"/>
      <c r="H389" s="221"/>
      <c r="N389" s="227">
        <f t="shared" si="18"/>
        <v>0</v>
      </c>
      <c r="AB389" s="221"/>
      <c r="AC389" s="226">
        <f t="shared" si="19"/>
        <v>0</v>
      </c>
    </row>
    <row r="390" spans="1:29">
      <c r="B390" s="223"/>
      <c r="C390" s="221"/>
      <c r="N390" s="227">
        <f t="shared" si="18"/>
        <v>0</v>
      </c>
      <c r="AB390" s="221"/>
      <c r="AC390" s="226">
        <f t="shared" si="19"/>
        <v>0</v>
      </c>
    </row>
    <row r="391" spans="1:29">
      <c r="B391" s="223"/>
      <c r="C391" s="221"/>
      <c r="N391" s="227">
        <f t="shared" si="18"/>
        <v>0</v>
      </c>
      <c r="AB391" s="221"/>
      <c r="AC391" s="226">
        <f t="shared" si="19"/>
        <v>0</v>
      </c>
    </row>
    <row r="392" spans="1:29">
      <c r="B392" s="223"/>
      <c r="C392" s="221"/>
      <c r="AB392" s="221"/>
    </row>
    <row r="393" spans="1:29">
      <c r="C393" s="221"/>
    </row>
    <row r="394" spans="1:29">
      <c r="C394" s="221"/>
    </row>
    <row r="395" spans="1:29">
      <c r="C395" s="221"/>
    </row>
    <row r="396" spans="1:29">
      <c r="C396" s="221"/>
    </row>
    <row r="397" spans="1:29">
      <c r="C397" s="221"/>
    </row>
    <row r="398" spans="1:29">
      <c r="C398" s="221"/>
    </row>
    <row r="399" spans="1:29">
      <c r="C399" s="221"/>
    </row>
    <row r="400" spans="1:29">
      <c r="C400" s="221"/>
    </row>
    <row r="401" spans="3:16">
      <c r="C401" s="221"/>
    </row>
    <row r="402" spans="3:16">
      <c r="C402" s="221"/>
    </row>
    <row r="403" spans="3:16">
      <c r="C403" s="221"/>
      <c r="P403" s="401"/>
    </row>
    <row r="404" spans="3:16">
      <c r="C404" s="221"/>
      <c r="P404" s="401"/>
    </row>
    <row r="405" spans="3:16">
      <c r="C405" s="221"/>
    </row>
    <row r="406" spans="3:16">
      <c r="C406" s="221"/>
    </row>
    <row r="407" spans="3:16">
      <c r="C407" s="221"/>
    </row>
    <row r="408" spans="3:16">
      <c r="C408" s="221"/>
    </row>
    <row r="409" spans="3:16">
      <c r="C409" s="221"/>
    </row>
    <row r="410" spans="3:16">
      <c r="C410" s="221"/>
    </row>
    <row r="411" spans="3:16">
      <c r="C411" s="221"/>
    </row>
    <row r="412" spans="3:16">
      <c r="C412" s="221"/>
    </row>
    <row r="413" spans="3:16">
      <c r="C413" s="221"/>
    </row>
    <row r="414" spans="3:16">
      <c r="C414" s="221"/>
    </row>
    <row r="415" spans="3:16">
      <c r="C415" s="221"/>
    </row>
    <row r="416" spans="3:16">
      <c r="C416" s="221"/>
    </row>
    <row r="417" spans="3:3">
      <c r="C417" s="221"/>
    </row>
    <row r="418" spans="3:3">
      <c r="C418" s="221"/>
    </row>
    <row r="419" spans="3:3">
      <c r="C419" s="221"/>
    </row>
  </sheetData>
  <dataConsolidate/>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14:formula1>
            <xm:f>Hoja2!$D$3:$D$10</xm:f>
          </x14:formula1>
          <xm:sqref>H2:H27 H29:H389</xm:sqref>
        </x14:dataValidation>
        <x14:dataValidation type="list" allowBlank="1" showInputMessage="1" showErrorMessage="1">
          <x14:formula1>
            <xm:f>Hoja2!$B$3:$B$6</xm:f>
          </x14:formula1>
          <xm:sqref>C2:C223 C229 C232:C239 C260 C263:C265 C276:C281</xm:sqref>
        </x14:dataValidation>
        <x14:dataValidation type="list" allowBlank="1" showInputMessage="1" showErrorMessage="1">
          <x14:formula1>
            <xm:f>Hoja2!$B$3:$B$7</xm:f>
          </x14:formula1>
          <xm:sqref>C240:C259 C261:C262 C266:C275 C282:C419</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3:O67"/>
  <sheetViews>
    <sheetView zoomScale="80" zoomScaleNormal="80" workbookViewId="0">
      <pane xSplit="2" ySplit="3" topLeftCell="C4" activePane="bottomRight" state="frozen"/>
      <selection activeCell="A67" sqref="A67"/>
      <selection pane="topRight" activeCell="A67" sqref="A67"/>
      <selection pane="bottomLeft" activeCell="A67" sqref="A67"/>
      <selection pane="bottomRight" activeCell="D15" sqref="D15"/>
    </sheetView>
  </sheetViews>
  <sheetFormatPr baseColWidth="10" defaultRowHeight="15"/>
  <cols>
    <col min="1" max="1" width="5.5703125" customWidth="1"/>
    <col min="2" max="2" width="34.42578125" customWidth="1"/>
    <col min="3" max="3" width="16.140625" customWidth="1"/>
    <col min="4" max="4" width="25.5703125" customWidth="1"/>
    <col min="5" max="5" width="41.42578125" bestFit="1" customWidth="1"/>
    <col min="6" max="6" width="14" customWidth="1"/>
    <col min="7" max="7" width="13.85546875" bestFit="1" customWidth="1"/>
    <col min="8" max="8" width="12.42578125" customWidth="1"/>
    <col min="9" max="9" width="12.85546875" customWidth="1"/>
    <col min="10" max="10" width="36.28515625" bestFit="1" customWidth="1"/>
    <col min="11" max="11" width="15.5703125" hidden="1" customWidth="1"/>
    <col min="12" max="12" width="31.85546875" hidden="1" customWidth="1"/>
    <col min="13" max="13" width="0" hidden="1" customWidth="1"/>
    <col min="14" max="14" width="12.85546875" hidden="1" customWidth="1"/>
    <col min="15" max="15" width="0" hidden="1" customWidth="1"/>
  </cols>
  <sheetData>
    <row r="3" spans="1:15" ht="30.75" customHeight="1">
      <c r="B3" s="6" t="s">
        <v>39</v>
      </c>
      <c r="C3" s="6" t="s">
        <v>95</v>
      </c>
      <c r="D3" s="6" t="s">
        <v>37</v>
      </c>
      <c r="E3" s="6" t="s">
        <v>38</v>
      </c>
      <c r="F3" s="6" t="s">
        <v>58</v>
      </c>
      <c r="G3" s="9" t="s">
        <v>99</v>
      </c>
      <c r="H3" s="6" t="s">
        <v>40</v>
      </c>
      <c r="I3" s="6" t="s">
        <v>100</v>
      </c>
      <c r="J3" s="6" t="s">
        <v>41</v>
      </c>
      <c r="K3" s="6" t="s">
        <v>321</v>
      </c>
      <c r="L3" s="9" t="s">
        <v>96</v>
      </c>
      <c r="M3" s="9" t="s">
        <v>81</v>
      </c>
      <c r="N3" s="9" t="s">
        <v>151</v>
      </c>
      <c r="O3" s="37" t="s">
        <v>152</v>
      </c>
    </row>
    <row r="4" spans="1:15">
      <c r="B4" s="180" t="s">
        <v>2555</v>
      </c>
      <c r="C4" s="18"/>
      <c r="D4" s="18" t="s">
        <v>8</v>
      </c>
      <c r="E4" s="18" t="s">
        <v>42</v>
      </c>
      <c r="F4" s="27" t="s">
        <v>42</v>
      </c>
      <c r="G4" s="21"/>
      <c r="H4" s="21">
        <v>998231731</v>
      </c>
      <c r="I4" s="21"/>
      <c r="J4" s="14" t="s">
        <v>7</v>
      </c>
      <c r="K4" s="46"/>
      <c r="L4" s="18"/>
      <c r="M4" s="21" t="s">
        <v>82</v>
      </c>
      <c r="N4" s="10" t="s">
        <v>118</v>
      </c>
      <c r="O4" s="10"/>
    </row>
    <row r="5" spans="1:15" ht="30">
      <c r="B5" s="45" t="s">
        <v>3</v>
      </c>
      <c r="C5" s="18"/>
      <c r="D5" s="18" t="s">
        <v>4</v>
      </c>
      <c r="E5" s="18" t="s">
        <v>5</v>
      </c>
      <c r="F5" s="27" t="s">
        <v>60</v>
      </c>
      <c r="G5" s="21">
        <v>4286483</v>
      </c>
      <c r="H5" s="21">
        <v>998224414</v>
      </c>
      <c r="I5" s="21">
        <v>998498446</v>
      </c>
      <c r="J5" s="14" t="s">
        <v>6</v>
      </c>
      <c r="K5" s="34" t="s">
        <v>322</v>
      </c>
      <c r="L5" s="18" t="s">
        <v>97</v>
      </c>
      <c r="M5" s="21" t="s">
        <v>98</v>
      </c>
      <c r="N5" s="26" t="s">
        <v>118</v>
      </c>
      <c r="O5" s="10" t="s">
        <v>141</v>
      </c>
    </row>
    <row r="6" spans="1:15" ht="30">
      <c r="B6" s="180" t="s">
        <v>53</v>
      </c>
      <c r="C6" s="20"/>
      <c r="D6" s="20" t="s">
        <v>101</v>
      </c>
      <c r="E6" s="20" t="s">
        <v>55</v>
      </c>
      <c r="F6" s="28" t="s">
        <v>60</v>
      </c>
      <c r="G6" s="21">
        <v>4281229</v>
      </c>
      <c r="H6" s="21">
        <v>981277236</v>
      </c>
      <c r="I6" s="21">
        <v>981537522</v>
      </c>
      <c r="J6" s="14" t="s">
        <v>54</v>
      </c>
      <c r="K6" s="34" t="s">
        <v>322</v>
      </c>
      <c r="L6" s="18"/>
      <c r="M6" s="21" t="s">
        <v>82</v>
      </c>
      <c r="N6" s="10" t="s">
        <v>118</v>
      </c>
      <c r="O6" s="10"/>
    </row>
    <row r="7" spans="1:15" ht="30">
      <c r="B7" s="180" t="s">
        <v>57</v>
      </c>
      <c r="C7" s="20"/>
      <c r="D7" s="18" t="s">
        <v>102</v>
      </c>
      <c r="E7" s="20" t="s">
        <v>103</v>
      </c>
      <c r="F7" s="28" t="s">
        <v>60</v>
      </c>
      <c r="G7" s="21">
        <v>4333023</v>
      </c>
      <c r="H7" s="21">
        <v>998596589</v>
      </c>
      <c r="I7" s="21" t="s">
        <v>104</v>
      </c>
      <c r="J7" s="14" t="s">
        <v>56</v>
      </c>
      <c r="K7" s="34" t="s">
        <v>322</v>
      </c>
      <c r="L7" s="18" t="s">
        <v>105</v>
      </c>
      <c r="M7" s="21" t="s">
        <v>82</v>
      </c>
      <c r="N7" s="26" t="s">
        <v>118</v>
      </c>
      <c r="O7" s="10"/>
    </row>
    <row r="8" spans="1:15" ht="30">
      <c r="B8" s="219" t="s">
        <v>1942</v>
      </c>
      <c r="C8" s="26">
        <v>10076372069</v>
      </c>
      <c r="D8" s="18" t="s">
        <v>94</v>
      </c>
      <c r="E8" s="20" t="s">
        <v>74</v>
      </c>
      <c r="F8" s="28" t="s">
        <v>60</v>
      </c>
      <c r="G8" s="34">
        <v>4280833</v>
      </c>
      <c r="H8" s="34" t="s">
        <v>209</v>
      </c>
      <c r="I8" s="34">
        <v>993325991</v>
      </c>
      <c r="J8" s="14" t="s">
        <v>106</v>
      </c>
      <c r="K8" s="34" t="s">
        <v>323</v>
      </c>
      <c r="L8" s="18" t="s">
        <v>97</v>
      </c>
      <c r="M8" s="21" t="s">
        <v>107</v>
      </c>
      <c r="N8" s="10" t="s">
        <v>118</v>
      </c>
      <c r="O8" s="10" t="s">
        <v>141</v>
      </c>
    </row>
    <row r="9" spans="1:15" ht="30">
      <c r="B9" s="44" t="s">
        <v>93</v>
      </c>
      <c r="C9" s="23">
        <v>20511555133</v>
      </c>
      <c r="D9" s="23" t="s">
        <v>12</v>
      </c>
      <c r="E9" s="18" t="s">
        <v>10</v>
      </c>
      <c r="F9" s="27" t="s">
        <v>60</v>
      </c>
      <c r="G9" s="21">
        <v>2424595</v>
      </c>
      <c r="H9" s="21">
        <v>943640631</v>
      </c>
      <c r="I9" s="21">
        <v>968990826</v>
      </c>
      <c r="J9" s="22" t="s">
        <v>149</v>
      </c>
      <c r="K9" s="34" t="s">
        <v>322</v>
      </c>
      <c r="L9" s="18" t="s">
        <v>150</v>
      </c>
      <c r="M9" s="21" t="s">
        <v>82</v>
      </c>
      <c r="N9" s="10" t="s">
        <v>118</v>
      </c>
      <c r="O9" s="10" t="s">
        <v>141</v>
      </c>
    </row>
    <row r="10" spans="1:15">
      <c r="B10" s="180" t="s">
        <v>20</v>
      </c>
      <c r="C10" s="18"/>
      <c r="D10" s="18" t="s">
        <v>17</v>
      </c>
      <c r="E10" s="18" t="s">
        <v>19</v>
      </c>
      <c r="F10" s="27" t="s">
        <v>63</v>
      </c>
      <c r="G10" s="21"/>
      <c r="H10" s="21">
        <v>989823596</v>
      </c>
      <c r="I10" s="21"/>
      <c r="J10" s="22" t="s">
        <v>18</v>
      </c>
      <c r="K10" s="34"/>
      <c r="M10" s="21" t="s">
        <v>82</v>
      </c>
      <c r="N10" s="10" t="s">
        <v>119</v>
      </c>
      <c r="O10" s="10"/>
    </row>
    <row r="11" spans="1:15">
      <c r="B11" s="219" t="s">
        <v>77</v>
      </c>
      <c r="C11" s="23">
        <v>20100073308</v>
      </c>
      <c r="D11" s="20" t="s">
        <v>76</v>
      </c>
      <c r="E11" s="20" t="s">
        <v>83</v>
      </c>
      <c r="F11" s="28" t="s">
        <v>78</v>
      </c>
      <c r="G11" s="26" t="s">
        <v>79</v>
      </c>
      <c r="H11" s="21">
        <v>979963299</v>
      </c>
      <c r="I11" s="21"/>
      <c r="J11" s="22" t="s">
        <v>80</v>
      </c>
      <c r="K11" s="34" t="s">
        <v>322</v>
      </c>
      <c r="L11" s="21" t="s">
        <v>120</v>
      </c>
      <c r="M11" s="21" t="s">
        <v>82</v>
      </c>
      <c r="N11" s="10" t="s">
        <v>118</v>
      </c>
      <c r="O11" s="10" t="s">
        <v>141</v>
      </c>
    </row>
    <row r="12" spans="1:15" ht="30">
      <c r="B12" s="219" t="s">
        <v>91</v>
      </c>
      <c r="C12" s="20">
        <v>20375755344</v>
      </c>
      <c r="D12" s="20" t="s">
        <v>51</v>
      </c>
      <c r="E12" s="20" t="s">
        <v>52</v>
      </c>
      <c r="F12" s="28" t="s">
        <v>61</v>
      </c>
      <c r="G12" s="21">
        <v>2029330</v>
      </c>
      <c r="H12" s="10">
        <v>945331038</v>
      </c>
      <c r="I12" s="55">
        <v>2029333</v>
      </c>
      <c r="J12" s="43" t="s">
        <v>193</v>
      </c>
      <c r="K12" s="34" t="s">
        <v>323</v>
      </c>
      <c r="L12" s="21" t="s">
        <v>114</v>
      </c>
      <c r="M12" s="21" t="s">
        <v>82</v>
      </c>
      <c r="N12" s="10" t="s">
        <v>118</v>
      </c>
      <c r="O12" s="10"/>
    </row>
    <row r="13" spans="1:15" ht="30">
      <c r="B13" s="180" t="s">
        <v>65</v>
      </c>
      <c r="C13" s="20"/>
      <c r="D13" s="18" t="s">
        <v>66</v>
      </c>
      <c r="E13" s="20" t="s">
        <v>92</v>
      </c>
      <c r="F13" s="28" t="s">
        <v>61</v>
      </c>
      <c r="G13" s="21">
        <v>7804979</v>
      </c>
      <c r="H13" s="21"/>
      <c r="I13" s="21"/>
      <c r="J13" s="22" t="s">
        <v>64</v>
      </c>
      <c r="K13" s="34"/>
      <c r="L13" s="21" t="s">
        <v>42</v>
      </c>
      <c r="M13" s="21" t="s">
        <v>82</v>
      </c>
      <c r="N13" s="10" t="s">
        <v>119</v>
      </c>
      <c r="O13" s="10"/>
    </row>
    <row r="14" spans="1:15" ht="30">
      <c r="B14" s="220" t="s">
        <v>153</v>
      </c>
      <c r="C14" s="36">
        <v>10485063574</v>
      </c>
      <c r="D14" s="38" t="s">
        <v>154</v>
      </c>
      <c r="E14" s="38" t="s">
        <v>155</v>
      </c>
      <c r="F14" s="38" t="s">
        <v>62</v>
      </c>
      <c r="G14" s="40" t="s">
        <v>156</v>
      </c>
      <c r="H14" s="2">
        <v>947170675</v>
      </c>
      <c r="I14" s="2">
        <v>991086578</v>
      </c>
      <c r="J14" s="42" t="s">
        <v>157</v>
      </c>
      <c r="K14" s="34" t="s">
        <v>322</v>
      </c>
      <c r="L14" s="38" t="s">
        <v>163</v>
      </c>
      <c r="M14" s="40" t="s">
        <v>82</v>
      </c>
      <c r="N14" s="41" t="s">
        <v>118</v>
      </c>
      <c r="O14" s="2" t="s">
        <v>141</v>
      </c>
    </row>
    <row r="15" spans="1:15" ht="30">
      <c r="B15" s="219" t="s">
        <v>158</v>
      </c>
      <c r="C15" s="1">
        <v>20600006496</v>
      </c>
      <c r="D15" s="20" t="s">
        <v>159</v>
      </c>
      <c r="E15" s="20" t="s">
        <v>160</v>
      </c>
      <c r="F15" s="28" t="s">
        <v>84</v>
      </c>
      <c r="G15" s="10">
        <v>2508513</v>
      </c>
      <c r="H15" s="10">
        <v>977738171</v>
      </c>
      <c r="I15" s="10"/>
      <c r="J15" s="8" t="s">
        <v>161</v>
      </c>
      <c r="K15" s="34" t="s">
        <v>322</v>
      </c>
      <c r="L15" s="26" t="s">
        <v>162</v>
      </c>
      <c r="M15" s="26" t="s">
        <v>82</v>
      </c>
      <c r="N15" s="39" t="s">
        <v>118</v>
      </c>
      <c r="O15" s="10" t="s">
        <v>141</v>
      </c>
    </row>
    <row r="16" spans="1:15" ht="30">
      <c r="A16" s="47"/>
      <c r="B16" s="219" t="s">
        <v>316</v>
      </c>
      <c r="C16" s="34">
        <v>10107435234</v>
      </c>
      <c r="D16" s="20" t="s">
        <v>317</v>
      </c>
      <c r="E16" s="20" t="s">
        <v>318</v>
      </c>
      <c r="F16" s="28" t="s">
        <v>319</v>
      </c>
      <c r="G16" s="280">
        <v>6471071</v>
      </c>
      <c r="H16" s="280">
        <v>992098755</v>
      </c>
      <c r="I16" s="280"/>
      <c r="J16" s="8" t="s">
        <v>320</v>
      </c>
      <c r="K16" s="34" t="s">
        <v>323</v>
      </c>
      <c r="L16" s="26" t="s">
        <v>164</v>
      </c>
      <c r="M16" s="26" t="s">
        <v>107</v>
      </c>
      <c r="N16" s="39" t="s">
        <v>118</v>
      </c>
      <c r="O16" s="10" t="s">
        <v>141</v>
      </c>
    </row>
    <row r="17" spans="2:15">
      <c r="B17" s="180" t="s">
        <v>329</v>
      </c>
      <c r="C17" s="1">
        <v>20513328819</v>
      </c>
      <c r="D17" s="1" t="s">
        <v>332</v>
      </c>
      <c r="E17" s="1" t="s">
        <v>330</v>
      </c>
      <c r="F17" s="1"/>
      <c r="G17" s="10">
        <v>3298324</v>
      </c>
      <c r="H17" s="1">
        <v>942951521</v>
      </c>
      <c r="I17" s="1"/>
      <c r="J17" s="8" t="s">
        <v>331</v>
      </c>
      <c r="K17" s="1"/>
      <c r="L17" s="1"/>
      <c r="M17" s="1"/>
      <c r="N17" s="1"/>
      <c r="O17" s="10"/>
    </row>
    <row r="18" spans="2:15" ht="30">
      <c r="B18" s="219" t="s">
        <v>1133</v>
      </c>
      <c r="C18" s="10">
        <v>20600465628</v>
      </c>
      <c r="D18" s="20" t="s">
        <v>1134</v>
      </c>
      <c r="E18" s="20" t="s">
        <v>1135</v>
      </c>
      <c r="F18" s="28" t="s">
        <v>60</v>
      </c>
      <c r="G18" s="280">
        <v>5129810</v>
      </c>
      <c r="H18" s="41">
        <v>952257809</v>
      </c>
      <c r="I18" s="280">
        <v>960564669</v>
      </c>
      <c r="J18" s="14" t="s">
        <v>1136</v>
      </c>
      <c r="K18" s="40" t="s">
        <v>466</v>
      </c>
      <c r="L18" s="26" t="s">
        <v>150</v>
      </c>
      <c r="M18" s="26" t="s">
        <v>107</v>
      </c>
      <c r="N18" s="39" t="s">
        <v>118</v>
      </c>
      <c r="O18" s="39" t="s">
        <v>345</v>
      </c>
    </row>
    <row r="19" spans="2:15" ht="30">
      <c r="B19" s="219" t="s">
        <v>1228</v>
      </c>
      <c r="C19" s="1">
        <v>20521447011</v>
      </c>
      <c r="D19" s="20" t="s">
        <v>1229</v>
      </c>
      <c r="E19" s="20" t="s">
        <v>1</v>
      </c>
      <c r="F19" s="1" t="s">
        <v>59</v>
      </c>
      <c r="G19" s="1">
        <v>2636981</v>
      </c>
      <c r="H19" s="1">
        <v>5660886</v>
      </c>
      <c r="I19" s="1" t="s">
        <v>84</v>
      </c>
      <c r="J19" s="8" t="s">
        <v>1230</v>
      </c>
      <c r="K19" s="34" t="s">
        <v>323</v>
      </c>
      <c r="L19" s="10" t="s">
        <v>1231</v>
      </c>
      <c r="M19" s="10" t="s">
        <v>82</v>
      </c>
      <c r="N19" s="10" t="s">
        <v>118</v>
      </c>
      <c r="O19" s="10" t="s">
        <v>142</v>
      </c>
    </row>
    <row r="20" spans="2:15" ht="43.5" customHeight="1">
      <c r="B20" s="219" t="s">
        <v>1524</v>
      </c>
      <c r="C20" s="157">
        <v>20601364752</v>
      </c>
      <c r="D20" s="20" t="s">
        <v>1525</v>
      </c>
      <c r="E20" s="20" t="s">
        <v>1526</v>
      </c>
      <c r="F20" s="28" t="s">
        <v>60</v>
      </c>
      <c r="G20" s="20">
        <v>948692676</v>
      </c>
      <c r="H20" s="155">
        <v>999225122</v>
      </c>
      <c r="I20" s="154"/>
      <c r="J20" s="218" t="s">
        <v>1527</v>
      </c>
      <c r="K20" s="40" t="s">
        <v>466</v>
      </c>
      <c r="L20" s="26" t="s">
        <v>150</v>
      </c>
      <c r="M20" s="26" t="s">
        <v>82</v>
      </c>
      <c r="N20" s="155" t="s">
        <v>118</v>
      </c>
      <c r="O20" s="155" t="s">
        <v>1528</v>
      </c>
    </row>
    <row r="21" spans="2:15" ht="45.75" customHeight="1">
      <c r="B21" s="219" t="s">
        <v>1857</v>
      </c>
      <c r="C21" s="154">
        <v>20556919322</v>
      </c>
      <c r="D21" s="154"/>
      <c r="E21" s="279" t="s">
        <v>1926</v>
      </c>
      <c r="F21" s="154"/>
      <c r="G21" s="154" t="s">
        <v>1858</v>
      </c>
      <c r="H21" s="154">
        <v>983099635</v>
      </c>
      <c r="I21" s="154">
        <v>964313597</v>
      </c>
      <c r="J21" s="278"/>
      <c r="K21" s="154"/>
      <c r="L21" s="26" t="s">
        <v>829</v>
      </c>
      <c r="M21" s="154"/>
      <c r="N21" s="154"/>
      <c r="O21" s="154"/>
    </row>
    <row r="22" spans="2:15">
      <c r="E22" s="11"/>
      <c r="J22" s="136"/>
    </row>
    <row r="23" spans="2:15">
      <c r="E23" s="141"/>
      <c r="J23" s="137"/>
    </row>
    <row r="29" spans="2:15">
      <c r="C29" s="11"/>
    </row>
    <row r="30" spans="2:15">
      <c r="C30" s="11"/>
      <c r="D30" t="s">
        <v>84</v>
      </c>
      <c r="E30" s="12"/>
    </row>
    <row r="36" spans="5:9">
      <c r="E36" s="1" t="s">
        <v>72</v>
      </c>
      <c r="F36" s="7"/>
      <c r="G36" s="1" t="s">
        <v>68</v>
      </c>
      <c r="H36" s="8" t="s">
        <v>69</v>
      </c>
      <c r="I36" s="1"/>
    </row>
    <row r="37" spans="5:9">
      <c r="E37" s="7" t="s">
        <v>67</v>
      </c>
      <c r="F37" s="1" t="s">
        <v>71</v>
      </c>
      <c r="G37" s="1" t="s">
        <v>75</v>
      </c>
      <c r="H37" s="8" t="s">
        <v>70</v>
      </c>
      <c r="I37" s="1">
        <v>98727931</v>
      </c>
    </row>
    <row r="38" spans="5:9">
      <c r="E38" s="1"/>
      <c r="F38" s="1"/>
      <c r="G38" s="1"/>
      <c r="H38" s="1"/>
      <c r="I38" s="1"/>
    </row>
    <row r="67" spans="5:7" ht="25.5">
      <c r="E67" s="82" t="s">
        <v>891</v>
      </c>
      <c r="F67" s="82" t="s">
        <v>892</v>
      </c>
      <c r="G67" s="2">
        <v>966460175</v>
      </c>
    </row>
  </sheetData>
  <autoFilter ref="B3:O21"/>
  <hyperlinks>
    <hyperlink ref="H36" r:id="rId1"/>
    <hyperlink ref="J4" r:id="rId2"/>
    <hyperlink ref="J9" r:id="rId3" display="ventas@corparacionderepuesto.com"/>
    <hyperlink ref="J10" r:id="rId4"/>
    <hyperlink ref="J6" r:id="rId5"/>
    <hyperlink ref="J7" r:id="rId6"/>
    <hyperlink ref="J13" r:id="rId7"/>
    <hyperlink ref="J11" r:id="rId8"/>
    <hyperlink ref="J8" r:id="rId9"/>
    <hyperlink ref="J14" r:id="rId10" display="norjhoce@hotmail.com"/>
    <hyperlink ref="J15" r:id="rId11"/>
    <hyperlink ref="J12" r:id="rId12"/>
    <hyperlink ref="J5" r:id="rId13"/>
    <hyperlink ref="J17" r:id="rId14"/>
    <hyperlink ref="J16" r:id="rId15"/>
    <hyperlink ref="J19" r:id="rId16"/>
    <hyperlink ref="J20" r:id="rId17"/>
  </hyperlinks>
  <pageMargins left="0.7" right="0.7" top="0.75" bottom="0.75" header="0.3" footer="0.3"/>
  <pageSetup paperSize="9" orientation="portrait" r:id="rId18"/>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election activeCell="I10" sqref="I10"/>
    </sheetView>
  </sheetViews>
  <sheetFormatPr baseColWidth="10" defaultRowHeight="15"/>
  <cols>
    <col min="1" max="1" width="19.140625" bestFit="1" customWidth="1"/>
    <col min="2" max="2" width="22.42578125" bestFit="1" customWidth="1"/>
    <col min="3" max="6" width="6.5703125" customWidth="1"/>
    <col min="7" max="9" width="6.5703125" bestFit="1" customWidth="1"/>
    <col min="10" max="10" width="12.5703125" bestFit="1" customWidth="1"/>
  </cols>
  <sheetData>
    <row r="1" spans="1:10">
      <c r="A1" s="330" t="s">
        <v>386</v>
      </c>
      <c r="B1" s="315" t="s">
        <v>2374</v>
      </c>
    </row>
    <row r="2" spans="1:10">
      <c r="A2" s="330" t="s">
        <v>216</v>
      </c>
      <c r="B2" s="315" t="s">
        <v>2374</v>
      </c>
    </row>
    <row r="3" spans="1:10">
      <c r="A3" s="330" t="s">
        <v>321</v>
      </c>
      <c r="B3" s="315" t="s">
        <v>2374</v>
      </c>
    </row>
    <row r="4" spans="1:10">
      <c r="A4" s="330" t="s">
        <v>607</v>
      </c>
      <c r="B4" s="315" t="s">
        <v>133</v>
      </c>
    </row>
    <row r="5" spans="1:10">
      <c r="A5" s="330" t="s">
        <v>285</v>
      </c>
      <c r="B5" s="315" t="s">
        <v>2374</v>
      </c>
    </row>
    <row r="7" spans="1:10">
      <c r="A7" s="330" t="s">
        <v>2373</v>
      </c>
      <c r="B7" s="330" t="s">
        <v>2372</v>
      </c>
    </row>
    <row r="8" spans="1:10">
      <c r="A8" s="330" t="s">
        <v>2371</v>
      </c>
      <c r="B8" s="315" t="s">
        <v>1629</v>
      </c>
      <c r="C8" s="315" t="s">
        <v>1931</v>
      </c>
      <c r="D8" s="315" t="s">
        <v>2206</v>
      </c>
      <c r="E8" s="315" t="s">
        <v>2256</v>
      </c>
      <c r="F8" s="315" t="s">
        <v>2304</v>
      </c>
      <c r="G8" s="315" t="s">
        <v>2355</v>
      </c>
      <c r="H8" s="315" t="s">
        <v>2424</v>
      </c>
      <c r="I8" s="315" t="s">
        <v>2532</v>
      </c>
      <c r="J8" s="315" t="s">
        <v>1440</v>
      </c>
    </row>
    <row r="9" spans="1:10">
      <c r="A9" s="429" t="s">
        <v>128</v>
      </c>
      <c r="B9" s="331">
        <v>19</v>
      </c>
      <c r="C9" s="331">
        <v>9</v>
      </c>
      <c r="D9" s="331">
        <v>12</v>
      </c>
      <c r="E9" s="331">
        <v>1</v>
      </c>
      <c r="F9" s="331">
        <v>7</v>
      </c>
      <c r="G9" s="331">
        <v>9</v>
      </c>
      <c r="H9" s="331">
        <v>20</v>
      </c>
      <c r="I9" s="331">
        <v>13</v>
      </c>
      <c r="J9" s="331">
        <v>90</v>
      </c>
    </row>
    <row r="10" spans="1:10">
      <c r="A10" s="429" t="s">
        <v>1130</v>
      </c>
      <c r="B10" s="331">
        <v>20</v>
      </c>
      <c r="C10" s="331">
        <v>20</v>
      </c>
      <c r="D10" s="331">
        <v>3</v>
      </c>
      <c r="E10" s="331">
        <v>5</v>
      </c>
      <c r="F10" s="331">
        <v>14</v>
      </c>
      <c r="G10" s="331">
        <v>4</v>
      </c>
      <c r="H10" s="331">
        <v>6</v>
      </c>
      <c r="I10" s="331">
        <v>4</v>
      </c>
      <c r="J10" s="331">
        <v>76</v>
      </c>
    </row>
    <row r="11" spans="1:10">
      <c r="A11" s="429" t="s">
        <v>1628</v>
      </c>
      <c r="B11" s="331">
        <v>22</v>
      </c>
      <c r="C11" s="331">
        <v>11</v>
      </c>
      <c r="D11" s="331">
        <v>14</v>
      </c>
      <c r="E11" s="331">
        <v>12</v>
      </c>
      <c r="F11" s="331">
        <v>10</v>
      </c>
      <c r="G11" s="331"/>
      <c r="H11" s="331"/>
      <c r="I11" s="331"/>
      <c r="J11" s="331">
        <v>69</v>
      </c>
    </row>
    <row r="12" spans="1:10">
      <c r="A12" s="429" t="s">
        <v>121</v>
      </c>
      <c r="B12" s="331"/>
      <c r="C12" s="331"/>
      <c r="D12" s="331"/>
      <c r="E12" s="331"/>
      <c r="F12" s="331"/>
      <c r="G12" s="331">
        <v>16</v>
      </c>
      <c r="H12" s="331">
        <v>17</v>
      </c>
      <c r="I12" s="331">
        <v>10</v>
      </c>
      <c r="J12" s="331">
        <v>43</v>
      </c>
    </row>
    <row r="13" spans="1:10">
      <c r="A13" s="429" t="s">
        <v>129</v>
      </c>
      <c r="B13" s="331">
        <v>1</v>
      </c>
      <c r="C13" s="331">
        <v>4</v>
      </c>
      <c r="D13" s="331">
        <v>3</v>
      </c>
      <c r="E13" s="331">
        <v>3</v>
      </c>
      <c r="F13" s="331"/>
      <c r="G13" s="331">
        <v>1</v>
      </c>
      <c r="H13" s="331"/>
      <c r="I13" s="331"/>
      <c r="J13" s="331">
        <v>12</v>
      </c>
    </row>
    <row r="14" spans="1:10">
      <c r="A14" s="429" t="s">
        <v>1440</v>
      </c>
      <c r="B14" s="331">
        <v>62</v>
      </c>
      <c r="C14" s="331">
        <v>44</v>
      </c>
      <c r="D14" s="331">
        <v>32</v>
      </c>
      <c r="E14" s="331">
        <v>21</v>
      </c>
      <c r="F14" s="331">
        <v>31</v>
      </c>
      <c r="G14" s="331">
        <v>30</v>
      </c>
      <c r="H14" s="331">
        <v>43</v>
      </c>
      <c r="I14" s="331">
        <v>27</v>
      </c>
      <c r="J14" s="331">
        <v>290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0"/>
  <sheetViews>
    <sheetView zoomScale="90" zoomScaleNormal="90" workbookViewId="0">
      <selection activeCell="F14" sqref="F14"/>
    </sheetView>
  </sheetViews>
  <sheetFormatPr baseColWidth="10" defaultRowHeight="15"/>
  <cols>
    <col min="1" max="1" width="3" style="399" customWidth="1"/>
    <col min="2" max="2" width="9" style="428" customWidth="1"/>
    <col min="3" max="3" width="14.42578125" style="399" bestFit="1" customWidth="1"/>
    <col min="4" max="4" width="14.42578125" style="416" bestFit="1" customWidth="1"/>
    <col min="5" max="5" width="11.42578125" style="399"/>
    <col min="6" max="6" width="14.28515625" style="399" customWidth="1"/>
    <col min="7" max="7" width="17.5703125" style="399" bestFit="1" customWidth="1"/>
    <col min="8" max="8" width="14.28515625" style="399" customWidth="1"/>
    <col min="9" max="9" width="19" style="416" bestFit="1" customWidth="1"/>
    <col min="10" max="10" width="17.7109375" style="399" customWidth="1"/>
    <col min="11" max="11" width="12.28515625" style="399" customWidth="1"/>
    <col min="12" max="12" width="17.28515625" style="399" customWidth="1"/>
    <col min="13" max="16384" width="11.42578125" style="399"/>
  </cols>
  <sheetData>
    <row r="1" spans="2:10" ht="15" customHeight="1">
      <c r="B1" s="428">
        <v>224746</v>
      </c>
      <c r="C1" s="477" t="s">
        <v>2390</v>
      </c>
      <c r="D1" s="477"/>
      <c r="E1" s="477"/>
      <c r="F1" s="477"/>
    </row>
    <row r="2" spans="2:10" ht="15" customHeight="1">
      <c r="B2" s="428">
        <v>229220</v>
      </c>
      <c r="C2" s="513" t="s">
        <v>2433</v>
      </c>
      <c r="D2" s="484"/>
      <c r="E2" s="484"/>
      <c r="F2" s="484"/>
    </row>
    <row r="3" spans="2:10" s="426" customFormat="1" ht="15" customHeight="1">
      <c r="B3" s="428">
        <v>230706</v>
      </c>
      <c r="C3" s="513" t="s">
        <v>2433</v>
      </c>
      <c r="D3" s="484"/>
      <c r="E3" s="484"/>
      <c r="F3" s="484"/>
      <c r="I3" s="416"/>
    </row>
    <row r="4" spans="2:10" ht="15" customHeight="1">
      <c r="B4" s="428">
        <v>222680</v>
      </c>
      <c r="C4" s="513" t="s">
        <v>2529</v>
      </c>
      <c r="D4" s="484"/>
      <c r="E4" s="484"/>
      <c r="F4" s="484"/>
      <c r="J4" s="315"/>
    </row>
    <row r="5" spans="2:10">
      <c r="B5" s="428">
        <v>213778</v>
      </c>
      <c r="C5" s="513" t="s">
        <v>2530</v>
      </c>
      <c r="D5" s="484"/>
      <c r="E5" s="484"/>
      <c r="F5" s="484"/>
    </row>
    <row r="6" spans="2:10">
      <c r="B6" s="428">
        <v>230848</v>
      </c>
      <c r="C6" s="513" t="s">
        <v>2533</v>
      </c>
      <c r="D6" s="484"/>
      <c r="E6" s="484"/>
      <c r="F6" s="484"/>
    </row>
    <row r="7" spans="2:10">
      <c r="B7" s="428">
        <v>231575</v>
      </c>
      <c r="C7" s="416"/>
      <c r="D7" s="427"/>
      <c r="E7" s="427"/>
      <c r="F7" s="427"/>
      <c r="G7" s="427"/>
      <c r="H7" s="416"/>
      <c r="I7" s="427"/>
      <c r="J7" s="427"/>
    </row>
    <row r="8" spans="2:10">
      <c r="B8" s="428">
        <v>224526</v>
      </c>
      <c r="C8" s="477" t="s">
        <v>2552</v>
      </c>
      <c r="D8" s="477"/>
      <c r="E8" s="477"/>
      <c r="F8" s="477"/>
    </row>
    <row r="9" spans="2:10">
      <c r="B9" s="428">
        <v>230630</v>
      </c>
      <c r="C9" s="513" t="s">
        <v>2553</v>
      </c>
      <c r="D9" s="484"/>
      <c r="E9" s="484"/>
      <c r="F9" s="484"/>
    </row>
    <row r="10" spans="2:10">
      <c r="B10" s="428">
        <v>232523</v>
      </c>
      <c r="C10" s="513" t="s">
        <v>2554</v>
      </c>
      <c r="D10" s="484"/>
      <c r="E10" s="484"/>
      <c r="F10" s="484"/>
    </row>
  </sheetData>
  <mergeCells count="9">
    <mergeCell ref="C1:F1"/>
    <mergeCell ref="C2:F2"/>
    <mergeCell ref="C3:F3"/>
    <mergeCell ref="C4:F4"/>
    <mergeCell ref="C10:F10"/>
    <mergeCell ref="C8:F8"/>
    <mergeCell ref="C6:F6"/>
    <mergeCell ref="C9:F9"/>
    <mergeCell ref="C5:F5"/>
  </mergeCells>
  <pageMargins left="0.17" right="0.17" top="0.75" bottom="0.75" header="0.3" footer="0.3"/>
  <pageSetup paperSize="9"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Q14"/>
  <sheetViews>
    <sheetView showGridLines="0" topLeftCell="A4" workbookViewId="0">
      <selection activeCell="G16" sqref="G16"/>
    </sheetView>
  </sheetViews>
  <sheetFormatPr baseColWidth="10" defaultRowHeight="15"/>
  <cols>
    <col min="1" max="1" width="9.85546875" customWidth="1"/>
    <col min="2" max="2" width="5.7109375" bestFit="1" customWidth="1"/>
    <col min="3" max="3" width="4.42578125" bestFit="1" customWidth="1"/>
    <col min="4" max="4" width="6.140625" bestFit="1" customWidth="1"/>
    <col min="5" max="5" width="8.7109375" customWidth="1"/>
    <col min="6" max="6" width="9" customWidth="1"/>
    <col min="7" max="7" width="10.28515625" customWidth="1"/>
    <col min="8" max="8" width="14.7109375" customWidth="1"/>
    <col min="10" max="10" width="9.85546875" customWidth="1"/>
    <col min="11" max="11" width="15.5703125" bestFit="1" customWidth="1"/>
    <col min="12" max="12" width="11.5703125" customWidth="1"/>
    <col min="13" max="13" width="9" bestFit="1" customWidth="1"/>
    <col min="14" max="14" width="14.5703125" customWidth="1"/>
    <col min="16" max="16" width="17.7109375" style="398" customWidth="1"/>
    <col min="17" max="17" width="9.28515625" customWidth="1"/>
  </cols>
  <sheetData>
    <row r="5" spans="1:17" s="417" customFormat="1" ht="36.75" customHeight="1">
      <c r="A5" s="402" t="s">
        <v>2467</v>
      </c>
      <c r="B5" s="402" t="s">
        <v>2468</v>
      </c>
      <c r="C5" s="402" t="s">
        <v>2469</v>
      </c>
      <c r="D5" s="403" t="s">
        <v>1770</v>
      </c>
      <c r="E5" s="404" t="s">
        <v>2470</v>
      </c>
      <c r="F5" s="402" t="s">
        <v>2471</v>
      </c>
      <c r="G5" s="404" t="s">
        <v>2472</v>
      </c>
      <c r="H5" s="402" t="s">
        <v>2473</v>
      </c>
      <c r="I5" s="402" t="s">
        <v>2474</v>
      </c>
      <c r="J5" s="405" t="s">
        <v>2475</v>
      </c>
      <c r="K5" s="406" t="s">
        <v>2476</v>
      </c>
      <c r="L5" s="402" t="s">
        <v>2477</v>
      </c>
      <c r="M5" s="402" t="s">
        <v>2478</v>
      </c>
      <c r="N5" s="402" t="s">
        <v>2479</v>
      </c>
      <c r="O5" s="407" t="s">
        <v>2480</v>
      </c>
      <c r="P5" s="402" t="s">
        <v>2481</v>
      </c>
      <c r="Q5" s="402" t="s">
        <v>2507</v>
      </c>
    </row>
    <row r="6" spans="1:17" s="417" customFormat="1" ht="22.5">
      <c r="A6" s="408" t="s">
        <v>2482</v>
      </c>
      <c r="B6" s="413" t="s">
        <v>1629</v>
      </c>
      <c r="C6" s="409">
        <v>2018</v>
      </c>
      <c r="D6" s="414">
        <v>217077</v>
      </c>
      <c r="E6" s="414" t="s">
        <v>612</v>
      </c>
      <c r="F6" s="418" t="s">
        <v>1876</v>
      </c>
      <c r="G6" s="414" t="s">
        <v>2483</v>
      </c>
      <c r="H6" s="410" t="s">
        <v>2484</v>
      </c>
      <c r="I6" s="419" t="s">
        <v>1884</v>
      </c>
      <c r="J6" s="410" t="s">
        <v>2485</v>
      </c>
      <c r="K6" s="411" t="s">
        <v>2141</v>
      </c>
      <c r="L6" s="415" t="s">
        <v>2486</v>
      </c>
      <c r="M6" s="419" t="s">
        <v>2461</v>
      </c>
      <c r="N6" s="415" t="s">
        <v>1907</v>
      </c>
      <c r="O6" s="420">
        <v>43237</v>
      </c>
      <c r="P6" s="412" t="s">
        <v>2141</v>
      </c>
      <c r="Q6" s="421">
        <v>50</v>
      </c>
    </row>
    <row r="7" spans="1:17" s="417" customFormat="1" ht="33.75">
      <c r="A7" s="408" t="s">
        <v>2482</v>
      </c>
      <c r="B7" s="413" t="s">
        <v>1629</v>
      </c>
      <c r="C7" s="409">
        <v>2018</v>
      </c>
      <c r="D7" s="414">
        <v>217222</v>
      </c>
      <c r="E7" s="414" t="s">
        <v>612</v>
      </c>
      <c r="F7" s="418" t="s">
        <v>1876</v>
      </c>
      <c r="G7" s="414" t="s">
        <v>217</v>
      </c>
      <c r="H7" s="410" t="s">
        <v>2487</v>
      </c>
      <c r="I7" s="419" t="s">
        <v>1878</v>
      </c>
      <c r="J7" s="410" t="s">
        <v>2488</v>
      </c>
      <c r="K7" s="411" t="s">
        <v>2141</v>
      </c>
      <c r="L7" s="415" t="s">
        <v>2489</v>
      </c>
      <c r="M7" s="419" t="s">
        <v>2461</v>
      </c>
      <c r="N7" s="415" t="s">
        <v>1907</v>
      </c>
      <c r="O7" s="420">
        <v>43237</v>
      </c>
      <c r="P7" s="412" t="s">
        <v>2141</v>
      </c>
      <c r="Q7" s="421">
        <v>50</v>
      </c>
    </row>
    <row r="8" spans="1:17" s="417" customFormat="1" ht="22.5">
      <c r="A8" s="408" t="s">
        <v>2482</v>
      </c>
      <c r="B8" s="413" t="s">
        <v>1931</v>
      </c>
      <c r="C8" s="409">
        <v>2018</v>
      </c>
      <c r="D8" s="414">
        <v>219277</v>
      </c>
      <c r="E8" s="414" t="s">
        <v>612</v>
      </c>
      <c r="F8" s="418" t="s">
        <v>1876</v>
      </c>
      <c r="G8" s="414" t="s">
        <v>2483</v>
      </c>
      <c r="H8" s="410" t="s">
        <v>2490</v>
      </c>
      <c r="I8" s="419" t="s">
        <v>1880</v>
      </c>
      <c r="J8" s="410" t="s">
        <v>2491</v>
      </c>
      <c r="K8" s="411" t="s">
        <v>2141</v>
      </c>
      <c r="L8" s="415" t="s">
        <v>2492</v>
      </c>
      <c r="M8" s="419" t="s">
        <v>2493</v>
      </c>
      <c r="N8" s="415" t="s">
        <v>1907</v>
      </c>
      <c r="O8" s="420">
        <v>43237</v>
      </c>
      <c r="P8" s="412" t="s">
        <v>2141</v>
      </c>
      <c r="Q8" s="421">
        <v>50</v>
      </c>
    </row>
    <row r="9" spans="1:17" s="417" customFormat="1" ht="22.5">
      <c r="A9" s="408" t="s">
        <v>2482</v>
      </c>
      <c r="B9" s="413" t="s">
        <v>2206</v>
      </c>
      <c r="C9" s="409">
        <v>2018</v>
      </c>
      <c r="D9" s="414">
        <v>220391</v>
      </c>
      <c r="E9" s="414" t="s">
        <v>612</v>
      </c>
      <c r="F9" s="418" t="s">
        <v>1876</v>
      </c>
      <c r="G9" s="414" t="s">
        <v>2483</v>
      </c>
      <c r="H9" s="410" t="s">
        <v>2494</v>
      </c>
      <c r="I9" s="419" t="s">
        <v>1885</v>
      </c>
      <c r="J9" s="410" t="s">
        <v>2495</v>
      </c>
      <c r="K9" s="411" t="s">
        <v>2141</v>
      </c>
      <c r="L9" s="415" t="s">
        <v>1361</v>
      </c>
      <c r="M9" s="419" t="s">
        <v>338</v>
      </c>
      <c r="N9" s="415" t="s">
        <v>1899</v>
      </c>
      <c r="O9" s="420">
        <v>43237</v>
      </c>
      <c r="P9" s="412" t="s">
        <v>2141</v>
      </c>
      <c r="Q9" s="421">
        <v>50</v>
      </c>
    </row>
    <row r="10" spans="1:17" s="417" customFormat="1" ht="22.5">
      <c r="A10" s="408" t="s">
        <v>2482</v>
      </c>
      <c r="B10" s="413" t="s">
        <v>2206</v>
      </c>
      <c r="C10" s="409">
        <v>2018</v>
      </c>
      <c r="D10" s="414">
        <v>222322</v>
      </c>
      <c r="E10" s="414" t="s">
        <v>610</v>
      </c>
      <c r="F10" s="418" t="s">
        <v>1876</v>
      </c>
      <c r="G10" s="414" t="s">
        <v>2483</v>
      </c>
      <c r="H10" s="410" t="s">
        <v>2496</v>
      </c>
      <c r="I10" s="419" t="s">
        <v>1885</v>
      </c>
      <c r="J10" s="410" t="s">
        <v>2495</v>
      </c>
      <c r="K10" s="411" t="s">
        <v>2141</v>
      </c>
      <c r="L10" s="415" t="s">
        <v>2497</v>
      </c>
      <c r="M10" s="419" t="s">
        <v>2498</v>
      </c>
      <c r="N10" s="415" t="s">
        <v>1907</v>
      </c>
      <c r="O10" s="420">
        <v>43237</v>
      </c>
      <c r="P10" s="412" t="s">
        <v>2141</v>
      </c>
      <c r="Q10" s="421">
        <v>50</v>
      </c>
    </row>
    <row r="11" spans="1:17" s="417" customFormat="1" ht="22.5">
      <c r="A11" s="408" t="s">
        <v>2482</v>
      </c>
      <c r="B11" s="413" t="s">
        <v>2256</v>
      </c>
      <c r="C11" s="409">
        <v>2018</v>
      </c>
      <c r="D11" s="414">
        <v>223412</v>
      </c>
      <c r="E11" s="414" t="s">
        <v>610</v>
      </c>
      <c r="F11" s="418" t="s">
        <v>1876</v>
      </c>
      <c r="G11" s="414" t="s">
        <v>2483</v>
      </c>
      <c r="H11" s="410" t="s">
        <v>2149</v>
      </c>
      <c r="I11" s="419" t="s">
        <v>1884</v>
      </c>
      <c r="J11" s="410" t="s">
        <v>2485</v>
      </c>
      <c r="K11" s="411" t="s">
        <v>2141</v>
      </c>
      <c r="L11" s="415" t="s">
        <v>2499</v>
      </c>
      <c r="M11" s="419" t="s">
        <v>1541</v>
      </c>
      <c r="N11" s="415" t="s">
        <v>1907</v>
      </c>
      <c r="O11" s="420">
        <v>43237</v>
      </c>
      <c r="P11" s="412" t="s">
        <v>2141</v>
      </c>
      <c r="Q11" s="421">
        <v>50</v>
      </c>
    </row>
    <row r="12" spans="1:17" s="417" customFormat="1" ht="33.75">
      <c r="A12" s="408" t="s">
        <v>2482</v>
      </c>
      <c r="B12" s="413" t="s">
        <v>2304</v>
      </c>
      <c r="C12" s="409">
        <v>2018</v>
      </c>
      <c r="D12" s="414">
        <v>226244</v>
      </c>
      <c r="E12" s="414" t="s">
        <v>610</v>
      </c>
      <c r="F12" s="418" t="s">
        <v>1876</v>
      </c>
      <c r="G12" s="414" t="s">
        <v>2483</v>
      </c>
      <c r="H12" s="410" t="s">
        <v>2500</v>
      </c>
      <c r="I12" s="419" t="s">
        <v>1885</v>
      </c>
      <c r="J12" s="410" t="s">
        <v>2495</v>
      </c>
      <c r="K12" s="411" t="s">
        <v>2141</v>
      </c>
      <c r="L12" s="411" t="s">
        <v>2501</v>
      </c>
      <c r="M12" s="419" t="s">
        <v>2498</v>
      </c>
      <c r="N12" s="419" t="s">
        <v>2502</v>
      </c>
      <c r="O12" s="420">
        <v>43305</v>
      </c>
      <c r="P12" s="412" t="s">
        <v>2141</v>
      </c>
      <c r="Q12" s="421">
        <v>50</v>
      </c>
    </row>
    <row r="13" spans="1:17" s="417" customFormat="1" ht="22.5">
      <c r="A13" s="408" t="s">
        <v>2482</v>
      </c>
      <c r="B13" s="413" t="s">
        <v>2355</v>
      </c>
      <c r="C13" s="409">
        <v>2018</v>
      </c>
      <c r="D13" s="414">
        <v>226876</v>
      </c>
      <c r="E13" s="414" t="s">
        <v>610</v>
      </c>
      <c r="F13" s="418" t="s">
        <v>1876</v>
      </c>
      <c r="G13" s="414" t="s">
        <v>2483</v>
      </c>
      <c r="H13" s="410" t="s">
        <v>2503</v>
      </c>
      <c r="I13" s="419" t="s">
        <v>1880</v>
      </c>
      <c r="J13" s="410" t="s">
        <v>2504</v>
      </c>
      <c r="K13" s="411" t="s">
        <v>2141</v>
      </c>
      <c r="L13" s="411" t="s">
        <v>2505</v>
      </c>
      <c r="M13" s="419" t="s">
        <v>2506</v>
      </c>
      <c r="N13" s="419" t="s">
        <v>1907</v>
      </c>
      <c r="O13" s="420">
        <v>43305</v>
      </c>
      <c r="P13" s="422" t="s">
        <v>2141</v>
      </c>
      <c r="Q13" s="424">
        <v>50</v>
      </c>
    </row>
    <row r="14" spans="1:17" s="416" customFormat="1" ht="24" customHeight="1">
      <c r="P14" s="423" t="s">
        <v>178</v>
      </c>
      <c r="Q14" s="425">
        <f>SUM(Q6:Q13)</f>
        <v>400</v>
      </c>
    </row>
  </sheetData>
  <conditionalFormatting sqref="D6:D11">
    <cfRule type="duplicateValues" dxfId="1" priority="1"/>
  </conditionalFormatting>
  <conditionalFormatting sqref="D6:D13">
    <cfRule type="duplicateValues" dxfId="0" priority="2"/>
  </conditionalFormatting>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7"/>
  <sheetViews>
    <sheetView topLeftCell="A4" workbookViewId="0">
      <selection activeCell="E25" sqref="E25"/>
    </sheetView>
  </sheetViews>
  <sheetFormatPr baseColWidth="10" defaultRowHeight="15"/>
  <sheetData>
    <row r="7" spans="5:5">
      <c r="E7"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19</vt:i4>
      </vt:variant>
    </vt:vector>
  </HeadingPairs>
  <TitlesOfParts>
    <vt:vector size="19" baseType="lpstr">
      <vt:lpstr>Resumen</vt:lpstr>
      <vt:lpstr>Hoja1</vt:lpstr>
      <vt:lpstr>CONDICIONES DE BUSQUEDA</vt:lpstr>
      <vt:lpstr>GASTO DE MOVILIDAD </vt:lpstr>
      <vt:lpstr>Hoja2</vt:lpstr>
      <vt:lpstr>CRONOGRAMA</vt:lpstr>
      <vt:lpstr>Repuestos a reclamar</vt:lpstr>
      <vt:lpstr>IMPLEMENTACION DE REPUESTO</vt:lpstr>
      <vt:lpstr>GOP Repuestos</vt:lpstr>
      <vt:lpstr>Hoja5</vt:lpstr>
      <vt:lpstr>Hoja7</vt:lpstr>
      <vt:lpstr>GOP Prestamo</vt:lpstr>
      <vt:lpstr>SOLICITUD DE REPUESTO</vt:lpstr>
      <vt:lpstr>BD REPUESTO</vt:lpstr>
      <vt:lpstr>RED DE PROVEEDORES</vt:lpstr>
      <vt:lpstr>DINAMICA</vt:lpstr>
      <vt:lpstr>Hoja8</vt:lpstr>
      <vt:lpstr>Hoja9</vt:lpstr>
      <vt:lpstr>Hoja3</vt:lpstr>
    </vt:vector>
  </TitlesOfParts>
  <Company>BNP Paribas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TINOCO</dc:creator>
  <cp:lastModifiedBy>Lady MERINO</cp:lastModifiedBy>
  <cp:lastPrinted>2018-08-22T16:40:07Z</cp:lastPrinted>
  <dcterms:created xsi:type="dcterms:W3CDTF">2017-02-15T18:47:05Z</dcterms:created>
  <dcterms:modified xsi:type="dcterms:W3CDTF">2018-08-29T22:15:30Z</dcterms:modified>
</cp:coreProperties>
</file>