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0" yWindow="520" windowWidth="24480" windowHeight="15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<sst xmlns="http://schemas.openxmlformats.org/spreadsheetml/2006/main" count="141" uniqueCount="27">
  <si>
    <t>MRI number</t>
  </si>
  <si>
    <t>PT length</t>
  </si>
  <si>
    <t>PT remaining</t>
  </si>
  <si>
    <t>QT thickness at 1 cm</t>
  </si>
  <si>
    <t>QT thickness at 3 cm</t>
  </si>
  <si>
    <t>QT thick at 6</t>
  </si>
  <si>
    <t>QT graft volume</t>
  </si>
  <si>
    <t>Height</t>
  </si>
  <si>
    <t>Weight</t>
  </si>
  <si>
    <t>Gender</t>
  </si>
  <si>
    <t>Age</t>
  </si>
  <si>
    <t>BMI</t>
  </si>
  <si>
    <t>3cm sag</t>
  </si>
  <si>
    <t>3-1 thickness</t>
  </si>
  <si>
    <t>6-3 thickness</t>
  </si>
  <si>
    <t>6-1 thickness</t>
  </si>
  <si>
    <t>M</t>
  </si>
  <si>
    <t>F</t>
  </si>
  <si>
    <t>QT length</t>
  </si>
  <si>
    <t>QT 8cm remaining</t>
  </si>
  <si>
    <t>QT 6cm remaining</t>
  </si>
  <si>
    <t>Height category</t>
  </si>
  <si>
    <t>C</t>
  </si>
  <si>
    <t>D</t>
  </si>
  <si>
    <t>A</t>
  </si>
  <si>
    <t>B</t>
  </si>
  <si>
    <t>PT graft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</si>
</sst>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lipmitchell/Documents/Microsoft%20User%20Data/Office%202011%20AutoRecovery/Quad%20Tendon%20Spreadsheet%20Stats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J2">
            <v>9.4466666666666672</v>
          </cell>
          <cell r="K2">
            <v>8.34</v>
          </cell>
          <cell r="L2">
            <v>6.2833333333333341</v>
          </cell>
        </row>
        <row r="3">
          <cell r="J3">
            <v>8.6633333333333322</v>
          </cell>
          <cell r="K3">
            <v>9.3933333333333326</v>
          </cell>
          <cell r="L3">
            <v>9.1866666666666674</v>
          </cell>
        </row>
        <row r="4">
          <cell r="J4">
            <v>7.57</v>
          </cell>
          <cell r="K4">
            <v>6.4433333333333342</v>
          </cell>
          <cell r="L4">
            <v>5.82</v>
          </cell>
        </row>
        <row r="5">
          <cell r="J5">
            <v>6.7533333333333339</v>
          </cell>
          <cell r="K5">
            <v>6.8866666666666667</v>
          </cell>
          <cell r="L5">
            <v>7.7000000000000028</v>
          </cell>
        </row>
        <row r="6">
          <cell r="J6">
            <v>7.6033333333333326</v>
          </cell>
          <cell r="K6">
            <v>8.8466666666666658</v>
          </cell>
          <cell r="L6">
            <v>8.8166666666666682</v>
          </cell>
        </row>
        <row r="7">
          <cell r="J7">
            <v>8.2833333333333332</v>
          </cell>
          <cell r="K7">
            <v>7.61</v>
          </cell>
          <cell r="L7">
            <v>7.4666666666666659</v>
          </cell>
        </row>
        <row r="8">
          <cell r="J8">
            <v>7.72</v>
          </cell>
          <cell r="K8">
            <v>6.6066666666666665</v>
          </cell>
          <cell r="L8">
            <v>8.1300000000000008</v>
          </cell>
        </row>
        <row r="9">
          <cell r="J9">
            <v>6.2233333333333336</v>
          </cell>
          <cell r="K9">
            <v>6.2966666666666669</v>
          </cell>
          <cell r="L9">
            <v>6.6133333333333333</v>
          </cell>
        </row>
        <row r="10">
          <cell r="J10">
            <v>6.0133333333333328</v>
          </cell>
          <cell r="K10">
            <v>6.0766666666666671</v>
          </cell>
          <cell r="L10">
            <v>6.3966666666666656</v>
          </cell>
        </row>
        <row r="11">
          <cell r="J11">
            <v>8.51</v>
          </cell>
          <cell r="K11">
            <v>8.6133333333333315</v>
          </cell>
          <cell r="L11">
            <v>10.456666666666665</v>
          </cell>
        </row>
        <row r="12">
          <cell r="J12">
            <v>9.4533333333333331</v>
          </cell>
          <cell r="K12">
            <v>11.4</v>
          </cell>
          <cell r="L12">
            <v>11.51</v>
          </cell>
        </row>
        <row r="13">
          <cell r="J13">
            <v>7.0133333333333328</v>
          </cell>
          <cell r="K13">
            <v>7.2233333333333336</v>
          </cell>
          <cell r="L13">
            <v>6.5533333333333337</v>
          </cell>
        </row>
        <row r="14">
          <cell r="J14">
            <v>7.9233333333333329</v>
          </cell>
          <cell r="K14">
            <v>7.169999999999999</v>
          </cell>
          <cell r="L14">
            <v>6.9933333333333332</v>
          </cell>
        </row>
        <row r="15">
          <cell r="J15">
            <v>6.5033333333333339</v>
          </cell>
          <cell r="K15">
            <v>7.0166666666666666</v>
          </cell>
          <cell r="L15">
            <v>6.3566666666666665</v>
          </cell>
        </row>
        <row r="16">
          <cell r="J16">
            <v>6.0766666666666671</v>
          </cell>
          <cell r="K16">
            <v>6.7733333333333334</v>
          </cell>
          <cell r="L16">
            <v>5.9933333333333332</v>
          </cell>
        </row>
        <row r="17">
          <cell r="J17">
            <v>8.6199999999999992</v>
          </cell>
          <cell r="K17">
            <v>7.7633333333333328</v>
          </cell>
          <cell r="L17">
            <v>7.23</v>
          </cell>
        </row>
        <row r="18">
          <cell r="J18">
            <v>7.4799999999999995</v>
          </cell>
          <cell r="K18">
            <v>7.95</v>
          </cell>
          <cell r="L18">
            <v>7.4566666666666661</v>
          </cell>
        </row>
        <row r="19">
          <cell r="J19">
            <v>6.8599999999999994</v>
          </cell>
          <cell r="K19">
            <v>7.6066666666666665</v>
          </cell>
          <cell r="L19">
            <v>6.5999999999999988</v>
          </cell>
        </row>
        <row r="20">
          <cell r="J20">
            <v>5.21</v>
          </cell>
          <cell r="K20">
            <v>5.69</v>
          </cell>
          <cell r="L20">
            <v>5.1933333333333342</v>
          </cell>
        </row>
        <row r="21">
          <cell r="J21">
            <v>6.69</v>
          </cell>
          <cell r="K21">
            <v>7.0500000000000007</v>
          </cell>
          <cell r="L21">
            <v>7.0133333333333328</v>
          </cell>
        </row>
        <row r="22">
          <cell r="J22">
            <v>6.6733333333333329</v>
          </cell>
          <cell r="K22">
            <v>7.4366666666666665</v>
          </cell>
          <cell r="L22">
            <v>7.5566666666666658</v>
          </cell>
        </row>
        <row r="23">
          <cell r="J23">
            <v>9.8933333333333326</v>
          </cell>
          <cell r="K23">
            <v>9.9833333333333325</v>
          </cell>
          <cell r="L23">
            <v>10.6</v>
          </cell>
        </row>
        <row r="24">
          <cell r="J24">
            <v>7.7133333333333338</v>
          </cell>
          <cell r="K24">
            <v>9.35</v>
          </cell>
          <cell r="L24">
            <v>9.1866666666666674</v>
          </cell>
        </row>
        <row r="25">
          <cell r="J25">
            <v>7.496666666666667</v>
          </cell>
          <cell r="K25">
            <v>8.2966666666666651</v>
          </cell>
          <cell r="L25">
            <v>7.52</v>
          </cell>
        </row>
        <row r="26">
          <cell r="J26">
            <v>6.8533333333333326</v>
          </cell>
          <cell r="K26">
            <v>7.7666666666666657</v>
          </cell>
          <cell r="L26">
            <v>7.8233333333333333</v>
          </cell>
        </row>
        <row r="27">
          <cell r="J27">
            <v>8.8833333333333329</v>
          </cell>
          <cell r="K27">
            <v>8.9433333333333334</v>
          </cell>
          <cell r="L27">
            <v>7.3833333333333329</v>
          </cell>
        </row>
        <row r="28">
          <cell r="J28">
            <v>9.2833333333333332</v>
          </cell>
          <cell r="K28">
            <v>9.9166666666666661</v>
          </cell>
          <cell r="L28">
            <v>10.1</v>
          </cell>
        </row>
        <row r="29">
          <cell r="J29">
            <v>6.086666666666666</v>
          </cell>
          <cell r="K29">
            <v>6.7966666666666669</v>
          </cell>
          <cell r="L29">
            <v>6.2100000000000009</v>
          </cell>
        </row>
        <row r="30">
          <cell r="J30">
            <v>6.28</v>
          </cell>
          <cell r="K30">
            <v>5.7700000000000005</v>
          </cell>
          <cell r="L30">
            <v>4.5166666666666666</v>
          </cell>
        </row>
        <row r="31">
          <cell r="J31">
            <v>7.3466666666666667</v>
          </cell>
          <cell r="K31">
            <v>7.0266666666666664</v>
          </cell>
          <cell r="L31">
            <v>6.96</v>
          </cell>
        </row>
        <row r="32">
          <cell r="J32">
            <v>6.9033333333333333</v>
          </cell>
          <cell r="K32">
            <v>7.0666666666666673</v>
          </cell>
          <cell r="L32">
            <v>6.7566666666666668</v>
          </cell>
        </row>
        <row r="33">
          <cell r="J33">
            <v>6.6133333333333333</v>
          </cell>
          <cell r="K33">
            <v>6.003333333333333</v>
          </cell>
          <cell r="L33">
            <v>5.5333333333333323</v>
          </cell>
        </row>
        <row r="34">
          <cell r="J34">
            <v>8.2133333333333329</v>
          </cell>
          <cell r="K34">
            <v>6.5133333333333328</v>
          </cell>
          <cell r="L34">
            <v>6.12</v>
          </cell>
        </row>
        <row r="35">
          <cell r="J35">
            <v>6.5999999999999988</v>
          </cell>
          <cell r="K35">
            <v>6.05</v>
          </cell>
          <cell r="L35">
            <v>5.083333333333333</v>
          </cell>
        </row>
        <row r="36">
          <cell r="J36">
            <v>8.4666666666666668</v>
          </cell>
          <cell r="K36">
            <v>7.1566666666666663</v>
          </cell>
          <cell r="L36">
            <v>8.4600000000000009</v>
          </cell>
        </row>
        <row r="37">
          <cell r="J37">
            <v>7.7266666666666666</v>
          </cell>
          <cell r="K37">
            <v>8.8666666666666671</v>
          </cell>
          <cell r="L37">
            <v>7.5333333333333323</v>
          </cell>
        </row>
        <row r="38">
          <cell r="J38">
            <v>6.81</v>
          </cell>
          <cell r="K38">
            <v>7.3833333333333329</v>
          </cell>
          <cell r="L38">
            <v>7.333333333333333</v>
          </cell>
        </row>
        <row r="39">
          <cell r="J39">
            <v>7.796666666666666</v>
          </cell>
          <cell r="K39">
            <v>7.8599999999999994</v>
          </cell>
          <cell r="L39">
            <v>6.6366666666666667</v>
          </cell>
        </row>
        <row r="40">
          <cell r="J40">
            <v>8.0366666666666671</v>
          </cell>
          <cell r="K40">
            <v>7.55</v>
          </cell>
          <cell r="L40">
            <v>7.9666666666666659</v>
          </cell>
        </row>
        <row r="41">
          <cell r="J41">
            <v>6.913333333333334</v>
          </cell>
          <cell r="K41">
            <v>6.2166666666666677</v>
          </cell>
          <cell r="L41">
            <v>6.169999999999999</v>
          </cell>
        </row>
        <row r="42">
          <cell r="J42">
            <v>5.2766666666666664</v>
          </cell>
          <cell r="K42">
            <v>5.4033333333333333</v>
          </cell>
          <cell r="L42">
            <v>4.7399999999999993</v>
          </cell>
        </row>
        <row r="43">
          <cell r="J43">
            <v>6.3233333333333333</v>
          </cell>
          <cell r="K43">
            <v>5.94</v>
          </cell>
          <cell r="L43">
            <v>5.3533333333333326</v>
          </cell>
        </row>
        <row r="44">
          <cell r="J44">
            <v>8.0166666666666675</v>
          </cell>
          <cell r="K44">
            <v>6.63</v>
          </cell>
          <cell r="L44">
            <v>6.32</v>
          </cell>
        </row>
        <row r="45">
          <cell r="J45">
            <v>8.3666666666666671</v>
          </cell>
          <cell r="K45">
            <v>7</v>
          </cell>
          <cell r="L45">
            <v>6.0999999999999988</v>
          </cell>
        </row>
        <row r="46">
          <cell r="J46">
            <v>6.913333333333334</v>
          </cell>
          <cell r="K46">
            <v>7.0733333333333333</v>
          </cell>
          <cell r="L46">
            <v>7.7</v>
          </cell>
        </row>
        <row r="47">
          <cell r="J47">
            <v>6.543333333333333</v>
          </cell>
          <cell r="K47">
            <v>6.2166666666666659</v>
          </cell>
          <cell r="L47">
            <v>7.4466666666666663</v>
          </cell>
        </row>
        <row r="48">
          <cell r="J48">
            <v>6.6499999999999995</v>
          </cell>
          <cell r="K48">
            <v>5.8599999999999994</v>
          </cell>
          <cell r="L48">
            <v>6.05</v>
          </cell>
        </row>
        <row r="49">
          <cell r="J49">
            <v>8.8733333333333331</v>
          </cell>
          <cell r="K49">
            <v>9.8800000000000008</v>
          </cell>
          <cell r="L49">
            <v>9.2633333333333336</v>
          </cell>
        </row>
        <row r="50">
          <cell r="J50">
            <v>8.5533333333333328</v>
          </cell>
          <cell r="K50">
            <v>8.1033333333333335</v>
          </cell>
          <cell r="L50">
            <v>8.2000000000000011</v>
          </cell>
        </row>
        <row r="51">
          <cell r="J51">
            <v>6.253333333333333</v>
          </cell>
          <cell r="K51">
            <v>7.68</v>
          </cell>
          <cell r="L51">
            <v>5.9333333333333336</v>
          </cell>
        </row>
        <row r="52">
          <cell r="J52">
            <v>7.7433333333333332</v>
          </cell>
          <cell r="K52">
            <v>6.0333333333333341</v>
          </cell>
          <cell r="L52">
            <v>4.419999999999999</v>
          </cell>
        </row>
        <row r="53">
          <cell r="J53">
            <v>6.0366666666666662</v>
          </cell>
          <cell r="K53">
            <v>5.69</v>
          </cell>
          <cell r="L53">
            <v>5.9233333333333329</v>
          </cell>
        </row>
        <row r="54">
          <cell r="J54">
            <v>9.26</v>
          </cell>
          <cell r="K54">
            <v>9.6566666666666663</v>
          </cell>
          <cell r="L54">
            <v>9.31</v>
          </cell>
        </row>
        <row r="55">
          <cell r="J55">
            <v>7.46</v>
          </cell>
          <cell r="K55">
            <v>7.6166666666666671</v>
          </cell>
          <cell r="L55">
            <v>6.0266666666666664</v>
          </cell>
        </row>
        <row r="56">
          <cell r="J56">
            <v>7.336666666666666</v>
          </cell>
          <cell r="K56">
            <v>6.75</v>
          </cell>
          <cell r="L56">
            <v>4.2466666666666661</v>
          </cell>
        </row>
        <row r="57">
          <cell r="J57">
            <v>5.57</v>
          </cell>
          <cell r="K57">
            <v>5.0933333333333328</v>
          </cell>
          <cell r="L57">
            <v>4.8833333333333329</v>
          </cell>
        </row>
        <row r="58">
          <cell r="J58">
            <v>5.8733333333333322</v>
          </cell>
          <cell r="K58">
            <v>6.44</v>
          </cell>
          <cell r="L58">
            <v>5.7666666666666666</v>
          </cell>
        </row>
        <row r="59">
          <cell r="J59">
            <v>6.2266666666666666</v>
          </cell>
          <cell r="K59">
            <v>7.3633333333333333</v>
          </cell>
          <cell r="L59">
            <v>9.3933333333333326</v>
          </cell>
        </row>
        <row r="60">
          <cell r="J60">
            <v>7.5733333333333333</v>
          </cell>
          <cell r="K60">
            <v>6.9833333333333334</v>
          </cell>
          <cell r="L60">
            <v>6.4066666666666663</v>
          </cell>
        </row>
        <row r="61">
          <cell r="J61">
            <v>8.1033333333333335</v>
          </cell>
          <cell r="K61">
            <v>7.8466666666666667</v>
          </cell>
          <cell r="L61">
            <v>8.1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H1" workbookViewId="0">
      <selection activeCell="M14" sqref="M14"/>
    </sheetView>
  </sheetViews>
  <sheetFormatPr baseColWidth="10" defaultRowHeight="15" x14ac:dyDescent="0"/>
  <cols>
    <col min="6" max="18" width="10.83203125" style="5"/>
  </cols>
  <sheetData>
    <row r="1" spans="1:21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4" t="s">
        <v>5</v>
      </c>
      <c r="G1" s="2" t="s">
        <v>18</v>
      </c>
      <c r="H1" s="2" t="s">
        <v>19</v>
      </c>
      <c r="I1" s="2" t="s">
        <v>20</v>
      </c>
      <c r="J1" s="3" t="s">
        <v>6</v>
      </c>
      <c r="K1" s="2" t="s">
        <v>7</v>
      </c>
      <c r="L1" s="2" t="s">
        <v>21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26</v>
      </c>
      <c r="R1" s="2" t="s">
        <v>12</v>
      </c>
      <c r="S1" s="2" t="s">
        <v>13</v>
      </c>
      <c r="T1" s="2" t="s">
        <v>15</v>
      </c>
      <c r="U1" s="2" t="s">
        <v>14</v>
      </c>
    </row>
    <row r="2" spans="1:21">
      <c r="A2">
        <v>16111</v>
      </c>
      <c r="B2" s="3">
        <v>34.4</v>
      </c>
      <c r="C2" s="3">
        <v>0.60701766142170888</v>
      </c>
      <c r="D2" s="1">
        <f>(7.44+10.7+10.2)/3</f>
        <v>9.4466666666666672</v>
      </c>
      <c r="E2">
        <f>(9.65+8.53+6.84)/3</f>
        <v>8.34</v>
      </c>
      <c r="F2" s="3">
        <f>(6.67+6.7+5.48)/3</f>
        <v>6.2833333333333341</v>
      </c>
      <c r="G2" s="3">
        <v>86.2</v>
      </c>
      <c r="H2" s="3">
        <v>0.61715393611128211</v>
      </c>
      <c r="I2" s="3">
        <v>0.65251907292909572</v>
      </c>
      <c r="J2" s="3"/>
      <c r="K2" s="4">
        <v>71</v>
      </c>
      <c r="L2" s="4" t="s">
        <v>22</v>
      </c>
      <c r="M2" s="4">
        <v>175</v>
      </c>
      <c r="N2" s="4" t="s">
        <v>16</v>
      </c>
      <c r="O2" s="4">
        <v>26</v>
      </c>
      <c r="P2" s="4">
        <f>(M2/(K2*K2))*703</f>
        <v>24.404879984130133</v>
      </c>
      <c r="Q2" s="3"/>
      <c r="R2" s="3">
        <v>8.1999999999999993</v>
      </c>
      <c r="S2" s="1">
        <v>0.88285109386026805</v>
      </c>
      <c r="T2">
        <v>0.66513761467889909</v>
      </c>
      <c r="U2">
        <v>0.75339728217426072</v>
      </c>
    </row>
    <row r="3" spans="1:21">
      <c r="A3">
        <v>16124</v>
      </c>
      <c r="B3" s="3">
        <v>47.6</v>
      </c>
      <c r="C3" s="3">
        <v>0.64037409237564702</v>
      </c>
      <c r="D3" s="1">
        <f>(10+5.79+10.2)/3</f>
        <v>8.6633333333333322</v>
      </c>
      <c r="E3">
        <f>(9.1+9.8+9.28)/3</f>
        <v>9.3933333333333326</v>
      </c>
      <c r="F3" s="3">
        <f>(8.47+9.13+9.96)/3</f>
        <v>9.1866666666666674</v>
      </c>
      <c r="G3" s="3">
        <v>84.2</v>
      </c>
      <c r="H3" s="3">
        <v>0.62196849780730212</v>
      </c>
      <c r="I3" s="3">
        <v>0.65712832176203029</v>
      </c>
      <c r="J3" s="3">
        <v>2.7541700000000002</v>
      </c>
      <c r="K3" s="4">
        <v>74</v>
      </c>
      <c r="L3" s="4" t="s">
        <v>23</v>
      </c>
      <c r="M3" s="4">
        <v>165</v>
      </c>
      <c r="N3" s="4" t="s">
        <v>16</v>
      </c>
      <c r="O3" s="4">
        <v>22</v>
      </c>
      <c r="P3" s="4">
        <f>(M3/(K3*K3))*703</f>
        <v>21.182432432432432</v>
      </c>
      <c r="Q3" s="3">
        <v>0.88206999999999991</v>
      </c>
      <c r="R3" s="3">
        <v>8.4</v>
      </c>
      <c r="S3" s="1">
        <v>1.0842631781454406</v>
      </c>
      <c r="T3">
        <v>1.0604078491727589</v>
      </c>
      <c r="U3">
        <v>0.97799858055358424</v>
      </c>
    </row>
    <row r="4" spans="1:21">
      <c r="A4">
        <v>16195</v>
      </c>
      <c r="B4" s="3">
        <v>32.9</v>
      </c>
      <c r="C4" s="3">
        <v>0.55460915439766667</v>
      </c>
      <c r="D4" s="1">
        <f>(7.22+7.81+7.68)/3</f>
        <v>7.57</v>
      </c>
      <c r="E4">
        <f>(6.81+5.33+7.19)/3</f>
        <v>6.4433333333333342</v>
      </c>
      <c r="F4" s="3">
        <f>(5.4+5.86+6.2)/3</f>
        <v>5.82</v>
      </c>
      <c r="G4" s="3">
        <v>77.2</v>
      </c>
      <c r="H4" s="3">
        <v>0.61411044599040066</v>
      </c>
      <c r="I4" s="3">
        <v>0.62757923449768827</v>
      </c>
      <c r="J4" s="3">
        <v>2.1483400000000006</v>
      </c>
      <c r="K4" s="4">
        <v>63</v>
      </c>
      <c r="L4" s="4" t="s">
        <v>24</v>
      </c>
      <c r="M4" s="4">
        <v>180</v>
      </c>
      <c r="N4" s="4" t="s">
        <v>17</v>
      </c>
      <c r="O4" s="4">
        <v>60</v>
      </c>
      <c r="P4" s="4">
        <f>(M4/(K4*K4))*703</f>
        <v>31.882086167800452</v>
      </c>
      <c r="Q4" s="3">
        <v>1.109</v>
      </c>
      <c r="R4" s="3">
        <v>7.2</v>
      </c>
      <c r="S4" s="1">
        <v>0.85116688683399389</v>
      </c>
      <c r="T4">
        <v>0.76882430647291944</v>
      </c>
      <c r="U4">
        <v>0.90325918261769267</v>
      </c>
    </row>
    <row r="5" spans="1:21">
      <c r="A5">
        <v>16205</v>
      </c>
      <c r="B5" s="3">
        <v>40.1</v>
      </c>
      <c r="C5" s="3">
        <v>0.63214210899196677</v>
      </c>
      <c r="D5" s="1">
        <f>(7.45+5.24+7.57)/3</f>
        <v>6.7533333333333339</v>
      </c>
      <c r="E5">
        <f>(7.5+4.89+8.27)/3</f>
        <v>6.8866666666666667</v>
      </c>
      <c r="F5" s="3">
        <f>54.1-46.4</f>
        <v>7.7000000000000028</v>
      </c>
      <c r="G5" s="3">
        <v>81.7</v>
      </c>
      <c r="H5" s="3">
        <v>0.65372433010451392</v>
      </c>
      <c r="I5" s="3">
        <v>0.64833529985122862</v>
      </c>
      <c r="J5" s="3">
        <v>2.0042900000000001</v>
      </c>
      <c r="K5" s="4">
        <v>69</v>
      </c>
      <c r="L5" s="4" t="s">
        <v>25</v>
      </c>
      <c r="M5" s="4">
        <v>160</v>
      </c>
      <c r="N5" s="4" t="s">
        <v>16</v>
      </c>
      <c r="O5" s="4">
        <v>41</v>
      </c>
      <c r="P5" s="4">
        <f>(M5/(K5*K5))*703</f>
        <v>23.625288804872927</v>
      </c>
      <c r="Q5" s="3">
        <v>0.83840999999999988</v>
      </c>
      <c r="R5" s="3">
        <v>6.8</v>
      </c>
      <c r="S5" s="1">
        <v>1.0197433366238893</v>
      </c>
      <c r="T5">
        <v>1.1401776900296154</v>
      </c>
      <c r="U5">
        <v>1.1181026137463701</v>
      </c>
    </row>
    <row r="6" spans="1:21">
      <c r="A6">
        <v>16216</v>
      </c>
      <c r="B6" s="3">
        <v>48.4</v>
      </c>
      <c r="C6" s="3">
        <v>0.59644245825782505</v>
      </c>
      <c r="D6" s="1">
        <f>(6.71+8.79+7.31)/3</f>
        <v>7.6033333333333326</v>
      </c>
      <c r="E6">
        <f>(10.3+9.54+6.7)/3</f>
        <v>8.8466666666666658</v>
      </c>
      <c r="F6" s="3">
        <f>(8.6+9.46+8.39)/3</f>
        <v>8.8166666666666682</v>
      </c>
      <c r="G6" s="3">
        <v>71.400000000000006</v>
      </c>
      <c r="H6" s="3">
        <v>0.57986815570765093</v>
      </c>
      <c r="I6" s="3">
        <v>0.6367278163034249</v>
      </c>
      <c r="J6" s="3">
        <v>2.1455500000000001</v>
      </c>
      <c r="K6" s="4">
        <v>63</v>
      </c>
      <c r="L6" s="4" t="s">
        <v>24</v>
      </c>
      <c r="M6" s="4">
        <v>140</v>
      </c>
      <c r="N6" s="4" t="s">
        <v>17</v>
      </c>
      <c r="O6" s="4">
        <v>50</v>
      </c>
      <c r="P6" s="4">
        <f>(M6/(K6*K6))*703</f>
        <v>24.797178130511462</v>
      </c>
      <c r="Q6" s="3">
        <v>0.95709</v>
      </c>
      <c r="R6" s="3">
        <v>6.7</v>
      </c>
      <c r="S6" s="1">
        <v>1.1635247698377904</v>
      </c>
      <c r="T6">
        <v>1.1595791319596671</v>
      </c>
      <c r="U6">
        <v>0.99660889223813143</v>
      </c>
    </row>
    <row r="7" spans="1:21">
      <c r="A7">
        <v>16230</v>
      </c>
      <c r="B7" s="3">
        <v>47.2</v>
      </c>
      <c r="C7" s="3">
        <v>0.58092890509208761</v>
      </c>
      <c r="D7" s="1">
        <f>(8.44+8.28+8.13)/3</f>
        <v>8.2833333333333332</v>
      </c>
      <c r="E7">
        <f>(8.59+8.44+5.8)/3</f>
        <v>7.61</v>
      </c>
      <c r="F7" s="3">
        <f>(7.15+6.43+8.82)/3</f>
        <v>7.4666666666666659</v>
      </c>
      <c r="G7" s="3">
        <v>90.1</v>
      </c>
      <c r="H7" s="3">
        <v>0.73471906248969654</v>
      </c>
      <c r="I7" s="3">
        <v>0.74188867930845903</v>
      </c>
      <c r="J7" s="3">
        <v>2.2711600000000001</v>
      </c>
      <c r="K7" s="4">
        <v>69</v>
      </c>
      <c r="L7" s="4" t="s">
        <v>25</v>
      </c>
      <c r="M7" s="4">
        <v>165</v>
      </c>
      <c r="N7" s="4" t="s">
        <v>16</v>
      </c>
      <c r="O7" s="4">
        <v>17</v>
      </c>
      <c r="P7" s="4">
        <f>(M7/(K7*K7))*703</f>
        <v>24.363579080025207</v>
      </c>
      <c r="Q7" s="3">
        <v>1.2483500000000001</v>
      </c>
      <c r="R7" s="3">
        <v>9.4</v>
      </c>
      <c r="S7" s="1">
        <v>0.91871227364185115</v>
      </c>
      <c r="T7">
        <v>0.90140845070422526</v>
      </c>
      <c r="U7">
        <v>0.98116513359614532</v>
      </c>
    </row>
    <row r="8" spans="1:21">
      <c r="A8">
        <v>16282</v>
      </c>
      <c r="B8" s="3">
        <v>43.1</v>
      </c>
      <c r="C8" s="3">
        <v>0.60594453234366852</v>
      </c>
      <c r="D8" s="1">
        <f>(7.77+8.21+7.18)/3</f>
        <v>7.72</v>
      </c>
      <c r="E8">
        <f>(7.92+7.22+4.68)/3</f>
        <v>6.6066666666666665</v>
      </c>
      <c r="F8" s="3">
        <f>(7.65+9.06+7.68)/3</f>
        <v>8.1300000000000008</v>
      </c>
      <c r="G8" s="3">
        <v>76.8</v>
      </c>
      <c r="H8" s="3">
        <v>0.61858374814914019</v>
      </c>
      <c r="I8" s="3">
        <v>0.64524753041531513</v>
      </c>
      <c r="J8" s="3">
        <v>2.1656400000000002</v>
      </c>
      <c r="K8" s="4">
        <v>69</v>
      </c>
      <c r="L8" s="4" t="s">
        <v>25</v>
      </c>
      <c r="M8" s="4">
        <v>145</v>
      </c>
      <c r="N8" s="4" t="s">
        <v>17</v>
      </c>
      <c r="O8" s="4">
        <v>17</v>
      </c>
      <c r="P8" s="4">
        <f>(M8/(K8*K8))*703</f>
        <v>21.410417979416088</v>
      </c>
      <c r="Q8" s="3">
        <v>1.0393699999999999</v>
      </c>
      <c r="R8" s="3">
        <v>7.2</v>
      </c>
      <c r="S8" s="1">
        <v>0.85578583765112259</v>
      </c>
      <c r="T8">
        <v>1.0531088082901556</v>
      </c>
      <c r="U8">
        <v>1.2305751765893038</v>
      </c>
    </row>
    <row r="9" spans="1:21">
      <c r="A9">
        <v>16293</v>
      </c>
      <c r="B9" s="3">
        <v>45.4</v>
      </c>
      <c r="C9" s="3">
        <v>0.55509951348960629</v>
      </c>
      <c r="D9" s="1">
        <f>(7.53+5.87+5.27)/3</f>
        <v>6.2233333333333336</v>
      </c>
      <c r="E9">
        <f>(7.11+6.3+5.48)/3</f>
        <v>6.2966666666666669</v>
      </c>
      <c r="F9" s="3">
        <f>(5.85+6.16+7.83)/3</f>
        <v>6.6133333333333333</v>
      </c>
      <c r="G9" s="3">
        <v>73.8</v>
      </c>
      <c r="H9" s="3">
        <v>0.63565076123282582</v>
      </c>
      <c r="I9" s="3">
        <v>0.6665549734711208</v>
      </c>
      <c r="J9" s="3">
        <v>1.49397</v>
      </c>
      <c r="K9" s="4">
        <v>65</v>
      </c>
      <c r="L9" s="4" t="s">
        <v>24</v>
      </c>
      <c r="M9" s="4">
        <v>145</v>
      </c>
      <c r="N9" s="4" t="s">
        <v>17</v>
      </c>
      <c r="O9" s="4">
        <v>20</v>
      </c>
      <c r="P9" s="4">
        <f>(M9/(K9*K9))*703</f>
        <v>24.12662721893491</v>
      </c>
      <c r="Q9" s="3">
        <v>0.92822000000000027</v>
      </c>
      <c r="R9" s="3">
        <v>6.5</v>
      </c>
      <c r="S9" s="1">
        <v>1.0117836100696305</v>
      </c>
      <c r="T9">
        <v>1.0626673808248526</v>
      </c>
      <c r="U9">
        <v>1.050291159343568</v>
      </c>
    </row>
    <row r="10" spans="1:21">
      <c r="A10">
        <v>16333</v>
      </c>
      <c r="B10" s="3">
        <v>40.1</v>
      </c>
      <c r="C10" s="3">
        <v>0.54882020305511536</v>
      </c>
      <c r="D10" s="1">
        <f>(4.43+6.65+6.96)/3</f>
        <v>6.0133333333333328</v>
      </c>
      <c r="E10">
        <f>(5.92+6.38+5.93)/3</f>
        <v>6.0766666666666671</v>
      </c>
      <c r="F10" s="3">
        <f>(6.32+6.31+6.56)/3</f>
        <v>6.3966666666666656</v>
      </c>
      <c r="G10" s="3">
        <v>68.2</v>
      </c>
      <c r="H10" s="3">
        <v>0.51720220965384522</v>
      </c>
      <c r="I10" s="3">
        <v>0.51625862218424534</v>
      </c>
      <c r="J10" s="3">
        <v>1.8093599999999999</v>
      </c>
      <c r="K10" s="4">
        <v>66</v>
      </c>
      <c r="L10" s="4" t="s">
        <v>25</v>
      </c>
      <c r="M10" s="4">
        <v>128</v>
      </c>
      <c r="N10" s="4" t="s">
        <v>17</v>
      </c>
      <c r="O10" s="4">
        <v>46</v>
      </c>
      <c r="P10" s="4">
        <f>(M10/(K10*K10))*703</f>
        <v>20.657483930211203</v>
      </c>
      <c r="Q10" s="3">
        <v>0.99517999999999973</v>
      </c>
      <c r="R10" s="3">
        <v>6.6</v>
      </c>
      <c r="S10" s="1">
        <v>1.0105321507760534</v>
      </c>
      <c r="T10">
        <v>1.0637472283813747</v>
      </c>
      <c r="U10">
        <v>1.0526604498080085</v>
      </c>
    </row>
    <row r="11" spans="1:21">
      <c r="A11">
        <v>16367</v>
      </c>
      <c r="B11" s="3">
        <v>50.6</v>
      </c>
      <c r="C11" s="3">
        <v>0.62375364618468943</v>
      </c>
      <c r="D11" s="1">
        <f>(8.69+8.54+8.3)/3</f>
        <v>8.51</v>
      </c>
      <c r="E11">
        <f>(9.19+9.5+7.15)/3</f>
        <v>8.6133333333333315</v>
      </c>
      <c r="F11" s="3">
        <f>(9.37+11.1+10.9)/3</f>
        <v>10.456666666666665</v>
      </c>
      <c r="G11" s="3">
        <v>91</v>
      </c>
      <c r="H11" s="3">
        <v>0.611011829443179</v>
      </c>
      <c r="I11" s="3">
        <v>0.64903460599721052</v>
      </c>
      <c r="J11" s="3">
        <v>2.28146</v>
      </c>
      <c r="K11" s="4">
        <v>72</v>
      </c>
      <c r="L11" s="4" t="s">
        <v>22</v>
      </c>
      <c r="M11" s="4">
        <v>200</v>
      </c>
      <c r="N11" s="4" t="s">
        <v>16</v>
      </c>
      <c r="O11" s="4">
        <v>22</v>
      </c>
      <c r="P11" s="4">
        <f>(M11/(K11*K11))*703</f>
        <v>27.121913580246911</v>
      </c>
      <c r="Q11" s="3">
        <v>1.21339</v>
      </c>
      <c r="R11" s="3">
        <v>8.9</v>
      </c>
      <c r="S11" s="1">
        <v>1.0121425773599684</v>
      </c>
      <c r="T11">
        <v>1.2287504896200547</v>
      </c>
      <c r="U11">
        <v>1.2140092879256967</v>
      </c>
    </row>
    <row r="12" spans="1:21">
      <c r="A12">
        <v>16373</v>
      </c>
      <c r="B12" s="3">
        <v>43.7</v>
      </c>
      <c r="C12" s="3">
        <v>0.56085353977391794</v>
      </c>
      <c r="D12" s="1">
        <f>(10.2+8.91+9.25)/3</f>
        <v>9.4533333333333331</v>
      </c>
      <c r="E12">
        <f>(10.8+12+11.4)/3</f>
        <v>11.4</v>
      </c>
      <c r="F12" s="3">
        <f>(11.9+9.93+12.7)/3</f>
        <v>11.51</v>
      </c>
      <c r="G12" s="3">
        <v>95.9</v>
      </c>
      <c r="H12" s="3">
        <v>0.65343561780533876</v>
      </c>
      <c r="I12" s="3">
        <v>0.68062320485923999</v>
      </c>
      <c r="J12" s="3">
        <v>3.2604199999999999</v>
      </c>
      <c r="K12" s="4">
        <v>78</v>
      </c>
      <c r="L12" s="4" t="s">
        <v>23</v>
      </c>
      <c r="M12" s="4">
        <v>375</v>
      </c>
      <c r="N12" s="4" t="s">
        <v>16</v>
      </c>
      <c r="O12" s="4">
        <v>42</v>
      </c>
      <c r="P12" s="4">
        <f>(M12/(K12*K12))*703</f>
        <v>43.33086785009862</v>
      </c>
      <c r="Q12" s="3">
        <v>1.3540299999999998</v>
      </c>
      <c r="R12" s="3">
        <v>11.6</v>
      </c>
      <c r="S12" s="1">
        <v>1.2059238363892808</v>
      </c>
      <c r="T12">
        <v>1.2175599435825106</v>
      </c>
      <c r="U12">
        <v>1.0096491228070175</v>
      </c>
    </row>
    <row r="13" spans="1:21">
      <c r="A13">
        <v>16404</v>
      </c>
      <c r="B13" s="3">
        <v>41.9</v>
      </c>
      <c r="C13" s="3">
        <v>0.57443208734688356</v>
      </c>
      <c r="D13" s="1">
        <f>(6.36+7.44+7.24)/3</f>
        <v>7.0133333333333328</v>
      </c>
      <c r="E13">
        <f>(6.99+7.52+7.16)/3</f>
        <v>7.2233333333333336</v>
      </c>
      <c r="F13" s="3">
        <f>(7.88+6.29+5.49)/3</f>
        <v>6.5533333333333337</v>
      </c>
      <c r="G13" s="3">
        <v>64.2</v>
      </c>
      <c r="H13" s="3">
        <v>0.55539335427086967</v>
      </c>
      <c r="I13" s="3">
        <v>0.58234673447134921</v>
      </c>
      <c r="J13" s="3">
        <v>1.8053600000000001</v>
      </c>
      <c r="K13" s="4">
        <v>65</v>
      </c>
      <c r="L13" s="4" t="s">
        <v>24</v>
      </c>
      <c r="M13" s="4">
        <v>124</v>
      </c>
      <c r="N13" s="4" t="s">
        <v>17</v>
      </c>
      <c r="O13" s="4">
        <v>17</v>
      </c>
      <c r="P13" s="4">
        <f>(M13/(K13*K13))*703</f>
        <v>20.632426035502959</v>
      </c>
      <c r="Q13" s="3">
        <v>1.0014600000000002</v>
      </c>
      <c r="R13" s="3">
        <v>6.6</v>
      </c>
      <c r="S13" s="1">
        <v>1.0299429657794679</v>
      </c>
      <c r="T13">
        <v>0.93441064638783278</v>
      </c>
      <c r="U13">
        <v>0.90724503922473465</v>
      </c>
    </row>
    <row r="14" spans="1:21">
      <c r="A14">
        <v>16442</v>
      </c>
      <c r="B14" s="3">
        <v>42.7</v>
      </c>
      <c r="C14" s="3">
        <v>0.57697262402176952</v>
      </c>
      <c r="D14" s="1">
        <f>(8.2+8.25+7.32)/3</f>
        <v>7.9233333333333329</v>
      </c>
      <c r="E14">
        <f>(6.76+7.44+7.31)/3</f>
        <v>7.169999999999999</v>
      </c>
      <c r="F14" s="3">
        <f>(6.7+6.46+7.82)/3</f>
        <v>6.9933333333333332</v>
      </c>
      <c r="G14" s="3">
        <v>72.7</v>
      </c>
      <c r="H14" s="3">
        <v>0.58793512449700402</v>
      </c>
      <c r="I14" s="3">
        <v>0.59895700639446925</v>
      </c>
      <c r="J14" s="3">
        <v>1.9647199999999998</v>
      </c>
      <c r="K14" s="4">
        <v>68</v>
      </c>
      <c r="L14" s="4" t="s">
        <v>25</v>
      </c>
      <c r="M14" s="4">
        <v>135</v>
      </c>
      <c r="N14" s="4" t="s">
        <v>17</v>
      </c>
      <c r="O14" s="4">
        <v>49</v>
      </c>
      <c r="P14" s="4">
        <f>(M14/(K14*K14))*703</f>
        <v>20.524437716262977</v>
      </c>
      <c r="Q14" s="3">
        <v>1.0544299999999998</v>
      </c>
      <c r="R14" s="3">
        <v>6.4</v>
      </c>
      <c r="S14" s="1">
        <v>0.90492217080353377</v>
      </c>
      <c r="T14">
        <v>0.88262515776188477</v>
      </c>
      <c r="U14">
        <v>0.97536029753602982</v>
      </c>
    </row>
    <row r="15" spans="1:21">
      <c r="A15">
        <v>16486</v>
      </c>
      <c r="B15" s="3">
        <v>39.6</v>
      </c>
      <c r="C15" s="3">
        <v>0.65589137523204333</v>
      </c>
      <c r="D15" s="1">
        <f>(6.15+6.67+6.69)/3</f>
        <v>6.5033333333333339</v>
      </c>
      <c r="E15">
        <f>(6.43+7.57+7.05)/3</f>
        <v>7.0166666666666666</v>
      </c>
      <c r="F15" s="3">
        <f>(8.8+4.68+5.59)/3</f>
        <v>6.3566666666666665</v>
      </c>
      <c r="G15" s="3">
        <v>92.8</v>
      </c>
      <c r="H15" s="3">
        <v>0.64079138783823097</v>
      </c>
      <c r="I15" s="3">
        <v>0.65060626933772481</v>
      </c>
      <c r="J15" s="3">
        <v>1.89235</v>
      </c>
      <c r="K15" s="4">
        <v>70</v>
      </c>
      <c r="L15" s="4" t="s">
        <v>22</v>
      </c>
      <c r="M15" s="4">
        <v>160</v>
      </c>
      <c r="N15" s="4" t="s">
        <v>16</v>
      </c>
      <c r="O15" s="4">
        <v>23</v>
      </c>
      <c r="P15" s="4">
        <f>(M15/(K15*K15))*703</f>
        <v>22.955102040816328</v>
      </c>
      <c r="Q15" s="3">
        <v>0.96783999999999981</v>
      </c>
      <c r="R15" s="3">
        <v>6.3</v>
      </c>
      <c r="S15" s="1">
        <v>1.0789338800615069</v>
      </c>
      <c r="T15">
        <v>0.97744746283956929</v>
      </c>
      <c r="U15">
        <v>0.90593824228028497</v>
      </c>
    </row>
    <row r="16" spans="1:21">
      <c r="A16">
        <v>16499</v>
      </c>
      <c r="B16" s="3">
        <v>43.9</v>
      </c>
      <c r="C16" s="3">
        <v>0.44899872874422586</v>
      </c>
      <c r="D16" s="1">
        <f>(5.63+6.4+6.2)/3</f>
        <v>6.0766666666666671</v>
      </c>
      <c r="E16">
        <f>(6.67+7.01+6.64)/3</f>
        <v>6.7733333333333334</v>
      </c>
      <c r="F16" s="3">
        <f>(6.01+5.47+6.5)/3</f>
        <v>5.9933333333333332</v>
      </c>
      <c r="G16" s="3">
        <v>95.8</v>
      </c>
      <c r="H16" s="3">
        <v>0.60261633883901033</v>
      </c>
      <c r="I16" s="3">
        <v>0.61626461550740252</v>
      </c>
      <c r="J16" s="3">
        <v>1.8704100000000001</v>
      </c>
      <c r="K16" s="4">
        <v>64</v>
      </c>
      <c r="L16" s="4" t="s">
        <v>24</v>
      </c>
      <c r="M16" s="4">
        <v>134</v>
      </c>
      <c r="N16" s="4" t="s">
        <v>17</v>
      </c>
      <c r="O16" s="4">
        <v>42</v>
      </c>
      <c r="P16" s="4">
        <f>(M16/(K16*K16))*703</f>
        <v>22.99853515625</v>
      </c>
      <c r="Q16" s="3">
        <v>1.0273660000000002</v>
      </c>
      <c r="R16" s="3">
        <v>5.8</v>
      </c>
      <c r="S16" s="1">
        <v>1.1146461876028524</v>
      </c>
      <c r="T16">
        <v>0.98628634119583092</v>
      </c>
      <c r="U16">
        <v>0.88484251968503935</v>
      </c>
    </row>
    <row r="17" spans="1:21">
      <c r="A17">
        <v>16506</v>
      </c>
      <c r="B17" s="3">
        <v>48.9</v>
      </c>
      <c r="C17" s="3">
        <v>0.58315509908620411</v>
      </c>
      <c r="D17" s="1">
        <f>(8.88+9.23+7.75)/3</f>
        <v>8.6199999999999992</v>
      </c>
      <c r="E17">
        <f>(6.05+9.53+7.71)/3</f>
        <v>7.7633333333333328</v>
      </c>
      <c r="F17" s="3">
        <f>(6.41+7.82+7.46)/3</f>
        <v>7.23</v>
      </c>
      <c r="G17" s="3">
        <v>87.1</v>
      </c>
      <c r="H17" s="3">
        <v>0.67105023519289586</v>
      </c>
      <c r="I17" s="3">
        <v>0.70571314308566846</v>
      </c>
      <c r="J17" s="3">
        <v>1.9277099999999998</v>
      </c>
      <c r="K17" s="4">
        <v>73</v>
      </c>
      <c r="L17" s="4" t="s">
        <v>22</v>
      </c>
      <c r="M17" s="4">
        <v>168</v>
      </c>
      <c r="N17" s="4" t="s">
        <v>16</v>
      </c>
      <c r="O17" s="4">
        <v>32</v>
      </c>
      <c r="P17" s="4">
        <f>(M17/(K17*K17))*703</f>
        <v>22.16250703696754</v>
      </c>
      <c r="Q17" s="3">
        <v>1.306</v>
      </c>
      <c r="R17" s="3">
        <v>7.7</v>
      </c>
      <c r="S17" s="1">
        <v>0.90061871616395983</v>
      </c>
      <c r="T17">
        <v>0.83874709976798156</v>
      </c>
      <c r="U17">
        <v>0.93130098754830415</v>
      </c>
    </row>
    <row r="18" spans="1:21">
      <c r="A18">
        <v>16515</v>
      </c>
      <c r="B18" s="3">
        <v>45.3</v>
      </c>
      <c r="C18" s="3">
        <v>0.68095479872936515</v>
      </c>
      <c r="D18" s="1">
        <f>(6.72+7.79+7.93)/3</f>
        <v>7.4799999999999995</v>
      </c>
      <c r="E18">
        <f>(8.64+8.35+6.86)/3</f>
        <v>7.95</v>
      </c>
      <c r="F18" s="3">
        <f>(7.85+7.17+7.35)/3</f>
        <v>7.4566666666666661</v>
      </c>
      <c r="G18" s="3">
        <v>96.2</v>
      </c>
      <c r="H18" s="3">
        <v>0.67889335953338947</v>
      </c>
      <c r="I18" s="3">
        <v>0.70460595409049009</v>
      </c>
      <c r="J18" s="3">
        <v>2.0767699999999998</v>
      </c>
      <c r="K18" s="4">
        <v>72</v>
      </c>
      <c r="L18" s="4" t="s">
        <v>22</v>
      </c>
      <c r="M18" s="4">
        <v>185</v>
      </c>
      <c r="N18" s="4" t="s">
        <v>16</v>
      </c>
      <c r="O18" s="4">
        <v>46</v>
      </c>
      <c r="P18" s="4">
        <f>(M18/(K18*K18))*703</f>
        <v>25.087770061728396</v>
      </c>
      <c r="Q18" s="3">
        <v>0.91995000000000005</v>
      </c>
      <c r="R18" s="3">
        <v>7.4</v>
      </c>
      <c r="S18" s="1">
        <v>1.0628342245989306</v>
      </c>
      <c r="T18">
        <v>0.99688057040998213</v>
      </c>
      <c r="U18">
        <v>0.93794549266247373</v>
      </c>
    </row>
    <row r="19" spans="1:21">
      <c r="A19">
        <v>16516</v>
      </c>
      <c r="B19" s="3">
        <v>46.4</v>
      </c>
      <c r="C19" s="3">
        <v>0.61914112863235149</v>
      </c>
      <c r="D19" s="1">
        <f>(7.81+7.12+5.65)/3</f>
        <v>6.8599999999999994</v>
      </c>
      <c r="E19">
        <f>(7.77+7.32+7.73)/3</f>
        <v>7.6066666666666665</v>
      </c>
      <c r="F19" s="3">
        <f>(5.76+5.76+8.28)/3</f>
        <v>6.5999999999999988</v>
      </c>
      <c r="G19" s="3">
        <v>58.4</v>
      </c>
      <c r="H19" s="3">
        <v>0.64991987634012149</v>
      </c>
      <c r="I19" s="3">
        <v>0.66063261362681669</v>
      </c>
      <c r="J19" s="3">
        <v>1.8893500000000003</v>
      </c>
      <c r="K19" s="4">
        <v>65</v>
      </c>
      <c r="L19" s="4" t="s">
        <v>24</v>
      </c>
      <c r="M19" s="4">
        <v>140</v>
      </c>
      <c r="N19" s="4" t="s">
        <v>16</v>
      </c>
      <c r="O19" s="4">
        <v>22</v>
      </c>
      <c r="P19" s="4">
        <f>(M19/(K19*K19))*703</f>
        <v>23.294674556213018</v>
      </c>
      <c r="Q19" s="3">
        <v>1.3883399999999999</v>
      </c>
      <c r="R19" s="3">
        <v>7.7</v>
      </c>
      <c r="S19" s="1">
        <v>1.1088435374149661</v>
      </c>
      <c r="T19">
        <v>0.96209912536443143</v>
      </c>
      <c r="U19">
        <v>0.86765994741454855</v>
      </c>
    </row>
    <row r="20" spans="1:21">
      <c r="A20">
        <v>16517</v>
      </c>
      <c r="B20" s="3">
        <v>42.7</v>
      </c>
      <c r="C20" s="3">
        <v>0.56072346613829949</v>
      </c>
      <c r="D20" s="1">
        <f>(4.9+5.53+5.2)/3</f>
        <v>5.21</v>
      </c>
      <c r="E20">
        <f>(5.88+6.01+5.18)/3</f>
        <v>5.69</v>
      </c>
      <c r="F20" s="3">
        <f>(5.23+3.87+6.48)/3</f>
        <v>5.1933333333333342</v>
      </c>
      <c r="G20" s="3">
        <v>83.2</v>
      </c>
      <c r="H20" s="3">
        <v>0.61383137809978483</v>
      </c>
      <c r="I20" s="3">
        <v>0.62067011722044196</v>
      </c>
      <c r="J20" s="3">
        <v>1.4282699999999999</v>
      </c>
      <c r="K20" s="4">
        <v>67</v>
      </c>
      <c r="L20" s="4" t="s">
        <v>25</v>
      </c>
      <c r="M20" s="4">
        <v>105</v>
      </c>
      <c r="N20" s="4" t="s">
        <v>17</v>
      </c>
      <c r="O20" s="4">
        <v>18</v>
      </c>
      <c r="P20" s="4">
        <f>(M20/(K20*K20))*703</f>
        <v>16.443528625529069</v>
      </c>
      <c r="Q20" s="3">
        <v>0.78086000000000011</v>
      </c>
      <c r="R20" s="3">
        <v>5.5</v>
      </c>
      <c r="S20" s="1">
        <v>1.0921305182341652</v>
      </c>
      <c r="T20">
        <v>0.99680102367242496</v>
      </c>
      <c r="U20">
        <v>0.91271236086701824</v>
      </c>
    </row>
    <row r="21" spans="1:21">
      <c r="A21">
        <v>16531</v>
      </c>
      <c r="B21" s="3">
        <v>39.1</v>
      </c>
      <c r="C21" s="3">
        <v>0.50742114064333854</v>
      </c>
      <c r="D21" s="1">
        <f>(6.3+8.47+5.3)/3</f>
        <v>6.69</v>
      </c>
      <c r="E21">
        <f>(6.45+7.74+6.96)/3</f>
        <v>7.0500000000000007</v>
      </c>
      <c r="F21" s="3">
        <f>(6.8+6.84+7.4)/3</f>
        <v>7.0133333333333328</v>
      </c>
      <c r="G21" s="3">
        <v>69.8</v>
      </c>
      <c r="H21" s="3">
        <v>0.51055815780974534</v>
      </c>
      <c r="I21" s="3">
        <v>0.52993257769862967</v>
      </c>
      <c r="J21" s="3">
        <v>2.0657300000000003</v>
      </c>
      <c r="K21" s="4">
        <v>62</v>
      </c>
      <c r="L21" s="4" t="s">
        <v>24</v>
      </c>
      <c r="M21" s="4">
        <v>150</v>
      </c>
      <c r="N21" s="4" t="s">
        <v>17</v>
      </c>
      <c r="O21" s="4">
        <v>45</v>
      </c>
      <c r="P21" s="4">
        <f>(M21/(K21*K21))*703</f>
        <v>27.43236212278876</v>
      </c>
      <c r="Q21" s="3">
        <v>0.84058299999999986</v>
      </c>
      <c r="R21" s="3">
        <v>7.2</v>
      </c>
      <c r="S21" s="1">
        <v>1.0538116591928253</v>
      </c>
      <c r="T21">
        <v>1.048330842052815</v>
      </c>
      <c r="U21">
        <v>0.99479905437352223</v>
      </c>
    </row>
    <row r="22" spans="1:21">
      <c r="A22">
        <v>16545</v>
      </c>
      <c r="B22" s="3">
        <v>35.4</v>
      </c>
      <c r="C22" s="3">
        <v>0.51541075724692542</v>
      </c>
      <c r="D22" s="1">
        <f>(6.55+8.11+5.36)/3</f>
        <v>6.6733333333333329</v>
      </c>
      <c r="E22">
        <f>(8.01+7.26+7.04)/3</f>
        <v>7.4366666666666665</v>
      </c>
      <c r="F22" s="3">
        <f>(6.72+8.66+7.29)/3</f>
        <v>7.5566666666666658</v>
      </c>
      <c r="G22" s="3">
        <v>68.900000000000006</v>
      </c>
      <c r="H22" s="3">
        <v>0.55922454743869554</v>
      </c>
      <c r="I22" s="3">
        <v>0.58311192790337651</v>
      </c>
      <c r="J22" s="3">
        <v>1.9281000000000001</v>
      </c>
      <c r="K22" s="4">
        <v>68</v>
      </c>
      <c r="L22" s="4" t="s">
        <v>25</v>
      </c>
      <c r="M22" s="4">
        <v>148</v>
      </c>
      <c r="N22" s="4" t="s">
        <v>16</v>
      </c>
      <c r="O22" s="4">
        <v>33</v>
      </c>
      <c r="P22" s="4">
        <f>(M22/(K22*K22))*703</f>
        <v>22.500865051903112</v>
      </c>
      <c r="Q22" s="3">
        <v>1.2928199999999999</v>
      </c>
      <c r="R22" s="3">
        <v>7.7</v>
      </c>
      <c r="S22" s="1">
        <v>1.1143856143856143</v>
      </c>
      <c r="T22">
        <v>1.1323676323676324</v>
      </c>
      <c r="U22">
        <v>1.0161362617660241</v>
      </c>
    </row>
    <row r="23" spans="1:21">
      <c r="A23">
        <v>16572</v>
      </c>
      <c r="B23" s="3">
        <v>50.1</v>
      </c>
      <c r="C23" s="3">
        <v>0.57434687120988626</v>
      </c>
      <c r="D23" s="1">
        <f>(9.13+9.95+10.6)/3</f>
        <v>9.8933333333333326</v>
      </c>
      <c r="E23">
        <f>(8.85+10.6+10.5)/3</f>
        <v>9.9833333333333325</v>
      </c>
      <c r="F23" s="3">
        <f>(10.6+10.6+10.6)/3</f>
        <v>10.6</v>
      </c>
      <c r="G23" s="3">
        <v>81.599999999999994</v>
      </c>
      <c r="H23" s="3">
        <v>0.61621709868026076</v>
      </c>
      <c r="I23" s="3">
        <v>0.64450925820021099</v>
      </c>
      <c r="J23" s="3">
        <v>2.8141599999999993</v>
      </c>
      <c r="K23" s="4">
        <v>72</v>
      </c>
      <c r="L23" s="4" t="s">
        <v>22</v>
      </c>
      <c r="M23" s="4">
        <v>220</v>
      </c>
      <c r="N23" s="4" t="s">
        <v>16</v>
      </c>
      <c r="O23" s="4">
        <v>60</v>
      </c>
      <c r="P23" s="4">
        <f>(M23/(K23*K23))*703</f>
        <v>29.834104938271604</v>
      </c>
      <c r="Q23" s="3">
        <v>1.3712000000000002</v>
      </c>
      <c r="R23" s="3">
        <v>9.6</v>
      </c>
      <c r="S23" s="1">
        <v>1.0090970350404314</v>
      </c>
      <c r="T23">
        <v>1.0714285714285714</v>
      </c>
      <c r="U23">
        <v>1.0617696160267112</v>
      </c>
    </row>
    <row r="24" spans="1:21">
      <c r="A24">
        <v>16574</v>
      </c>
      <c r="B24" s="3">
        <v>47.8</v>
      </c>
      <c r="C24" s="3">
        <v>0.58838428994885761</v>
      </c>
      <c r="D24" s="1">
        <f>(7.49+8.85+6.8)/3</f>
        <v>7.7133333333333338</v>
      </c>
      <c r="E24">
        <f>(10.2+9.6+8.25)/3</f>
        <v>9.35</v>
      </c>
      <c r="F24" s="3">
        <f>(8.73+9.72+9.11)/3</f>
        <v>9.1866666666666674</v>
      </c>
      <c r="G24" s="3">
        <v>82.4</v>
      </c>
      <c r="H24" s="3">
        <v>0.53729457675334624</v>
      </c>
      <c r="I24" s="3">
        <v>0.58164831327661237</v>
      </c>
      <c r="J24" s="3">
        <v>2.6398499999999996</v>
      </c>
      <c r="K24" s="4">
        <v>71</v>
      </c>
      <c r="L24" s="4" t="s">
        <v>22</v>
      </c>
      <c r="M24" s="4">
        <v>160</v>
      </c>
      <c r="N24" s="4" t="s">
        <v>16</v>
      </c>
      <c r="O24" s="4">
        <v>41</v>
      </c>
      <c r="P24" s="4">
        <f>(M24/(K24*K24))*703</f>
        <v>22.313033128347552</v>
      </c>
      <c r="Q24" s="3">
        <v>1.2756900000000002</v>
      </c>
      <c r="R24" s="3">
        <v>8.4</v>
      </c>
      <c r="S24" s="1">
        <v>1.2121866897147795</v>
      </c>
      <c r="T24">
        <v>1.1910112359550562</v>
      </c>
      <c r="U24">
        <v>0.9825311942959003</v>
      </c>
    </row>
    <row r="25" spans="1:21">
      <c r="A25">
        <v>16692</v>
      </c>
      <c r="B25" s="3">
        <v>40.799999999999997</v>
      </c>
      <c r="C25" s="3">
        <v>0.56520672310146003</v>
      </c>
      <c r="D25" s="1">
        <f>(8.01+7.75+6.73)/3</f>
        <v>7.496666666666667</v>
      </c>
      <c r="E25">
        <f>(8.7+8.38+7.81)/3</f>
        <v>8.2966666666666651</v>
      </c>
      <c r="F25" s="3">
        <f>(7.67+7.12+7.77)/3</f>
        <v>7.52</v>
      </c>
      <c r="G25" s="3">
        <v>68.2</v>
      </c>
      <c r="H25" s="3">
        <v>0.56318720112968967</v>
      </c>
      <c r="I25" s="3">
        <v>0.59229813893156458</v>
      </c>
      <c r="J25" s="3">
        <v>2.25508</v>
      </c>
      <c r="K25" s="4">
        <v>65</v>
      </c>
      <c r="L25" s="4" t="s">
        <v>24</v>
      </c>
      <c r="M25" s="4">
        <v>142</v>
      </c>
      <c r="N25" s="4" t="s">
        <v>16</v>
      </c>
      <c r="O25" s="4">
        <v>28</v>
      </c>
      <c r="P25" s="4">
        <f>(M25/(K25*K25))*703</f>
        <v>23.627455621301774</v>
      </c>
      <c r="Q25" s="3">
        <v>1.0905100000000001</v>
      </c>
      <c r="R25" s="3">
        <v>8.4</v>
      </c>
      <c r="S25" s="1">
        <v>1.1067140951534014</v>
      </c>
      <c r="T25">
        <v>1.003112494441974</v>
      </c>
      <c r="U25">
        <v>0.90638810767376465</v>
      </c>
    </row>
    <row r="26" spans="1:21">
      <c r="A26">
        <v>16698</v>
      </c>
      <c r="B26" s="3">
        <v>54.4</v>
      </c>
      <c r="C26" s="3">
        <v>0.51786097665005426</v>
      </c>
      <c r="D26" s="1">
        <f>(7.05+6.9+6.61)/3</f>
        <v>6.8533333333333326</v>
      </c>
      <c r="E26">
        <f>(8.08+8.54+6.68)/3</f>
        <v>7.7666666666666657</v>
      </c>
      <c r="F26" s="3">
        <f>(7.02+7.59+8.86)/3</f>
        <v>7.8233333333333333</v>
      </c>
      <c r="G26" s="3">
        <v>74.3</v>
      </c>
      <c r="H26" s="3">
        <v>0.57050905488546699</v>
      </c>
      <c r="I26" s="3">
        <v>0.61724237505850021</v>
      </c>
      <c r="J26" s="3">
        <v>2.1191999999999998</v>
      </c>
      <c r="K26" s="4">
        <v>70</v>
      </c>
      <c r="L26" s="4" t="s">
        <v>22</v>
      </c>
      <c r="M26" s="4">
        <v>165</v>
      </c>
      <c r="N26" s="4" t="s">
        <v>16</v>
      </c>
      <c r="O26" s="4">
        <v>49</v>
      </c>
      <c r="P26" s="4">
        <f>(M26/(K26*K26))*703</f>
        <v>23.672448979591838</v>
      </c>
      <c r="Q26" s="3">
        <v>1.2224499999999998</v>
      </c>
      <c r="R26" s="3">
        <v>7.8</v>
      </c>
      <c r="S26" s="1">
        <v>1.1332684824902723</v>
      </c>
      <c r="T26">
        <v>1.1415369649805449</v>
      </c>
      <c r="U26">
        <v>1.0072961373390559</v>
      </c>
    </row>
    <row r="27" spans="1:21">
      <c r="A27">
        <v>16731</v>
      </c>
      <c r="B27" s="3">
        <v>40.6</v>
      </c>
      <c r="C27" s="3">
        <v>0.57986879400201163</v>
      </c>
      <c r="D27" s="1">
        <f>(9.08+9.33+8.24)/3</f>
        <v>8.8833333333333329</v>
      </c>
      <c r="E27">
        <f>(9.64+9.03+8.16)/3</f>
        <v>8.9433333333333334</v>
      </c>
      <c r="F27" s="3">
        <f>(7.14+7.22+7.79)/3</f>
        <v>7.3833333333333329</v>
      </c>
      <c r="G27" s="3">
        <v>64.8</v>
      </c>
      <c r="H27" s="3">
        <v>0.64737564533311487</v>
      </c>
      <c r="I27" s="3">
        <v>0.65681089002005244</v>
      </c>
      <c r="J27" s="3">
        <v>2.3744000000000001</v>
      </c>
      <c r="K27" s="4">
        <v>69</v>
      </c>
      <c r="L27" s="4" t="s">
        <v>25</v>
      </c>
      <c r="M27" s="4">
        <v>180</v>
      </c>
      <c r="N27" s="4" t="s">
        <v>16</v>
      </c>
      <c r="O27" s="4">
        <v>38</v>
      </c>
      <c r="P27" s="4">
        <f>(M27/(K27*K27))*703</f>
        <v>26.578449905482042</v>
      </c>
      <c r="Q27" s="3">
        <v>1.4942500000000001</v>
      </c>
      <c r="R27" s="3">
        <v>8.6</v>
      </c>
      <c r="S27" s="1">
        <v>1.0067542213883678</v>
      </c>
      <c r="T27">
        <v>0.83114446529080677</v>
      </c>
      <c r="U27">
        <v>0.8255683935892657</v>
      </c>
    </row>
    <row r="28" spans="1:21">
      <c r="A28">
        <v>16769</v>
      </c>
      <c r="B28" s="3">
        <v>52.7</v>
      </c>
      <c r="C28" s="3">
        <v>0.61276669244068072</v>
      </c>
      <c r="D28" s="1">
        <f>(9.55+9.25+9.05)/3</f>
        <v>9.2833333333333332</v>
      </c>
      <c r="E28">
        <f>(10.3+10.8+8.65)/3</f>
        <v>9.9166666666666661</v>
      </c>
      <c r="F28" s="3">
        <f>(10.1+9.1+11.1)/3</f>
        <v>10.1</v>
      </c>
      <c r="G28" s="3">
        <v>84.1</v>
      </c>
      <c r="H28" s="3">
        <v>0.58616449137535265</v>
      </c>
      <c r="I28" s="3">
        <v>0.61884468746864651</v>
      </c>
      <c r="J28" s="3">
        <v>3.1316899999999999</v>
      </c>
      <c r="K28" s="4">
        <v>71</v>
      </c>
      <c r="L28" s="4" t="s">
        <v>22</v>
      </c>
      <c r="M28" s="4">
        <v>165</v>
      </c>
      <c r="N28" s="4" t="s">
        <v>16</v>
      </c>
      <c r="O28" s="4">
        <v>18</v>
      </c>
      <c r="P28" s="4">
        <f>(M28/(K28*K28))*703</f>
        <v>23.01031541360841</v>
      </c>
      <c r="Q28" s="3">
        <v>1.3081399999999999</v>
      </c>
      <c r="R28" s="3">
        <v>10.5</v>
      </c>
      <c r="S28" s="1">
        <v>1.0682226211849191</v>
      </c>
      <c r="T28">
        <v>1.0879712746858168</v>
      </c>
      <c r="U28">
        <v>1.0184873949579831</v>
      </c>
    </row>
    <row r="29" spans="1:21">
      <c r="A29">
        <v>16779</v>
      </c>
      <c r="B29" s="3">
        <v>40.5</v>
      </c>
      <c r="C29" s="3">
        <v>0.49574858151148954</v>
      </c>
      <c r="D29" s="1">
        <f>(7.52+6.07+4.67)/3</f>
        <v>6.086666666666666</v>
      </c>
      <c r="E29">
        <f>(7.3+6.74+6.35)/3</f>
        <v>6.7966666666666669</v>
      </c>
      <c r="F29" s="3">
        <f>(6.07+6.53+6.03)/3</f>
        <v>6.2100000000000009</v>
      </c>
      <c r="G29" s="3">
        <v>90.5</v>
      </c>
      <c r="H29" s="3">
        <v>0.66995713691815884</v>
      </c>
      <c r="I29" s="3">
        <v>0.68573317685174473</v>
      </c>
      <c r="J29" s="3">
        <v>1.9382700000000002</v>
      </c>
      <c r="K29" s="4">
        <v>69</v>
      </c>
      <c r="L29" s="4" t="s">
        <v>25</v>
      </c>
      <c r="M29" s="4">
        <v>165</v>
      </c>
      <c r="N29" s="4" t="s">
        <v>16</v>
      </c>
      <c r="O29" s="4">
        <v>16</v>
      </c>
      <c r="P29" s="4">
        <f>(M29/(K29*K29))*703</f>
        <v>24.363579080025207</v>
      </c>
      <c r="Q29" s="3">
        <v>1.7625699999999997</v>
      </c>
      <c r="R29" s="3">
        <v>6.9</v>
      </c>
      <c r="S29" s="1">
        <v>1.1166484118291349</v>
      </c>
      <c r="T29">
        <v>1.0202628696604603</v>
      </c>
      <c r="U29">
        <v>0.91368317802844545</v>
      </c>
    </row>
    <row r="30" spans="1:21">
      <c r="A30">
        <v>16781</v>
      </c>
      <c r="B30" s="3">
        <v>44.9</v>
      </c>
      <c r="C30" s="3">
        <v>0.55661993920266428</v>
      </c>
      <c r="D30" s="1">
        <f>(5.42+6.55+6.87)/3</f>
        <v>6.28</v>
      </c>
      <c r="E30">
        <f>(5.06+6.24+6.01)/3</f>
        <v>5.7700000000000005</v>
      </c>
      <c r="F30" s="3">
        <f>(2.84+4.64+6.07)/3</f>
        <v>4.5166666666666666</v>
      </c>
      <c r="G30" s="3">
        <v>68.099999999999994</v>
      </c>
      <c r="H30" s="3">
        <v>0.63335998262860749</v>
      </c>
      <c r="I30" s="3">
        <v>0.63852754252640098</v>
      </c>
      <c r="J30" s="3">
        <v>1.53715</v>
      </c>
      <c r="K30" s="4">
        <v>72</v>
      </c>
      <c r="L30" s="4" t="s">
        <v>22</v>
      </c>
      <c r="M30" s="4">
        <v>170</v>
      </c>
      <c r="N30" s="4" t="s">
        <v>16</v>
      </c>
      <c r="O30" s="4">
        <v>18</v>
      </c>
      <c r="P30" s="4">
        <f>(M30/(K30*K30))*703</f>
        <v>23.053626543209877</v>
      </c>
      <c r="Q30" s="3">
        <v>1.2097099999999998</v>
      </c>
      <c r="R30" s="3">
        <v>6.2</v>
      </c>
      <c r="S30" s="1">
        <v>0.91878980891719753</v>
      </c>
      <c r="T30">
        <v>0.71921443736730362</v>
      </c>
      <c r="U30">
        <v>0.78278451761987289</v>
      </c>
    </row>
    <row r="31" spans="1:21">
      <c r="A31">
        <v>16909</v>
      </c>
      <c r="B31" s="3">
        <v>49</v>
      </c>
      <c r="C31" s="3">
        <v>0.58052187856847837</v>
      </c>
      <c r="D31" s="1">
        <f>(8.33+6.85+6.86)/3</f>
        <v>7.3466666666666667</v>
      </c>
      <c r="E31">
        <f>(6.69+7.21+7.18)/3</f>
        <v>7.0266666666666664</v>
      </c>
      <c r="F31" s="3">
        <f>(7.51+6.76+6.61)/3</f>
        <v>6.96</v>
      </c>
      <c r="G31" s="3">
        <v>86.3</v>
      </c>
      <c r="H31" s="3">
        <v>0.6485952540855161</v>
      </c>
      <c r="I31" s="3">
        <v>0.66633714148625511</v>
      </c>
      <c r="J31" s="3">
        <v>1.9814099999999999</v>
      </c>
      <c r="K31" s="4">
        <v>71</v>
      </c>
      <c r="L31" s="4" t="s">
        <v>22</v>
      </c>
      <c r="M31" s="4">
        <v>150</v>
      </c>
      <c r="N31" s="4" t="s">
        <v>16</v>
      </c>
      <c r="O31" s="4">
        <v>18</v>
      </c>
      <c r="P31" s="4">
        <f>(M31/(K31*K31))*703</f>
        <v>20.918468557825829</v>
      </c>
      <c r="Q31" s="3">
        <v>1.3247699999999998</v>
      </c>
      <c r="R31" s="3">
        <v>7.7</v>
      </c>
      <c r="S31" s="1">
        <v>0.95644283121597096</v>
      </c>
      <c r="T31">
        <v>0.94736842105263153</v>
      </c>
      <c r="U31">
        <v>0.99051233396584448</v>
      </c>
    </row>
    <row r="32" spans="1:21">
      <c r="A32">
        <v>16919</v>
      </c>
      <c r="B32" s="3">
        <v>43.4</v>
      </c>
      <c r="C32" s="3">
        <v>0.62563902913802538</v>
      </c>
      <c r="D32" s="1">
        <f>(7.2+6.99+6.52)/3</f>
        <v>6.9033333333333333</v>
      </c>
      <c r="E32">
        <f>(6.45+7.1+7.65)/3</f>
        <v>7.0666666666666673</v>
      </c>
      <c r="F32" s="3">
        <f>(6.24+6.39+7.64)/3</f>
        <v>6.7566666666666668</v>
      </c>
      <c r="G32" s="3">
        <v>90.4</v>
      </c>
      <c r="H32" s="3">
        <v>0.65165072291612491</v>
      </c>
      <c r="I32" s="3">
        <v>0.66636169260603662</v>
      </c>
      <c r="J32" s="3">
        <v>1.9126399999999997</v>
      </c>
      <c r="K32" s="4">
        <v>68</v>
      </c>
      <c r="L32" s="4" t="s">
        <v>25</v>
      </c>
      <c r="M32" s="4">
        <v>175</v>
      </c>
      <c r="N32" s="4" t="s">
        <v>16</v>
      </c>
      <c r="O32" s="4">
        <v>23</v>
      </c>
      <c r="P32" s="4">
        <f>(M32/(K32*K32))*703</f>
        <v>26.605752595155707</v>
      </c>
      <c r="Q32" s="3">
        <v>1.0952000000000002</v>
      </c>
      <c r="R32" s="3">
        <v>7.4</v>
      </c>
      <c r="S32" s="1">
        <v>1.0236600676001932</v>
      </c>
      <c r="T32">
        <v>0.97875422501207143</v>
      </c>
      <c r="U32">
        <v>0.9561320754716981</v>
      </c>
    </row>
    <row r="33" spans="1:21">
      <c r="A33">
        <v>16937</v>
      </c>
      <c r="B33" s="3">
        <v>40.200000000000003</v>
      </c>
      <c r="C33" s="3">
        <v>0.53745607683092456</v>
      </c>
      <c r="D33" s="1">
        <f>(6.33+6.89+6.62)/3</f>
        <v>6.6133333333333333</v>
      </c>
      <c r="E33">
        <f>(6.09+6.31+5.61)/3</f>
        <v>6.003333333333333</v>
      </c>
      <c r="F33" s="3">
        <f>(4.41+5.63+6.56)/3</f>
        <v>5.5333333333333323</v>
      </c>
      <c r="G33" s="3">
        <v>74.8</v>
      </c>
      <c r="H33" s="3">
        <v>0.6424686498855835</v>
      </c>
      <c r="I33" s="3">
        <v>0.65966319437465426</v>
      </c>
      <c r="J33" s="3">
        <v>1.5814499999999998</v>
      </c>
      <c r="K33" s="4">
        <v>68</v>
      </c>
      <c r="L33" s="4" t="s">
        <v>25</v>
      </c>
      <c r="M33" s="4">
        <v>200</v>
      </c>
      <c r="N33" s="4" t="s">
        <v>17</v>
      </c>
      <c r="O33" s="4">
        <v>31</v>
      </c>
      <c r="P33" s="4">
        <f>(M33/(K33*K33))*703</f>
        <v>30.406574394463664</v>
      </c>
      <c r="Q33" s="3">
        <v>0.89888999999999997</v>
      </c>
      <c r="R33" s="3">
        <v>6.4</v>
      </c>
      <c r="S33" s="1">
        <v>0.90776209677419351</v>
      </c>
      <c r="T33">
        <v>0.83669354838709664</v>
      </c>
      <c r="U33">
        <v>0.92171016102165448</v>
      </c>
    </row>
    <row r="34" spans="1:21">
      <c r="A34">
        <v>16940</v>
      </c>
      <c r="B34" s="3"/>
      <c r="C34" s="3">
        <v>0.55415011061825148</v>
      </c>
      <c r="D34" s="1">
        <f>(7.68+8.8+8.16)/3</f>
        <v>8.2133333333333329</v>
      </c>
      <c r="E34">
        <f>(5.51+6.63+7.4)/3</f>
        <v>6.5133333333333328</v>
      </c>
      <c r="F34" s="3">
        <f>(7.69+5.65+5.02)/3</f>
        <v>6.12</v>
      </c>
      <c r="G34" s="3">
        <v>104</v>
      </c>
      <c r="H34" s="3">
        <v>0.62186133858752535</v>
      </c>
      <c r="I34" s="3">
        <v>0.64817036055712707</v>
      </c>
      <c r="J34" s="3">
        <v>2.0054800000000004</v>
      </c>
      <c r="K34" s="4">
        <v>71</v>
      </c>
      <c r="L34" s="4" t="s">
        <v>22</v>
      </c>
      <c r="M34" s="4">
        <v>165</v>
      </c>
      <c r="N34" s="4" t="s">
        <v>17</v>
      </c>
      <c r="O34" s="4">
        <v>30</v>
      </c>
      <c r="P34" s="4">
        <f>(M34/(K34*K34))*703</f>
        <v>23.01031541360841</v>
      </c>
      <c r="Q34" s="3">
        <v>1.1162999999999998</v>
      </c>
      <c r="R34" s="3"/>
      <c r="S34" s="1">
        <v>0.79301948051948046</v>
      </c>
      <c r="T34">
        <v>0.7451298701298702</v>
      </c>
      <c r="U34">
        <v>0.93961105424769709</v>
      </c>
    </row>
    <row r="35" spans="1:21">
      <c r="A35">
        <v>16972</v>
      </c>
      <c r="B35" s="3">
        <v>49.5</v>
      </c>
      <c r="C35" s="3">
        <v>0.50354006994082934</v>
      </c>
      <c r="D35" s="1">
        <f>(6.36+7.27+6.17)/3</f>
        <v>6.5999999999999988</v>
      </c>
      <c r="E35">
        <f>(6.6+5.96+5.59)/3</f>
        <v>6.05</v>
      </c>
      <c r="F35" s="3">
        <f>(4.4+5.8+5.05)/3</f>
        <v>5.083333333333333</v>
      </c>
      <c r="G35" s="3">
        <v>71.2</v>
      </c>
      <c r="H35" s="3">
        <v>0.63215213860314023</v>
      </c>
      <c r="I35" s="3">
        <v>0.65081740767164042</v>
      </c>
      <c r="J35" s="3">
        <v>1.6490200000000002</v>
      </c>
      <c r="K35" s="4">
        <v>69</v>
      </c>
      <c r="L35" s="4" t="s">
        <v>25</v>
      </c>
      <c r="M35" s="4">
        <v>165</v>
      </c>
      <c r="N35" s="4" t="s">
        <v>17</v>
      </c>
      <c r="O35" s="4">
        <v>19</v>
      </c>
      <c r="P35" s="4">
        <f>(M35/(K35*K35))*703</f>
        <v>24.363579080025207</v>
      </c>
      <c r="Q35" s="3">
        <v>0.97677300000000011</v>
      </c>
      <c r="R35" s="3">
        <v>6.1</v>
      </c>
      <c r="S35" s="1">
        <v>0.91666666666666685</v>
      </c>
      <c r="T35">
        <v>0.77020202020202033</v>
      </c>
      <c r="U35">
        <v>0.84022038567493107</v>
      </c>
    </row>
    <row r="36" spans="1:21">
      <c r="A36">
        <v>16994</v>
      </c>
      <c r="B36" s="3">
        <v>54.8</v>
      </c>
      <c r="C36" s="3">
        <v>0.57142265340503351</v>
      </c>
      <c r="D36" s="1">
        <f>(7.89+8.66+8.85)/3</f>
        <v>8.4666666666666668</v>
      </c>
      <c r="E36">
        <f>(6.2+7.47+7.8)/3</f>
        <v>7.1566666666666663</v>
      </c>
      <c r="F36" s="3">
        <f>(8.28+7.86+9.24)/3</f>
        <v>8.4600000000000009</v>
      </c>
      <c r="G36" s="3">
        <v>78.099999999999994</v>
      </c>
      <c r="H36" s="3">
        <v>0.59678494572559349</v>
      </c>
      <c r="I36" s="3">
        <v>0.64393785564186723</v>
      </c>
      <c r="J36" s="3">
        <v>2.3400600000000003</v>
      </c>
      <c r="K36" s="4">
        <v>78</v>
      </c>
      <c r="L36" s="4" t="s">
        <v>23</v>
      </c>
      <c r="M36" s="4">
        <v>220</v>
      </c>
      <c r="N36" s="4" t="s">
        <v>16</v>
      </c>
      <c r="O36" s="4">
        <v>42</v>
      </c>
      <c r="P36" s="4">
        <f>(M36/(K36*K36))*703</f>
        <v>25.420775805391191</v>
      </c>
      <c r="Q36" s="3">
        <v>1.2714000000000001</v>
      </c>
      <c r="R36" s="3">
        <v>7.4</v>
      </c>
      <c r="S36" s="1">
        <v>0.84527559055118107</v>
      </c>
      <c r="T36">
        <v>0.99921259842519694</v>
      </c>
      <c r="U36">
        <v>1.1821145784816025</v>
      </c>
    </row>
    <row r="37" spans="1:21">
      <c r="A37">
        <v>17001</v>
      </c>
      <c r="B37" s="3">
        <v>46.5</v>
      </c>
      <c r="C37" s="3">
        <v>0.60115316296441046</v>
      </c>
      <c r="D37" s="1">
        <f>(7.66+7.92+7.6)/3</f>
        <v>7.7266666666666666</v>
      </c>
      <c r="E37">
        <f>(8.81+8.67+9.12)/3</f>
        <v>8.8666666666666671</v>
      </c>
      <c r="F37" s="3">
        <f>(8.2+6.7+7.7)/3</f>
        <v>7.5333333333333323</v>
      </c>
      <c r="G37" s="3">
        <v>86.8</v>
      </c>
      <c r="H37" s="3">
        <v>0.67143665263851504</v>
      </c>
      <c r="I37" s="3">
        <v>0.68844509553960676</v>
      </c>
      <c r="J37" s="3">
        <v>2.2733699999999999</v>
      </c>
      <c r="K37" s="4">
        <v>69</v>
      </c>
      <c r="L37" s="4" t="s">
        <v>25</v>
      </c>
      <c r="M37" s="4">
        <v>154</v>
      </c>
      <c r="N37" s="4" t="s">
        <v>16</v>
      </c>
      <c r="O37" s="4">
        <v>50</v>
      </c>
      <c r="P37" s="4">
        <f>(M37/(K37*K37))*703</f>
        <v>22.739340474690191</v>
      </c>
      <c r="Q37" s="3">
        <v>1.0624400000000001</v>
      </c>
      <c r="R37" s="3">
        <v>7.9</v>
      </c>
      <c r="S37" s="1">
        <v>1.1475409836065575</v>
      </c>
      <c r="T37">
        <v>0.97497842968075921</v>
      </c>
      <c r="U37">
        <v>0.84962406015037573</v>
      </c>
    </row>
    <row r="38" spans="1:21">
      <c r="A38">
        <v>16103</v>
      </c>
      <c r="B38" s="3"/>
      <c r="C38" s="3"/>
      <c r="D38" s="1">
        <f>(6.75+6.99+6.69)/3</f>
        <v>6.81</v>
      </c>
      <c r="E38">
        <f>(8.03+7.36+6.76)/3</f>
        <v>7.3833333333333329</v>
      </c>
      <c r="F38" s="3">
        <f>(6.59+7.51+7.9)/3</f>
        <v>7.333333333333333</v>
      </c>
      <c r="G38" s="3">
        <v>75.400000000000006</v>
      </c>
      <c r="H38" s="3">
        <v>0.60978533289746106</v>
      </c>
      <c r="I38" s="3"/>
      <c r="J38" s="3"/>
      <c r="K38" s="4">
        <v>65</v>
      </c>
      <c r="L38" s="4" t="s">
        <v>24</v>
      </c>
      <c r="M38" s="4"/>
      <c r="N38" s="4" t="s">
        <v>17</v>
      </c>
      <c r="O38" s="4">
        <v>41</v>
      </c>
      <c r="P38" s="4">
        <f>(M38/(K38*K38))*703</f>
        <v>0</v>
      </c>
      <c r="Q38" s="3"/>
      <c r="R38" s="3"/>
      <c r="S38" s="1">
        <v>1.0841899167890356</v>
      </c>
      <c r="T38">
        <v>1.0768477728830153</v>
      </c>
      <c r="U38">
        <v>0.99322799097065462</v>
      </c>
    </row>
    <row r="39" spans="1:21">
      <c r="A39">
        <v>16104</v>
      </c>
      <c r="B39" s="3"/>
      <c r="C39" s="3"/>
      <c r="D39" s="1">
        <f>(8.59+7.6+7.2)/3</f>
        <v>7.796666666666666</v>
      </c>
      <c r="E39">
        <f>(7.65+7.75+8.18)/3</f>
        <v>7.8599999999999994</v>
      </c>
      <c r="F39" s="3">
        <f>(6.04+6.57+7.3)/3</f>
        <v>6.6366666666666667</v>
      </c>
      <c r="G39" s="3">
        <v>95.1</v>
      </c>
      <c r="H39" s="3">
        <v>0.62696145538620662</v>
      </c>
      <c r="I39" s="3"/>
      <c r="J39" s="3"/>
      <c r="K39" s="4">
        <v>72</v>
      </c>
      <c r="L39" s="4" t="s">
        <v>22</v>
      </c>
      <c r="M39" s="4">
        <v>200</v>
      </c>
      <c r="N39" s="4" t="s">
        <v>16</v>
      </c>
      <c r="O39" s="4">
        <v>35</v>
      </c>
      <c r="P39" s="4">
        <f>(M39/(K39*K39))*703</f>
        <v>27.121913580246911</v>
      </c>
      <c r="Q39" s="3"/>
      <c r="R39" s="3"/>
      <c r="S39" s="1">
        <v>1.0081231295425395</v>
      </c>
      <c r="T39">
        <v>0.85121846943138102</v>
      </c>
      <c r="U39">
        <v>0.84435962680237497</v>
      </c>
    </row>
    <row r="40" spans="1:21">
      <c r="A40">
        <v>16156</v>
      </c>
      <c r="B40" s="3"/>
      <c r="C40" s="3"/>
      <c r="D40" s="1">
        <f>(7.98+8.3+7.83)/3</f>
        <v>8.0366666666666671</v>
      </c>
      <c r="E40">
        <f>(7.86+7.56+7.23)/3</f>
        <v>7.55</v>
      </c>
      <c r="F40" s="3">
        <f>(7.03+8.49+8.38)/3</f>
        <v>7.9666666666666659</v>
      </c>
      <c r="G40" s="3">
        <v>84.5</v>
      </c>
      <c r="H40" s="3">
        <v>0.65587688674776068</v>
      </c>
      <c r="I40" s="3"/>
      <c r="J40" s="3"/>
      <c r="K40" s="4">
        <v>71</v>
      </c>
      <c r="L40" s="4" t="s">
        <v>22</v>
      </c>
      <c r="M40" s="4">
        <v>199</v>
      </c>
      <c r="N40" s="4" t="s">
        <v>16</v>
      </c>
      <c r="O40" s="4">
        <v>45</v>
      </c>
      <c r="P40" s="4">
        <f>(M40/(K40*K40))*703</f>
        <v>27.751834953382268</v>
      </c>
      <c r="Q40" s="3"/>
      <c r="R40" s="3"/>
      <c r="S40" s="1">
        <v>0.93944421401907918</v>
      </c>
      <c r="T40">
        <v>0.99128992119452497</v>
      </c>
      <c r="U40">
        <v>1.0551876379690948</v>
      </c>
    </row>
    <row r="41" spans="1:21">
      <c r="A41">
        <v>16157</v>
      </c>
      <c r="B41" s="3"/>
      <c r="C41" s="3"/>
      <c r="D41" s="1">
        <f>(6.85+6.9+6.99)/3</f>
        <v>6.913333333333334</v>
      </c>
      <c r="E41">
        <f>(5.66+6.3+6.69)/3</f>
        <v>6.2166666666666677</v>
      </c>
      <c r="F41" s="3">
        <f>(7.17+6.39+4.95)/3</f>
        <v>6.169999999999999</v>
      </c>
      <c r="G41" s="3">
        <v>61.4</v>
      </c>
      <c r="H41" s="3">
        <v>0.59802501267857666</v>
      </c>
      <c r="I41" s="3"/>
      <c r="J41" s="3"/>
      <c r="K41" s="4">
        <v>64</v>
      </c>
      <c r="L41" s="4" t="s">
        <v>24</v>
      </c>
      <c r="M41" s="4">
        <v>137</v>
      </c>
      <c r="N41" s="4" t="s">
        <v>17</v>
      </c>
      <c r="O41" s="4">
        <v>55</v>
      </c>
      <c r="P41" s="4">
        <f>(M41/(K41*K41))*703</f>
        <v>23.513427734375</v>
      </c>
      <c r="Q41" s="3"/>
      <c r="R41" s="3"/>
      <c r="S41" s="1">
        <v>0.89922854387656703</v>
      </c>
      <c r="T41">
        <v>0.89247830279652818</v>
      </c>
      <c r="U41">
        <v>0.99249329758713101</v>
      </c>
    </row>
    <row r="42" spans="1:21">
      <c r="A42">
        <v>16196</v>
      </c>
      <c r="B42" s="3"/>
      <c r="C42" s="3"/>
      <c r="D42" s="1">
        <f>(5.1+5.8+4.93)/3</f>
        <v>5.2766666666666664</v>
      </c>
      <c r="E42">
        <f>(5.61+5.49+5.11)/3</f>
        <v>5.4033333333333333</v>
      </c>
      <c r="F42" s="3">
        <f>(5.25+4.72+4.25)/3</f>
        <v>4.7399999999999993</v>
      </c>
      <c r="G42" s="3">
        <v>65</v>
      </c>
      <c r="H42" s="3">
        <v>0.60979487167355473</v>
      </c>
      <c r="I42" s="3"/>
      <c r="J42" s="3"/>
      <c r="K42" s="4">
        <v>64</v>
      </c>
      <c r="L42" s="4" t="s">
        <v>24</v>
      </c>
      <c r="M42" s="4">
        <v>168</v>
      </c>
      <c r="N42" s="4" t="s">
        <v>17</v>
      </c>
      <c r="O42" s="4">
        <v>24</v>
      </c>
      <c r="P42" s="4">
        <f>(M42/(K42*K42))*703</f>
        <v>28.833984375</v>
      </c>
      <c r="Q42" s="3"/>
      <c r="R42" s="3"/>
      <c r="S42" s="1">
        <v>1.024005053695515</v>
      </c>
      <c r="T42">
        <v>0.89829437776373966</v>
      </c>
      <c r="U42">
        <v>0.87723627390499681</v>
      </c>
    </row>
    <row r="43" spans="1:21">
      <c r="A43">
        <v>16197</v>
      </c>
      <c r="B43" s="3"/>
      <c r="C43" s="3"/>
      <c r="D43" s="1">
        <f>(6.44+6.13+6.4)/3</f>
        <v>6.3233333333333333</v>
      </c>
      <c r="E43">
        <f>(5.92+6.32+5.58)/3</f>
        <v>5.94</v>
      </c>
      <c r="F43" s="3">
        <f>(5.32+5.88+4.86)/3</f>
        <v>5.3533333333333326</v>
      </c>
      <c r="G43" s="3">
        <v>62.1</v>
      </c>
      <c r="H43" s="3">
        <v>0.60564046615422762</v>
      </c>
      <c r="I43" s="3"/>
      <c r="J43" s="3"/>
      <c r="K43" s="4">
        <v>65</v>
      </c>
      <c r="L43" s="4" t="s">
        <v>24</v>
      </c>
      <c r="M43" s="4">
        <v>115</v>
      </c>
      <c r="N43" s="4" t="s">
        <v>17</v>
      </c>
      <c r="O43" s="4">
        <v>51</v>
      </c>
      <c r="P43" s="4">
        <f>(M43/(K43*K43))*703</f>
        <v>19.13491124260355</v>
      </c>
      <c r="Q43" s="3"/>
      <c r="R43" s="3"/>
      <c r="S43" s="1">
        <v>0.93937796520822359</v>
      </c>
      <c r="T43">
        <v>0.84659989457037421</v>
      </c>
      <c r="U43">
        <v>0.90123456790123435</v>
      </c>
    </row>
    <row r="44" spans="1:21">
      <c r="A44">
        <v>17069</v>
      </c>
      <c r="B44" s="3">
        <v>45.1</v>
      </c>
      <c r="C44" s="3">
        <v>0.52577991852683204</v>
      </c>
      <c r="D44" s="1">
        <f>(9.19+9.2+5.66)/3</f>
        <v>8.0166666666666675</v>
      </c>
      <c r="E44">
        <f>(8+6.78+5.11)/3</f>
        <v>6.63</v>
      </c>
      <c r="F44" s="3">
        <f>(5.98+6.01+6.97)/3</f>
        <v>6.32</v>
      </c>
      <c r="G44" s="3">
        <v>55.8</v>
      </c>
      <c r="H44" s="3">
        <v>0.63671958577602805</v>
      </c>
      <c r="I44" s="3">
        <v>0.64805791790639411</v>
      </c>
      <c r="J44" s="3">
        <v>1.6283799999999999</v>
      </c>
      <c r="K44" s="4">
        <v>65</v>
      </c>
      <c r="L44" s="4" t="s">
        <v>24</v>
      </c>
      <c r="M44" s="4">
        <v>130</v>
      </c>
      <c r="N44" s="4" t="s">
        <v>17</v>
      </c>
      <c r="O44" s="4">
        <v>32</v>
      </c>
      <c r="P44" s="4">
        <f>(M44/(K44*K44))*703</f>
        <v>21.630769230769232</v>
      </c>
      <c r="Q44" s="3">
        <v>1.1638200000000001</v>
      </c>
      <c r="R44" s="3">
        <v>8.1</v>
      </c>
      <c r="S44" s="1">
        <v>0.82702702702702691</v>
      </c>
      <c r="T44">
        <v>0.78835758835758829</v>
      </c>
      <c r="U44">
        <v>0.95324283559577683</v>
      </c>
    </row>
    <row r="45" spans="1:21">
      <c r="A45">
        <v>17099</v>
      </c>
      <c r="B45" s="3">
        <v>52.3</v>
      </c>
      <c r="C45" s="3">
        <v>0.50394038335055902</v>
      </c>
      <c r="D45" s="1">
        <f>(8.27+9.39+7.44)/3</f>
        <v>8.3666666666666671</v>
      </c>
      <c r="E45">
        <f>(6.76+7.31+6.93)/3</f>
        <v>7</v>
      </c>
      <c r="F45" s="3">
        <f>(6.26+5.52+6.52)/3</f>
        <v>6.0999999999999988</v>
      </c>
      <c r="G45" s="3">
        <v>94.1</v>
      </c>
      <c r="H45" s="3">
        <v>0.65720164939190706</v>
      </c>
      <c r="I45" s="3">
        <v>0.66866416626716685</v>
      </c>
      <c r="J45" s="3">
        <v>1.8173499999999998</v>
      </c>
      <c r="K45" s="4">
        <v>69</v>
      </c>
      <c r="L45" s="4" t="s">
        <v>25</v>
      </c>
      <c r="M45" s="4">
        <v>168</v>
      </c>
      <c r="N45" s="4" t="s">
        <v>17</v>
      </c>
      <c r="O45" s="4">
        <v>28</v>
      </c>
      <c r="P45" s="4">
        <f>(M45/(K45*K45))*703</f>
        <v>24.806553245116572</v>
      </c>
      <c r="Q45" s="3">
        <v>1.06572</v>
      </c>
      <c r="R45" s="3">
        <v>6.8</v>
      </c>
      <c r="S45" s="1">
        <v>0.83665338645418319</v>
      </c>
      <c r="T45">
        <v>0.72908366533864521</v>
      </c>
      <c r="U45">
        <v>0.87142857142857122</v>
      </c>
    </row>
    <row r="46" spans="1:21">
      <c r="A46">
        <v>17110</v>
      </c>
      <c r="B46" s="3">
        <v>49.8</v>
      </c>
      <c r="C46" s="3">
        <v>0.56896822802153235</v>
      </c>
      <c r="D46" s="1">
        <f>(6.86+7.35+6.53)/3</f>
        <v>6.913333333333334</v>
      </c>
      <c r="E46">
        <f>(7.7+7.06+6.46)/3</f>
        <v>7.0733333333333333</v>
      </c>
      <c r="F46" s="3">
        <f>(7.53+7.41+8.16)/3</f>
        <v>7.7</v>
      </c>
      <c r="G46" s="3">
        <v>79.8</v>
      </c>
      <c r="H46" s="3">
        <v>0.62993788906861603</v>
      </c>
      <c r="I46" s="3">
        <v>0.66485385534238561</v>
      </c>
      <c r="J46" s="3">
        <v>2.0185399999999998</v>
      </c>
      <c r="K46" s="4">
        <v>72</v>
      </c>
      <c r="L46" s="4" t="s">
        <v>22</v>
      </c>
      <c r="M46" s="4">
        <v>187</v>
      </c>
      <c r="N46" s="4" t="s">
        <v>16</v>
      </c>
      <c r="O46" s="4">
        <v>33</v>
      </c>
      <c r="P46" s="4">
        <f>(M46/(K46*K46))*703</f>
        <v>25.358989197530864</v>
      </c>
      <c r="Q46" s="3">
        <v>0.99060999999999977</v>
      </c>
      <c r="R46" s="3">
        <v>7.4</v>
      </c>
      <c r="S46" s="1">
        <v>1.0231436837029892</v>
      </c>
      <c r="T46">
        <v>1.1137897782063644</v>
      </c>
      <c r="U46">
        <v>1.0885956644674835</v>
      </c>
    </row>
    <row r="47" spans="1:21">
      <c r="A47">
        <v>17114</v>
      </c>
      <c r="B47" s="3">
        <v>46.5</v>
      </c>
      <c r="C47" s="3">
        <v>0.5001095103983344</v>
      </c>
      <c r="D47" s="1">
        <f>(6.26+6.53+6.84)/3</f>
        <v>6.543333333333333</v>
      </c>
      <c r="E47">
        <f>(6.18+6.42+6.05)/3</f>
        <v>6.2166666666666659</v>
      </c>
      <c r="F47" s="3">
        <f>(6.75+7.43+8.16)/3</f>
        <v>7.4466666666666663</v>
      </c>
      <c r="G47" s="3">
        <v>78.400000000000006</v>
      </c>
      <c r="H47" s="3">
        <v>0.61357061851173345</v>
      </c>
      <c r="I47" s="3">
        <v>0.64345252610343828</v>
      </c>
      <c r="J47" s="3">
        <v>1.7009400000000001</v>
      </c>
      <c r="K47" s="4">
        <v>64</v>
      </c>
      <c r="L47" s="4" t="s">
        <v>24</v>
      </c>
      <c r="M47" s="4">
        <v>125</v>
      </c>
      <c r="N47" s="4" t="s">
        <v>17</v>
      </c>
      <c r="O47" s="4">
        <v>33</v>
      </c>
      <c r="P47" s="4">
        <f>(M47/(K47*K47))*703</f>
        <v>21.453857421875</v>
      </c>
      <c r="Q47" s="3">
        <v>1.1305100000000001</v>
      </c>
      <c r="R47" s="3">
        <v>6.4</v>
      </c>
      <c r="S47" s="1">
        <v>0.95007641365257256</v>
      </c>
      <c r="T47">
        <v>1.1380539989811513</v>
      </c>
      <c r="U47">
        <v>1.1978552278820376</v>
      </c>
    </row>
    <row r="48" spans="1:21">
      <c r="A48">
        <v>17126</v>
      </c>
      <c r="B48" s="3">
        <v>46.8</v>
      </c>
      <c r="C48" s="3">
        <v>0.45671302149178256</v>
      </c>
      <c r="D48" s="1">
        <f>(6.67+7.25+6.03)/3</f>
        <v>6.6499999999999995</v>
      </c>
      <c r="E48">
        <f>(6.41+5.85+5.32)/3</f>
        <v>5.8599999999999994</v>
      </c>
      <c r="F48" s="3">
        <f>(7.54+4.22+6.39)/3</f>
        <v>6.05</v>
      </c>
      <c r="G48" s="3">
        <v>87.3</v>
      </c>
      <c r="H48" s="3">
        <v>0.58918349335401565</v>
      </c>
      <c r="I48" s="3">
        <v>0.62388132937337182</v>
      </c>
      <c r="J48" s="3">
        <v>1.57734</v>
      </c>
      <c r="K48" s="4">
        <v>69</v>
      </c>
      <c r="L48" s="4" t="s">
        <v>25</v>
      </c>
      <c r="M48" s="4">
        <v>180</v>
      </c>
      <c r="N48" s="4" t="s">
        <v>17</v>
      </c>
      <c r="O48" s="4">
        <v>33</v>
      </c>
      <c r="P48" s="4">
        <f>(M48/(K48*K48))*703</f>
        <v>26.578449905482042</v>
      </c>
      <c r="Q48" s="3">
        <v>0.9111769999999999</v>
      </c>
      <c r="R48" s="3">
        <v>5.5</v>
      </c>
      <c r="S48" s="1">
        <v>0.88120300751879699</v>
      </c>
      <c r="T48">
        <v>0.90977443609022557</v>
      </c>
      <c r="U48">
        <v>1.0324232081911264</v>
      </c>
    </row>
    <row r="49" spans="1:21">
      <c r="A49">
        <v>17143</v>
      </c>
      <c r="B49" s="3">
        <v>39.700000000000003</v>
      </c>
      <c r="C49" s="3">
        <v>0.59382985655776321</v>
      </c>
      <c r="D49" s="1">
        <f>(9.69+9.54+7.39)/3</f>
        <v>8.8733333333333331</v>
      </c>
      <c r="E49">
        <f>(9.54+10.1+10)/3</f>
        <v>9.8800000000000008</v>
      </c>
      <c r="F49" s="3">
        <f>(8.72+8.87+10.2)/3</f>
        <v>9.2633333333333336</v>
      </c>
      <c r="G49" s="3">
        <v>65.900000000000006</v>
      </c>
      <c r="H49" s="3">
        <v>0.58173713601914634</v>
      </c>
      <c r="I49" s="3">
        <v>0.59453334536298097</v>
      </c>
      <c r="J49" s="3">
        <v>2.5550700000000002</v>
      </c>
      <c r="K49" s="4">
        <v>70</v>
      </c>
      <c r="L49" s="4" t="s">
        <v>22</v>
      </c>
      <c r="M49" s="4">
        <v>245</v>
      </c>
      <c r="N49" s="4" t="s">
        <v>16</v>
      </c>
      <c r="O49" s="4">
        <v>42</v>
      </c>
      <c r="P49" s="4">
        <f>(M49/(K49*K49))*703</f>
        <v>35.15</v>
      </c>
      <c r="Q49" s="3">
        <v>1.09714</v>
      </c>
      <c r="R49" s="3">
        <v>9.3000000000000007</v>
      </c>
      <c r="S49" s="1">
        <v>1.1134485349361383</v>
      </c>
      <c r="T49">
        <v>1.0439519158527424</v>
      </c>
      <c r="U49">
        <v>0.93758434547908232</v>
      </c>
    </row>
    <row r="50" spans="1:21">
      <c r="A50">
        <v>17144</v>
      </c>
      <c r="B50" s="3">
        <v>48.1</v>
      </c>
      <c r="C50" s="3">
        <v>0.63430514670611815</v>
      </c>
      <c r="D50" s="1">
        <f>(8.39+9.27+8)/3</f>
        <v>8.5533333333333328</v>
      </c>
      <c r="E50">
        <f>(7.8+8.34+8.17)/3</f>
        <v>8.1033333333333335</v>
      </c>
      <c r="F50" s="3">
        <f>(10+7.67+6.93)/3</f>
        <v>8.2000000000000011</v>
      </c>
      <c r="G50" s="3">
        <v>61.1</v>
      </c>
      <c r="H50" s="3">
        <v>0.62168499375368935</v>
      </c>
      <c r="I50" s="3">
        <v>0.63778183650333786</v>
      </c>
      <c r="J50" s="3">
        <v>2.4015200000000005</v>
      </c>
      <c r="K50" s="4">
        <v>72</v>
      </c>
      <c r="L50" s="4" t="s">
        <v>22</v>
      </c>
      <c r="M50" s="4">
        <v>200</v>
      </c>
      <c r="N50" s="4" t="s">
        <v>16</v>
      </c>
      <c r="O50" s="4">
        <v>19</v>
      </c>
      <c r="P50" s="4">
        <f>(M50/(K50*K50))*703</f>
        <v>27.121913580246911</v>
      </c>
      <c r="Q50" s="3">
        <v>0.84614000000000011</v>
      </c>
      <c r="R50" s="3">
        <v>7.9</v>
      </c>
      <c r="S50" s="1">
        <v>0.94738893219017939</v>
      </c>
      <c r="T50">
        <v>0.95869056897895577</v>
      </c>
      <c r="U50">
        <v>1.011929247223365</v>
      </c>
    </row>
    <row r="51" spans="1:21">
      <c r="A51">
        <v>17165</v>
      </c>
      <c r="B51" s="3">
        <v>43</v>
      </c>
      <c r="C51" s="3">
        <v>0.54655746641227965</v>
      </c>
      <c r="D51" s="1">
        <f>(5.57+6.77+6.42)/3</f>
        <v>6.253333333333333</v>
      </c>
      <c r="E51">
        <f>(7.15+7.83+8.06)/3</f>
        <v>7.68</v>
      </c>
      <c r="F51" s="3">
        <f>(6.69+5.7+5.41)/3</f>
        <v>5.9333333333333336</v>
      </c>
      <c r="G51" s="3">
        <v>57.8</v>
      </c>
      <c r="H51" s="3">
        <v>0.52269878007618498</v>
      </c>
      <c r="I51" s="3">
        <v>0.53754902071371902</v>
      </c>
      <c r="J51" s="3">
        <v>2.09877</v>
      </c>
      <c r="K51" s="4">
        <v>64</v>
      </c>
      <c r="L51" s="4" t="s">
        <v>24</v>
      </c>
      <c r="M51" s="4">
        <v>145</v>
      </c>
      <c r="N51" s="4" t="s">
        <v>17</v>
      </c>
      <c r="O51" s="4">
        <v>46</v>
      </c>
      <c r="P51" s="4">
        <f>(M51/(K51*K51))*703</f>
        <v>24.886474609375</v>
      </c>
      <c r="Q51" s="3">
        <v>0.86364199999999991</v>
      </c>
      <c r="R51" s="3">
        <v>7.2</v>
      </c>
      <c r="S51" s="1">
        <v>1.2281449893390193</v>
      </c>
      <c r="T51">
        <v>0.94882729211087424</v>
      </c>
      <c r="U51">
        <v>0.77256944444444453</v>
      </c>
    </row>
    <row r="52" spans="1:21">
      <c r="A52">
        <v>17173</v>
      </c>
      <c r="B52" s="3">
        <v>34.5</v>
      </c>
      <c r="C52" s="3">
        <v>0.54487216796458182</v>
      </c>
      <c r="D52" s="1">
        <f>(8.56+7.76+6.91)/3</f>
        <v>7.7433333333333332</v>
      </c>
      <c r="E52">
        <f>(7+5.53+5.57)/3</f>
        <v>6.0333333333333341</v>
      </c>
      <c r="F52" s="3">
        <f>(4.63+4.09+4.54)/3</f>
        <v>4.419999999999999</v>
      </c>
      <c r="G52" s="3">
        <v>92.1</v>
      </c>
      <c r="H52" s="3">
        <v>0.56609504137005229</v>
      </c>
      <c r="I52" s="3">
        <v>0.5783356358100642</v>
      </c>
      <c r="J52" s="3">
        <v>1.4879099999999998</v>
      </c>
      <c r="K52" s="4">
        <v>68</v>
      </c>
      <c r="L52" s="4" t="s">
        <v>25</v>
      </c>
      <c r="M52" s="4">
        <v>182</v>
      </c>
      <c r="N52" s="4" t="s">
        <v>17</v>
      </c>
      <c r="O52" s="4">
        <v>40</v>
      </c>
      <c r="P52" s="4">
        <f>(M52/(K52*K52))*703</f>
        <v>27.669982698961938</v>
      </c>
      <c r="Q52" s="3">
        <v>1.03952</v>
      </c>
      <c r="R52" s="3">
        <v>5.5</v>
      </c>
      <c r="S52" s="1">
        <v>0.77916487300904014</v>
      </c>
      <c r="T52">
        <v>0.57081360309944029</v>
      </c>
      <c r="U52">
        <v>0.73259668508287268</v>
      </c>
    </row>
    <row r="53" spans="1:21">
      <c r="A53">
        <v>17429</v>
      </c>
      <c r="B53" s="3">
        <v>36.1</v>
      </c>
      <c r="C53" s="3">
        <v>0.52855355137748905</v>
      </c>
      <c r="D53" s="1">
        <f>(5.67+6.15+6.29)/3</f>
        <v>6.0366666666666662</v>
      </c>
      <c r="E53">
        <f>(5.45+7+4.62)/3</f>
        <v>5.69</v>
      </c>
      <c r="F53" s="3">
        <f>(5.91+5.91+5.95)/3</f>
        <v>5.9233333333333329</v>
      </c>
      <c r="G53" s="3">
        <v>83.2</v>
      </c>
      <c r="H53" s="3">
        <v>0.53245782255696106</v>
      </c>
      <c r="I53" s="3">
        <v>0.56589035478442851</v>
      </c>
      <c r="J53" s="3">
        <v>1.6386999999999998</v>
      </c>
      <c r="K53" s="4">
        <v>65</v>
      </c>
      <c r="L53" s="4" t="s">
        <v>24</v>
      </c>
      <c r="M53" s="4">
        <v>124</v>
      </c>
      <c r="N53" s="4" t="s">
        <v>17</v>
      </c>
      <c r="O53" s="4">
        <v>52</v>
      </c>
      <c r="P53" s="4">
        <f>(M53/(K53*K53))*703</f>
        <v>20.632426035502959</v>
      </c>
      <c r="Q53" s="3">
        <v>1.0300100000000001</v>
      </c>
      <c r="R53" s="3">
        <v>6.5</v>
      </c>
      <c r="S53" s="1">
        <v>0.94257316399779145</v>
      </c>
      <c r="T53">
        <v>0.981225842076201</v>
      </c>
      <c r="U53">
        <v>1.0410076157000585</v>
      </c>
    </row>
    <row r="54" spans="1:21">
      <c r="A54">
        <v>17432</v>
      </c>
      <c r="B54" s="3">
        <v>39.299999999999997</v>
      </c>
      <c r="C54" s="3">
        <v>0.56647250705465158</v>
      </c>
      <c r="D54" s="1">
        <f>(8.54+9.45+9.79)/3</f>
        <v>9.26</v>
      </c>
      <c r="E54">
        <f>(8.88+9.69+10.4)/3</f>
        <v>9.6566666666666663</v>
      </c>
      <c r="F54" s="3">
        <f>(9.57+9.01+9.35)/3</f>
        <v>9.31</v>
      </c>
      <c r="G54" s="3">
        <v>63.3</v>
      </c>
      <c r="H54" s="3">
        <v>0.55183646183881674</v>
      </c>
      <c r="I54" s="3">
        <v>0.57354455170979424</v>
      </c>
      <c r="J54" s="3">
        <v>2.64682</v>
      </c>
      <c r="K54" s="4">
        <v>69</v>
      </c>
      <c r="L54" s="4" t="s">
        <v>25</v>
      </c>
      <c r="M54" s="4">
        <v>172</v>
      </c>
      <c r="N54" s="4" t="s">
        <v>17</v>
      </c>
      <c r="O54" s="4">
        <v>52</v>
      </c>
      <c r="P54" s="4">
        <f>(M54/(K54*K54))*703</f>
        <v>25.397185465238394</v>
      </c>
      <c r="Q54" s="3">
        <v>1.1031000000000002</v>
      </c>
      <c r="R54" s="3">
        <v>8.6999999999999993</v>
      </c>
      <c r="S54" s="1">
        <v>1.042836573074154</v>
      </c>
      <c r="T54">
        <v>1.0053995680345573</v>
      </c>
      <c r="U54">
        <v>0.96410079392474979</v>
      </c>
    </row>
    <row r="55" spans="1:21">
      <c r="A55">
        <v>17433</v>
      </c>
      <c r="B55" s="3">
        <v>40.299999999999997</v>
      </c>
      <c r="C55" s="3">
        <v>0.53594222712536632</v>
      </c>
      <c r="D55" s="1">
        <f>(7.39+7.47+7.52)/3</f>
        <v>7.46</v>
      </c>
      <c r="E55">
        <f>(7.21+7.88+7.76)/3</f>
        <v>7.6166666666666671</v>
      </c>
      <c r="F55" s="3">
        <f>(6.61+5.73+5.74)/3</f>
        <v>6.0266666666666664</v>
      </c>
      <c r="G55" s="3">
        <v>53.9</v>
      </c>
      <c r="H55" s="3">
        <v>0.55584723060670094</v>
      </c>
      <c r="I55" s="3">
        <v>0.58832025902321283</v>
      </c>
      <c r="J55" s="3">
        <v>1.9501500000000003</v>
      </c>
      <c r="K55" s="4">
        <v>63</v>
      </c>
      <c r="L55" s="4" t="s">
        <v>24</v>
      </c>
      <c r="M55" s="4">
        <v>155</v>
      </c>
      <c r="N55" s="4" t="s">
        <v>17</v>
      </c>
      <c r="O55" s="4">
        <v>41</v>
      </c>
      <c r="P55" s="4">
        <f>(M55/(K55*K55))*703</f>
        <v>27.454018644494834</v>
      </c>
      <c r="Q55" s="3">
        <v>0.92222000000000004</v>
      </c>
      <c r="R55" s="3">
        <v>6.9</v>
      </c>
      <c r="S55" s="1">
        <v>1.0210008936550492</v>
      </c>
      <c r="T55">
        <v>0.80786416443252906</v>
      </c>
      <c r="U55">
        <v>0.79124726477024065</v>
      </c>
    </row>
    <row r="56" spans="1:21">
      <c r="A56">
        <v>17435</v>
      </c>
      <c r="B56" s="3">
        <v>57</v>
      </c>
      <c r="C56" s="3">
        <v>0.53948062836631494</v>
      </c>
      <c r="D56" s="1">
        <f>(7.05+7.69+7.27)/3</f>
        <v>7.336666666666666</v>
      </c>
      <c r="E56">
        <f>(6.62+6.65+6.98)/3</f>
        <v>6.75</v>
      </c>
      <c r="F56" s="3">
        <f>(3.27+4.09+5.38)/3</f>
        <v>4.2466666666666661</v>
      </c>
      <c r="G56" s="3">
        <v>78.3</v>
      </c>
      <c r="H56" s="3">
        <v>0.71300547969290284</v>
      </c>
      <c r="I56" s="3">
        <v>0.71230843520471709</v>
      </c>
      <c r="J56" s="3">
        <v>1.6188699999999998</v>
      </c>
      <c r="K56" s="4">
        <v>75</v>
      </c>
      <c r="L56" s="4" t="s">
        <v>23</v>
      </c>
      <c r="M56" s="4">
        <v>240</v>
      </c>
      <c r="N56" s="4" t="s">
        <v>16</v>
      </c>
      <c r="O56" s="4">
        <v>17</v>
      </c>
      <c r="P56" s="4">
        <f>(M56/(K56*K56))*703</f>
        <v>29.994666666666667</v>
      </c>
      <c r="Q56" s="3">
        <v>1.3667100000000001</v>
      </c>
      <c r="R56" s="3">
        <v>6.8</v>
      </c>
      <c r="S56" s="1">
        <v>0.92003634711494786</v>
      </c>
      <c r="T56">
        <v>0.578827805542935</v>
      </c>
      <c r="U56">
        <v>0.6291358024691357</v>
      </c>
    </row>
    <row r="57" spans="1:21">
      <c r="A57">
        <v>17463</v>
      </c>
      <c r="B57" s="3">
        <v>38.6</v>
      </c>
      <c r="C57" s="3">
        <v>0.57337568924139037</v>
      </c>
      <c r="D57" s="1">
        <f>(5.41+5.65+5.65)/3</f>
        <v>5.57</v>
      </c>
      <c r="E57">
        <f>(5.18+5.26+4.84)/3</f>
        <v>5.0933333333333328</v>
      </c>
      <c r="F57" s="3">
        <f>(5.14+4.42+5.09)/3</f>
        <v>4.8833333333333329</v>
      </c>
      <c r="G57" s="3">
        <v>60.8</v>
      </c>
      <c r="H57" s="3">
        <v>0.64305908721151817</v>
      </c>
      <c r="I57" s="3">
        <v>0.65824623782653469</v>
      </c>
      <c r="J57" s="3">
        <v>1.3198699999999999</v>
      </c>
      <c r="K57" s="4">
        <v>64</v>
      </c>
      <c r="L57" s="4" t="s">
        <v>24</v>
      </c>
      <c r="M57" s="4">
        <v>120</v>
      </c>
      <c r="N57" s="4" t="s">
        <v>17</v>
      </c>
      <c r="O57" s="4">
        <v>26</v>
      </c>
      <c r="P57" s="4">
        <f>(M57/(K57*K57))*703</f>
        <v>20.595703125</v>
      </c>
      <c r="Q57" s="3">
        <v>1.0826</v>
      </c>
      <c r="R57" s="3">
        <v>5.3</v>
      </c>
      <c r="S57" s="1">
        <v>0.91442250149610993</v>
      </c>
      <c r="T57">
        <v>0.87672052663075994</v>
      </c>
      <c r="U57">
        <v>0.95876963350785338</v>
      </c>
    </row>
    <row r="58" spans="1:21">
      <c r="A58">
        <v>17528</v>
      </c>
      <c r="B58" s="3">
        <v>41.4</v>
      </c>
      <c r="C58" s="3">
        <v>0.50922197869911978</v>
      </c>
      <c r="D58" s="1">
        <f>(5.65+5.87+6.1)/3</f>
        <v>5.8733333333333322</v>
      </c>
      <c r="E58">
        <f>(6.12+6.65+6.55)/3</f>
        <v>6.44</v>
      </c>
      <c r="F58" s="3">
        <f>(5.63+5.97+5.7)/3</f>
        <v>5.7666666666666666</v>
      </c>
      <c r="G58" s="3">
        <v>71.3</v>
      </c>
      <c r="H58" s="3">
        <v>0.54602676633680958</v>
      </c>
      <c r="I58" s="3">
        <v>0.5766436947416721</v>
      </c>
      <c r="J58" s="3">
        <v>1.55705</v>
      </c>
      <c r="K58" s="4">
        <v>64</v>
      </c>
      <c r="L58" s="4" t="s">
        <v>24</v>
      </c>
      <c r="M58" s="4">
        <v>130</v>
      </c>
      <c r="N58" s="4" t="s">
        <v>17</v>
      </c>
      <c r="O58" s="4">
        <v>41</v>
      </c>
      <c r="P58" s="4">
        <f>(M58/(K58*K58))*703</f>
        <v>22.31201171875</v>
      </c>
      <c r="Q58" s="3">
        <v>0.96475500000000003</v>
      </c>
      <c r="R58" s="3">
        <v>6.1</v>
      </c>
      <c r="S58" s="1">
        <v>1.0964812712826337</v>
      </c>
      <c r="T58">
        <v>0.98183881952326924</v>
      </c>
      <c r="U58">
        <v>0.89544513457556929</v>
      </c>
    </row>
    <row r="59" spans="1:21">
      <c r="A59">
        <v>17554</v>
      </c>
      <c r="B59" s="3">
        <v>54.1</v>
      </c>
      <c r="C59" s="3">
        <v>0.61619233231497306</v>
      </c>
      <c r="D59" s="1">
        <f>(6.14+6.41+6.13)/3</f>
        <v>6.2266666666666666</v>
      </c>
      <c r="E59">
        <f>(6.92+7.46+7.71)/3</f>
        <v>7.3633333333333333</v>
      </c>
      <c r="F59" s="3">
        <f>(10.1+9.21+8.87)/3</f>
        <v>9.3933333333333326</v>
      </c>
      <c r="G59" s="3">
        <v>80.3</v>
      </c>
      <c r="H59" s="3">
        <v>0.70482666560180729</v>
      </c>
      <c r="I59" s="3">
        <v>0.72706287683031878</v>
      </c>
      <c r="J59" s="3">
        <v>1.9011100000000001</v>
      </c>
      <c r="K59" s="4">
        <v>75</v>
      </c>
      <c r="L59" s="4" t="s">
        <v>23</v>
      </c>
      <c r="M59" s="4">
        <v>190</v>
      </c>
      <c r="N59" s="4" t="s">
        <v>16</v>
      </c>
      <c r="O59" s="4">
        <v>41</v>
      </c>
      <c r="P59" s="4">
        <f>(M59/(K59*K59))*703</f>
        <v>23.745777777777775</v>
      </c>
      <c r="Q59" s="3">
        <v>0.92750999999999983</v>
      </c>
      <c r="R59" s="3">
        <v>8.1999999999999993</v>
      </c>
      <c r="S59" s="1">
        <v>1.1825481798715203</v>
      </c>
      <c r="T59">
        <v>1.5085653104925052</v>
      </c>
      <c r="U59">
        <v>1.2756903576278857</v>
      </c>
    </row>
    <row r="60" spans="1:21">
      <c r="A60">
        <v>17559</v>
      </c>
      <c r="B60" s="3"/>
      <c r="C60" s="3">
        <v>0.59687963503187846</v>
      </c>
      <c r="D60" s="1">
        <f>(7.22+7.76+7.74)/3</f>
        <v>7.5733333333333333</v>
      </c>
      <c r="E60">
        <f>(7.13+7.03+6.79)/3</f>
        <v>6.9833333333333334</v>
      </c>
      <c r="F60" s="3">
        <f>(6.4+6.71+6.11)/3</f>
        <v>6.4066666666666663</v>
      </c>
      <c r="G60" s="3">
        <v>73.099999999999994</v>
      </c>
      <c r="H60" s="3">
        <v>0.56186588320189679</v>
      </c>
      <c r="I60" s="3">
        <v>0.58425091356412295</v>
      </c>
      <c r="J60" s="3">
        <v>1.6139600000000003</v>
      </c>
      <c r="K60" s="4">
        <v>64</v>
      </c>
      <c r="L60" s="4" t="s">
        <v>24</v>
      </c>
      <c r="M60" s="4">
        <v>135</v>
      </c>
      <c r="N60" s="4" t="s">
        <v>17</v>
      </c>
      <c r="O60" s="4">
        <v>44</v>
      </c>
      <c r="P60" s="4">
        <f>(M60/(K60*K60))*703</f>
        <v>23.170166015625</v>
      </c>
      <c r="Q60" s="3">
        <v>1.0098899999999997</v>
      </c>
      <c r="R60" s="3">
        <v>6.7</v>
      </c>
      <c r="S60" s="1">
        <v>0.92209507042253525</v>
      </c>
      <c r="T60">
        <v>0.84595070422535212</v>
      </c>
      <c r="U60">
        <v>0.91742243436754167</v>
      </c>
    </row>
    <row r="61" spans="1:21">
      <c r="A61">
        <v>17608</v>
      </c>
      <c r="B61" s="3">
        <v>40</v>
      </c>
      <c r="C61" s="3">
        <v>0.57474777123584897</v>
      </c>
      <c r="D61" s="1">
        <f>(8.05+8.07+8.19)/3</f>
        <v>8.1033333333333335</v>
      </c>
      <c r="E61">
        <f>(8.45+7.95+7.14)/3</f>
        <v>7.8466666666666667</v>
      </c>
      <c r="F61" s="3">
        <f>(7.04+7.5+9.76)/3</f>
        <v>8.1</v>
      </c>
      <c r="G61" s="3">
        <v>67.5</v>
      </c>
      <c r="H61" s="3">
        <v>0.63534499498365649</v>
      </c>
      <c r="I61" s="3">
        <v>0.65760888442909249</v>
      </c>
      <c r="J61" s="3">
        <v>1.8707099999999999</v>
      </c>
      <c r="K61" s="4">
        <v>63</v>
      </c>
      <c r="L61" s="4" t="s">
        <v>24</v>
      </c>
      <c r="M61" s="4">
        <v>175</v>
      </c>
      <c r="N61" s="4" t="s">
        <v>17</v>
      </c>
      <c r="O61" s="4">
        <v>49</v>
      </c>
      <c r="P61" s="4">
        <f>(M61/(K61*K61))*703</f>
        <v>30.996472663139329</v>
      </c>
      <c r="Q61" s="3">
        <v>1.0070599999999998</v>
      </c>
      <c r="R61" s="3">
        <v>8.9</v>
      </c>
      <c r="S61" s="1">
        <v>0.96832579185520362</v>
      </c>
      <c r="T61">
        <v>0.99958864664747016</v>
      </c>
      <c r="U61">
        <v>1.032285471537808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Mitchell</dc:creator>
  <cp:lastModifiedBy>Phillip Mitchell</cp:lastModifiedBy>
  <dcterms:created xsi:type="dcterms:W3CDTF">2012-09-04T17:28:52Z</dcterms:created>
  <dcterms:modified xsi:type="dcterms:W3CDTF">2012-09-04T18:20:20Z</dcterms:modified>
</cp:coreProperties>
</file>