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-216" yWindow="0" windowWidth="25824" windowHeight="13056" tabRatio="500" activeTab="2"/>
  </bookViews>
  <sheets>
    <sheet name="PatientInfo" sheetId="1" r:id="rId1"/>
    <sheet name="Xray info" sheetId="2" r:id="rId2"/>
    <sheet name="CTSCan" sheetId="3" r:id="rId3"/>
    <sheet name="Cost" sheetId="4" r:id="rId4"/>
    <sheet name="Patients that are removed" sheetId="5" r:id="rId5"/>
  </sheets>
  <externalReferences>
    <externalReference r:id="rId6"/>
  </externalReferenc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4" i="2"/>
  <c r="W50" i="4"/>
  <c r="W43"/>
  <c r="W41"/>
  <c r="W40"/>
  <c r="W37"/>
  <c r="W25"/>
  <c r="W24"/>
  <c r="W22"/>
  <c r="W38"/>
  <c r="W9"/>
  <c r="B84" i="3"/>
  <c r="A84"/>
  <c r="F180" i="2"/>
  <c r="E180"/>
  <c r="F178"/>
  <c r="E178"/>
  <c r="F177"/>
  <c r="E177"/>
  <c r="F175"/>
  <c r="E175"/>
  <c r="F174"/>
  <c r="E174"/>
  <c r="F173"/>
  <c r="E173"/>
  <c r="F172"/>
  <c r="E172"/>
  <c r="F171"/>
  <c r="E171"/>
  <c r="F170"/>
  <c r="E170"/>
  <c r="F169"/>
  <c r="E169"/>
  <c r="F167"/>
  <c r="E167"/>
  <c r="F165"/>
  <c r="E165"/>
  <c r="F164"/>
  <c r="E164"/>
  <c r="F163"/>
  <c r="E163"/>
  <c r="F162"/>
  <c r="E162"/>
  <c r="F161"/>
  <c r="E161"/>
  <c r="F156"/>
  <c r="E156"/>
  <c r="F155"/>
  <c r="E155"/>
  <c r="F152"/>
  <c r="E152"/>
  <c r="F151"/>
  <c r="E151"/>
  <c r="F150"/>
  <c r="E150"/>
  <c r="F148"/>
  <c r="E148"/>
  <c r="F145"/>
  <c r="E145"/>
  <c r="F144"/>
  <c r="F143"/>
  <c r="E143"/>
  <c r="F142"/>
  <c r="E142"/>
  <c r="F140"/>
  <c r="E140"/>
  <c r="F139"/>
  <c r="E139"/>
  <c r="F138"/>
  <c r="E138"/>
  <c r="F137"/>
  <c r="E137"/>
  <c r="F135"/>
  <c r="E135"/>
  <c r="F132"/>
  <c r="E132"/>
  <c r="F131"/>
  <c r="E131"/>
  <c r="F119"/>
  <c r="E119"/>
  <c r="F118"/>
  <c r="E118"/>
  <c r="F117"/>
  <c r="E117"/>
  <c r="F115"/>
  <c r="E115"/>
  <c r="F114"/>
  <c r="E114"/>
  <c r="F112"/>
  <c r="E112"/>
  <c r="F111"/>
  <c r="E111"/>
  <c r="F110"/>
  <c r="E110"/>
  <c r="F107"/>
  <c r="E107"/>
  <c r="F106"/>
  <c r="E106"/>
  <c r="F105"/>
  <c r="E105"/>
  <c r="F104"/>
  <c r="E104"/>
  <c r="F103"/>
  <c r="E103"/>
  <c r="F102"/>
  <c r="E102"/>
  <c r="F101"/>
  <c r="E101"/>
  <c r="F100"/>
  <c r="E100"/>
  <c r="F98"/>
  <c r="E98"/>
  <c r="F97"/>
  <c r="E97"/>
  <c r="F96"/>
  <c r="E96"/>
  <c r="F95"/>
  <c r="E95"/>
  <c r="F94"/>
  <c r="E94"/>
  <c r="F93"/>
  <c r="E93"/>
  <c r="F92"/>
  <c r="E92"/>
  <c r="E3"/>
  <c r="F3"/>
  <c r="E5"/>
  <c r="F5"/>
  <c r="E7"/>
  <c r="F7"/>
  <c r="E8"/>
  <c r="F8"/>
  <c r="E9"/>
  <c r="F9"/>
  <c r="E10"/>
  <c r="F10"/>
  <c r="E12"/>
  <c r="F12"/>
  <c r="E13"/>
  <c r="F13"/>
  <c r="E15"/>
  <c r="F15"/>
  <c r="E16"/>
  <c r="F16"/>
  <c r="E17"/>
  <c r="F17"/>
  <c r="E19"/>
  <c r="F19"/>
  <c r="E20"/>
  <c r="F20"/>
  <c r="E21"/>
  <c r="F21"/>
  <c r="E23"/>
  <c r="F23"/>
  <c r="E24"/>
  <c r="F24"/>
  <c r="E28"/>
  <c r="F28"/>
  <c r="E29"/>
  <c r="F29"/>
  <c r="E31"/>
  <c r="F31"/>
  <c r="E32"/>
  <c r="F32"/>
  <c r="E33"/>
  <c r="F33"/>
  <c r="E34"/>
  <c r="F34"/>
  <c r="E35"/>
  <c r="F35"/>
  <c r="E36"/>
  <c r="F36"/>
  <c r="E37"/>
  <c r="F37"/>
  <c r="E38"/>
  <c r="F38"/>
  <c r="E40"/>
  <c r="F40"/>
  <c r="E41"/>
  <c r="F41"/>
  <c r="E42"/>
  <c r="F42"/>
  <c r="E43"/>
  <c r="F43"/>
  <c r="E45"/>
  <c r="F45"/>
  <c r="E46"/>
  <c r="F46"/>
  <c r="E48"/>
  <c r="F48"/>
  <c r="E49"/>
  <c r="F49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3"/>
  <c r="F63"/>
  <c r="E64"/>
  <c r="F64"/>
  <c r="E65"/>
  <c r="F65"/>
  <c r="E67"/>
  <c r="F67"/>
  <c r="E68"/>
  <c r="F68"/>
  <c r="E69"/>
  <c r="F69"/>
  <c r="E72"/>
  <c r="F72"/>
  <c r="E73"/>
  <c r="F73"/>
  <c r="E74"/>
  <c r="F74"/>
  <c r="E75"/>
  <c r="F75"/>
  <c r="E76"/>
  <c r="F76"/>
  <c r="E77"/>
  <c r="F77"/>
  <c r="E79"/>
  <c r="F79"/>
  <c r="E80"/>
  <c r="F80"/>
  <c r="E81"/>
  <c r="F81"/>
  <c r="E83"/>
  <c r="F83"/>
  <c r="E85"/>
  <c r="F85"/>
  <c r="E86"/>
  <c r="F86"/>
  <c r="E87"/>
  <c r="F87"/>
  <c r="E88"/>
  <c r="F88"/>
  <c r="E89"/>
  <c r="F89"/>
  <c r="W26" i="4"/>
  <c r="W29"/>
  <c r="W30"/>
  <c r="K33"/>
  <c r="W33"/>
  <c r="W44"/>
  <c r="W16"/>
  <c r="K19"/>
  <c r="W19"/>
  <c r="W7"/>
  <c r="E6"/>
  <c r="F6"/>
  <c r="W6"/>
  <c r="W4"/>
  <c r="W3"/>
  <c r="W46"/>
  <c r="W2"/>
  <c r="W1"/>
</calcChain>
</file>

<file path=xl/sharedStrings.xml><?xml version="1.0" encoding="utf-8"?>
<sst xmlns="http://schemas.openxmlformats.org/spreadsheetml/2006/main" count="2261" uniqueCount="385">
  <si>
    <t>Patient name</t>
  </si>
  <si>
    <t>Surgeon</t>
  </si>
  <si>
    <t>Date of surgery</t>
  </si>
  <si>
    <t>Age at surgery</t>
  </si>
  <si>
    <t>Type of surgery( GH, TA)</t>
  </si>
  <si>
    <t>Insured (Y/N)</t>
  </si>
  <si>
    <t>Type of Insurance</t>
  </si>
  <si>
    <t>Patient MRN</t>
  </si>
  <si>
    <t>CT Scan</t>
  </si>
  <si>
    <t>Reason for surgery</t>
  </si>
  <si>
    <t xml:space="preserve">Charges </t>
  </si>
  <si>
    <t>Device charges</t>
  </si>
  <si>
    <t>Intraoperative charges</t>
  </si>
  <si>
    <t>Hospital charges</t>
  </si>
  <si>
    <t>Date of CT scan</t>
  </si>
  <si>
    <t>Time from Surgery( 3m, 6m, 1y, 2y)</t>
  </si>
  <si>
    <t>Revision Surgery ( Y/N)</t>
  </si>
  <si>
    <t>Date of revision surgery</t>
  </si>
  <si>
    <t>Date of birth</t>
  </si>
  <si>
    <t>Date of Xray</t>
  </si>
  <si>
    <t>Smoker? y/n</t>
  </si>
  <si>
    <t>Type of Graft used</t>
  </si>
  <si>
    <t>Days in ICU</t>
  </si>
  <si>
    <t>Total days in hospital</t>
  </si>
  <si>
    <t>Time of revision from primary surgery</t>
  </si>
  <si>
    <t>Time from Surgery( 6 weeks, 3m, 6m, 1y, 2y)</t>
  </si>
  <si>
    <t>Post - operative compilcations</t>
  </si>
  <si>
    <t xml:space="preserve">MRN </t>
  </si>
  <si>
    <t>ANDERSON, ETHEL M</t>
  </si>
  <si>
    <t>RODTS MD,GERALD E.</t>
  </si>
  <si>
    <t>ASHER, DELL SPECTOR</t>
  </si>
  <si>
    <t>HELLER MD,JOHN G</t>
  </si>
  <si>
    <t>BASS, JOSEPH A</t>
  </si>
  <si>
    <t>BORG, LEONARD EMIEL</t>
  </si>
  <si>
    <t xml:space="preserve">BRISBANE, LINDA </t>
  </si>
  <si>
    <t>BRYANT, KATHERINE W</t>
  </si>
  <si>
    <t>CARROLL, ROBERT MITCHELL</t>
  </si>
  <si>
    <t>COLLINS, MARGIE STOWERS</t>
  </si>
  <si>
    <t>CRANE, MILDRED HALLMAN</t>
  </si>
  <si>
    <t>CUMMINS, JANE WILSON</t>
  </si>
  <si>
    <t>DIBBLE, DELORES L</t>
  </si>
  <si>
    <t>DUQUEMIN, PATRICIA JONES</t>
  </si>
  <si>
    <t>MUMMANENI MD,PRAVEEN V.</t>
  </si>
  <si>
    <t>EZZELL, CAROLE S</t>
  </si>
  <si>
    <t>FOWLER, SARA HUGGINS</t>
  </si>
  <si>
    <t>YOON MD,SANGWOOK T</t>
  </si>
  <si>
    <t>GALLMAN, GERALD J</t>
  </si>
  <si>
    <t>RHEE MD,JOHN M</t>
  </si>
  <si>
    <t>GARRETT, JEROME CURTIS</t>
  </si>
  <si>
    <t xml:space="preserve">GIDEON, JAMES </t>
  </si>
  <si>
    <t>GREENE, STEPHANIE FLOYD</t>
  </si>
  <si>
    <t>GRIZZLE, FRANCES W</t>
  </si>
  <si>
    <t>HAMES, CALVIN S</t>
  </si>
  <si>
    <t>HAUSER, PATRICIA ANN</t>
  </si>
  <si>
    <t xml:space="preserve">HAYES, CLYDE </t>
  </si>
  <si>
    <t>HEINITSH, BEULAH REEVE</t>
  </si>
  <si>
    <t>HENDERSON, JAMES L</t>
  </si>
  <si>
    <t>HESTER, MARY CONOLY</t>
  </si>
  <si>
    <t>HIGGINBOTHAM, NICK A</t>
  </si>
  <si>
    <t>HOLDER, KAY M</t>
  </si>
  <si>
    <t xml:space="preserve">HOLTZCLAW, MARY </t>
  </si>
  <si>
    <t>ISLER, BETTY L</t>
  </si>
  <si>
    <t>IZZO, VANESSA M</t>
  </si>
  <si>
    <t>JONES, JAMES FREDERICK</t>
  </si>
  <si>
    <t>REFAI MD,DANIEL</t>
  </si>
  <si>
    <t>JONES, JESSICA L</t>
  </si>
  <si>
    <t>KELLY, GLORIA M</t>
  </si>
  <si>
    <t xml:space="preserve">KELLY, PATRICE </t>
  </si>
  <si>
    <t>No</t>
  </si>
  <si>
    <t>TA</t>
  </si>
  <si>
    <t>ICBG</t>
  </si>
  <si>
    <t>DJD</t>
  </si>
  <si>
    <t>Total charges</t>
  </si>
  <si>
    <t>None</t>
  </si>
  <si>
    <t>N/A</t>
  </si>
  <si>
    <t>DJD; C1-2 instability</t>
  </si>
  <si>
    <t>3m</t>
  </si>
  <si>
    <t>6m</t>
  </si>
  <si>
    <t>1y</t>
  </si>
  <si>
    <t>Yes</t>
  </si>
  <si>
    <t>GH (unilateral)</t>
  </si>
  <si>
    <t>Local Autograft</t>
  </si>
  <si>
    <t>Tumor</t>
  </si>
  <si>
    <t>6 weeks</t>
  </si>
  <si>
    <t>PAN MD, JEFF.</t>
  </si>
  <si>
    <t>Other Hardware</t>
  </si>
  <si>
    <t>Type of Brace</t>
  </si>
  <si>
    <t>Period of Brace Wear</t>
  </si>
  <si>
    <t>Titanium Cable (for graft)</t>
  </si>
  <si>
    <t>Aspen</t>
  </si>
  <si>
    <t>?</t>
  </si>
  <si>
    <t>Soft Collar</t>
  </si>
  <si>
    <t>PRN</t>
  </si>
  <si>
    <t>Peri-Screw Lucency 11/18</t>
  </si>
  <si>
    <t>Type 2 Odontoid fx with non-union</t>
  </si>
  <si>
    <t>GH</t>
  </si>
  <si>
    <t>Miami J</t>
  </si>
  <si>
    <t>Apnea; Atrial Fibrilation</t>
  </si>
  <si>
    <t>No Post-Operative Clinc Follow up Notes</t>
  </si>
  <si>
    <t>Miscellaneous</t>
  </si>
  <si>
    <t>2y</t>
  </si>
  <si>
    <t>Hard Collar</t>
  </si>
  <si>
    <t>Hard Collar then Soft Collar</t>
  </si>
  <si>
    <t>Brooks-Style C1-2 Fusion. Failed to f/u between 1.5y and 4 years</t>
  </si>
  <si>
    <t>15m</t>
  </si>
  <si>
    <t>Yes (duration unclear)</t>
  </si>
  <si>
    <t>C3-7 laminoplasty plates</t>
  </si>
  <si>
    <t>DJD; multilevel spondylosis</t>
  </si>
  <si>
    <t>TA (unilateral)</t>
  </si>
  <si>
    <t>Unilateral Left side Screw 2/2 anomalous right Vertebral artery; C3-7 laminoplasty and decompression</t>
  </si>
  <si>
    <t>Yes (unclear what type)</t>
  </si>
  <si>
    <t>4m</t>
  </si>
  <si>
    <t>7m</t>
  </si>
  <si>
    <t>13m</t>
  </si>
  <si>
    <t>Rheumatoid</t>
  </si>
  <si>
    <t>Rhematoid; C1-2 subluxation</t>
  </si>
  <si>
    <t>Underwent C1-2 reduction with halo traction 8/5; unilateral 2/2 bone stock</t>
  </si>
  <si>
    <t>Aspiration PNA at home</t>
  </si>
  <si>
    <t>1m</t>
  </si>
  <si>
    <t>12 weeks</t>
  </si>
  <si>
    <t>Unilateral Left side Screw 2/2 to poor right side bone stock and venous plexus</t>
  </si>
  <si>
    <t>No (quit 6m ago)</t>
  </si>
  <si>
    <t>Type 2 Odontoid fx</t>
  </si>
  <si>
    <t>(Dens healed but not Arch Fusion)</t>
  </si>
  <si>
    <t>26m</t>
  </si>
  <si>
    <t>Peri-Screw Lucency 11/4; failure of fusion</t>
  </si>
  <si>
    <t>Dens healed; arch non-union and graft resorbed; asymptomatic</t>
  </si>
  <si>
    <t>wound drainage; C1-graft non-union 2/2009</t>
  </si>
  <si>
    <t>C1-Graft non-union; stable &amp; aysmptomatic</t>
  </si>
  <si>
    <t>Underwent failed  Dens reduction with halo traction 2/19; non-union asymptomatic</t>
  </si>
  <si>
    <t>C1-Graft non-union discovered same date on CT</t>
  </si>
  <si>
    <t>Type 3 Odontoid fx; Rhematoid</t>
  </si>
  <si>
    <t>PA notes limited in content</t>
  </si>
  <si>
    <t>Myelopathy requiring C1-2 bilateral partial laminectomy</t>
  </si>
  <si>
    <t>Non-compliant with brace wear</t>
  </si>
  <si>
    <t>No (quit &gt;6m ago)</t>
  </si>
  <si>
    <t>Allograft?</t>
  </si>
  <si>
    <t>6 weeks / 6 weeks</t>
  </si>
  <si>
    <t>AMS; fever NOS</t>
  </si>
  <si>
    <t>2 months</t>
  </si>
  <si>
    <t>5m</t>
  </si>
  <si>
    <t>ARF; Hypotension requiring pressor</t>
  </si>
  <si>
    <t>Underwent concomitant L2 &amp; L3 kyphoplasty for compression fx</t>
  </si>
  <si>
    <t>No (quit &gt;50y ago)</t>
  </si>
  <si>
    <t>3 weeks</t>
  </si>
  <si>
    <t>Concomitant C1 arch fx; benign drainage prompting 4/17 appointment</t>
  </si>
  <si>
    <t>C1-2 fx dislocation; failed attempt at cervical traction</t>
  </si>
  <si>
    <t>4 weeks</t>
  </si>
  <si>
    <t>Failed halo treatment</t>
  </si>
  <si>
    <t>Rib Autograft</t>
  </si>
  <si>
    <t>Os Odontoideum; C1-2 instability</t>
  </si>
  <si>
    <t>No (quit &gt;5y ago)</t>
  </si>
  <si>
    <t>prior ACDF C5-7 October 2004; only 1 post-op clinic note</t>
  </si>
  <si>
    <t>multiple concomitant cervical procedures</t>
  </si>
  <si>
    <t>Healed? per spine staff</t>
  </si>
  <si>
    <t>Healed? per surgeon</t>
  </si>
  <si>
    <t>Healed? per radiology staff</t>
  </si>
  <si>
    <t>27m</t>
  </si>
  <si>
    <t>TA(unilateral)</t>
  </si>
  <si>
    <t>Delta Cobb angle ( Ext - flex)</t>
  </si>
  <si>
    <t>Interspinous</t>
  </si>
  <si>
    <t xml:space="preserve">12 weeks </t>
  </si>
  <si>
    <t xml:space="preserve">3m </t>
  </si>
  <si>
    <t>no flex ex</t>
  </si>
  <si>
    <t>fused from C1-3</t>
  </si>
  <si>
    <t>3.5y</t>
  </si>
  <si>
    <t>Unable to visualize graft</t>
  </si>
  <si>
    <t>(Dens healed but not Arch Fusion, screw lucency)</t>
  </si>
  <si>
    <t>1b; 2a;3a</t>
  </si>
  <si>
    <t>1a; 2a;3a</t>
  </si>
  <si>
    <t>1c; 2b;3a</t>
  </si>
  <si>
    <t>1c; 2b;3c</t>
  </si>
  <si>
    <t>1a;2b;3a</t>
  </si>
  <si>
    <t>1a;2a;3a</t>
  </si>
  <si>
    <t>(Dens healed but not Arch Fusion) unable to visualize graft</t>
  </si>
  <si>
    <t>1c;2b;1a</t>
  </si>
  <si>
    <t>odontoid healed</t>
  </si>
  <si>
    <t>1b;2a;3a</t>
  </si>
  <si>
    <t>anterior fusion</t>
  </si>
  <si>
    <t>Rotated Film</t>
  </si>
  <si>
    <t>1b;2b;3a</t>
  </si>
  <si>
    <t>Unknown surgeon interpretation</t>
  </si>
  <si>
    <t>Left Screw in Vertebral Artery</t>
  </si>
  <si>
    <t>Healed Dens fracture but asymptomatic posterior non-union; screw halo</t>
  </si>
  <si>
    <t>1c;2b;3b</t>
  </si>
  <si>
    <t>1c;2b;3a</t>
  </si>
  <si>
    <t>Patient Name</t>
  </si>
  <si>
    <t>Intensive Care</t>
  </si>
  <si>
    <t>MED-SUR-GY/PVT</t>
  </si>
  <si>
    <t>PHARMACY</t>
  </si>
  <si>
    <t>DRGS/OTHER</t>
  </si>
  <si>
    <t>MED-SURG SUPPLIES</t>
  </si>
  <si>
    <t>STERILE SUPPLY</t>
  </si>
  <si>
    <t>SUPPLY/IMPLANTS</t>
  </si>
  <si>
    <t>LAB</t>
  </si>
  <si>
    <t>DX X-RAY</t>
  </si>
  <si>
    <t>OR SERVICES</t>
  </si>
  <si>
    <t>ANESTHESIA</t>
  </si>
  <si>
    <t>BLOOD</t>
  </si>
  <si>
    <t>DRUGS</t>
  </si>
  <si>
    <t>RECOVERY ROOM</t>
  </si>
  <si>
    <t>EEG</t>
  </si>
  <si>
    <t>EMG</t>
  </si>
  <si>
    <t>EKG</t>
  </si>
  <si>
    <t>CONSULTS ( RESP/CARDS ETC)</t>
  </si>
  <si>
    <t>BRISBANE, LINDA</t>
  </si>
  <si>
    <t>CRANE,  MILDRED HALLMAN</t>
  </si>
  <si>
    <t>ESSELL, CAROLE</t>
  </si>
  <si>
    <t>Lost to followup - no xrays</t>
  </si>
  <si>
    <t>AVERAGE</t>
  </si>
  <si>
    <t>no</t>
  </si>
  <si>
    <t>BOLDEN, FLOSSIE C</t>
  </si>
  <si>
    <t>WHITESIDES MD,THOMAS E JR</t>
  </si>
  <si>
    <t>Brooks Style Fusion, Halo, ICBG</t>
  </si>
  <si>
    <t xml:space="preserve">HERRIN, HIDEKO </t>
  </si>
  <si>
    <t>yes</t>
  </si>
  <si>
    <t>COMMERCIAL, Medicare - partB</t>
  </si>
  <si>
    <t>Cables only</t>
  </si>
  <si>
    <t>RA; c1-2 instability</t>
  </si>
  <si>
    <t>42 days</t>
  </si>
  <si>
    <t xml:space="preserve">HITCHCOCK, RUTH </t>
  </si>
  <si>
    <t>BOATRIGHT MD,KARL C</t>
  </si>
  <si>
    <t>HOLSEY, RUTHIE MAE</t>
  </si>
  <si>
    <t>c1-2 djd</t>
  </si>
  <si>
    <t>Brooks Style Fusion used due to large sinusoids</t>
  </si>
  <si>
    <t>KINNEY, SHANNON L</t>
  </si>
  <si>
    <t>PAN MD,JEFF.</t>
  </si>
  <si>
    <t>TA &amp; wires, films?</t>
  </si>
  <si>
    <t>No post-discharge documentation or imaging</t>
  </si>
  <si>
    <t xml:space="preserve">KRAUS, MARGERY </t>
  </si>
  <si>
    <t>MEDICARE-PART B</t>
  </si>
  <si>
    <t>c2 fx subluxation, treated first with halotrxn</t>
  </si>
  <si>
    <t>not back yet</t>
  </si>
  <si>
    <t>LEWIS, GARY DUNCAN</t>
  </si>
  <si>
    <t>UNITED HC HMO/POS/EPO</t>
  </si>
  <si>
    <t>c3-7 laminoplaty plates</t>
  </si>
  <si>
    <t>c1-2 instability, CSM 3- 7</t>
  </si>
  <si>
    <t>aspen</t>
  </si>
  <si>
    <t>10 - 14 days?</t>
  </si>
  <si>
    <t>LITTLE, ANNE B</t>
  </si>
  <si>
    <t>YOON, TIMOTHY</t>
  </si>
  <si>
    <t>chronic c1 jefferson, c2 dens fx non union</t>
  </si>
  <si>
    <t>LOPEZ, CARLOS SILVERIO</t>
  </si>
  <si>
    <t>c1-2 djd, myelopathy</t>
  </si>
  <si>
    <t>MAGYAR, JOSE J</t>
  </si>
  <si>
    <t>c1-2 fx</t>
  </si>
  <si>
    <t>No imaging available in system</t>
  </si>
  <si>
    <t xml:space="preserve">MATTHEWS, JOSH </t>
  </si>
  <si>
    <t>c2 dens fx</t>
  </si>
  <si>
    <t>rigid collar</t>
  </si>
  <si>
    <t xml:space="preserve">MCCOY, RAYMOND </t>
  </si>
  <si>
    <t>c2 dens fx nonunion</t>
  </si>
  <si>
    <t>MITCHAM, MICHELLE ANGELA</t>
  </si>
  <si>
    <t>unilateral GH( vert anatomy)</t>
  </si>
  <si>
    <t>RA - c1-2 instability</t>
  </si>
  <si>
    <t xml:space="preserve">Aspen </t>
  </si>
  <si>
    <t xml:space="preserve">MORRIS, JUANITA </t>
  </si>
  <si>
    <t>uneventul hypertension</t>
  </si>
  <si>
    <t>PATEL, RANJANBEN RAJNIKAN</t>
  </si>
  <si>
    <t>c1 fracture</t>
  </si>
  <si>
    <t>PEEK, TIMOTHY DAVID</t>
  </si>
  <si>
    <t xml:space="preserve">unilateral TA </t>
  </si>
  <si>
    <t>infection 7m post-op with removal of wires</t>
  </si>
  <si>
    <t>infection; DVT; fused anteriorly at most recent follow up but posterior non-union</t>
  </si>
  <si>
    <t xml:space="preserve">PETRUZZI, ROLAND </t>
  </si>
  <si>
    <t>United HC, medicare Part b</t>
  </si>
  <si>
    <t>Spasticity central cord, myelopathy, c2 dens nonunion</t>
  </si>
  <si>
    <t>none</t>
  </si>
  <si>
    <t>no post-operative follow up notes or imaging</t>
  </si>
  <si>
    <t>QUALLS, STACEY R</t>
  </si>
  <si>
    <t>no (quit &gt; 1m ago)</t>
  </si>
  <si>
    <t>(no wires nor gallile suture)</t>
  </si>
  <si>
    <t>c1-2 instability</t>
  </si>
  <si>
    <t>ICBG donor site infection sp I&amp;D 7/3/2001;  pseudo-arthrosis requiring revision 3/31/2003</t>
  </si>
  <si>
    <t>7/3/2001; 3/31/2003</t>
  </si>
  <si>
    <t>6 weeks; 2y</t>
  </si>
  <si>
    <t>eventual fusion after revision</t>
  </si>
  <si>
    <t>RHODES, ANASHA D</t>
  </si>
  <si>
    <t>SILCOX MD,DANIEL H III</t>
  </si>
  <si>
    <t>5 year old patient sp C1-2 sublaminar wiring for os odontoideum</t>
  </si>
  <si>
    <t>RILEY, ANTONIO DAMARCUS</t>
  </si>
  <si>
    <t>35 days</t>
  </si>
  <si>
    <t>underwent failed anterior ORIF on 5/8/2009</t>
  </si>
  <si>
    <t>ROBERTS, MARY B</t>
  </si>
  <si>
    <t>C1-2 TA fusion followed by C4 corpectomy, C3-5 ACDF; no post-discharge documentation or imaging (besides a 2 week wound check visit)</t>
  </si>
  <si>
    <t>ROBINSON, WALLACE M</t>
  </si>
  <si>
    <t>no post-discharge documentation or imaging</t>
  </si>
  <si>
    <t>ROCK, OPAL T</t>
  </si>
  <si>
    <t>c3- 7 laminoplasty plates</t>
  </si>
  <si>
    <t>c1-c2 djd, myelopathy</t>
  </si>
  <si>
    <t>soft collar</t>
  </si>
  <si>
    <t>hyponatremic seizure</t>
  </si>
  <si>
    <t>SANDERS, MYRNA LOY</t>
  </si>
  <si>
    <t>Hard (6 weeks) then Soft (6 weeks)</t>
  </si>
  <si>
    <t>underwent ACDF at OSH several years later</t>
  </si>
  <si>
    <t>SAUNDERS, ALAN ROY</t>
  </si>
  <si>
    <t xml:space="preserve">SELF, NANCY </t>
  </si>
  <si>
    <t>HORTON MD,WILLIAM C</t>
  </si>
  <si>
    <t>Brooks Style Fusion, ICBG</t>
  </si>
  <si>
    <t xml:space="preserve">SIDE, AGNES </t>
  </si>
  <si>
    <t>SMILER, ROSALIND I</t>
  </si>
  <si>
    <t>Brooks Style Fusion, ICBG with BMP</t>
  </si>
  <si>
    <t>STEPHENS, CHARLOTTE S</t>
  </si>
  <si>
    <t>no (quit &gt; 6m ago)</t>
  </si>
  <si>
    <t>SUND, FAITH LORRAINE</t>
  </si>
  <si>
    <t>MEDICAID SECONDARY, MEDICARE-PART B</t>
  </si>
  <si>
    <t>local autograft, mastergraft</t>
  </si>
  <si>
    <t>c-12 instability, Down's syndrome</t>
  </si>
  <si>
    <t>TAFFS, DIANNE G</t>
  </si>
  <si>
    <t>CIGNA HMO/POS/OAP/NET</t>
  </si>
  <si>
    <t>c1-c2 djd</t>
  </si>
  <si>
    <t>THOMPSON, FRANKLIN E</t>
  </si>
  <si>
    <t>data not available from that far back; limited documentation available</t>
  </si>
  <si>
    <t>THOMPSON, MARY C</t>
  </si>
  <si>
    <t>VEREEN, EVELYN KING</t>
  </si>
  <si>
    <t>BLUECROSS BLUESHIELD PPO</t>
  </si>
  <si>
    <t>WARE, EVELYN L</t>
  </si>
  <si>
    <t>soft</t>
  </si>
  <si>
    <t>WARREN, ANNA BEAVERS</t>
  </si>
  <si>
    <t>unilateral GH(lat mass anatomy)</t>
  </si>
  <si>
    <t>chr c1-c2 fx dislocation, pain</t>
  </si>
  <si>
    <t>miami J</t>
  </si>
  <si>
    <t>No follow up after 5/20/2008</t>
  </si>
  <si>
    <t>WATSON, JACK L</t>
  </si>
  <si>
    <t>c1-2 instability, cervical myelopathy</t>
  </si>
  <si>
    <t>Graft migration/malposition</t>
  </si>
  <si>
    <t>3 days</t>
  </si>
  <si>
    <t>underwent graft-repositioning after post-op CT showed it was impinging the dura; ultimate posterior non-union; broken hardware 2 years later</t>
  </si>
  <si>
    <t>WEIMER, FREDA A</t>
  </si>
  <si>
    <t>WIMBERLY, ELAINE WRIGHT</t>
  </si>
  <si>
    <t>WITHEROW, JEANENE F</t>
  </si>
  <si>
    <t>no (quit &gt; 1y ago)</t>
  </si>
  <si>
    <t>c1-2 djd; subaxial stenosis</t>
  </si>
  <si>
    <t>concomitant C3-5 left lamina faminotomy; no post-operative documentation but imaging available</t>
  </si>
  <si>
    <t>2m</t>
  </si>
  <si>
    <t>8m</t>
  </si>
  <si>
    <t>* great picture of fused</t>
  </si>
  <si>
    <t>14m</t>
  </si>
  <si>
    <t>1.5y</t>
  </si>
  <si>
    <t>2 (resorbed)</t>
  </si>
  <si>
    <t>prolonged post-op follow up after this date for MRSA infection</t>
  </si>
  <si>
    <t>remains fused anteriorly but posterior non-union</t>
  </si>
  <si>
    <t>2 weeks</t>
  </si>
  <si>
    <t>imaging not available</t>
  </si>
  <si>
    <t>16m</t>
  </si>
  <si>
    <t>20m</t>
  </si>
  <si>
    <t>21m</t>
  </si>
  <si>
    <t>22m</t>
  </si>
  <si>
    <t>post-revision for pseudo-arthrosis</t>
  </si>
  <si>
    <t>23m</t>
  </si>
  <si>
    <t>32m</t>
  </si>
  <si>
    <t>6M</t>
  </si>
  <si>
    <t>probable fusion but not certain</t>
  </si>
  <si>
    <t>4y</t>
  </si>
  <si>
    <t>*great TA screw placement</t>
  </si>
  <si>
    <t>10m</t>
  </si>
  <si>
    <t>see patient info for details</t>
  </si>
  <si>
    <t>3 years</t>
  </si>
  <si>
    <t>No CT.  Cervical MRI, and re-operation performed for infection</t>
  </si>
  <si>
    <t>9m</t>
  </si>
  <si>
    <t>pre-revision</t>
  </si>
  <si>
    <t>unilateral fusion</t>
  </si>
  <si>
    <t>unilateral fusion posterior; anterior joints fused</t>
  </si>
  <si>
    <t>1c;2a;3a</t>
  </si>
  <si>
    <t>QUALLS, STACEY</t>
  </si>
  <si>
    <t>Morris, Juanita</t>
  </si>
  <si>
    <t>Watson, Jack L</t>
  </si>
  <si>
    <t>MCCOY, RAYMOND</t>
  </si>
  <si>
    <t>STEPHENS, CHARLOTTE</t>
  </si>
  <si>
    <t>unilateral GH</t>
  </si>
  <si>
    <t>MEDICARE</t>
  </si>
  <si>
    <t>aetna</t>
  </si>
  <si>
    <t>self pay</t>
  </si>
  <si>
    <t>BlueCross &amp; Medicare</t>
  </si>
  <si>
    <t>BlueCross</t>
  </si>
  <si>
    <t>medicare</t>
  </si>
  <si>
    <t>blue shield</t>
  </si>
  <si>
    <t>workmans comp</t>
  </si>
  <si>
    <t>blue cross</t>
  </si>
  <si>
    <t>COMMERCIAL, medicare</t>
  </si>
  <si>
    <t>united</t>
  </si>
  <si>
    <t>United</t>
  </si>
  <si>
    <t>bluechoice</t>
  </si>
  <si>
    <t>Implant cost</t>
  </si>
  <si>
    <t>not available</t>
  </si>
</sst>
</file>

<file path=xl/styles.xml><?xml version="1.0" encoding="utf-8"?>
<styleSheet xmlns="http://schemas.openxmlformats.org/spreadsheetml/2006/main">
  <numFmts count="1">
    <numFmt numFmtId="164" formatCode="&quot;$&quot;#,##0.00;\(&quot;$&quot;#,##0.00\)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scheme val="minor"/>
    </font>
    <font>
      <sz val="8"/>
      <name val="Verdana"/>
      <family val="2"/>
    </font>
    <font>
      <sz val="12"/>
      <color theme="1"/>
      <name val="Verdana"/>
    </font>
    <font>
      <sz val="11"/>
      <color rgb="FF000000"/>
      <name val="Calibri"/>
      <family val="2"/>
      <scheme val="minor"/>
    </font>
    <font>
      <b/>
      <sz val="12"/>
      <color rgb="FFFF0000"/>
      <name val="Calibri"/>
    </font>
    <font>
      <sz val="12"/>
      <color theme="1"/>
      <name val="Calibri"/>
    </font>
    <font>
      <sz val="12"/>
      <name val="Calibri"/>
    </font>
    <font>
      <sz val="12"/>
      <name val="Verdana"/>
      <family val="2"/>
    </font>
    <font>
      <b/>
      <sz val="12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14" fontId="4" fillId="0" borderId="0" xfId="0" applyNumberFormat="1" applyFont="1"/>
    <xf numFmtId="0" fontId="4" fillId="2" borderId="0" xfId="0" applyFont="1" applyFill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14" fontId="0" fillId="0" borderId="0" xfId="0" applyNumberFormat="1" applyFill="1"/>
    <xf numFmtId="0" fontId="7" fillId="0" borderId="0" xfId="0" applyFont="1" applyFill="1" applyAlignment="1">
      <alignment horizontal="center"/>
    </xf>
    <xf numFmtId="0" fontId="1" fillId="0" borderId="0" xfId="0" applyFont="1" applyFill="1"/>
    <xf numFmtId="0" fontId="8" fillId="0" borderId="0" xfId="0" applyFont="1" applyFill="1" applyAlignment="1">
      <alignment horizontal="center" vertical="top" wrapText="1"/>
    </xf>
    <xf numFmtId="164" fontId="9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right" vertical="center"/>
    </xf>
    <xf numFmtId="0" fontId="10" fillId="0" borderId="0" xfId="0" applyFont="1" applyFill="1"/>
    <xf numFmtId="14" fontId="4" fillId="2" borderId="0" xfId="0" applyNumberFormat="1" applyFont="1" applyFill="1"/>
    <xf numFmtId="1" fontId="4" fillId="2" borderId="0" xfId="0" applyNumberFormat="1" applyFont="1" applyFill="1"/>
    <xf numFmtId="1" fontId="4" fillId="0" borderId="0" xfId="0" applyNumberFormat="1" applyFont="1"/>
    <xf numFmtId="14" fontId="4" fillId="0" borderId="0" xfId="0" applyNumberFormat="1" applyFont="1" applyFill="1"/>
    <xf numFmtId="1" fontId="4" fillId="0" borderId="0" xfId="0" applyNumberFormat="1" applyFont="1" applyFill="1"/>
    <xf numFmtId="1" fontId="0" fillId="0" borderId="0" xfId="0" applyNumberFormat="1"/>
    <xf numFmtId="2" fontId="0" fillId="0" borderId="0" xfId="0" applyNumberFormat="1"/>
    <xf numFmtId="0" fontId="5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164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center" vertical="top" wrapText="1"/>
    </xf>
    <xf numFmtId="164" fontId="15" fillId="0" borderId="0" xfId="0" applyNumberFormat="1" applyFont="1" applyFill="1" applyAlignment="1">
      <alignment horizontal="right" vertical="center"/>
    </xf>
    <xf numFmtId="164" fontId="15" fillId="0" borderId="0" xfId="0" applyNumberFormat="1" applyFont="1" applyFill="1" applyAlignment="1">
      <alignment horizontal="center" vertical="center"/>
    </xf>
    <xf numFmtId="0" fontId="0" fillId="0" borderId="0" xfId="0" applyFont="1" applyFill="1"/>
    <xf numFmtId="164" fontId="16" fillId="0" borderId="0" xfId="0" applyNumberFormat="1" applyFont="1" applyFill="1" applyAlignment="1">
      <alignment horizontal="center" vertical="center"/>
    </xf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vi%20Data%20Complete%202%20Revi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ientInfo"/>
      <sheetName val="Xray info"/>
      <sheetName val="CTSCan"/>
      <sheetName val="Cost"/>
    </sheetNames>
    <sheetDataSet>
      <sheetData sheetId="0"/>
      <sheetData sheetId="1">
        <row r="81">
          <cell r="A81" t="str">
            <v>THOMPSON, MARY C</v>
          </cell>
          <cell r="B81">
            <v>11982030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54"/>
  <sheetViews>
    <sheetView topLeftCell="N1" workbookViewId="0">
      <selection activeCell="R10" sqref="R10"/>
    </sheetView>
  </sheetViews>
  <sheetFormatPr defaultColWidth="8.796875" defaultRowHeight="15.6"/>
  <cols>
    <col min="1" max="1" width="25.5" bestFit="1" customWidth="1"/>
    <col min="2" max="2" width="12" customWidth="1"/>
    <col min="3" max="3" width="26.19921875" bestFit="1" customWidth="1"/>
    <col min="4" max="4" width="11.5" customWidth="1"/>
    <col min="5" max="5" width="13.5" bestFit="1" customWidth="1"/>
    <col min="6" max="6" width="13" bestFit="1" customWidth="1"/>
    <col min="7" max="7" width="15.69921875" customWidth="1"/>
    <col min="8" max="8" width="13" style="16" customWidth="1"/>
    <col min="9" max="9" width="18" style="16" bestFit="1" customWidth="1"/>
    <col min="10" max="10" width="12.19921875" customWidth="1"/>
    <col min="11" max="11" width="21.796875" style="4" bestFit="1" customWidth="1"/>
    <col min="12" max="12" width="16" bestFit="1" customWidth="1"/>
    <col min="13" max="13" width="29.5" bestFit="1" customWidth="1"/>
    <col min="14" max="14" width="18.5" bestFit="1" customWidth="1"/>
    <col min="15" max="15" width="20.19921875" bestFit="1" customWidth="1"/>
    <col min="16" max="16" width="13.296875" style="35" bestFit="1" customWidth="1"/>
    <col min="17" max="17" width="16.19921875" style="16" customWidth="1"/>
    <col min="18" max="18" width="23.296875" style="4" bestFit="1" customWidth="1"/>
    <col min="19" max="19" width="18.296875" style="4" bestFit="1" customWidth="1"/>
    <col min="20" max="20" width="19.796875" bestFit="1" customWidth="1"/>
    <col min="21" max="21" width="36.5" customWidth="1"/>
    <col min="22" max="22" width="20.69921875" bestFit="1" customWidth="1"/>
    <col min="23" max="23" width="31.796875" bestFit="1" customWidth="1"/>
    <col min="24" max="24" width="53.296875" bestFit="1" customWidth="1"/>
  </cols>
  <sheetData>
    <row r="1" spans="1:24" s="8" customFormat="1">
      <c r="A1" s="8" t="s">
        <v>0</v>
      </c>
      <c r="B1" s="8" t="s">
        <v>27</v>
      </c>
      <c r="C1" s="8" t="s">
        <v>1</v>
      </c>
      <c r="D1" s="8" t="s">
        <v>18</v>
      </c>
      <c r="E1" s="8" t="s">
        <v>2</v>
      </c>
      <c r="F1" s="8" t="s">
        <v>3</v>
      </c>
      <c r="G1" s="8" t="s">
        <v>20</v>
      </c>
      <c r="H1" s="32" t="s">
        <v>5</v>
      </c>
      <c r="I1" s="32" t="s">
        <v>6</v>
      </c>
      <c r="J1" s="8" t="s">
        <v>4</v>
      </c>
      <c r="K1" s="8" t="s">
        <v>85</v>
      </c>
      <c r="L1" s="8" t="s">
        <v>21</v>
      </c>
      <c r="M1" s="8" t="s">
        <v>9</v>
      </c>
      <c r="N1" s="8" t="s">
        <v>23</v>
      </c>
      <c r="O1" s="8" t="s">
        <v>22</v>
      </c>
      <c r="P1" s="34" t="s">
        <v>383</v>
      </c>
      <c r="Q1" s="32" t="s">
        <v>72</v>
      </c>
      <c r="R1" s="10" t="s">
        <v>86</v>
      </c>
      <c r="S1" s="10" t="s">
        <v>87</v>
      </c>
      <c r="T1" s="8" t="s">
        <v>16</v>
      </c>
      <c r="U1" s="8" t="s">
        <v>26</v>
      </c>
      <c r="V1" s="8" t="s">
        <v>17</v>
      </c>
      <c r="W1" s="8" t="s">
        <v>24</v>
      </c>
      <c r="X1" s="8" t="s">
        <v>99</v>
      </c>
    </row>
    <row r="2" spans="1:24">
      <c r="A2" s="5" t="s">
        <v>28</v>
      </c>
      <c r="B2" s="5">
        <v>25258634</v>
      </c>
      <c r="C2" s="5" t="s">
        <v>29</v>
      </c>
      <c r="D2" s="1">
        <v>14181</v>
      </c>
      <c r="E2" s="1">
        <v>39673</v>
      </c>
      <c r="F2" s="5">
        <v>70</v>
      </c>
      <c r="G2" t="s">
        <v>68</v>
      </c>
      <c r="H2" s="16" t="s">
        <v>79</v>
      </c>
      <c r="I2" s="16" t="s">
        <v>370</v>
      </c>
      <c r="J2" t="s">
        <v>69</v>
      </c>
      <c r="K2" s="4" t="s">
        <v>88</v>
      </c>
      <c r="L2" t="s">
        <v>70</v>
      </c>
      <c r="M2" t="s">
        <v>75</v>
      </c>
      <c r="N2">
        <v>4</v>
      </c>
      <c r="O2">
        <v>0</v>
      </c>
      <c r="P2" s="36">
        <v>3359</v>
      </c>
      <c r="Q2" s="16">
        <v>22094.62</v>
      </c>
      <c r="R2" s="4" t="s">
        <v>89</v>
      </c>
      <c r="S2" s="4" t="s">
        <v>90</v>
      </c>
      <c r="T2" t="s">
        <v>68</v>
      </c>
      <c r="U2" t="s">
        <v>73</v>
      </c>
      <c r="V2" t="s">
        <v>74</v>
      </c>
      <c r="W2" t="s">
        <v>74</v>
      </c>
    </row>
    <row r="3" spans="1:24">
      <c r="A3" s="5" t="s">
        <v>30</v>
      </c>
      <c r="B3" s="5">
        <v>25105026</v>
      </c>
      <c r="C3" s="5" t="s">
        <v>31</v>
      </c>
      <c r="D3" s="1">
        <v>12625</v>
      </c>
      <c r="E3" s="1">
        <v>40870</v>
      </c>
      <c r="F3" s="5">
        <v>77</v>
      </c>
      <c r="G3" t="s">
        <v>68</v>
      </c>
      <c r="H3" s="16" t="s">
        <v>215</v>
      </c>
      <c r="I3" s="16" t="s">
        <v>370</v>
      </c>
      <c r="J3" s="7" t="s">
        <v>158</v>
      </c>
      <c r="L3" t="s">
        <v>70</v>
      </c>
      <c r="M3" t="s">
        <v>71</v>
      </c>
      <c r="N3">
        <v>3</v>
      </c>
      <c r="O3">
        <v>0</v>
      </c>
      <c r="P3" s="35" t="s">
        <v>384</v>
      </c>
      <c r="Q3" s="16" t="s">
        <v>384</v>
      </c>
      <c r="R3" s="4" t="s">
        <v>91</v>
      </c>
      <c r="S3" s="4" t="s">
        <v>92</v>
      </c>
      <c r="T3" t="s">
        <v>68</v>
      </c>
      <c r="U3" t="s">
        <v>73</v>
      </c>
      <c r="V3" t="s">
        <v>74</v>
      </c>
      <c r="W3" t="s">
        <v>74</v>
      </c>
    </row>
    <row r="4" spans="1:24">
      <c r="A4" s="5" t="s">
        <v>34</v>
      </c>
      <c r="B4" s="5">
        <v>18397265</v>
      </c>
      <c r="C4" s="5" t="s">
        <v>31</v>
      </c>
      <c r="D4" s="1">
        <v>14854</v>
      </c>
      <c r="E4" s="1">
        <v>37739</v>
      </c>
      <c r="F4" s="9">
        <v>62</v>
      </c>
      <c r="G4" t="s">
        <v>68</v>
      </c>
      <c r="H4" s="16" t="s">
        <v>215</v>
      </c>
      <c r="I4" s="16" t="s">
        <v>371</v>
      </c>
      <c r="J4" t="s">
        <v>69</v>
      </c>
      <c r="L4" t="s">
        <v>70</v>
      </c>
      <c r="M4" t="s">
        <v>71</v>
      </c>
      <c r="N4">
        <v>3</v>
      </c>
      <c r="O4">
        <v>0</v>
      </c>
      <c r="P4" s="37">
        <v>772.8</v>
      </c>
      <c r="Q4" s="16">
        <v>13272.93</v>
      </c>
      <c r="R4" s="4" t="s">
        <v>101</v>
      </c>
      <c r="S4" s="4" t="s">
        <v>83</v>
      </c>
      <c r="T4" t="s">
        <v>68</v>
      </c>
      <c r="U4" t="s">
        <v>73</v>
      </c>
      <c r="V4" t="s">
        <v>74</v>
      </c>
      <c r="W4" t="s">
        <v>74</v>
      </c>
    </row>
    <row r="5" spans="1:24">
      <c r="A5" s="5" t="s">
        <v>36</v>
      </c>
      <c r="B5" s="5">
        <v>35074663</v>
      </c>
      <c r="C5" s="5" t="s">
        <v>84</v>
      </c>
      <c r="D5" s="1">
        <v>23015</v>
      </c>
      <c r="E5" s="1">
        <v>38636</v>
      </c>
      <c r="F5" s="9">
        <v>42</v>
      </c>
      <c r="G5" t="s">
        <v>79</v>
      </c>
      <c r="H5" s="16" t="s">
        <v>210</v>
      </c>
      <c r="I5" s="16" t="s">
        <v>372</v>
      </c>
      <c r="J5" t="s">
        <v>95</v>
      </c>
      <c r="K5" s="4" t="s">
        <v>88</v>
      </c>
      <c r="L5" t="s">
        <v>70</v>
      </c>
      <c r="M5" s="7" t="s">
        <v>94</v>
      </c>
      <c r="N5">
        <v>3</v>
      </c>
      <c r="O5">
        <v>0</v>
      </c>
      <c r="P5" s="35" t="s">
        <v>384</v>
      </c>
      <c r="Q5" s="16" t="s">
        <v>384</v>
      </c>
      <c r="R5" s="4" t="s">
        <v>96</v>
      </c>
      <c r="S5" s="4" t="s">
        <v>90</v>
      </c>
      <c r="T5" t="s">
        <v>68</v>
      </c>
      <c r="U5" t="s">
        <v>73</v>
      </c>
      <c r="V5" t="s">
        <v>74</v>
      </c>
      <c r="W5" t="s">
        <v>74</v>
      </c>
    </row>
    <row r="6" spans="1:24">
      <c r="A6" s="5" t="s">
        <v>37</v>
      </c>
      <c r="B6" s="5">
        <v>17021346</v>
      </c>
      <c r="C6" s="5" t="s">
        <v>31</v>
      </c>
      <c r="D6" s="1">
        <v>12135</v>
      </c>
      <c r="E6" s="1">
        <v>38950</v>
      </c>
      <c r="F6" s="9">
        <v>73</v>
      </c>
      <c r="G6" t="s">
        <v>68</v>
      </c>
      <c r="H6" s="16" t="s">
        <v>215</v>
      </c>
      <c r="I6" s="16" t="s">
        <v>373</v>
      </c>
      <c r="J6" t="s">
        <v>69</v>
      </c>
      <c r="L6" t="s">
        <v>70</v>
      </c>
      <c r="M6" t="s">
        <v>114</v>
      </c>
      <c r="N6">
        <v>4</v>
      </c>
      <c r="O6">
        <v>0</v>
      </c>
      <c r="P6" s="37">
        <v>964</v>
      </c>
      <c r="Q6" s="16">
        <v>20863.02</v>
      </c>
      <c r="R6" s="4" t="s">
        <v>90</v>
      </c>
      <c r="S6" s="4" t="s">
        <v>90</v>
      </c>
      <c r="T6" t="s">
        <v>68</v>
      </c>
      <c r="U6" t="s">
        <v>73</v>
      </c>
      <c r="V6" t="s">
        <v>74</v>
      </c>
      <c r="W6" t="s">
        <v>74</v>
      </c>
    </row>
    <row r="7" spans="1:24">
      <c r="A7" s="5" t="s">
        <v>38</v>
      </c>
      <c r="B7" s="5">
        <v>25332064</v>
      </c>
      <c r="C7" s="5" t="s">
        <v>31</v>
      </c>
      <c r="D7" s="1">
        <v>15457</v>
      </c>
      <c r="E7" s="1">
        <v>40105</v>
      </c>
      <c r="F7" s="9">
        <v>67</v>
      </c>
      <c r="G7" t="s">
        <v>68</v>
      </c>
      <c r="H7" s="16" t="s">
        <v>215</v>
      </c>
      <c r="I7" s="16" t="s">
        <v>374</v>
      </c>
      <c r="J7" t="s">
        <v>108</v>
      </c>
      <c r="K7" s="4" t="s">
        <v>106</v>
      </c>
      <c r="L7" t="s">
        <v>70</v>
      </c>
      <c r="M7" t="s">
        <v>107</v>
      </c>
      <c r="N7">
        <v>2</v>
      </c>
      <c r="O7">
        <v>0</v>
      </c>
      <c r="P7" s="37">
        <v>4526</v>
      </c>
      <c r="Q7" s="16">
        <v>43179.97</v>
      </c>
      <c r="R7" s="4" t="s">
        <v>110</v>
      </c>
      <c r="S7" s="4" t="s">
        <v>90</v>
      </c>
      <c r="T7" t="s">
        <v>68</v>
      </c>
      <c r="U7" t="s">
        <v>73</v>
      </c>
      <c r="V7" t="s">
        <v>74</v>
      </c>
      <c r="W7" t="s">
        <v>74</v>
      </c>
      <c r="X7" t="s">
        <v>109</v>
      </c>
    </row>
    <row r="8" spans="1:24">
      <c r="A8" s="5" t="s">
        <v>39</v>
      </c>
      <c r="B8" s="5">
        <v>1648153</v>
      </c>
      <c r="C8" s="5" t="s">
        <v>31</v>
      </c>
      <c r="D8" s="1">
        <v>13733</v>
      </c>
      <c r="E8" s="1">
        <v>39846</v>
      </c>
      <c r="F8" s="9">
        <v>71</v>
      </c>
      <c r="G8" t="s">
        <v>68</v>
      </c>
      <c r="H8" s="16" t="s">
        <v>215</v>
      </c>
      <c r="I8" s="16" t="s">
        <v>375</v>
      </c>
      <c r="J8" t="s">
        <v>69</v>
      </c>
      <c r="L8" t="s">
        <v>70</v>
      </c>
      <c r="M8" t="s">
        <v>71</v>
      </c>
      <c r="N8">
        <v>5</v>
      </c>
      <c r="O8">
        <v>0</v>
      </c>
      <c r="P8" s="35" t="s">
        <v>384</v>
      </c>
      <c r="Q8" s="16" t="s">
        <v>384</v>
      </c>
      <c r="R8" s="4" t="s">
        <v>90</v>
      </c>
      <c r="S8" s="4" t="s">
        <v>90</v>
      </c>
      <c r="T8" t="s">
        <v>68</v>
      </c>
      <c r="U8" t="s">
        <v>73</v>
      </c>
      <c r="V8" t="s">
        <v>74</v>
      </c>
      <c r="W8" t="s">
        <v>74</v>
      </c>
    </row>
    <row r="9" spans="1:24">
      <c r="A9" s="5" t="s">
        <v>40</v>
      </c>
      <c r="B9" s="5">
        <v>17172016</v>
      </c>
      <c r="C9" s="5" t="s">
        <v>31</v>
      </c>
      <c r="D9" s="1">
        <v>12512</v>
      </c>
      <c r="E9" s="1">
        <v>40763</v>
      </c>
      <c r="F9" s="9">
        <v>77</v>
      </c>
      <c r="G9" t="s">
        <v>68</v>
      </c>
      <c r="H9" s="16" t="s">
        <v>215</v>
      </c>
      <c r="I9" s="16" t="s">
        <v>375</v>
      </c>
      <c r="J9" t="s">
        <v>108</v>
      </c>
      <c r="K9" s="4" t="s">
        <v>88</v>
      </c>
      <c r="L9" t="s">
        <v>70</v>
      </c>
      <c r="M9" t="s">
        <v>115</v>
      </c>
      <c r="N9">
        <v>4</v>
      </c>
      <c r="O9">
        <v>0</v>
      </c>
      <c r="P9" s="35" t="s">
        <v>384</v>
      </c>
      <c r="Q9" s="16" t="s">
        <v>384</v>
      </c>
      <c r="R9" s="4" t="s">
        <v>90</v>
      </c>
      <c r="S9" s="4" t="s">
        <v>90</v>
      </c>
      <c r="T9" t="s">
        <v>68</v>
      </c>
      <c r="U9" t="s">
        <v>117</v>
      </c>
      <c r="V9" t="s">
        <v>74</v>
      </c>
      <c r="W9" t="s">
        <v>74</v>
      </c>
      <c r="X9" t="s">
        <v>116</v>
      </c>
    </row>
    <row r="10" spans="1:24">
      <c r="A10" s="5" t="s">
        <v>41</v>
      </c>
      <c r="B10" s="5">
        <v>25095199</v>
      </c>
      <c r="C10" s="5" t="s">
        <v>42</v>
      </c>
      <c r="D10" s="1">
        <v>11215</v>
      </c>
      <c r="E10" s="1">
        <v>38797</v>
      </c>
      <c r="F10" s="9">
        <v>75</v>
      </c>
      <c r="G10" t="s">
        <v>68</v>
      </c>
      <c r="H10" s="16" t="s">
        <v>215</v>
      </c>
      <c r="I10" s="16" t="s">
        <v>375</v>
      </c>
      <c r="J10" t="s">
        <v>80</v>
      </c>
      <c r="K10" s="4" t="s">
        <v>88</v>
      </c>
      <c r="L10" t="s">
        <v>70</v>
      </c>
      <c r="M10" s="7" t="s">
        <v>94</v>
      </c>
      <c r="N10">
        <v>3</v>
      </c>
      <c r="O10">
        <v>1</v>
      </c>
      <c r="P10" s="37">
        <v>2902</v>
      </c>
      <c r="Q10" s="16">
        <v>27230.71</v>
      </c>
      <c r="R10" s="4" t="s">
        <v>101</v>
      </c>
      <c r="S10" s="4" t="s">
        <v>119</v>
      </c>
      <c r="T10" t="s">
        <v>68</v>
      </c>
      <c r="U10" t="s">
        <v>73</v>
      </c>
      <c r="V10" t="s">
        <v>74</v>
      </c>
      <c r="W10" t="s">
        <v>74</v>
      </c>
      <c r="X10" t="s">
        <v>120</v>
      </c>
    </row>
    <row r="11" spans="1:24">
      <c r="A11" s="5" t="s">
        <v>43</v>
      </c>
      <c r="B11" s="5">
        <v>14658843</v>
      </c>
      <c r="C11" s="5" t="s">
        <v>31</v>
      </c>
      <c r="D11" s="1">
        <v>19206</v>
      </c>
      <c r="E11" s="1">
        <v>38103</v>
      </c>
      <c r="F11" s="9">
        <v>51</v>
      </c>
      <c r="G11" t="s">
        <v>121</v>
      </c>
      <c r="H11" s="16" t="s">
        <v>215</v>
      </c>
      <c r="I11" s="16" t="s">
        <v>376</v>
      </c>
      <c r="J11" t="s">
        <v>69</v>
      </c>
      <c r="L11" t="s">
        <v>70</v>
      </c>
      <c r="M11" s="7" t="s">
        <v>94</v>
      </c>
      <c r="N11">
        <v>2</v>
      </c>
      <c r="O11">
        <v>0</v>
      </c>
      <c r="P11" s="37">
        <v>772.8</v>
      </c>
      <c r="Q11" s="16">
        <v>22268.94</v>
      </c>
      <c r="R11" s="7" t="s">
        <v>102</v>
      </c>
      <c r="S11" s="4" t="s">
        <v>119</v>
      </c>
      <c r="T11" t="s">
        <v>68</v>
      </c>
      <c r="U11" t="s">
        <v>73</v>
      </c>
      <c r="V11" t="s">
        <v>74</v>
      </c>
      <c r="W11" t="s">
        <v>74</v>
      </c>
    </row>
    <row r="12" spans="1:24">
      <c r="A12" s="5" t="s">
        <v>44</v>
      </c>
      <c r="B12" s="5">
        <v>35409185</v>
      </c>
      <c r="C12" s="5" t="s">
        <v>45</v>
      </c>
      <c r="D12" s="1">
        <v>11646</v>
      </c>
      <c r="E12" s="1">
        <v>39909</v>
      </c>
      <c r="F12" s="9">
        <v>77</v>
      </c>
      <c r="G12" t="s">
        <v>68</v>
      </c>
      <c r="H12" s="16" t="s">
        <v>215</v>
      </c>
      <c r="I12" s="16" t="s">
        <v>375</v>
      </c>
      <c r="J12" t="s">
        <v>69</v>
      </c>
      <c r="K12" s="4" t="s">
        <v>88</v>
      </c>
      <c r="L12" t="s">
        <v>70</v>
      </c>
      <c r="M12" s="7" t="s">
        <v>122</v>
      </c>
      <c r="N12">
        <v>3</v>
      </c>
      <c r="O12">
        <v>0</v>
      </c>
      <c r="P12" s="35" t="s">
        <v>384</v>
      </c>
      <c r="Q12" s="16" t="s">
        <v>384</v>
      </c>
      <c r="R12" s="4" t="s">
        <v>90</v>
      </c>
      <c r="S12" s="4" t="s">
        <v>90</v>
      </c>
      <c r="T12" t="s">
        <v>68</v>
      </c>
      <c r="U12" t="s">
        <v>125</v>
      </c>
      <c r="V12" t="s">
        <v>74</v>
      </c>
      <c r="W12" t="s">
        <v>74</v>
      </c>
      <c r="X12" t="s">
        <v>126</v>
      </c>
    </row>
    <row r="13" spans="1:24">
      <c r="A13" s="5" t="s">
        <v>46</v>
      </c>
      <c r="B13" s="5">
        <v>40389819</v>
      </c>
      <c r="C13" s="5" t="s">
        <v>47</v>
      </c>
      <c r="D13" s="1">
        <v>24058</v>
      </c>
      <c r="E13" s="1">
        <v>39136</v>
      </c>
      <c r="F13" s="9">
        <v>41</v>
      </c>
      <c r="G13" t="s">
        <v>79</v>
      </c>
      <c r="H13" s="16" t="s">
        <v>215</v>
      </c>
      <c r="I13" s="16" t="s">
        <v>375</v>
      </c>
      <c r="J13" t="s">
        <v>69</v>
      </c>
      <c r="K13" s="4" t="s">
        <v>88</v>
      </c>
      <c r="L13" t="s">
        <v>70</v>
      </c>
      <c r="M13" s="7" t="s">
        <v>131</v>
      </c>
      <c r="N13">
        <v>3</v>
      </c>
      <c r="O13">
        <v>0</v>
      </c>
      <c r="P13" s="35" t="s">
        <v>384</v>
      </c>
      <c r="Q13" s="16" t="s">
        <v>384</v>
      </c>
      <c r="R13" s="4" t="s">
        <v>101</v>
      </c>
      <c r="S13" s="4" t="s">
        <v>90</v>
      </c>
      <c r="T13" t="s">
        <v>68</v>
      </c>
      <c r="U13" t="s">
        <v>127</v>
      </c>
      <c r="V13" t="s">
        <v>74</v>
      </c>
      <c r="W13" t="s">
        <v>74</v>
      </c>
      <c r="X13" s="7" t="s">
        <v>129</v>
      </c>
    </row>
    <row r="14" spans="1:24">
      <c r="A14" s="5" t="s">
        <v>48</v>
      </c>
      <c r="B14" s="5">
        <v>35367708</v>
      </c>
      <c r="C14" s="5" t="s">
        <v>29</v>
      </c>
      <c r="D14" s="1">
        <v>21306</v>
      </c>
      <c r="E14" s="1">
        <v>40099</v>
      </c>
      <c r="F14" s="9">
        <v>51</v>
      </c>
      <c r="G14" t="s">
        <v>68</v>
      </c>
      <c r="H14" s="16" t="s">
        <v>215</v>
      </c>
      <c r="I14" s="16" t="s">
        <v>377</v>
      </c>
      <c r="J14" t="s">
        <v>69</v>
      </c>
      <c r="K14" s="4" t="s">
        <v>88</v>
      </c>
      <c r="L14" t="s">
        <v>70</v>
      </c>
      <c r="M14" s="7" t="s">
        <v>122</v>
      </c>
      <c r="N14">
        <v>4</v>
      </c>
      <c r="O14">
        <v>0</v>
      </c>
      <c r="P14" s="37">
        <v>2279</v>
      </c>
      <c r="Q14" s="16">
        <v>50895.18</v>
      </c>
      <c r="R14" s="4" t="s">
        <v>96</v>
      </c>
      <c r="S14" s="4" t="s">
        <v>83</v>
      </c>
      <c r="T14" t="s">
        <v>68</v>
      </c>
      <c r="U14" t="s">
        <v>73</v>
      </c>
      <c r="V14" t="s">
        <v>74</v>
      </c>
      <c r="W14" t="s">
        <v>74</v>
      </c>
    </row>
    <row r="15" spans="1:24">
      <c r="A15" s="5" t="s">
        <v>49</v>
      </c>
      <c r="B15" s="5">
        <v>15853286</v>
      </c>
      <c r="C15" s="5" t="s">
        <v>31</v>
      </c>
      <c r="D15" s="1">
        <v>15583</v>
      </c>
      <c r="E15" s="1">
        <v>38892</v>
      </c>
      <c r="F15" s="9">
        <v>63</v>
      </c>
      <c r="G15" t="s">
        <v>68</v>
      </c>
      <c r="H15" s="16" t="s">
        <v>215</v>
      </c>
      <c r="I15" s="16" t="s">
        <v>377</v>
      </c>
      <c r="J15" t="s">
        <v>69</v>
      </c>
      <c r="L15" t="s">
        <v>70</v>
      </c>
      <c r="M15" s="7" t="s">
        <v>122</v>
      </c>
      <c r="N15">
        <v>2</v>
      </c>
      <c r="O15">
        <v>0</v>
      </c>
      <c r="P15" s="37">
        <v>964</v>
      </c>
      <c r="Q15" s="16">
        <v>24026.21</v>
      </c>
      <c r="R15" s="4" t="s">
        <v>90</v>
      </c>
      <c r="S15" s="4" t="s">
        <v>90</v>
      </c>
      <c r="T15" t="s">
        <v>68</v>
      </c>
      <c r="U15" t="s">
        <v>73</v>
      </c>
      <c r="V15" t="s">
        <v>74</v>
      </c>
      <c r="W15" t="s">
        <v>74</v>
      </c>
      <c r="X15" t="s">
        <v>132</v>
      </c>
    </row>
    <row r="16" spans="1:24">
      <c r="A16" s="5" t="s">
        <v>50</v>
      </c>
      <c r="B16" s="5">
        <v>25293736</v>
      </c>
      <c r="C16" s="5" t="s">
        <v>31</v>
      </c>
      <c r="D16" s="1">
        <v>25734</v>
      </c>
      <c r="E16" s="1">
        <v>40032</v>
      </c>
      <c r="F16" s="9">
        <v>39</v>
      </c>
      <c r="G16" t="s">
        <v>68</v>
      </c>
      <c r="H16" s="16" t="s">
        <v>215</v>
      </c>
      <c r="I16" s="16" t="s">
        <v>378</v>
      </c>
      <c r="J16" t="s">
        <v>69</v>
      </c>
      <c r="L16" t="s">
        <v>70</v>
      </c>
      <c r="M16" t="s">
        <v>75</v>
      </c>
      <c r="N16">
        <v>2</v>
      </c>
      <c r="O16">
        <v>0</v>
      </c>
      <c r="P16" s="35" t="s">
        <v>384</v>
      </c>
      <c r="Q16" s="16" t="s">
        <v>384</v>
      </c>
      <c r="R16" s="4" t="s">
        <v>110</v>
      </c>
      <c r="S16" s="4" t="s">
        <v>90</v>
      </c>
      <c r="T16" t="s">
        <v>68</v>
      </c>
      <c r="U16" t="s">
        <v>73</v>
      </c>
      <c r="V16" t="s">
        <v>74</v>
      </c>
      <c r="W16" t="s">
        <v>74</v>
      </c>
      <c r="X16" t="s">
        <v>133</v>
      </c>
    </row>
    <row r="17" spans="1:24">
      <c r="A17" s="5" t="s">
        <v>51</v>
      </c>
      <c r="B17" s="5">
        <v>11822772</v>
      </c>
      <c r="C17" s="5" t="s">
        <v>45</v>
      </c>
      <c r="D17" s="1">
        <v>9288</v>
      </c>
      <c r="E17" s="1">
        <v>38075</v>
      </c>
      <c r="F17" s="9">
        <v>78</v>
      </c>
      <c r="G17" t="s">
        <v>68</v>
      </c>
      <c r="H17" s="16" t="s">
        <v>215</v>
      </c>
      <c r="I17" s="16" t="s">
        <v>375</v>
      </c>
      <c r="J17" t="s">
        <v>95</v>
      </c>
      <c r="K17" s="4" t="s">
        <v>88</v>
      </c>
      <c r="L17" t="s">
        <v>70</v>
      </c>
      <c r="M17" s="7" t="s">
        <v>94</v>
      </c>
      <c r="N17">
        <v>4</v>
      </c>
      <c r="O17">
        <v>0</v>
      </c>
      <c r="P17" s="37">
        <v>5777.2</v>
      </c>
      <c r="Q17" s="16">
        <v>25272.35</v>
      </c>
      <c r="R17" s="4" t="s">
        <v>101</v>
      </c>
      <c r="S17" s="4" t="s">
        <v>119</v>
      </c>
      <c r="T17" t="s">
        <v>68</v>
      </c>
      <c r="U17" t="s">
        <v>73</v>
      </c>
      <c r="V17" t="s">
        <v>74</v>
      </c>
      <c r="W17" t="s">
        <v>74</v>
      </c>
      <c r="X17" t="s">
        <v>134</v>
      </c>
    </row>
    <row r="18" spans="1:24">
      <c r="A18" s="5" t="s">
        <v>52</v>
      </c>
      <c r="B18" s="5">
        <v>25284343</v>
      </c>
      <c r="C18" s="5" t="s">
        <v>47</v>
      </c>
      <c r="D18" s="1">
        <v>20184</v>
      </c>
      <c r="E18" s="1">
        <v>39742</v>
      </c>
      <c r="F18" s="9">
        <v>53</v>
      </c>
      <c r="G18" t="s">
        <v>135</v>
      </c>
      <c r="H18" s="16" t="s">
        <v>215</v>
      </c>
      <c r="I18" s="16" t="s">
        <v>371</v>
      </c>
      <c r="J18" t="s">
        <v>95</v>
      </c>
      <c r="L18" t="s">
        <v>136</v>
      </c>
      <c r="M18" s="7" t="s">
        <v>122</v>
      </c>
      <c r="N18">
        <v>2</v>
      </c>
      <c r="O18">
        <v>0</v>
      </c>
      <c r="P18" s="35" t="s">
        <v>384</v>
      </c>
      <c r="Q18" s="16" t="s">
        <v>384</v>
      </c>
      <c r="R18" s="7" t="s">
        <v>102</v>
      </c>
      <c r="S18" s="7" t="s">
        <v>137</v>
      </c>
      <c r="T18" t="s">
        <v>68</v>
      </c>
      <c r="U18" t="s">
        <v>73</v>
      </c>
      <c r="V18" t="s">
        <v>74</v>
      </c>
      <c r="W18" t="s">
        <v>74</v>
      </c>
    </row>
    <row r="19" spans="1:24">
      <c r="A19" s="5" t="s">
        <v>53</v>
      </c>
      <c r="B19" s="5">
        <v>25427499</v>
      </c>
      <c r="C19" s="5" t="s">
        <v>31</v>
      </c>
      <c r="D19" s="1">
        <v>14461</v>
      </c>
      <c r="E19" s="1">
        <v>40646</v>
      </c>
      <c r="F19" s="9">
        <v>71</v>
      </c>
      <c r="G19" s="7" t="s">
        <v>135</v>
      </c>
      <c r="H19" s="16" t="s">
        <v>215</v>
      </c>
      <c r="I19" s="16" t="s">
        <v>373</v>
      </c>
      <c r="J19" t="s">
        <v>69</v>
      </c>
      <c r="L19" t="s">
        <v>70</v>
      </c>
      <c r="M19" t="s">
        <v>71</v>
      </c>
      <c r="N19">
        <v>3</v>
      </c>
      <c r="O19">
        <v>0</v>
      </c>
      <c r="P19" s="35" t="s">
        <v>384</v>
      </c>
      <c r="Q19" s="16" t="s">
        <v>384</v>
      </c>
      <c r="R19" s="4" t="s">
        <v>90</v>
      </c>
      <c r="S19" s="4" t="s">
        <v>90</v>
      </c>
      <c r="T19" t="s">
        <v>68</v>
      </c>
      <c r="U19" t="s">
        <v>73</v>
      </c>
      <c r="V19" t="s">
        <v>74</v>
      </c>
      <c r="W19" t="s">
        <v>74</v>
      </c>
    </row>
    <row r="20" spans="1:24">
      <c r="A20" s="5" t="s">
        <v>55</v>
      </c>
      <c r="B20" s="5">
        <v>91345660</v>
      </c>
      <c r="C20" s="5" t="s">
        <v>29</v>
      </c>
      <c r="D20" s="1">
        <v>10751</v>
      </c>
      <c r="E20" s="1">
        <v>39421</v>
      </c>
      <c r="F20" s="9">
        <v>78</v>
      </c>
      <c r="G20" t="s">
        <v>68</v>
      </c>
      <c r="H20" s="16" t="s">
        <v>215</v>
      </c>
      <c r="I20" s="16" t="s">
        <v>373</v>
      </c>
      <c r="J20" t="s">
        <v>95</v>
      </c>
      <c r="K20" s="4" t="s">
        <v>88</v>
      </c>
      <c r="L20" t="s">
        <v>70</v>
      </c>
      <c r="M20" t="s">
        <v>122</v>
      </c>
      <c r="N20">
        <v>6</v>
      </c>
      <c r="O20">
        <v>3</v>
      </c>
      <c r="P20" s="36">
        <v>9028</v>
      </c>
      <c r="Q20" s="16">
        <v>37921.1</v>
      </c>
      <c r="R20" s="4" t="s">
        <v>101</v>
      </c>
      <c r="S20" s="4" t="s">
        <v>90</v>
      </c>
      <c r="T20" t="s">
        <v>68</v>
      </c>
      <c r="U20" t="s">
        <v>141</v>
      </c>
      <c r="V20" t="s">
        <v>74</v>
      </c>
      <c r="W20" t="s">
        <v>74</v>
      </c>
    </row>
    <row r="21" spans="1:24">
      <c r="A21" s="5" t="s">
        <v>56</v>
      </c>
      <c r="B21" s="5">
        <v>3642816</v>
      </c>
      <c r="C21" s="5" t="s">
        <v>31</v>
      </c>
      <c r="D21" s="1">
        <v>9021</v>
      </c>
      <c r="E21" s="1">
        <v>40420</v>
      </c>
      <c r="F21" s="9">
        <v>85</v>
      </c>
      <c r="G21" t="s">
        <v>143</v>
      </c>
      <c r="H21" s="16" t="s">
        <v>215</v>
      </c>
      <c r="I21" s="16" t="s">
        <v>379</v>
      </c>
      <c r="J21" t="s">
        <v>69</v>
      </c>
      <c r="L21" t="s">
        <v>70</v>
      </c>
      <c r="M21" s="7" t="s">
        <v>122</v>
      </c>
      <c r="N21">
        <v>5</v>
      </c>
      <c r="O21">
        <v>0</v>
      </c>
      <c r="P21" s="37">
        <v>1580</v>
      </c>
      <c r="Q21" s="16">
        <v>44971.11</v>
      </c>
      <c r="R21" s="4" t="s">
        <v>90</v>
      </c>
      <c r="S21" s="4" t="s">
        <v>90</v>
      </c>
      <c r="T21" t="s">
        <v>68</v>
      </c>
      <c r="U21" t="s">
        <v>73</v>
      </c>
      <c r="V21" t="s">
        <v>74</v>
      </c>
      <c r="W21" t="s">
        <v>74</v>
      </c>
      <c r="X21" t="s">
        <v>142</v>
      </c>
    </row>
    <row r="22" spans="1:24">
      <c r="A22" s="5" t="s">
        <v>57</v>
      </c>
      <c r="B22" s="5">
        <v>35195894</v>
      </c>
      <c r="C22" s="5" t="s">
        <v>45</v>
      </c>
      <c r="D22" s="1">
        <v>12753</v>
      </c>
      <c r="E22" s="1">
        <v>39167</v>
      </c>
      <c r="F22" s="9">
        <v>72</v>
      </c>
      <c r="G22" t="s">
        <v>68</v>
      </c>
      <c r="H22" s="16" t="s">
        <v>215</v>
      </c>
      <c r="I22" s="16" t="s">
        <v>373</v>
      </c>
      <c r="J22" t="s">
        <v>95</v>
      </c>
      <c r="K22" s="4" t="s">
        <v>88</v>
      </c>
      <c r="L22" t="s">
        <v>70</v>
      </c>
      <c r="M22" s="7" t="s">
        <v>122</v>
      </c>
      <c r="N22">
        <v>4</v>
      </c>
      <c r="O22">
        <v>0</v>
      </c>
      <c r="P22" s="35" t="s">
        <v>384</v>
      </c>
      <c r="Q22" s="16" t="s">
        <v>384</v>
      </c>
      <c r="R22" s="4" t="s">
        <v>91</v>
      </c>
      <c r="S22" s="4" t="s">
        <v>83</v>
      </c>
      <c r="T22" t="s">
        <v>68</v>
      </c>
      <c r="U22" t="s">
        <v>73</v>
      </c>
      <c r="V22" t="s">
        <v>74</v>
      </c>
      <c r="W22" t="s">
        <v>74</v>
      </c>
      <c r="X22" t="s">
        <v>145</v>
      </c>
    </row>
    <row r="23" spans="1:24">
      <c r="A23" s="5" t="s">
        <v>58</v>
      </c>
      <c r="B23" s="5">
        <v>25438991</v>
      </c>
      <c r="C23" s="5" t="s">
        <v>45</v>
      </c>
      <c r="D23" s="1">
        <v>31587</v>
      </c>
      <c r="E23" s="1">
        <v>40574</v>
      </c>
      <c r="F23" s="9">
        <v>24</v>
      </c>
      <c r="G23" t="s">
        <v>79</v>
      </c>
      <c r="H23" s="16" t="s">
        <v>215</v>
      </c>
      <c r="I23" s="16" t="s">
        <v>380</v>
      </c>
      <c r="J23" t="s">
        <v>69</v>
      </c>
      <c r="K23" s="4" t="s">
        <v>88</v>
      </c>
      <c r="L23" t="s">
        <v>70</v>
      </c>
      <c r="M23" s="7" t="s">
        <v>94</v>
      </c>
      <c r="N23">
        <v>3</v>
      </c>
      <c r="O23">
        <v>0</v>
      </c>
      <c r="P23" s="35" t="s">
        <v>384</v>
      </c>
      <c r="Q23" s="16" t="s">
        <v>384</v>
      </c>
      <c r="R23" s="4" t="s">
        <v>68</v>
      </c>
      <c r="S23" s="4" t="s">
        <v>74</v>
      </c>
      <c r="T23" t="s">
        <v>68</v>
      </c>
      <c r="U23" t="s">
        <v>73</v>
      </c>
      <c r="V23" t="s">
        <v>74</v>
      </c>
      <c r="W23" t="s">
        <v>74</v>
      </c>
    </row>
    <row r="24" spans="1:24">
      <c r="A24" s="5" t="s">
        <v>60</v>
      </c>
      <c r="B24" s="5">
        <v>25042943</v>
      </c>
      <c r="C24" s="5" t="s">
        <v>31</v>
      </c>
      <c r="D24" s="1">
        <v>10467</v>
      </c>
      <c r="E24" s="1">
        <v>38567</v>
      </c>
      <c r="F24" s="9">
        <v>76</v>
      </c>
      <c r="G24" t="s">
        <v>68</v>
      </c>
      <c r="H24" s="16" t="s">
        <v>215</v>
      </c>
      <c r="I24" s="16" t="s">
        <v>371</v>
      </c>
      <c r="J24" t="s">
        <v>69</v>
      </c>
      <c r="L24" t="s">
        <v>70</v>
      </c>
      <c r="M24" t="s">
        <v>71</v>
      </c>
      <c r="N24">
        <v>5</v>
      </c>
      <c r="O24">
        <v>0</v>
      </c>
      <c r="P24" s="35" t="s">
        <v>384</v>
      </c>
      <c r="Q24" s="16" t="s">
        <v>384</v>
      </c>
      <c r="R24" s="4" t="s">
        <v>91</v>
      </c>
      <c r="S24" s="4" t="s">
        <v>83</v>
      </c>
      <c r="T24" t="s">
        <v>68</v>
      </c>
      <c r="U24" t="s">
        <v>73</v>
      </c>
      <c r="V24" s="7" t="s">
        <v>74</v>
      </c>
      <c r="W24" s="7" t="s">
        <v>74</v>
      </c>
    </row>
    <row r="25" spans="1:24">
      <c r="A25" s="5" t="s">
        <v>61</v>
      </c>
      <c r="B25" s="5">
        <v>35471746</v>
      </c>
      <c r="C25" s="5" t="s">
        <v>29</v>
      </c>
      <c r="D25" s="1">
        <v>15228</v>
      </c>
      <c r="E25" s="1">
        <v>40105</v>
      </c>
      <c r="F25" s="9">
        <v>68</v>
      </c>
      <c r="G25" t="s">
        <v>68</v>
      </c>
      <c r="H25" s="16" t="s">
        <v>215</v>
      </c>
      <c r="I25" s="16" t="s">
        <v>379</v>
      </c>
      <c r="J25" t="s">
        <v>95</v>
      </c>
      <c r="K25" s="7" t="s">
        <v>88</v>
      </c>
      <c r="L25" t="s">
        <v>70</v>
      </c>
      <c r="M25" s="7" t="s">
        <v>122</v>
      </c>
      <c r="N25">
        <v>3</v>
      </c>
      <c r="O25">
        <v>1</v>
      </c>
      <c r="P25" s="37">
        <v>8313</v>
      </c>
      <c r="Q25" s="16">
        <v>50694.86</v>
      </c>
      <c r="R25" s="4" t="s">
        <v>96</v>
      </c>
      <c r="S25" s="4" t="s">
        <v>90</v>
      </c>
      <c r="T25" t="s">
        <v>68</v>
      </c>
      <c r="U25" t="s">
        <v>73</v>
      </c>
      <c r="V25" t="s">
        <v>74</v>
      </c>
      <c r="W25" t="s">
        <v>74</v>
      </c>
      <c r="X25" t="s">
        <v>146</v>
      </c>
    </row>
    <row r="26" spans="1:24" s="16" customFormat="1">
      <c r="A26" s="17" t="s">
        <v>63</v>
      </c>
      <c r="B26" s="17">
        <v>12327581</v>
      </c>
      <c r="C26" s="17" t="s">
        <v>64</v>
      </c>
      <c r="D26" s="18">
        <v>13316</v>
      </c>
      <c r="E26" s="18">
        <v>40780</v>
      </c>
      <c r="F26" s="17">
        <v>75</v>
      </c>
      <c r="G26" s="16" t="s">
        <v>68</v>
      </c>
      <c r="H26" s="16" t="s">
        <v>215</v>
      </c>
      <c r="I26" s="16" t="s">
        <v>380</v>
      </c>
      <c r="J26" s="16" t="s">
        <v>95</v>
      </c>
      <c r="L26" s="16" t="s">
        <v>149</v>
      </c>
      <c r="M26" s="16" t="s">
        <v>94</v>
      </c>
      <c r="N26" s="16">
        <v>4</v>
      </c>
      <c r="O26" s="16">
        <v>0</v>
      </c>
      <c r="P26" s="37">
        <v>5139.6000000000004</v>
      </c>
      <c r="Q26" s="16">
        <v>22997.200000000001</v>
      </c>
      <c r="R26" s="16" t="s">
        <v>101</v>
      </c>
      <c r="S26" s="16" t="s">
        <v>90</v>
      </c>
      <c r="T26" s="16" t="s">
        <v>68</v>
      </c>
      <c r="U26" s="16" t="s">
        <v>73</v>
      </c>
      <c r="V26" s="16" t="s">
        <v>74</v>
      </c>
      <c r="W26" s="16" t="s">
        <v>74</v>
      </c>
    </row>
    <row r="27" spans="1:24" s="16" customFormat="1">
      <c r="A27" s="17" t="s">
        <v>65</v>
      </c>
      <c r="B27" s="17">
        <v>4264305</v>
      </c>
      <c r="C27" s="17" t="s">
        <v>47</v>
      </c>
      <c r="D27" s="18">
        <v>29697</v>
      </c>
      <c r="E27" s="18">
        <v>38166</v>
      </c>
      <c r="F27" s="17">
        <v>23</v>
      </c>
      <c r="G27" s="16" t="s">
        <v>151</v>
      </c>
      <c r="H27" s="16" t="s">
        <v>215</v>
      </c>
      <c r="I27" s="16" t="s">
        <v>376</v>
      </c>
      <c r="J27" s="16" t="s">
        <v>95</v>
      </c>
      <c r="K27" s="16" t="s">
        <v>88</v>
      </c>
      <c r="L27" s="16" t="s">
        <v>70</v>
      </c>
      <c r="M27" s="16" t="s">
        <v>150</v>
      </c>
      <c r="N27" s="16">
        <v>6</v>
      </c>
      <c r="O27" s="16">
        <v>0</v>
      </c>
      <c r="P27" s="35" t="s">
        <v>384</v>
      </c>
      <c r="Q27" s="16" t="s">
        <v>384</v>
      </c>
      <c r="R27" s="16" t="s">
        <v>101</v>
      </c>
      <c r="S27" s="16" t="s">
        <v>90</v>
      </c>
      <c r="T27" s="16" t="s">
        <v>68</v>
      </c>
      <c r="U27" s="16" t="s">
        <v>73</v>
      </c>
      <c r="V27" s="16" t="s">
        <v>74</v>
      </c>
      <c r="W27" s="16" t="s">
        <v>74</v>
      </c>
    </row>
    <row r="28" spans="1:24" s="16" customFormat="1">
      <c r="A28" s="17" t="s">
        <v>229</v>
      </c>
      <c r="B28" s="17">
        <v>50581183</v>
      </c>
      <c r="C28" s="17" t="s">
        <v>31</v>
      </c>
      <c r="D28" s="28">
        <v>8834</v>
      </c>
      <c r="E28" s="28">
        <v>40868</v>
      </c>
      <c r="F28" s="17">
        <v>87</v>
      </c>
      <c r="G28" s="16" t="s">
        <v>210</v>
      </c>
      <c r="H28" s="16" t="s">
        <v>215</v>
      </c>
      <c r="I28" s="16" t="s">
        <v>230</v>
      </c>
      <c r="J28" s="16" t="s">
        <v>69</v>
      </c>
      <c r="L28" s="16" t="s">
        <v>70</v>
      </c>
      <c r="M28" s="16" t="s">
        <v>231</v>
      </c>
      <c r="N28" s="16">
        <v>8</v>
      </c>
      <c r="O28" s="16" t="s">
        <v>90</v>
      </c>
      <c r="P28" s="35" t="s">
        <v>384</v>
      </c>
      <c r="Q28" s="16" t="s">
        <v>384</v>
      </c>
      <c r="R28" s="16" t="s">
        <v>90</v>
      </c>
      <c r="S28" s="16" t="s">
        <v>232</v>
      </c>
      <c r="T28" s="16" t="s">
        <v>68</v>
      </c>
      <c r="U28" s="16" t="s">
        <v>73</v>
      </c>
      <c r="V28" s="16" t="s">
        <v>74</v>
      </c>
      <c r="W28" s="16" t="s">
        <v>74</v>
      </c>
    </row>
    <row r="29" spans="1:24" s="16" customFormat="1">
      <c r="A29" s="17" t="s">
        <v>233</v>
      </c>
      <c r="B29" s="17">
        <v>25321185</v>
      </c>
      <c r="C29" s="17" t="s">
        <v>31</v>
      </c>
      <c r="D29" s="28">
        <v>28891</v>
      </c>
      <c r="E29" s="28">
        <v>40777</v>
      </c>
      <c r="F29" s="17">
        <v>32</v>
      </c>
      <c r="G29" s="16" t="s">
        <v>210</v>
      </c>
      <c r="H29" s="16" t="s">
        <v>215</v>
      </c>
      <c r="I29" s="16" t="s">
        <v>381</v>
      </c>
      <c r="J29" s="16" t="s">
        <v>69</v>
      </c>
      <c r="K29" s="16" t="s">
        <v>235</v>
      </c>
      <c r="L29" s="16" t="s">
        <v>70</v>
      </c>
      <c r="M29" s="16" t="s">
        <v>236</v>
      </c>
      <c r="N29" s="16">
        <v>3</v>
      </c>
      <c r="O29" s="16">
        <v>0</v>
      </c>
      <c r="P29" s="35" t="s">
        <v>384</v>
      </c>
      <c r="Q29" s="16" t="s">
        <v>384</v>
      </c>
      <c r="R29" s="16" t="s">
        <v>237</v>
      </c>
      <c r="S29" s="16" t="s">
        <v>238</v>
      </c>
      <c r="T29" s="16" t="s">
        <v>68</v>
      </c>
      <c r="U29" s="16" t="s">
        <v>73</v>
      </c>
      <c r="V29" s="16" t="s">
        <v>74</v>
      </c>
      <c r="W29" s="16" t="s">
        <v>74</v>
      </c>
    </row>
    <row r="30" spans="1:24" s="16" customFormat="1">
      <c r="A30" s="17" t="s">
        <v>239</v>
      </c>
      <c r="B30" s="17">
        <v>25415147</v>
      </c>
      <c r="C30" s="17" t="s">
        <v>240</v>
      </c>
      <c r="D30" s="28">
        <v>13754</v>
      </c>
      <c r="E30" s="28">
        <v>40581</v>
      </c>
      <c r="F30" s="17">
        <v>73</v>
      </c>
      <c r="G30" s="17" t="s">
        <v>215</v>
      </c>
      <c r="H30" s="17" t="s">
        <v>215</v>
      </c>
      <c r="I30" s="16" t="s">
        <v>379</v>
      </c>
      <c r="J30" s="17" t="s">
        <v>95</v>
      </c>
      <c r="K30" s="16" t="s">
        <v>88</v>
      </c>
      <c r="L30" s="17" t="s">
        <v>70</v>
      </c>
      <c r="M30" s="17" t="s">
        <v>241</v>
      </c>
      <c r="N30" s="16">
        <v>3</v>
      </c>
      <c r="O30" s="16">
        <v>0</v>
      </c>
      <c r="P30" s="35" t="s">
        <v>384</v>
      </c>
      <c r="Q30" s="16" t="s">
        <v>384</v>
      </c>
      <c r="R30" s="16" t="s">
        <v>90</v>
      </c>
      <c r="S30" s="16" t="s">
        <v>90</v>
      </c>
      <c r="T30" s="16" t="s">
        <v>68</v>
      </c>
      <c r="U30" s="16" t="s">
        <v>73</v>
      </c>
      <c r="V30" s="16" t="s">
        <v>74</v>
      </c>
      <c r="W30" s="16" t="s">
        <v>74</v>
      </c>
    </row>
    <row r="31" spans="1:24" s="16" customFormat="1">
      <c r="A31" s="17" t="s">
        <v>242</v>
      </c>
      <c r="B31" s="17">
        <v>25167833</v>
      </c>
      <c r="C31" s="17" t="s">
        <v>47</v>
      </c>
      <c r="D31" s="28">
        <v>25798</v>
      </c>
      <c r="E31" s="28">
        <v>39171</v>
      </c>
      <c r="F31" s="29">
        <v>36</v>
      </c>
      <c r="G31" s="17" t="s">
        <v>215</v>
      </c>
      <c r="H31" s="16" t="s">
        <v>215</v>
      </c>
      <c r="I31" s="16" t="s">
        <v>377</v>
      </c>
      <c r="J31" s="17" t="s">
        <v>69</v>
      </c>
      <c r="K31" s="16" t="s">
        <v>88</v>
      </c>
      <c r="L31" s="16" t="s">
        <v>70</v>
      </c>
      <c r="M31" s="16" t="s">
        <v>243</v>
      </c>
      <c r="N31" s="16">
        <v>2</v>
      </c>
      <c r="O31" s="16">
        <v>0</v>
      </c>
      <c r="P31" s="35" t="s">
        <v>384</v>
      </c>
      <c r="Q31" s="16" t="s">
        <v>384</v>
      </c>
      <c r="R31" s="16" t="s">
        <v>79</v>
      </c>
      <c r="S31" s="16" t="s">
        <v>76</v>
      </c>
      <c r="T31" s="16" t="s">
        <v>68</v>
      </c>
      <c r="U31" s="16" t="s">
        <v>73</v>
      </c>
      <c r="V31" s="16" t="s">
        <v>74</v>
      </c>
      <c r="W31" s="16" t="s">
        <v>74</v>
      </c>
    </row>
    <row r="32" spans="1:24" s="16" customFormat="1">
      <c r="A32" s="17" t="s">
        <v>247</v>
      </c>
      <c r="B32" s="17">
        <v>18391821</v>
      </c>
      <c r="C32" s="17" t="s">
        <v>31</v>
      </c>
      <c r="D32" s="28">
        <v>30269</v>
      </c>
      <c r="E32" s="28">
        <v>37846</v>
      </c>
      <c r="F32" s="29">
        <v>20</v>
      </c>
      <c r="G32" s="17" t="s">
        <v>210</v>
      </c>
      <c r="H32" s="16" t="s">
        <v>215</v>
      </c>
      <c r="I32" s="16" t="s">
        <v>374</v>
      </c>
      <c r="J32" s="17" t="s">
        <v>69</v>
      </c>
      <c r="L32" s="16" t="s">
        <v>70</v>
      </c>
      <c r="M32" s="16" t="s">
        <v>248</v>
      </c>
      <c r="N32" s="16">
        <v>3</v>
      </c>
      <c r="O32" s="16">
        <v>0</v>
      </c>
      <c r="P32" s="35" t="s">
        <v>384</v>
      </c>
      <c r="Q32" s="16" t="s">
        <v>384</v>
      </c>
      <c r="R32" s="16" t="s">
        <v>249</v>
      </c>
      <c r="S32" s="16" t="s">
        <v>90</v>
      </c>
      <c r="T32" s="16" t="s">
        <v>68</v>
      </c>
      <c r="U32" s="16" t="s">
        <v>73</v>
      </c>
      <c r="V32" s="16" t="s">
        <v>74</v>
      </c>
      <c r="W32" s="16" t="s">
        <v>74</v>
      </c>
    </row>
    <row r="33" spans="1:24" s="16" customFormat="1">
      <c r="A33" s="17" t="s">
        <v>250</v>
      </c>
      <c r="B33" s="17">
        <v>18251850</v>
      </c>
      <c r="C33" s="17" t="s">
        <v>47</v>
      </c>
      <c r="D33" s="28">
        <v>12391</v>
      </c>
      <c r="E33" s="28">
        <v>37872</v>
      </c>
      <c r="F33" s="29">
        <v>69</v>
      </c>
      <c r="G33" s="17" t="s">
        <v>210</v>
      </c>
      <c r="H33" s="16" t="s">
        <v>215</v>
      </c>
      <c r="I33" s="16" t="s">
        <v>370</v>
      </c>
      <c r="J33" s="17" t="s">
        <v>69</v>
      </c>
      <c r="L33" s="16" t="s">
        <v>70</v>
      </c>
      <c r="M33" s="16" t="s">
        <v>251</v>
      </c>
      <c r="N33" s="16">
        <v>4</v>
      </c>
      <c r="O33" s="16">
        <v>0</v>
      </c>
      <c r="P33" s="37">
        <v>772.8</v>
      </c>
      <c r="Q33" s="16">
        <v>25687.61</v>
      </c>
      <c r="R33" s="16" t="s">
        <v>79</v>
      </c>
      <c r="S33" s="16" t="s">
        <v>90</v>
      </c>
      <c r="T33" s="16" t="s">
        <v>68</v>
      </c>
      <c r="U33" s="16" t="s">
        <v>73</v>
      </c>
      <c r="V33" s="16" t="s">
        <v>74</v>
      </c>
      <c r="W33" s="16" t="s">
        <v>74</v>
      </c>
    </row>
    <row r="34" spans="1:24" s="16" customFormat="1">
      <c r="A34" s="17" t="s">
        <v>252</v>
      </c>
      <c r="B34" s="17">
        <v>14011548</v>
      </c>
      <c r="C34" s="17" t="s">
        <v>29</v>
      </c>
      <c r="D34" s="28">
        <v>20518</v>
      </c>
      <c r="E34" s="28">
        <v>40798</v>
      </c>
      <c r="F34" s="17">
        <v>55</v>
      </c>
      <c r="G34" s="16" t="s">
        <v>215</v>
      </c>
      <c r="H34" s="16" t="s">
        <v>215</v>
      </c>
      <c r="I34" s="33" t="s">
        <v>230</v>
      </c>
      <c r="J34" s="16" t="s">
        <v>253</v>
      </c>
      <c r="K34" s="16" t="s">
        <v>88</v>
      </c>
      <c r="L34" s="16" t="s">
        <v>70</v>
      </c>
      <c r="M34" s="16" t="s">
        <v>254</v>
      </c>
      <c r="N34" s="16">
        <v>3</v>
      </c>
      <c r="O34" s="16">
        <v>0</v>
      </c>
      <c r="P34" s="35" t="s">
        <v>384</v>
      </c>
      <c r="Q34" s="16" t="s">
        <v>384</v>
      </c>
      <c r="R34" s="16" t="s">
        <v>237</v>
      </c>
      <c r="S34" s="16" t="s">
        <v>255</v>
      </c>
      <c r="T34" s="16" t="s">
        <v>68</v>
      </c>
      <c r="U34" s="16" t="s">
        <v>73</v>
      </c>
      <c r="V34" s="16" t="s">
        <v>74</v>
      </c>
      <c r="W34" s="16" t="s">
        <v>74</v>
      </c>
    </row>
    <row r="35" spans="1:24" s="16" customFormat="1">
      <c r="A35" s="17" t="s">
        <v>256</v>
      </c>
      <c r="B35" s="17">
        <v>25211293</v>
      </c>
      <c r="C35" s="17" t="s">
        <v>47</v>
      </c>
      <c r="D35" s="28">
        <v>8026</v>
      </c>
      <c r="E35" s="28">
        <v>39406</v>
      </c>
      <c r="F35" s="29">
        <v>86</v>
      </c>
      <c r="G35" s="17" t="s">
        <v>210</v>
      </c>
      <c r="H35" s="16" t="s">
        <v>215</v>
      </c>
      <c r="I35" s="16" t="s">
        <v>370</v>
      </c>
      <c r="J35" s="17" t="s">
        <v>69</v>
      </c>
      <c r="K35" s="16" t="s">
        <v>88</v>
      </c>
      <c r="L35" s="16" t="s">
        <v>70</v>
      </c>
      <c r="M35" s="16" t="s">
        <v>223</v>
      </c>
      <c r="N35" s="16">
        <v>4</v>
      </c>
      <c r="O35" s="16">
        <v>0</v>
      </c>
      <c r="P35" s="36">
        <v>6393</v>
      </c>
      <c r="Q35" s="16">
        <v>32448.32</v>
      </c>
      <c r="R35" s="16" t="s">
        <v>90</v>
      </c>
      <c r="S35" s="16" t="s">
        <v>90</v>
      </c>
      <c r="T35" s="16" t="s">
        <v>68</v>
      </c>
      <c r="U35" s="16" t="s">
        <v>73</v>
      </c>
      <c r="V35" s="16" t="s">
        <v>74</v>
      </c>
      <c r="W35" s="16" t="s">
        <v>74</v>
      </c>
      <c r="X35" s="16" t="s">
        <v>257</v>
      </c>
    </row>
    <row r="36" spans="1:24" s="16" customFormat="1">
      <c r="A36" s="17" t="s">
        <v>258</v>
      </c>
      <c r="B36" s="17">
        <v>25079337</v>
      </c>
      <c r="C36" s="17" t="s">
        <v>226</v>
      </c>
      <c r="D36" s="28">
        <v>20079</v>
      </c>
      <c r="E36" s="28">
        <v>38824</v>
      </c>
      <c r="F36" s="29">
        <v>51</v>
      </c>
      <c r="G36" s="17" t="s">
        <v>210</v>
      </c>
      <c r="H36" s="16" t="s">
        <v>215</v>
      </c>
      <c r="I36" s="16" t="s">
        <v>382</v>
      </c>
      <c r="J36" s="17" t="s">
        <v>95</v>
      </c>
      <c r="K36" s="16" t="s">
        <v>88</v>
      </c>
      <c r="L36" s="16" t="s">
        <v>70</v>
      </c>
      <c r="M36" s="16" t="s">
        <v>259</v>
      </c>
      <c r="N36" s="16">
        <v>3</v>
      </c>
      <c r="O36" s="16">
        <v>0</v>
      </c>
      <c r="P36" s="37">
        <v>6221</v>
      </c>
      <c r="Q36" s="16">
        <v>25389.34</v>
      </c>
      <c r="R36" s="16" t="s">
        <v>79</v>
      </c>
      <c r="S36" s="16" t="s">
        <v>76</v>
      </c>
      <c r="T36" s="16" t="s">
        <v>68</v>
      </c>
      <c r="U36" s="16" t="s">
        <v>73</v>
      </c>
      <c r="V36" s="16" t="s">
        <v>74</v>
      </c>
      <c r="W36" s="16" t="s">
        <v>74</v>
      </c>
    </row>
    <row r="37" spans="1:24" s="16" customFormat="1">
      <c r="A37" s="17" t="s">
        <v>260</v>
      </c>
      <c r="B37" s="17">
        <v>4560330</v>
      </c>
      <c r="C37" s="17" t="s">
        <v>29</v>
      </c>
      <c r="D37" s="28">
        <v>25698</v>
      </c>
      <c r="E37" s="28">
        <v>39951</v>
      </c>
      <c r="F37" s="29">
        <v>39</v>
      </c>
      <c r="G37" s="17" t="s">
        <v>210</v>
      </c>
      <c r="H37" s="16" t="s">
        <v>215</v>
      </c>
      <c r="I37" s="16" t="s">
        <v>377</v>
      </c>
      <c r="J37" s="17" t="s">
        <v>261</v>
      </c>
      <c r="K37" s="16" t="s">
        <v>88</v>
      </c>
      <c r="L37" s="16" t="s">
        <v>70</v>
      </c>
      <c r="M37" s="16" t="s">
        <v>245</v>
      </c>
      <c r="N37" s="38">
        <v>3</v>
      </c>
      <c r="O37" s="16">
        <v>0</v>
      </c>
      <c r="P37" s="35" t="s">
        <v>384</v>
      </c>
      <c r="Q37" s="16" t="s">
        <v>384</v>
      </c>
      <c r="R37" s="16" t="s">
        <v>215</v>
      </c>
      <c r="S37" s="16" t="s">
        <v>90</v>
      </c>
      <c r="T37" s="16" t="s">
        <v>215</v>
      </c>
      <c r="U37" s="16" t="s">
        <v>262</v>
      </c>
      <c r="V37" s="18">
        <v>40188</v>
      </c>
      <c r="W37" s="16" t="s">
        <v>112</v>
      </c>
      <c r="X37" s="16" t="s">
        <v>263</v>
      </c>
    </row>
    <row r="38" spans="1:24" s="16" customFormat="1">
      <c r="A38" s="17" t="s">
        <v>269</v>
      </c>
      <c r="B38" s="17">
        <v>17282567</v>
      </c>
      <c r="C38" s="17" t="s">
        <v>45</v>
      </c>
      <c r="D38" s="28">
        <v>23748</v>
      </c>
      <c r="E38" s="28">
        <v>37060</v>
      </c>
      <c r="F38" s="29">
        <v>36</v>
      </c>
      <c r="G38" s="17" t="s">
        <v>270</v>
      </c>
      <c r="H38" s="16" t="s">
        <v>215</v>
      </c>
      <c r="I38" s="16" t="s">
        <v>380</v>
      </c>
      <c r="J38" s="17" t="s">
        <v>69</v>
      </c>
      <c r="K38" s="16" t="s">
        <v>271</v>
      </c>
      <c r="L38" s="16" t="s">
        <v>70</v>
      </c>
      <c r="M38" s="16" t="s">
        <v>272</v>
      </c>
      <c r="N38" s="16">
        <v>3</v>
      </c>
      <c r="O38" s="16">
        <v>0</v>
      </c>
      <c r="P38" s="37">
        <v>1702</v>
      </c>
      <c r="Q38" s="16">
        <v>15771.23</v>
      </c>
      <c r="R38" s="16" t="s">
        <v>89</v>
      </c>
      <c r="S38" s="16" t="s">
        <v>90</v>
      </c>
      <c r="T38" s="16" t="s">
        <v>79</v>
      </c>
      <c r="U38" s="16" t="s">
        <v>273</v>
      </c>
      <c r="V38" s="16" t="s">
        <v>274</v>
      </c>
      <c r="W38" s="16" t="s">
        <v>275</v>
      </c>
      <c r="X38" s="16" t="s">
        <v>276</v>
      </c>
    </row>
    <row r="39" spans="1:24" s="16" customFormat="1">
      <c r="A39" s="17" t="s">
        <v>280</v>
      </c>
      <c r="B39" s="17">
        <v>25326385</v>
      </c>
      <c r="C39" s="17" t="s">
        <v>29</v>
      </c>
      <c r="D39" s="28">
        <v>28918</v>
      </c>
      <c r="E39" s="28">
        <v>39946</v>
      </c>
      <c r="F39" s="29">
        <v>30</v>
      </c>
      <c r="G39" s="17" t="s">
        <v>210</v>
      </c>
      <c r="H39" s="16" t="s">
        <v>215</v>
      </c>
      <c r="I39" s="16" t="s">
        <v>382</v>
      </c>
      <c r="J39" s="17" t="s">
        <v>69</v>
      </c>
      <c r="K39" s="16" t="s">
        <v>88</v>
      </c>
      <c r="L39" s="16" t="s">
        <v>70</v>
      </c>
      <c r="M39" s="16" t="s">
        <v>248</v>
      </c>
      <c r="N39" s="16">
        <v>4</v>
      </c>
      <c r="O39" s="16">
        <v>0</v>
      </c>
      <c r="P39" s="35" t="s">
        <v>384</v>
      </c>
      <c r="Q39" s="16" t="s">
        <v>384</v>
      </c>
      <c r="R39" s="16" t="s">
        <v>237</v>
      </c>
      <c r="S39" s="16" t="s">
        <v>281</v>
      </c>
      <c r="T39" s="16" t="s">
        <v>68</v>
      </c>
      <c r="U39" s="16" t="s">
        <v>73</v>
      </c>
      <c r="V39" s="16" t="s">
        <v>74</v>
      </c>
      <c r="W39" s="16" t="s">
        <v>74</v>
      </c>
      <c r="X39" s="16" t="s">
        <v>282</v>
      </c>
    </row>
    <row r="40" spans="1:24" s="16" customFormat="1">
      <c r="A40" s="17" t="s">
        <v>287</v>
      </c>
      <c r="B40" s="17">
        <v>25282021</v>
      </c>
      <c r="C40" s="17" t="s">
        <v>31</v>
      </c>
      <c r="D40" s="28">
        <v>12159</v>
      </c>
      <c r="E40" s="28">
        <v>39818</v>
      </c>
      <c r="F40" s="29">
        <v>65</v>
      </c>
      <c r="G40" s="17" t="s">
        <v>210</v>
      </c>
      <c r="H40" s="16" t="s">
        <v>215</v>
      </c>
      <c r="I40" s="16" t="s">
        <v>379</v>
      </c>
      <c r="J40" s="17" t="s">
        <v>69</v>
      </c>
      <c r="K40" s="16" t="s">
        <v>288</v>
      </c>
      <c r="L40" s="16" t="s">
        <v>70</v>
      </c>
      <c r="M40" s="16" t="s">
        <v>289</v>
      </c>
      <c r="N40" s="16">
        <v>8</v>
      </c>
      <c r="O40" s="16">
        <v>0</v>
      </c>
      <c r="P40" s="35" t="s">
        <v>384</v>
      </c>
      <c r="Q40" s="16" t="s">
        <v>384</v>
      </c>
      <c r="R40" s="16" t="s">
        <v>290</v>
      </c>
      <c r="S40" s="16" t="s">
        <v>90</v>
      </c>
      <c r="T40" s="16" t="s">
        <v>68</v>
      </c>
      <c r="U40" s="16" t="s">
        <v>73</v>
      </c>
      <c r="V40" s="16" t="s">
        <v>74</v>
      </c>
      <c r="W40" s="16" t="s">
        <v>74</v>
      </c>
      <c r="X40" s="16" t="s">
        <v>291</v>
      </c>
    </row>
    <row r="41" spans="1:24" s="16" customFormat="1">
      <c r="A41" s="17" t="s">
        <v>292</v>
      </c>
      <c r="B41" s="17">
        <v>25012237</v>
      </c>
      <c r="C41" s="17" t="s">
        <v>31</v>
      </c>
      <c r="D41" s="28">
        <v>12953</v>
      </c>
      <c r="E41" s="28">
        <v>38546</v>
      </c>
      <c r="F41" s="29">
        <v>70</v>
      </c>
      <c r="G41" s="17" t="s">
        <v>210</v>
      </c>
      <c r="H41" s="16" t="s">
        <v>215</v>
      </c>
      <c r="I41" s="16" t="s">
        <v>373</v>
      </c>
      <c r="J41" s="17" t="s">
        <v>108</v>
      </c>
      <c r="K41" s="16" t="s">
        <v>88</v>
      </c>
      <c r="L41" s="16" t="s">
        <v>70</v>
      </c>
      <c r="M41" s="16" t="s">
        <v>223</v>
      </c>
      <c r="N41" s="16">
        <v>3</v>
      </c>
      <c r="O41" s="16">
        <v>0</v>
      </c>
      <c r="P41" s="35" t="s">
        <v>384</v>
      </c>
      <c r="Q41" s="16" t="s">
        <v>384</v>
      </c>
      <c r="R41" s="16" t="s">
        <v>79</v>
      </c>
      <c r="S41" s="16" t="s">
        <v>293</v>
      </c>
      <c r="T41" s="16" t="s">
        <v>68</v>
      </c>
      <c r="U41" s="16" t="s">
        <v>73</v>
      </c>
      <c r="V41" s="16" t="s">
        <v>74</v>
      </c>
      <c r="W41" s="16" t="s">
        <v>74</v>
      </c>
      <c r="X41" s="16" t="s">
        <v>294</v>
      </c>
    </row>
    <row r="42" spans="1:24" s="16" customFormat="1">
      <c r="A42" s="17" t="s">
        <v>295</v>
      </c>
      <c r="B42" s="17">
        <v>15927908</v>
      </c>
      <c r="C42" s="17" t="s">
        <v>29</v>
      </c>
      <c r="D42" s="28">
        <v>18036</v>
      </c>
      <c r="E42" s="28">
        <v>40345</v>
      </c>
      <c r="F42" s="17">
        <v>62</v>
      </c>
      <c r="G42" s="16" t="s">
        <v>210</v>
      </c>
      <c r="H42" s="16" t="s">
        <v>215</v>
      </c>
      <c r="I42" s="16" t="s">
        <v>234</v>
      </c>
      <c r="J42" s="16" t="s">
        <v>261</v>
      </c>
      <c r="K42" s="16" t="s">
        <v>88</v>
      </c>
      <c r="L42" s="16" t="s">
        <v>70</v>
      </c>
      <c r="M42" s="16" t="s">
        <v>251</v>
      </c>
      <c r="N42" s="16">
        <v>1</v>
      </c>
      <c r="O42" s="16">
        <v>0</v>
      </c>
      <c r="P42" s="37">
        <v>932</v>
      </c>
      <c r="Q42" s="16">
        <v>23395.59</v>
      </c>
      <c r="R42" s="16" t="s">
        <v>237</v>
      </c>
      <c r="S42" s="16" t="s">
        <v>219</v>
      </c>
      <c r="T42" s="16" t="s">
        <v>68</v>
      </c>
      <c r="U42" s="16" t="s">
        <v>73</v>
      </c>
      <c r="V42" s="16" t="s">
        <v>74</v>
      </c>
      <c r="W42" s="16" t="s">
        <v>74</v>
      </c>
    </row>
    <row r="43" spans="1:24" s="16" customFormat="1">
      <c r="A43" s="17" t="s">
        <v>299</v>
      </c>
      <c r="B43" s="17">
        <v>18013409</v>
      </c>
      <c r="C43" s="17" t="s">
        <v>31</v>
      </c>
      <c r="D43" s="28">
        <v>9318</v>
      </c>
      <c r="E43" s="28">
        <v>38411</v>
      </c>
      <c r="F43" s="29">
        <v>79</v>
      </c>
      <c r="G43" s="17" t="s">
        <v>210</v>
      </c>
      <c r="H43" s="16" t="s">
        <v>215</v>
      </c>
      <c r="I43" s="16" t="s">
        <v>370</v>
      </c>
      <c r="J43" s="17" t="s">
        <v>69</v>
      </c>
      <c r="L43" s="16" t="s">
        <v>70</v>
      </c>
      <c r="M43" s="16" t="s">
        <v>223</v>
      </c>
      <c r="N43" s="16">
        <v>4</v>
      </c>
      <c r="O43" s="16">
        <v>0</v>
      </c>
      <c r="P43" s="35" t="s">
        <v>384</v>
      </c>
      <c r="Q43" s="16" t="s">
        <v>384</v>
      </c>
      <c r="R43" s="16" t="s">
        <v>79</v>
      </c>
      <c r="S43" s="16" t="s">
        <v>83</v>
      </c>
      <c r="T43" s="16" t="s">
        <v>68</v>
      </c>
      <c r="U43" s="16" t="s">
        <v>73</v>
      </c>
      <c r="V43" s="16" t="s">
        <v>74</v>
      </c>
      <c r="W43" s="16" t="s">
        <v>74</v>
      </c>
    </row>
    <row r="44" spans="1:24" s="16" customFormat="1">
      <c r="A44" s="17" t="s">
        <v>302</v>
      </c>
      <c r="B44" s="17">
        <v>18490268</v>
      </c>
      <c r="C44" s="17" t="s">
        <v>31</v>
      </c>
      <c r="D44" s="28">
        <v>16451</v>
      </c>
      <c r="E44" s="28">
        <v>37823</v>
      </c>
      <c r="F44" s="29">
        <v>57</v>
      </c>
      <c r="G44" s="17" t="s">
        <v>303</v>
      </c>
      <c r="H44" s="16" t="s">
        <v>215</v>
      </c>
      <c r="I44" s="16" t="s">
        <v>370</v>
      </c>
      <c r="J44" s="17" t="s">
        <v>69</v>
      </c>
      <c r="L44" s="16" t="s">
        <v>70</v>
      </c>
      <c r="M44" s="16" t="s">
        <v>218</v>
      </c>
      <c r="N44" s="16">
        <v>2</v>
      </c>
      <c r="O44" s="16">
        <v>0</v>
      </c>
      <c r="P44" s="37">
        <v>772.8</v>
      </c>
      <c r="Q44" s="16">
        <v>16267.1</v>
      </c>
      <c r="R44" s="16" t="s">
        <v>249</v>
      </c>
      <c r="S44" s="16" t="s">
        <v>293</v>
      </c>
      <c r="T44" s="16" t="s">
        <v>68</v>
      </c>
      <c r="U44" s="16" t="s">
        <v>73</v>
      </c>
      <c r="V44" s="16" t="s">
        <v>74</v>
      </c>
      <c r="W44" s="16" t="s">
        <v>74</v>
      </c>
    </row>
    <row r="45" spans="1:24" s="16" customFormat="1">
      <c r="A45" s="17" t="s">
        <v>304</v>
      </c>
      <c r="B45" s="17">
        <v>35215807</v>
      </c>
      <c r="C45" s="17" t="s">
        <v>64</v>
      </c>
      <c r="D45" s="28">
        <v>20099</v>
      </c>
      <c r="E45" s="28">
        <v>40605</v>
      </c>
      <c r="F45" s="17">
        <v>56</v>
      </c>
      <c r="G45" s="16" t="s">
        <v>210</v>
      </c>
      <c r="H45" s="16" t="s">
        <v>215</v>
      </c>
      <c r="I45" s="16" t="s">
        <v>305</v>
      </c>
      <c r="J45" s="16" t="s">
        <v>95</v>
      </c>
      <c r="L45" s="16" t="s">
        <v>306</v>
      </c>
      <c r="M45" s="16" t="s">
        <v>307</v>
      </c>
      <c r="N45" s="16">
        <v>2</v>
      </c>
      <c r="O45" s="16">
        <v>0</v>
      </c>
      <c r="P45" s="35" t="s">
        <v>384</v>
      </c>
      <c r="Q45" s="16" t="s">
        <v>384</v>
      </c>
      <c r="R45" s="16" t="s">
        <v>237</v>
      </c>
      <c r="S45" s="18" t="s">
        <v>219</v>
      </c>
      <c r="T45" s="16" t="s">
        <v>68</v>
      </c>
      <c r="U45" s="16" t="s">
        <v>73</v>
      </c>
      <c r="V45" s="16" t="s">
        <v>74</v>
      </c>
      <c r="W45" s="16" t="s">
        <v>74</v>
      </c>
    </row>
    <row r="46" spans="1:24" s="16" customFormat="1">
      <c r="A46" s="17" t="s">
        <v>308</v>
      </c>
      <c r="B46" s="17">
        <v>25361535</v>
      </c>
      <c r="C46" s="17" t="s">
        <v>31</v>
      </c>
      <c r="D46" s="28">
        <v>17779</v>
      </c>
      <c r="E46" s="28">
        <v>40268</v>
      </c>
      <c r="F46" s="17">
        <v>62</v>
      </c>
      <c r="G46" s="17" t="s">
        <v>210</v>
      </c>
      <c r="H46" s="16" t="s">
        <v>215</v>
      </c>
      <c r="I46" s="16" t="s">
        <v>309</v>
      </c>
      <c r="J46" s="16" t="s">
        <v>69</v>
      </c>
      <c r="L46" s="16" t="s">
        <v>70</v>
      </c>
      <c r="M46" s="16" t="s">
        <v>310</v>
      </c>
      <c r="N46" s="16">
        <v>2</v>
      </c>
      <c r="O46" s="16">
        <v>0</v>
      </c>
      <c r="P46" s="37">
        <v>1090</v>
      </c>
      <c r="Q46" s="16">
        <v>24947.74</v>
      </c>
      <c r="R46" s="16" t="s">
        <v>267</v>
      </c>
      <c r="S46" s="16" t="s">
        <v>267</v>
      </c>
      <c r="T46" s="16" t="s">
        <v>68</v>
      </c>
      <c r="U46" s="16" t="s">
        <v>73</v>
      </c>
      <c r="V46" s="16" t="s">
        <v>74</v>
      </c>
      <c r="W46" s="16" t="s">
        <v>74</v>
      </c>
    </row>
    <row r="47" spans="1:24" s="16" customFormat="1">
      <c r="A47" s="17" t="s">
        <v>313</v>
      </c>
      <c r="B47" s="17">
        <v>11982030</v>
      </c>
      <c r="C47" s="17" t="s">
        <v>45</v>
      </c>
      <c r="D47" s="28">
        <v>10419</v>
      </c>
      <c r="E47" s="28">
        <v>39062</v>
      </c>
      <c r="F47" s="29">
        <v>68</v>
      </c>
      <c r="G47" s="17" t="s">
        <v>210</v>
      </c>
      <c r="H47" s="16" t="s">
        <v>215</v>
      </c>
      <c r="I47" s="16" t="s">
        <v>380</v>
      </c>
      <c r="J47" s="17" t="s">
        <v>95</v>
      </c>
      <c r="K47" s="16" t="s">
        <v>88</v>
      </c>
      <c r="L47" s="16" t="s">
        <v>70</v>
      </c>
      <c r="M47" s="16" t="s">
        <v>223</v>
      </c>
      <c r="N47" s="16">
        <v>4</v>
      </c>
      <c r="O47" s="16">
        <v>0</v>
      </c>
      <c r="P47" s="35" t="s">
        <v>384</v>
      </c>
      <c r="Q47" s="16" t="s">
        <v>384</v>
      </c>
      <c r="R47" s="16" t="s">
        <v>90</v>
      </c>
      <c r="S47" s="16" t="s">
        <v>90</v>
      </c>
      <c r="T47" s="16" t="s">
        <v>68</v>
      </c>
      <c r="U47" s="16" t="s">
        <v>73</v>
      </c>
      <c r="V47" s="16" t="s">
        <v>74</v>
      </c>
      <c r="W47" s="16" t="s">
        <v>74</v>
      </c>
    </row>
    <row r="48" spans="1:24" s="16" customFormat="1">
      <c r="A48" s="17" t="s">
        <v>314</v>
      </c>
      <c r="B48" s="17">
        <v>9288911</v>
      </c>
      <c r="C48" s="17" t="s">
        <v>29</v>
      </c>
      <c r="D48" s="28">
        <v>15505</v>
      </c>
      <c r="E48" s="28">
        <v>40098</v>
      </c>
      <c r="F48" s="17">
        <v>66</v>
      </c>
      <c r="G48" s="16" t="s">
        <v>215</v>
      </c>
      <c r="H48" s="16" t="s">
        <v>215</v>
      </c>
      <c r="I48" s="16" t="s">
        <v>315</v>
      </c>
      <c r="J48" s="16" t="s">
        <v>69</v>
      </c>
      <c r="K48" s="16" t="s">
        <v>88</v>
      </c>
      <c r="L48" s="16" t="s">
        <v>70</v>
      </c>
      <c r="M48" s="16" t="s">
        <v>251</v>
      </c>
      <c r="N48" s="16">
        <v>3</v>
      </c>
      <c r="O48" s="16">
        <v>0</v>
      </c>
      <c r="P48" s="37">
        <v>1615</v>
      </c>
      <c r="Q48" s="16">
        <v>37177.42</v>
      </c>
      <c r="R48" s="16" t="s">
        <v>90</v>
      </c>
      <c r="S48" s="16" t="s">
        <v>90</v>
      </c>
      <c r="T48" s="16" t="s">
        <v>68</v>
      </c>
      <c r="U48" s="16" t="s">
        <v>73</v>
      </c>
      <c r="V48" s="16" t="s">
        <v>74</v>
      </c>
      <c r="W48" s="16" t="s">
        <v>74</v>
      </c>
    </row>
    <row r="49" spans="1:24" s="7" customFormat="1">
      <c r="A49" s="9" t="s">
        <v>316</v>
      </c>
      <c r="B49" s="9">
        <v>25202232</v>
      </c>
      <c r="C49" s="9" t="s">
        <v>31</v>
      </c>
      <c r="D49" s="11">
        <v>15838</v>
      </c>
      <c r="E49" s="11">
        <v>40037</v>
      </c>
      <c r="F49" s="27">
        <v>66</v>
      </c>
      <c r="G49" s="9" t="s">
        <v>210</v>
      </c>
      <c r="H49" s="17" t="s">
        <v>215</v>
      </c>
      <c r="I49" s="16" t="s">
        <v>371</v>
      </c>
      <c r="J49" s="9" t="s">
        <v>95</v>
      </c>
      <c r="K49" s="9"/>
      <c r="L49" s="9" t="s">
        <v>70</v>
      </c>
      <c r="M49" s="7" t="s">
        <v>218</v>
      </c>
      <c r="N49" s="7">
        <v>3</v>
      </c>
      <c r="O49" s="7">
        <v>0</v>
      </c>
      <c r="P49" s="35" t="s">
        <v>384</v>
      </c>
      <c r="Q49" s="16" t="s">
        <v>384</v>
      </c>
      <c r="R49" s="7" t="s">
        <v>317</v>
      </c>
      <c r="S49" s="7" t="s">
        <v>219</v>
      </c>
      <c r="T49" s="7" t="s">
        <v>68</v>
      </c>
      <c r="U49" s="7" t="s">
        <v>73</v>
      </c>
      <c r="V49" s="7" t="s">
        <v>74</v>
      </c>
      <c r="W49" s="7" t="s">
        <v>74</v>
      </c>
    </row>
    <row r="50" spans="1:24" s="7" customFormat="1">
      <c r="A50" s="9" t="s">
        <v>323</v>
      </c>
      <c r="B50" s="9">
        <v>25205802</v>
      </c>
      <c r="C50" s="9" t="s">
        <v>45</v>
      </c>
      <c r="D50" s="11">
        <v>13032</v>
      </c>
      <c r="E50" s="11">
        <v>39335</v>
      </c>
      <c r="F50" s="27">
        <v>68</v>
      </c>
      <c r="G50" s="9" t="s">
        <v>215</v>
      </c>
      <c r="H50" s="16" t="s">
        <v>215</v>
      </c>
      <c r="I50" s="16" t="s">
        <v>379</v>
      </c>
      <c r="J50" s="9" t="s">
        <v>69</v>
      </c>
      <c r="K50" s="7" t="s">
        <v>88</v>
      </c>
      <c r="L50" s="7" t="s">
        <v>70</v>
      </c>
      <c r="M50" s="7" t="s">
        <v>324</v>
      </c>
      <c r="N50" s="7">
        <v>5</v>
      </c>
      <c r="O50" s="7">
        <v>0</v>
      </c>
      <c r="P50" s="36">
        <v>1353</v>
      </c>
      <c r="Q50" s="16">
        <v>34206.42</v>
      </c>
      <c r="R50" s="7" t="s">
        <v>90</v>
      </c>
      <c r="S50" s="7" t="s">
        <v>90</v>
      </c>
      <c r="T50" s="7" t="s">
        <v>79</v>
      </c>
      <c r="U50" s="7" t="s">
        <v>325</v>
      </c>
      <c r="V50" s="1">
        <v>39338</v>
      </c>
      <c r="W50" s="7" t="s">
        <v>326</v>
      </c>
      <c r="X50" s="7" t="s">
        <v>327</v>
      </c>
    </row>
    <row r="51" spans="1:24" s="7" customFormat="1">
      <c r="A51" s="9" t="s">
        <v>329</v>
      </c>
      <c r="B51" s="9">
        <v>90001421</v>
      </c>
      <c r="C51" s="9" t="s">
        <v>31</v>
      </c>
      <c r="D51" s="11">
        <v>16082</v>
      </c>
      <c r="E51" s="11">
        <v>39888</v>
      </c>
      <c r="F51" s="27">
        <v>65</v>
      </c>
      <c r="G51" s="9" t="s">
        <v>210</v>
      </c>
      <c r="H51" s="16" t="s">
        <v>215</v>
      </c>
      <c r="I51" s="16" t="s">
        <v>380</v>
      </c>
      <c r="J51" s="9" t="s">
        <v>69</v>
      </c>
      <c r="L51" s="7" t="s">
        <v>70</v>
      </c>
      <c r="M51" s="7" t="s">
        <v>310</v>
      </c>
      <c r="N51" s="7">
        <v>3</v>
      </c>
      <c r="O51" s="7">
        <v>0</v>
      </c>
      <c r="P51" s="36">
        <v>577</v>
      </c>
      <c r="Q51" s="16">
        <v>30728.93</v>
      </c>
      <c r="R51" s="7" t="s">
        <v>237</v>
      </c>
      <c r="S51" s="7" t="s">
        <v>219</v>
      </c>
      <c r="T51" s="7" t="s">
        <v>68</v>
      </c>
      <c r="U51" s="7" t="s">
        <v>73</v>
      </c>
      <c r="V51" s="7" t="s">
        <v>74</v>
      </c>
      <c r="W51" s="7" t="s">
        <v>74</v>
      </c>
    </row>
    <row r="52" spans="1:24" s="16" customFormat="1">
      <c r="A52" s="9" t="s">
        <v>330</v>
      </c>
      <c r="B52" s="9">
        <v>3897170</v>
      </c>
      <c r="C52" s="9" t="s">
        <v>31</v>
      </c>
      <c r="D52" s="11">
        <v>15496</v>
      </c>
      <c r="E52" s="11">
        <v>39470</v>
      </c>
      <c r="F52" s="27">
        <v>65</v>
      </c>
      <c r="G52" s="9" t="s">
        <v>331</v>
      </c>
      <c r="H52" s="16" t="s">
        <v>215</v>
      </c>
      <c r="I52" s="16" t="s">
        <v>379</v>
      </c>
      <c r="J52" s="9" t="s">
        <v>69</v>
      </c>
      <c r="K52" s="7"/>
      <c r="L52" s="7" t="s">
        <v>70</v>
      </c>
      <c r="M52" s="7" t="s">
        <v>332</v>
      </c>
      <c r="N52" s="7">
        <v>2</v>
      </c>
      <c r="O52" s="7">
        <v>0</v>
      </c>
      <c r="P52" s="35" t="s">
        <v>384</v>
      </c>
      <c r="Q52" s="16" t="s">
        <v>384</v>
      </c>
      <c r="R52" s="7" t="s">
        <v>90</v>
      </c>
      <c r="S52" s="7" t="s">
        <v>90</v>
      </c>
      <c r="T52" s="7" t="s">
        <v>68</v>
      </c>
      <c r="U52" s="7" t="s">
        <v>73</v>
      </c>
      <c r="V52" s="7" t="s">
        <v>74</v>
      </c>
      <c r="W52" s="7" t="s">
        <v>74</v>
      </c>
      <c r="X52" s="7" t="s">
        <v>333</v>
      </c>
    </row>
    <row r="53" spans="1:24" s="7" customFormat="1">
      <c r="F53" s="30"/>
      <c r="H53" s="16"/>
      <c r="I53" s="16"/>
      <c r="P53" s="35"/>
      <c r="Q53" s="16"/>
    </row>
    <row r="54" spans="1:24" s="7" customFormat="1">
      <c r="F54" s="31"/>
      <c r="H54" s="16"/>
      <c r="I54" s="16"/>
      <c r="P54" s="35"/>
      <c r="Q54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80"/>
  <sheetViews>
    <sheetView workbookViewId="0">
      <pane ySplit="1" topLeftCell="A2" activePane="bottomLeft" state="frozen"/>
      <selection pane="bottomLeft" activeCell="G13" sqref="G13"/>
    </sheetView>
  </sheetViews>
  <sheetFormatPr defaultColWidth="8.796875" defaultRowHeight="15.6"/>
  <cols>
    <col min="1" max="1" width="20.5" bestFit="1" customWidth="1"/>
    <col min="2" max="2" width="11.69921875" bestFit="1" customWidth="1"/>
    <col min="3" max="3" width="12.69921875" customWidth="1"/>
    <col min="4" max="4" width="39.296875" customWidth="1"/>
    <col min="5" max="5" width="13.09765625" style="7" customWidth="1"/>
    <col min="6" max="6" width="11.8984375" style="7" customWidth="1"/>
    <col min="7" max="7" width="17.796875" customWidth="1"/>
    <col min="8" max="8" width="19.69921875" style="7" customWidth="1"/>
    <col min="9" max="9" width="22.296875" bestFit="1" customWidth="1"/>
    <col min="10" max="10" width="34.296875" customWidth="1"/>
  </cols>
  <sheetData>
    <row r="1" spans="1:10">
      <c r="A1" t="s">
        <v>0</v>
      </c>
      <c r="B1" t="s">
        <v>7</v>
      </c>
      <c r="C1" s="3" t="s">
        <v>19</v>
      </c>
      <c r="D1" s="3" t="s">
        <v>25</v>
      </c>
      <c r="E1" s="7" t="s">
        <v>159</v>
      </c>
      <c r="F1" s="7" t="s">
        <v>160</v>
      </c>
      <c r="G1" s="9" t="s">
        <v>156</v>
      </c>
      <c r="H1" s="9" t="s">
        <v>154</v>
      </c>
      <c r="I1" s="9" t="s">
        <v>155</v>
      </c>
    </row>
    <row r="2" spans="1:10" s="16" customFormat="1">
      <c r="A2" s="17" t="s">
        <v>28</v>
      </c>
      <c r="B2" s="17">
        <v>25258634</v>
      </c>
      <c r="C2" s="18">
        <v>39735</v>
      </c>
      <c r="D2" s="16" t="s">
        <v>76</v>
      </c>
      <c r="E2" s="16" t="s">
        <v>163</v>
      </c>
      <c r="H2" s="16">
        <v>2</v>
      </c>
      <c r="I2" s="16" t="s">
        <v>68</v>
      </c>
    </row>
    <row r="3" spans="1:10" s="16" customFormat="1">
      <c r="A3" s="17" t="s">
        <v>28</v>
      </c>
      <c r="B3" s="17">
        <v>25258634</v>
      </c>
      <c r="C3" s="18">
        <v>39821</v>
      </c>
      <c r="D3" s="16" t="s">
        <v>77</v>
      </c>
      <c r="E3" s="16">
        <f>31-29</f>
        <v>2</v>
      </c>
      <c r="F3" s="16">
        <f>26.4-25.4</f>
        <v>1</v>
      </c>
      <c r="H3" s="16">
        <v>2</v>
      </c>
      <c r="I3" s="16" t="s">
        <v>79</v>
      </c>
    </row>
    <row r="4" spans="1:10" s="16" customFormat="1">
      <c r="A4" s="17" t="s">
        <v>28</v>
      </c>
      <c r="B4" s="17">
        <v>25258634</v>
      </c>
      <c r="C4" s="18">
        <v>40029</v>
      </c>
      <c r="D4" s="16" t="s">
        <v>78</v>
      </c>
      <c r="E4" s="16" t="s">
        <v>163</v>
      </c>
      <c r="H4" s="16">
        <v>1</v>
      </c>
      <c r="I4" s="16" t="s">
        <v>79</v>
      </c>
    </row>
    <row r="5" spans="1:10">
      <c r="A5" s="5" t="s">
        <v>30</v>
      </c>
      <c r="B5" s="5">
        <v>25105026</v>
      </c>
      <c r="C5" s="11">
        <v>40913</v>
      </c>
      <c r="D5" t="s">
        <v>83</v>
      </c>
      <c r="E5" s="7">
        <f>34-32</f>
        <v>2</v>
      </c>
      <c r="F5" s="7">
        <f>34.5-33.5</f>
        <v>1</v>
      </c>
      <c r="G5" s="5"/>
      <c r="H5" s="9">
        <v>2</v>
      </c>
      <c r="I5" s="9" t="s">
        <v>68</v>
      </c>
    </row>
    <row r="6" spans="1:10" s="7" customFormat="1">
      <c r="A6" s="9" t="s">
        <v>30</v>
      </c>
      <c r="B6" s="9">
        <v>25105026</v>
      </c>
      <c r="C6" s="11">
        <v>40969</v>
      </c>
      <c r="D6" s="16" t="s">
        <v>161</v>
      </c>
      <c r="E6" s="7" t="s">
        <v>163</v>
      </c>
      <c r="G6" s="9"/>
      <c r="H6" s="9">
        <v>1</v>
      </c>
      <c r="I6" s="9" t="s">
        <v>79</v>
      </c>
    </row>
    <row r="7" spans="1:10" s="16" customFormat="1">
      <c r="A7" s="17" t="s">
        <v>34</v>
      </c>
      <c r="B7" s="17">
        <v>18397265</v>
      </c>
      <c r="C7" s="18">
        <v>37834</v>
      </c>
      <c r="D7" s="16" t="s">
        <v>76</v>
      </c>
      <c r="E7" s="16">
        <f xml:space="preserve"> 44-39</f>
        <v>5</v>
      </c>
      <c r="F7" s="16">
        <f>32.24-31.09</f>
        <v>1.1500000000000021</v>
      </c>
      <c r="H7" s="16">
        <v>2</v>
      </c>
      <c r="I7" s="16" t="s">
        <v>79</v>
      </c>
    </row>
    <row r="8" spans="1:10" s="16" customFormat="1">
      <c r="A8" s="17" t="s">
        <v>34</v>
      </c>
      <c r="B8" s="17">
        <v>18397265</v>
      </c>
      <c r="C8" s="18">
        <v>37929</v>
      </c>
      <c r="D8" s="16" t="s">
        <v>77</v>
      </c>
      <c r="E8" s="16">
        <f>47-45</f>
        <v>2</v>
      </c>
      <c r="F8" s="16">
        <f>32.35-31.5</f>
        <v>0.85000000000000142</v>
      </c>
      <c r="H8" s="16">
        <v>1</v>
      </c>
      <c r="I8" s="16" t="s">
        <v>79</v>
      </c>
    </row>
    <row r="9" spans="1:10" s="16" customFormat="1">
      <c r="A9" s="17" t="s">
        <v>34</v>
      </c>
      <c r="B9" s="17">
        <v>18397265</v>
      </c>
      <c r="C9" s="18">
        <v>38128</v>
      </c>
      <c r="D9" s="16" t="s">
        <v>78</v>
      </c>
      <c r="E9" s="16">
        <f xml:space="preserve"> 43-42</f>
        <v>1</v>
      </c>
      <c r="F9" s="16">
        <f>30.87-29.28</f>
        <v>1.5899999999999999</v>
      </c>
      <c r="H9" s="16">
        <v>1</v>
      </c>
      <c r="I9" s="16" t="s">
        <v>79</v>
      </c>
    </row>
    <row r="10" spans="1:10" s="16" customFormat="1">
      <c r="A10" s="17" t="s">
        <v>34</v>
      </c>
      <c r="B10" s="17">
        <v>18397265</v>
      </c>
      <c r="C10" s="18">
        <v>38489</v>
      </c>
      <c r="D10" s="16" t="s">
        <v>100</v>
      </c>
      <c r="E10" s="16">
        <f>43-42</f>
        <v>1</v>
      </c>
      <c r="F10" s="16">
        <f>30.87-29.28</f>
        <v>1.5899999999999999</v>
      </c>
      <c r="H10" s="16">
        <v>1</v>
      </c>
      <c r="I10" s="16" t="s">
        <v>79</v>
      </c>
    </row>
    <row r="11" spans="1:10" s="16" customFormat="1">
      <c r="A11" s="17" t="s">
        <v>36</v>
      </c>
      <c r="B11" s="17">
        <v>35074663</v>
      </c>
      <c r="C11" s="18">
        <v>38673</v>
      </c>
      <c r="D11" s="16" t="s">
        <v>83</v>
      </c>
      <c r="E11" s="16" t="s">
        <v>163</v>
      </c>
      <c r="H11" s="16">
        <v>2</v>
      </c>
      <c r="I11" s="16" t="s">
        <v>68</v>
      </c>
    </row>
    <row r="12" spans="1:10" s="16" customFormat="1">
      <c r="A12" s="17" t="s">
        <v>36</v>
      </c>
      <c r="B12" s="17">
        <v>35074663</v>
      </c>
      <c r="C12" s="18">
        <v>38706</v>
      </c>
      <c r="D12" s="16" t="s">
        <v>76</v>
      </c>
      <c r="E12" s="16">
        <f>32-31</f>
        <v>1</v>
      </c>
      <c r="F12" s="16">
        <f>39.22-38.06</f>
        <v>1.1599999999999966</v>
      </c>
      <c r="H12" s="16">
        <v>0</v>
      </c>
      <c r="I12" s="16" t="s">
        <v>68</v>
      </c>
      <c r="J12" s="16" t="s">
        <v>166</v>
      </c>
    </row>
    <row r="13" spans="1:10" s="16" customFormat="1">
      <c r="A13" s="17" t="s">
        <v>36</v>
      </c>
      <c r="B13" s="17">
        <v>35074663</v>
      </c>
      <c r="C13" s="18">
        <v>38827</v>
      </c>
      <c r="D13" s="16" t="s">
        <v>77</v>
      </c>
      <c r="E13" s="16">
        <f>29-28</f>
        <v>1</v>
      </c>
      <c r="F13" s="16">
        <f>38.74-37.73</f>
        <v>1.0100000000000051</v>
      </c>
      <c r="H13" s="16">
        <v>1</v>
      </c>
      <c r="I13" s="16" t="s">
        <v>79</v>
      </c>
    </row>
    <row r="14" spans="1:10" s="16" customFormat="1">
      <c r="A14" s="17" t="s">
        <v>37</v>
      </c>
      <c r="B14" s="17">
        <v>17021346</v>
      </c>
      <c r="C14" s="18">
        <v>38995</v>
      </c>
      <c r="D14" s="16" t="s">
        <v>83</v>
      </c>
      <c r="E14" s="16" t="s">
        <v>163</v>
      </c>
      <c r="H14" s="16">
        <v>2</v>
      </c>
      <c r="I14" s="16" t="s">
        <v>68</v>
      </c>
    </row>
    <row r="15" spans="1:10" s="16" customFormat="1">
      <c r="A15" s="17" t="s">
        <v>37</v>
      </c>
      <c r="B15" s="17">
        <v>17021346</v>
      </c>
      <c r="C15" s="18">
        <v>39135</v>
      </c>
      <c r="D15" s="16" t="s">
        <v>77</v>
      </c>
      <c r="E15" s="16">
        <f>16-14</f>
        <v>2</v>
      </c>
      <c r="F15" s="16">
        <f>20.72-19.87</f>
        <v>0.84999999999999787</v>
      </c>
      <c r="H15" s="16">
        <v>2</v>
      </c>
      <c r="I15" s="16" t="s">
        <v>79</v>
      </c>
    </row>
    <row r="16" spans="1:10" s="16" customFormat="1">
      <c r="A16" s="17" t="s">
        <v>37</v>
      </c>
      <c r="B16" s="17">
        <v>17021346</v>
      </c>
      <c r="C16" s="18">
        <v>39387</v>
      </c>
      <c r="D16" s="16" t="s">
        <v>104</v>
      </c>
      <c r="E16" s="16">
        <f>13-12</f>
        <v>1</v>
      </c>
      <c r="F16" s="16">
        <f>19.96-19.27</f>
        <v>0.69000000000000128</v>
      </c>
      <c r="H16" s="16">
        <v>1</v>
      </c>
      <c r="I16" s="16" t="s">
        <v>79</v>
      </c>
    </row>
    <row r="17" spans="1:10" s="16" customFormat="1">
      <c r="A17" s="17" t="s">
        <v>37</v>
      </c>
      <c r="B17" s="17">
        <v>17021346</v>
      </c>
      <c r="C17" s="18">
        <v>39749</v>
      </c>
      <c r="D17" s="16" t="s">
        <v>157</v>
      </c>
      <c r="E17" s="16">
        <f>19-17</f>
        <v>2</v>
      </c>
      <c r="F17" s="16">
        <f>26.83-26.23</f>
        <v>0.59999999999999787</v>
      </c>
      <c r="H17" s="16">
        <v>1</v>
      </c>
      <c r="I17" s="16" t="s">
        <v>79</v>
      </c>
      <c r="J17" s="16" t="s">
        <v>179</v>
      </c>
    </row>
    <row r="18" spans="1:10">
      <c r="A18" s="9" t="s">
        <v>38</v>
      </c>
      <c r="B18" s="9">
        <v>25332064</v>
      </c>
      <c r="C18" s="1">
        <v>40157</v>
      </c>
      <c r="D18" t="s">
        <v>83</v>
      </c>
      <c r="E18" s="7" t="s">
        <v>163</v>
      </c>
      <c r="H18" s="7">
        <v>2</v>
      </c>
      <c r="I18" t="s">
        <v>68</v>
      </c>
    </row>
    <row r="19" spans="1:10">
      <c r="A19" s="9" t="s">
        <v>38</v>
      </c>
      <c r="B19" s="9">
        <v>25332064</v>
      </c>
      <c r="C19" s="1">
        <v>40220</v>
      </c>
      <c r="D19" t="s">
        <v>111</v>
      </c>
      <c r="E19" s="7">
        <f>30-27</f>
        <v>3</v>
      </c>
      <c r="F19" s="7">
        <f>28.8-27.9</f>
        <v>0.90000000000000213</v>
      </c>
      <c r="H19" s="7">
        <v>2</v>
      </c>
      <c r="I19" t="s">
        <v>68</v>
      </c>
    </row>
    <row r="20" spans="1:10">
      <c r="A20" s="9" t="s">
        <v>38</v>
      </c>
      <c r="B20" s="9">
        <v>25332064</v>
      </c>
      <c r="C20" s="1">
        <v>40309</v>
      </c>
      <c r="D20" t="s">
        <v>112</v>
      </c>
      <c r="E20" s="7">
        <f>35-33</f>
        <v>2</v>
      </c>
      <c r="F20" s="7">
        <f>28.4-28</f>
        <v>0.39999999999999858</v>
      </c>
      <c r="H20" s="7">
        <v>1</v>
      </c>
      <c r="I20" t="s">
        <v>79</v>
      </c>
    </row>
    <row r="21" spans="1:10" s="7" customFormat="1">
      <c r="A21" s="9" t="s">
        <v>38</v>
      </c>
      <c r="B21" s="9">
        <v>25332064</v>
      </c>
      <c r="C21" s="1">
        <v>40498</v>
      </c>
      <c r="D21" s="7" t="s">
        <v>113</v>
      </c>
      <c r="E21" s="7">
        <f>33-33</f>
        <v>0</v>
      </c>
      <c r="F21" s="7">
        <f>29.6-28.7</f>
        <v>0.90000000000000213</v>
      </c>
      <c r="H21" s="7">
        <v>1</v>
      </c>
      <c r="I21" s="7" t="s">
        <v>79</v>
      </c>
    </row>
    <row r="22" spans="1:10">
      <c r="A22" s="9" t="s">
        <v>39</v>
      </c>
      <c r="B22" s="9">
        <v>1648153</v>
      </c>
      <c r="C22" s="1">
        <v>39889</v>
      </c>
      <c r="D22" t="s">
        <v>83</v>
      </c>
      <c r="E22" s="7" t="s">
        <v>163</v>
      </c>
      <c r="H22" s="7">
        <v>2</v>
      </c>
      <c r="I22" t="s">
        <v>68</v>
      </c>
    </row>
    <row r="23" spans="1:10">
      <c r="A23" s="9" t="s">
        <v>39</v>
      </c>
      <c r="B23" s="9">
        <v>1648153</v>
      </c>
      <c r="C23" s="1">
        <v>39947</v>
      </c>
      <c r="D23" t="s">
        <v>76</v>
      </c>
      <c r="E23" s="7">
        <f>35-34.9</f>
        <v>0.10000000000000142</v>
      </c>
      <c r="F23" s="7">
        <f>27-27</f>
        <v>0</v>
      </c>
      <c r="H23" s="7">
        <v>2</v>
      </c>
      <c r="I23" t="s">
        <v>79</v>
      </c>
    </row>
    <row r="24" spans="1:10">
      <c r="A24" s="9" t="s">
        <v>39</v>
      </c>
      <c r="B24" s="9">
        <v>1648153</v>
      </c>
      <c r="C24" s="1">
        <v>40038</v>
      </c>
      <c r="D24" t="s">
        <v>77</v>
      </c>
      <c r="E24" s="7">
        <f xml:space="preserve"> 35-34</f>
        <v>1</v>
      </c>
      <c r="F24" s="7">
        <f xml:space="preserve"> 34.5-33.2</f>
        <v>1.2999999999999972</v>
      </c>
      <c r="H24" s="7">
        <v>1</v>
      </c>
      <c r="I24" t="s">
        <v>79</v>
      </c>
    </row>
    <row r="25" spans="1:10">
      <c r="A25" s="9" t="s">
        <v>40</v>
      </c>
      <c r="B25" s="9">
        <v>17172016</v>
      </c>
      <c r="C25" s="1">
        <v>40792</v>
      </c>
      <c r="D25" t="s">
        <v>118</v>
      </c>
      <c r="E25" s="7" t="s">
        <v>163</v>
      </c>
      <c r="H25" s="7">
        <v>2</v>
      </c>
      <c r="I25" t="s">
        <v>68</v>
      </c>
    </row>
    <row r="26" spans="1:10">
      <c r="A26" s="9" t="s">
        <v>40</v>
      </c>
      <c r="B26" s="9">
        <v>17172016</v>
      </c>
      <c r="C26" s="1">
        <v>40857</v>
      </c>
      <c r="D26" t="s">
        <v>76</v>
      </c>
      <c r="E26" s="7" t="s">
        <v>163</v>
      </c>
      <c r="H26" s="7">
        <v>1</v>
      </c>
      <c r="I26" t="s">
        <v>79</v>
      </c>
    </row>
    <row r="27" spans="1:10" s="16" customFormat="1">
      <c r="A27" s="17" t="s">
        <v>41</v>
      </c>
      <c r="B27" s="17">
        <v>25095199</v>
      </c>
      <c r="C27" s="18">
        <v>38840</v>
      </c>
      <c r="D27" s="16" t="s">
        <v>83</v>
      </c>
      <c r="E27" s="16" t="s">
        <v>163</v>
      </c>
      <c r="H27" s="16">
        <v>2</v>
      </c>
      <c r="I27" s="16" t="s">
        <v>68</v>
      </c>
    </row>
    <row r="28" spans="1:10" s="16" customFormat="1">
      <c r="A28" s="17" t="s">
        <v>41</v>
      </c>
      <c r="B28" s="17">
        <v>25095199</v>
      </c>
      <c r="C28" s="18">
        <v>38887</v>
      </c>
      <c r="D28" s="16" t="s">
        <v>76</v>
      </c>
      <c r="E28" s="16">
        <f>20-20</f>
        <v>0</v>
      </c>
      <c r="F28" s="16">
        <f>24-22.92</f>
        <v>1.0799999999999983</v>
      </c>
      <c r="H28" s="16">
        <v>2</v>
      </c>
      <c r="I28" s="16" t="s">
        <v>68</v>
      </c>
    </row>
    <row r="29" spans="1:10" s="16" customFormat="1">
      <c r="A29" s="17" t="s">
        <v>41</v>
      </c>
      <c r="B29" s="17">
        <v>25095199</v>
      </c>
      <c r="C29" s="18">
        <v>39111</v>
      </c>
      <c r="D29" s="16" t="s">
        <v>77</v>
      </c>
      <c r="E29" s="16">
        <f>18-18</f>
        <v>0</v>
      </c>
      <c r="F29" s="16">
        <f>20.29-20.11</f>
        <v>0.17999999999999972</v>
      </c>
      <c r="H29" s="16">
        <v>1</v>
      </c>
      <c r="I29" s="16" t="s">
        <v>79</v>
      </c>
    </row>
    <row r="30" spans="1:10" s="16" customFormat="1">
      <c r="A30" s="17" t="s">
        <v>43</v>
      </c>
      <c r="B30" s="17">
        <v>14658843</v>
      </c>
      <c r="C30" s="18">
        <v>38153</v>
      </c>
      <c r="D30" s="16" t="s">
        <v>83</v>
      </c>
      <c r="E30" s="16" t="s">
        <v>163</v>
      </c>
      <c r="H30" s="16">
        <v>2</v>
      </c>
      <c r="I30" s="16" t="s">
        <v>68</v>
      </c>
    </row>
    <row r="31" spans="1:10" s="16" customFormat="1">
      <c r="A31" s="17" t="s">
        <v>43</v>
      </c>
      <c r="B31" s="17">
        <v>14658843</v>
      </c>
      <c r="C31" s="18">
        <v>38219</v>
      </c>
      <c r="D31" s="16" t="s">
        <v>76</v>
      </c>
      <c r="E31" s="16">
        <f>39-39</f>
        <v>0</v>
      </c>
      <c r="F31" s="16">
        <f>34.78-34.33</f>
        <v>0.45000000000000284</v>
      </c>
      <c r="H31" s="16">
        <v>2</v>
      </c>
      <c r="I31" s="16" t="s">
        <v>79</v>
      </c>
    </row>
    <row r="32" spans="1:10" s="16" customFormat="1">
      <c r="A32" s="17" t="s">
        <v>43</v>
      </c>
      <c r="B32" s="17">
        <v>14658843</v>
      </c>
      <c r="C32" s="18">
        <v>38321</v>
      </c>
      <c r="D32" s="16" t="s">
        <v>77</v>
      </c>
      <c r="E32" s="16">
        <f>35-32</f>
        <v>3</v>
      </c>
      <c r="F32" s="16">
        <f>32.28-32.17</f>
        <v>0.10999999999999943</v>
      </c>
      <c r="H32" s="16">
        <v>2</v>
      </c>
      <c r="I32" s="16" t="s">
        <v>79</v>
      </c>
    </row>
    <row r="33" spans="1:10" s="16" customFormat="1">
      <c r="A33" s="17" t="s">
        <v>43</v>
      </c>
      <c r="B33" s="17">
        <v>14658843</v>
      </c>
      <c r="C33" s="18">
        <v>38447</v>
      </c>
      <c r="D33" s="16" t="s">
        <v>78</v>
      </c>
      <c r="E33" s="16">
        <f>36-35</f>
        <v>1</v>
      </c>
      <c r="F33" s="16">
        <f>33.56-32.36</f>
        <v>1.2000000000000028</v>
      </c>
      <c r="H33" s="16">
        <v>1</v>
      </c>
      <c r="I33" s="16" t="s">
        <v>79</v>
      </c>
    </row>
    <row r="34" spans="1:10">
      <c r="A34" s="9" t="s">
        <v>44</v>
      </c>
      <c r="B34" s="9">
        <v>35409185</v>
      </c>
      <c r="C34" s="1">
        <v>39967</v>
      </c>
      <c r="D34" t="s">
        <v>83</v>
      </c>
      <c r="E34" s="7">
        <f xml:space="preserve"> 29.5-26</f>
        <v>3.5</v>
      </c>
      <c r="F34" s="7">
        <f xml:space="preserve"> 38.3-36.6</f>
        <v>1.6999999999999957</v>
      </c>
      <c r="H34" s="7">
        <v>2</v>
      </c>
      <c r="I34" t="s">
        <v>68</v>
      </c>
    </row>
    <row r="35" spans="1:10">
      <c r="A35" s="9" t="s">
        <v>44</v>
      </c>
      <c r="B35" s="9">
        <v>35409185</v>
      </c>
      <c r="C35" s="1">
        <v>40030</v>
      </c>
      <c r="D35" t="s">
        <v>111</v>
      </c>
      <c r="E35" s="7">
        <f>26.8-26</f>
        <v>0.80000000000000071</v>
      </c>
      <c r="F35" s="7">
        <f>33.7-33.1</f>
        <v>0.60000000000000142</v>
      </c>
      <c r="H35" s="7">
        <v>0</v>
      </c>
      <c r="I35" t="s">
        <v>68</v>
      </c>
      <c r="J35" t="s">
        <v>166</v>
      </c>
    </row>
    <row r="36" spans="1:10" s="7" customFormat="1">
      <c r="A36" s="9" t="s">
        <v>44</v>
      </c>
      <c r="B36" s="9">
        <v>35409185</v>
      </c>
      <c r="C36" s="1">
        <v>40121</v>
      </c>
      <c r="D36" s="7" t="s">
        <v>112</v>
      </c>
      <c r="E36" s="7">
        <f>26.3-24</f>
        <v>2.3000000000000007</v>
      </c>
      <c r="F36" s="7">
        <f>34.2-32.1</f>
        <v>2.1000000000000014</v>
      </c>
      <c r="H36" s="7">
        <v>0</v>
      </c>
      <c r="I36" s="7" t="s">
        <v>68</v>
      </c>
      <c r="J36" s="7" t="s">
        <v>166</v>
      </c>
    </row>
    <row r="37" spans="1:10" s="7" customFormat="1">
      <c r="A37" s="9" t="s">
        <v>44</v>
      </c>
      <c r="B37" s="9">
        <v>35409185</v>
      </c>
      <c r="C37" s="1">
        <v>40310</v>
      </c>
      <c r="D37" s="7" t="s">
        <v>113</v>
      </c>
      <c r="E37" s="7">
        <f>33.5-30</f>
        <v>3.5</v>
      </c>
      <c r="F37" s="7">
        <f>27-20</f>
        <v>7</v>
      </c>
      <c r="H37" s="7">
        <v>0</v>
      </c>
      <c r="I37" s="7" t="s">
        <v>68</v>
      </c>
      <c r="J37" s="7" t="s">
        <v>174</v>
      </c>
    </row>
    <row r="38" spans="1:10" s="7" customFormat="1">
      <c r="A38" s="9" t="s">
        <v>44</v>
      </c>
      <c r="B38" s="9">
        <v>35409185</v>
      </c>
      <c r="C38" s="1">
        <v>40723</v>
      </c>
      <c r="D38" s="7" t="s">
        <v>124</v>
      </c>
      <c r="E38" s="7">
        <f>24.8-21</f>
        <v>3.8000000000000007</v>
      </c>
      <c r="F38" s="7">
        <f>32.8-30.4</f>
        <v>2.3999999999999986</v>
      </c>
      <c r="H38" s="7">
        <v>0</v>
      </c>
      <c r="I38" s="7" t="s">
        <v>68</v>
      </c>
      <c r="J38" s="7" t="s">
        <v>174</v>
      </c>
    </row>
    <row r="39" spans="1:10" s="16" customFormat="1">
      <c r="A39" s="17" t="s">
        <v>46</v>
      </c>
      <c r="B39" s="17">
        <v>40389819</v>
      </c>
      <c r="C39" s="18">
        <v>39181</v>
      </c>
      <c r="D39" s="16" t="s">
        <v>83</v>
      </c>
      <c r="E39" s="16" t="s">
        <v>163</v>
      </c>
      <c r="H39" s="16">
        <v>2</v>
      </c>
      <c r="I39" s="16" t="s">
        <v>68</v>
      </c>
    </row>
    <row r="40" spans="1:10" s="16" customFormat="1">
      <c r="A40" s="17" t="s">
        <v>46</v>
      </c>
      <c r="B40" s="17">
        <v>40389819</v>
      </c>
      <c r="C40" s="18">
        <v>39223</v>
      </c>
      <c r="D40" s="16" t="s">
        <v>76</v>
      </c>
      <c r="E40" s="16">
        <f>45-42</f>
        <v>3</v>
      </c>
      <c r="F40" s="16">
        <f>50.37-47.57</f>
        <v>2.7999999999999972</v>
      </c>
      <c r="H40" s="16">
        <v>2</v>
      </c>
      <c r="I40" s="16" t="s">
        <v>79</v>
      </c>
    </row>
    <row r="41" spans="1:10" s="16" customFormat="1">
      <c r="A41" s="17" t="s">
        <v>46</v>
      </c>
      <c r="B41" s="17">
        <v>40389819</v>
      </c>
      <c r="C41" s="18">
        <v>39302</v>
      </c>
      <c r="D41" s="16" t="s">
        <v>77</v>
      </c>
      <c r="E41" s="16">
        <f>40-39</f>
        <v>1</v>
      </c>
      <c r="F41" s="16">
        <f>48.99-47.31</f>
        <v>1.6799999999999997</v>
      </c>
      <c r="H41" s="16">
        <v>2</v>
      </c>
      <c r="I41" s="16" t="s">
        <v>79</v>
      </c>
    </row>
    <row r="42" spans="1:10" s="16" customFormat="1">
      <c r="A42" s="17" t="s">
        <v>46</v>
      </c>
      <c r="B42" s="17">
        <v>40389819</v>
      </c>
      <c r="C42" s="18">
        <v>39482</v>
      </c>
      <c r="D42" s="16" t="s">
        <v>78</v>
      </c>
      <c r="E42" s="16">
        <f>41-40</f>
        <v>1</v>
      </c>
      <c r="F42" s="16">
        <f>45.88-44.89</f>
        <v>0.99000000000000199</v>
      </c>
      <c r="H42" s="16">
        <v>1</v>
      </c>
      <c r="I42" s="16" t="s">
        <v>79</v>
      </c>
    </row>
    <row r="43" spans="1:10" s="16" customFormat="1">
      <c r="A43" s="17" t="s">
        <v>46</v>
      </c>
      <c r="B43" s="17">
        <v>40389819</v>
      </c>
      <c r="C43" s="18">
        <v>39846</v>
      </c>
      <c r="D43" s="16" t="s">
        <v>100</v>
      </c>
      <c r="E43" s="16">
        <f>40-39</f>
        <v>1</v>
      </c>
      <c r="F43" s="16">
        <f>47.7-46.77</f>
        <v>0.92999999999999972</v>
      </c>
      <c r="H43" s="16">
        <v>1</v>
      </c>
      <c r="I43" s="16" t="s">
        <v>79</v>
      </c>
      <c r="J43" s="16" t="s">
        <v>130</v>
      </c>
    </row>
    <row r="44" spans="1:10">
      <c r="A44" s="9" t="s">
        <v>48</v>
      </c>
      <c r="B44" s="9">
        <v>35367708</v>
      </c>
      <c r="C44" s="1">
        <v>40136</v>
      </c>
      <c r="D44" t="s">
        <v>83</v>
      </c>
      <c r="E44" s="7" t="s">
        <v>163</v>
      </c>
      <c r="H44" s="7">
        <v>2</v>
      </c>
      <c r="I44" t="s">
        <v>68</v>
      </c>
    </row>
    <row r="45" spans="1:10">
      <c r="A45" s="9" t="s">
        <v>48</v>
      </c>
      <c r="B45" s="9">
        <v>35367708</v>
      </c>
      <c r="C45" s="1">
        <v>40204</v>
      </c>
      <c r="D45" t="s">
        <v>76</v>
      </c>
      <c r="E45" s="7">
        <f>40.5-40.2</f>
        <v>0.29999999999999716</v>
      </c>
      <c r="F45" s="7">
        <f>32-29.6</f>
        <v>2.3999999999999986</v>
      </c>
      <c r="H45" s="7">
        <v>1</v>
      </c>
      <c r="I45" t="s">
        <v>79</v>
      </c>
    </row>
    <row r="46" spans="1:10">
      <c r="A46" s="9" t="s">
        <v>48</v>
      </c>
      <c r="B46" s="9">
        <v>35367708</v>
      </c>
      <c r="C46" s="1">
        <v>40253</v>
      </c>
      <c r="D46" t="s">
        <v>77</v>
      </c>
      <c r="E46" s="7">
        <f>34-30</f>
        <v>4</v>
      </c>
      <c r="F46" s="7">
        <f>41.8-41.2</f>
        <v>0.59999999999999432</v>
      </c>
      <c r="H46" s="7">
        <v>1</v>
      </c>
      <c r="I46" t="s">
        <v>79</v>
      </c>
    </row>
    <row r="47" spans="1:10" s="16" customFormat="1">
      <c r="A47" s="17" t="s">
        <v>49</v>
      </c>
      <c r="B47" s="17">
        <v>15853286</v>
      </c>
      <c r="C47" s="18">
        <v>38916</v>
      </c>
      <c r="D47" s="16" t="s">
        <v>83</v>
      </c>
      <c r="E47" s="16" t="s">
        <v>163</v>
      </c>
      <c r="H47" s="16">
        <v>2</v>
      </c>
      <c r="I47" s="16" t="s">
        <v>68</v>
      </c>
    </row>
    <row r="48" spans="1:10" s="16" customFormat="1">
      <c r="A48" s="17" t="s">
        <v>49</v>
      </c>
      <c r="B48" s="17">
        <v>15853286</v>
      </c>
      <c r="C48" s="18">
        <v>38972</v>
      </c>
      <c r="D48" s="16" t="s">
        <v>76</v>
      </c>
      <c r="E48" s="16">
        <f xml:space="preserve"> 24-24</f>
        <v>0</v>
      </c>
      <c r="F48" s="16">
        <f xml:space="preserve"> 33.49-31.86</f>
        <v>1.6300000000000026</v>
      </c>
      <c r="H48" s="16">
        <v>2</v>
      </c>
      <c r="I48" s="16" t="s">
        <v>68</v>
      </c>
    </row>
    <row r="49" spans="1:10" s="16" customFormat="1">
      <c r="A49" s="17" t="s">
        <v>49</v>
      </c>
      <c r="B49" s="17">
        <v>15853286</v>
      </c>
      <c r="C49" s="18">
        <v>39063</v>
      </c>
      <c r="D49" s="16" t="s">
        <v>77</v>
      </c>
      <c r="E49" s="16">
        <f>26-24</f>
        <v>2</v>
      </c>
      <c r="F49" s="16">
        <f>30.21-30.58</f>
        <v>-0.36999999999999744</v>
      </c>
      <c r="H49" s="16">
        <v>1</v>
      </c>
      <c r="I49" s="16" t="s">
        <v>79</v>
      </c>
    </row>
    <row r="50" spans="1:10" s="16" customFormat="1">
      <c r="A50" s="17" t="s">
        <v>50</v>
      </c>
      <c r="B50" s="17">
        <v>25293736</v>
      </c>
      <c r="C50" s="18">
        <v>40071</v>
      </c>
      <c r="D50" s="16" t="s">
        <v>83</v>
      </c>
      <c r="E50" s="16" t="s">
        <v>163</v>
      </c>
      <c r="H50" s="16">
        <v>2</v>
      </c>
      <c r="I50" s="16" t="s">
        <v>68</v>
      </c>
    </row>
    <row r="51" spans="1:10" s="16" customFormat="1">
      <c r="A51" s="17" t="s">
        <v>50</v>
      </c>
      <c r="B51" s="17">
        <v>25293736</v>
      </c>
      <c r="C51" s="18">
        <v>40120</v>
      </c>
      <c r="D51" s="16" t="s">
        <v>76</v>
      </c>
      <c r="E51" s="16" t="s">
        <v>163</v>
      </c>
      <c r="H51" s="16">
        <v>2</v>
      </c>
      <c r="I51" s="16" t="s">
        <v>79</v>
      </c>
    </row>
    <row r="52" spans="1:10" s="16" customFormat="1">
      <c r="A52" s="17" t="s">
        <v>50</v>
      </c>
      <c r="B52" s="17">
        <v>25293736</v>
      </c>
      <c r="C52" s="18">
        <v>40213</v>
      </c>
      <c r="D52" s="16" t="s">
        <v>77</v>
      </c>
      <c r="E52" s="16">
        <f>23-22</f>
        <v>1</v>
      </c>
      <c r="F52" s="16">
        <f>24.61-24.17</f>
        <v>0.43999999999999773</v>
      </c>
      <c r="H52" s="16">
        <v>1</v>
      </c>
      <c r="I52" s="16" t="s">
        <v>79</v>
      </c>
    </row>
    <row r="53" spans="1:10" s="16" customFormat="1">
      <c r="A53" s="17" t="s">
        <v>51</v>
      </c>
      <c r="B53" s="17">
        <v>11822772</v>
      </c>
      <c r="C53" s="18">
        <v>38119</v>
      </c>
      <c r="D53" s="16" t="s">
        <v>83</v>
      </c>
      <c r="E53" s="16">
        <f>45-45</f>
        <v>0</v>
      </c>
      <c r="F53" s="16">
        <f>40.3-40.26</f>
        <v>3.9999999999999147E-2</v>
      </c>
      <c r="H53" s="16">
        <v>0</v>
      </c>
      <c r="I53" s="16" t="s">
        <v>68</v>
      </c>
      <c r="J53" s="16" t="s">
        <v>166</v>
      </c>
    </row>
    <row r="54" spans="1:10" s="16" customFormat="1">
      <c r="A54" s="17" t="s">
        <v>51</v>
      </c>
      <c r="B54" s="17">
        <v>11822772</v>
      </c>
      <c r="C54" s="18">
        <v>38175</v>
      </c>
      <c r="D54" s="16" t="s">
        <v>76</v>
      </c>
      <c r="E54" s="16">
        <f>43-41</f>
        <v>2</v>
      </c>
      <c r="F54" s="16">
        <f>38.26-38.24</f>
        <v>1.9999999999996021E-2</v>
      </c>
      <c r="H54" s="16">
        <v>0</v>
      </c>
      <c r="I54" s="16" t="s">
        <v>79</v>
      </c>
      <c r="J54" s="16" t="s">
        <v>166</v>
      </c>
    </row>
    <row r="55" spans="1:10" s="16" customFormat="1">
      <c r="A55" s="17" t="s">
        <v>51</v>
      </c>
      <c r="B55" s="17">
        <v>11822772</v>
      </c>
      <c r="C55" s="18">
        <v>38265</v>
      </c>
      <c r="D55" s="16" t="s">
        <v>77</v>
      </c>
      <c r="E55" s="16">
        <f>42-41</f>
        <v>1</v>
      </c>
      <c r="F55" s="16">
        <f>39.93-39.2</f>
        <v>0.72999999999999687</v>
      </c>
      <c r="H55" s="16">
        <v>0</v>
      </c>
      <c r="I55" s="16" t="s">
        <v>79</v>
      </c>
      <c r="J55" s="16" t="s">
        <v>166</v>
      </c>
    </row>
    <row r="56" spans="1:10" s="16" customFormat="1">
      <c r="A56" s="17" t="s">
        <v>52</v>
      </c>
      <c r="B56" s="17">
        <v>25284343</v>
      </c>
      <c r="C56" s="18">
        <v>39783</v>
      </c>
      <c r="D56" s="16" t="s">
        <v>83</v>
      </c>
      <c r="E56" s="16">
        <f>33-33</f>
        <v>0</v>
      </c>
      <c r="F56" s="16">
        <f>36.6-35.92</f>
        <v>0.67999999999999972</v>
      </c>
      <c r="H56" s="16">
        <v>0</v>
      </c>
      <c r="I56" s="16" t="s">
        <v>68</v>
      </c>
      <c r="J56" s="16" t="s">
        <v>166</v>
      </c>
    </row>
    <row r="57" spans="1:10" s="7" customFormat="1">
      <c r="A57" s="9" t="s">
        <v>52</v>
      </c>
      <c r="B57" s="9">
        <v>25284343</v>
      </c>
      <c r="C57" s="1">
        <v>39825</v>
      </c>
      <c r="D57" s="7" t="s">
        <v>76</v>
      </c>
      <c r="E57" s="7">
        <f>34-30.8</f>
        <v>3.1999999999999993</v>
      </c>
      <c r="F57" s="7">
        <f>36.5-32.9</f>
        <v>3.6000000000000014</v>
      </c>
      <c r="H57" s="7">
        <v>0</v>
      </c>
      <c r="I57" s="7" t="s">
        <v>68</v>
      </c>
      <c r="J57" s="7" t="s">
        <v>166</v>
      </c>
    </row>
    <row r="58" spans="1:10" s="7" customFormat="1">
      <c r="A58" s="9" t="s">
        <v>52</v>
      </c>
      <c r="B58" s="9">
        <v>25284343</v>
      </c>
      <c r="C58" s="1">
        <v>39916</v>
      </c>
      <c r="D58" s="7" t="s">
        <v>77</v>
      </c>
      <c r="E58" s="7">
        <f>32-29.5</f>
        <v>2.5</v>
      </c>
      <c r="F58" s="7">
        <f>31.8-29</f>
        <v>2.8000000000000007</v>
      </c>
      <c r="H58" s="7">
        <v>0</v>
      </c>
      <c r="I58" s="7" t="s">
        <v>79</v>
      </c>
      <c r="J58" s="7" t="s">
        <v>166</v>
      </c>
    </row>
    <row r="59" spans="1:10" s="7" customFormat="1">
      <c r="A59" s="9" t="s">
        <v>52</v>
      </c>
      <c r="B59" s="9">
        <v>25284343</v>
      </c>
      <c r="C59" s="1">
        <v>40100</v>
      </c>
      <c r="D59" s="7" t="s">
        <v>78</v>
      </c>
      <c r="E59" s="7">
        <f>31-30.3</f>
        <v>0.69999999999999929</v>
      </c>
      <c r="F59" s="7">
        <f>32-30.1</f>
        <v>1.8999999999999986</v>
      </c>
      <c r="H59" s="7">
        <v>0</v>
      </c>
      <c r="I59" s="7" t="s">
        <v>79</v>
      </c>
      <c r="J59" s="7" t="s">
        <v>166</v>
      </c>
    </row>
    <row r="60" spans="1:10">
      <c r="A60" s="9" t="s">
        <v>53</v>
      </c>
      <c r="B60" s="9">
        <v>25427499</v>
      </c>
      <c r="C60" s="1">
        <v>40736</v>
      </c>
      <c r="D60" t="s">
        <v>76</v>
      </c>
      <c r="E60" s="7">
        <f>28-26.9</f>
        <v>1.1000000000000014</v>
      </c>
      <c r="F60" s="7">
        <f>38.6-38.3</f>
        <v>0.30000000000000426</v>
      </c>
      <c r="H60" s="7">
        <v>2</v>
      </c>
      <c r="I60" t="s">
        <v>68</v>
      </c>
    </row>
    <row r="61" spans="1:10" s="7" customFormat="1">
      <c r="A61" s="9" t="s">
        <v>53</v>
      </c>
      <c r="B61" s="9">
        <v>25427499</v>
      </c>
      <c r="C61" s="1">
        <v>40827</v>
      </c>
      <c r="D61" s="7" t="s">
        <v>77</v>
      </c>
      <c r="E61" s="7">
        <f>26-25.6</f>
        <v>0.39999999999999858</v>
      </c>
      <c r="F61" s="7">
        <f>33.9-33</f>
        <v>0.89999999999999858</v>
      </c>
      <c r="H61" s="7">
        <v>1</v>
      </c>
      <c r="I61" s="7" t="s">
        <v>79</v>
      </c>
    </row>
    <row r="62" spans="1:10" s="16" customFormat="1">
      <c r="A62" s="17" t="s">
        <v>55</v>
      </c>
      <c r="B62" s="17">
        <v>91345660</v>
      </c>
      <c r="C62" s="18">
        <v>39476</v>
      </c>
      <c r="D62" s="16" t="s">
        <v>83</v>
      </c>
      <c r="E62" s="16" t="s">
        <v>163</v>
      </c>
      <c r="H62" s="16">
        <v>2</v>
      </c>
      <c r="I62" s="16" t="s">
        <v>68</v>
      </c>
    </row>
    <row r="63" spans="1:10" s="16" customFormat="1">
      <c r="A63" s="17" t="s">
        <v>55</v>
      </c>
      <c r="B63" s="17">
        <v>91345660</v>
      </c>
      <c r="C63" s="18">
        <v>39534</v>
      </c>
      <c r="D63" s="16" t="s">
        <v>76</v>
      </c>
      <c r="E63" s="16">
        <f>28-26</f>
        <v>2</v>
      </c>
      <c r="F63" s="16">
        <f>32.8-31.8</f>
        <v>0.99999999999999645</v>
      </c>
      <c r="H63" s="16">
        <v>1</v>
      </c>
      <c r="I63" s="16" t="s">
        <v>79</v>
      </c>
    </row>
    <row r="64" spans="1:10">
      <c r="A64" s="9" t="s">
        <v>55</v>
      </c>
      <c r="B64" s="9">
        <v>91345660</v>
      </c>
      <c r="C64" s="1">
        <v>39646</v>
      </c>
      <c r="D64" t="s">
        <v>77</v>
      </c>
      <c r="E64" s="7">
        <f>19-17.4</f>
        <v>1.6000000000000014</v>
      </c>
      <c r="F64" s="7">
        <f>24.5-23.6</f>
        <v>0.89999999999999858</v>
      </c>
      <c r="H64" s="7">
        <v>1</v>
      </c>
      <c r="I64" t="s">
        <v>79</v>
      </c>
    </row>
    <row r="65" spans="1:10">
      <c r="A65" s="9" t="s">
        <v>55</v>
      </c>
      <c r="B65" s="9">
        <v>91345660</v>
      </c>
      <c r="C65" s="1">
        <v>39786</v>
      </c>
      <c r="D65" t="s">
        <v>78</v>
      </c>
      <c r="E65" s="7">
        <f>21-20.4</f>
        <v>0.60000000000000142</v>
      </c>
      <c r="F65" s="7">
        <f>24.3-23.7</f>
        <v>0.60000000000000142</v>
      </c>
      <c r="H65" s="7">
        <v>1</v>
      </c>
      <c r="I65" t="s">
        <v>79</v>
      </c>
    </row>
    <row r="66" spans="1:10">
      <c r="A66" s="9" t="s">
        <v>56</v>
      </c>
      <c r="B66" s="9">
        <v>3642816</v>
      </c>
      <c r="C66" s="1">
        <v>40463</v>
      </c>
      <c r="D66" t="s">
        <v>83</v>
      </c>
      <c r="E66" s="7" t="s">
        <v>163</v>
      </c>
      <c r="H66" s="7">
        <v>2</v>
      </c>
      <c r="I66" t="s">
        <v>68</v>
      </c>
    </row>
    <row r="67" spans="1:10">
      <c r="A67" s="9" t="s">
        <v>56</v>
      </c>
      <c r="B67" s="9">
        <v>3642816</v>
      </c>
      <c r="C67" s="1">
        <v>40505</v>
      </c>
      <c r="D67" t="s">
        <v>76</v>
      </c>
      <c r="E67" s="7">
        <f>19-17.1</f>
        <v>1.8999999999999986</v>
      </c>
      <c r="F67" s="7">
        <f>38.2-37.1</f>
        <v>1.1000000000000014</v>
      </c>
      <c r="H67" s="7">
        <v>2</v>
      </c>
      <c r="I67" t="s">
        <v>79</v>
      </c>
    </row>
    <row r="68" spans="1:10">
      <c r="A68" s="9" t="s">
        <v>56</v>
      </c>
      <c r="B68" s="9">
        <v>3642816</v>
      </c>
      <c r="C68" s="1">
        <v>40624</v>
      </c>
      <c r="D68" t="s">
        <v>112</v>
      </c>
      <c r="E68" s="7">
        <f>21.2-20</f>
        <v>1.1999999999999993</v>
      </c>
      <c r="F68" s="7">
        <f>37.4-35.5</f>
        <v>1.8999999999999986</v>
      </c>
      <c r="H68" s="7">
        <v>1</v>
      </c>
      <c r="I68" t="s">
        <v>79</v>
      </c>
    </row>
    <row r="69" spans="1:10">
      <c r="A69" s="9" t="s">
        <v>56</v>
      </c>
      <c r="B69" s="9">
        <v>3642816</v>
      </c>
      <c r="C69" s="1">
        <v>40759</v>
      </c>
      <c r="D69" t="s">
        <v>78</v>
      </c>
      <c r="E69" s="7">
        <f>22-20.2</f>
        <v>1.8000000000000007</v>
      </c>
      <c r="F69" s="7">
        <f>44-41</f>
        <v>3</v>
      </c>
      <c r="H69" s="7">
        <v>1</v>
      </c>
      <c r="I69" t="s">
        <v>79</v>
      </c>
    </row>
    <row r="70" spans="1:10" s="16" customFormat="1">
      <c r="A70" s="17" t="s">
        <v>57</v>
      </c>
      <c r="B70" s="17">
        <v>35195894</v>
      </c>
      <c r="C70" s="18">
        <v>39189</v>
      </c>
      <c r="D70" s="16" t="s">
        <v>144</v>
      </c>
      <c r="E70" s="16" t="s">
        <v>163</v>
      </c>
      <c r="H70" s="16">
        <v>0</v>
      </c>
      <c r="I70" s="16" t="s">
        <v>68</v>
      </c>
      <c r="J70" s="16" t="s">
        <v>166</v>
      </c>
    </row>
    <row r="71" spans="1:10" s="16" customFormat="1">
      <c r="A71" s="17" t="s">
        <v>57</v>
      </c>
      <c r="B71" s="17">
        <v>35195894</v>
      </c>
      <c r="C71" s="18">
        <v>39210</v>
      </c>
      <c r="D71" s="16" t="s">
        <v>83</v>
      </c>
      <c r="E71" s="16" t="s">
        <v>163</v>
      </c>
      <c r="H71" s="16">
        <v>0</v>
      </c>
      <c r="I71" s="16" t="s">
        <v>68</v>
      </c>
      <c r="J71" s="16" t="s">
        <v>166</v>
      </c>
    </row>
    <row r="72" spans="1:10" s="16" customFormat="1">
      <c r="A72" s="17" t="s">
        <v>57</v>
      </c>
      <c r="B72" s="17">
        <v>35195894</v>
      </c>
      <c r="C72" s="18">
        <v>39266</v>
      </c>
      <c r="D72" s="16" t="s">
        <v>76</v>
      </c>
      <c r="E72" s="16">
        <f>30-29</f>
        <v>1</v>
      </c>
      <c r="F72" s="16">
        <f>32.55-32.18</f>
        <v>0.36999999999999744</v>
      </c>
      <c r="H72" s="16">
        <v>0</v>
      </c>
      <c r="I72" s="16" t="s">
        <v>68</v>
      </c>
      <c r="J72" s="16" t="s">
        <v>166</v>
      </c>
    </row>
    <row r="73" spans="1:10" s="16" customFormat="1">
      <c r="A73" s="17" t="s">
        <v>57</v>
      </c>
      <c r="B73" s="17">
        <v>35195894</v>
      </c>
      <c r="C73" s="18">
        <v>39358</v>
      </c>
      <c r="D73" s="16" t="s">
        <v>77</v>
      </c>
      <c r="E73" s="16">
        <f>32-30</f>
        <v>2</v>
      </c>
      <c r="F73" s="16">
        <f>32.62-31.83</f>
        <v>0.78999999999999915</v>
      </c>
      <c r="H73" s="16">
        <v>0</v>
      </c>
      <c r="I73" s="16" t="s">
        <v>68</v>
      </c>
      <c r="J73" s="16" t="s">
        <v>166</v>
      </c>
    </row>
    <row r="74" spans="1:10" s="16" customFormat="1">
      <c r="A74" s="17" t="s">
        <v>57</v>
      </c>
      <c r="B74" s="17">
        <v>35195894</v>
      </c>
      <c r="C74" s="18">
        <v>39539</v>
      </c>
      <c r="D74" s="16" t="s">
        <v>78</v>
      </c>
      <c r="E74" s="16">
        <f>28-27</f>
        <v>1</v>
      </c>
      <c r="F74" s="16">
        <f>34.02-32.03</f>
        <v>1.990000000000002</v>
      </c>
      <c r="H74" s="16">
        <v>0</v>
      </c>
      <c r="I74" s="16" t="s">
        <v>68</v>
      </c>
      <c r="J74" s="16" t="s">
        <v>166</v>
      </c>
    </row>
    <row r="75" spans="1:10" s="16" customFormat="1">
      <c r="A75" s="17" t="s">
        <v>57</v>
      </c>
      <c r="B75" s="17">
        <v>35195894</v>
      </c>
      <c r="C75" s="18">
        <v>39946</v>
      </c>
      <c r="D75" s="16" t="s">
        <v>100</v>
      </c>
      <c r="E75" s="16">
        <f>37-35</f>
        <v>2</v>
      </c>
      <c r="F75" s="16">
        <f>34.93-34.05</f>
        <v>0.88000000000000256</v>
      </c>
      <c r="H75" s="16">
        <v>0</v>
      </c>
      <c r="I75" s="16" t="s">
        <v>68</v>
      </c>
    </row>
    <row r="76" spans="1:10">
      <c r="A76" s="9" t="s">
        <v>58</v>
      </c>
      <c r="B76" s="9">
        <v>25438991</v>
      </c>
      <c r="C76" s="1">
        <v>40610</v>
      </c>
      <c r="D76" t="s">
        <v>83</v>
      </c>
      <c r="E76" s="7">
        <f>36-35.3</f>
        <v>0.70000000000000284</v>
      </c>
      <c r="F76" s="7">
        <f>46.8-45.4</f>
        <v>1.3999999999999986</v>
      </c>
      <c r="H76" s="7">
        <v>2</v>
      </c>
      <c r="I76" t="s">
        <v>68</v>
      </c>
    </row>
    <row r="77" spans="1:10">
      <c r="A77" s="9" t="s">
        <v>58</v>
      </c>
      <c r="B77" s="9">
        <v>25438991</v>
      </c>
      <c r="C77" s="1">
        <v>40652</v>
      </c>
      <c r="D77" t="s">
        <v>76</v>
      </c>
      <c r="E77" s="7">
        <f>38.2-36</f>
        <v>2.2000000000000028</v>
      </c>
      <c r="F77" s="7">
        <f>49.6-48.6</f>
        <v>1</v>
      </c>
      <c r="H77" s="7">
        <v>1</v>
      </c>
      <c r="I77" t="s">
        <v>79</v>
      </c>
    </row>
    <row r="78" spans="1:10" s="16" customFormat="1">
      <c r="A78" s="17" t="s">
        <v>60</v>
      </c>
      <c r="B78" s="17">
        <v>25042943</v>
      </c>
      <c r="C78" s="18">
        <v>38608</v>
      </c>
      <c r="D78" s="16" t="s">
        <v>83</v>
      </c>
      <c r="E78" s="16" t="s">
        <v>163</v>
      </c>
      <c r="H78" s="16">
        <v>2</v>
      </c>
      <c r="I78" s="16" t="s">
        <v>68</v>
      </c>
    </row>
    <row r="79" spans="1:10" s="16" customFormat="1">
      <c r="A79" s="17" t="s">
        <v>60</v>
      </c>
      <c r="B79" s="17">
        <v>25042943</v>
      </c>
      <c r="C79" s="18">
        <v>38650</v>
      </c>
      <c r="D79" s="16" t="s">
        <v>76</v>
      </c>
      <c r="E79" s="16">
        <f>32-31</f>
        <v>1</v>
      </c>
      <c r="F79" s="16">
        <f>34.52-33.08</f>
        <v>1.4400000000000048</v>
      </c>
      <c r="H79" s="16">
        <v>2</v>
      </c>
      <c r="I79" s="16" t="s">
        <v>68</v>
      </c>
    </row>
    <row r="80" spans="1:10" s="16" customFormat="1">
      <c r="A80" s="17" t="s">
        <v>60</v>
      </c>
      <c r="B80" s="17">
        <v>25042943</v>
      </c>
      <c r="C80" s="18">
        <v>38771</v>
      </c>
      <c r="D80" s="16" t="s">
        <v>77</v>
      </c>
      <c r="E80" s="16">
        <f>33-33</f>
        <v>0</v>
      </c>
      <c r="F80" s="16">
        <f>35.15-35.09</f>
        <v>5.9999999999995168E-2</v>
      </c>
      <c r="H80" s="16">
        <v>1</v>
      </c>
      <c r="I80" s="16" t="s">
        <v>79</v>
      </c>
    </row>
    <row r="81" spans="1:10" s="16" customFormat="1">
      <c r="A81" s="17" t="s">
        <v>60</v>
      </c>
      <c r="B81" s="17">
        <v>25042943</v>
      </c>
      <c r="C81" s="18">
        <v>38954</v>
      </c>
      <c r="D81" s="16" t="s">
        <v>78</v>
      </c>
      <c r="E81" s="16">
        <f>34-33</f>
        <v>1</v>
      </c>
      <c r="F81" s="16">
        <f>35.87-34.14</f>
        <v>1.7299999999999969</v>
      </c>
      <c r="H81" s="16">
        <v>1</v>
      </c>
      <c r="I81" s="16" t="s">
        <v>79</v>
      </c>
    </row>
    <row r="82" spans="1:10">
      <c r="A82" s="9" t="s">
        <v>61</v>
      </c>
      <c r="B82" s="9">
        <v>35471746</v>
      </c>
      <c r="C82" s="1">
        <v>40136</v>
      </c>
      <c r="D82" t="s">
        <v>147</v>
      </c>
      <c r="E82" s="7" t="s">
        <v>163</v>
      </c>
      <c r="H82" s="7">
        <v>2</v>
      </c>
      <c r="I82" t="s">
        <v>68</v>
      </c>
    </row>
    <row r="83" spans="1:10">
      <c r="A83" s="9" t="s">
        <v>61</v>
      </c>
      <c r="B83" s="9">
        <v>35471746</v>
      </c>
      <c r="C83" s="1">
        <v>40199</v>
      </c>
      <c r="D83" t="s">
        <v>76</v>
      </c>
      <c r="E83" s="7">
        <f>30.1-30</f>
        <v>0.10000000000000142</v>
      </c>
      <c r="F83" s="7">
        <f>37-36.3</f>
        <v>0.70000000000000284</v>
      </c>
      <c r="H83" s="7">
        <v>2</v>
      </c>
      <c r="I83" t="s">
        <v>68</v>
      </c>
    </row>
    <row r="84" spans="1:10">
      <c r="A84" s="9" t="s">
        <v>61</v>
      </c>
      <c r="B84" s="9">
        <v>35471746</v>
      </c>
      <c r="C84" s="1">
        <v>40501</v>
      </c>
      <c r="D84" t="s">
        <v>78</v>
      </c>
      <c r="E84" s="7" t="s">
        <v>163</v>
      </c>
      <c r="H84" s="7">
        <v>1</v>
      </c>
      <c r="I84" t="s">
        <v>79</v>
      </c>
    </row>
    <row r="85" spans="1:10">
      <c r="A85" s="9" t="s">
        <v>63</v>
      </c>
      <c r="B85" s="9">
        <v>12327581</v>
      </c>
      <c r="C85" s="1">
        <v>40823</v>
      </c>
      <c r="D85" t="s">
        <v>83</v>
      </c>
      <c r="E85" s="7">
        <f>23.9-20</f>
        <v>3.8999999999999986</v>
      </c>
      <c r="F85" s="7">
        <f>30.8-29.9</f>
        <v>0.90000000000000213</v>
      </c>
      <c r="H85" s="7">
        <v>2</v>
      </c>
      <c r="I85" t="s">
        <v>68</v>
      </c>
    </row>
    <row r="86" spans="1:10" s="16" customFormat="1">
      <c r="A86" s="17" t="s">
        <v>65</v>
      </c>
      <c r="B86" s="17">
        <v>4264305</v>
      </c>
      <c r="C86" s="18">
        <v>38210</v>
      </c>
      <c r="D86" s="16" t="s">
        <v>83</v>
      </c>
      <c r="E86" s="16">
        <f>38-35</f>
        <v>3</v>
      </c>
      <c r="F86" s="16">
        <f>38.22-37.72</f>
        <v>0.5</v>
      </c>
      <c r="H86" s="16">
        <v>0</v>
      </c>
      <c r="I86" s="16" t="s">
        <v>68</v>
      </c>
      <c r="J86" s="16" t="s">
        <v>166</v>
      </c>
    </row>
    <row r="87" spans="1:10" s="16" customFormat="1">
      <c r="A87" s="17" t="s">
        <v>65</v>
      </c>
      <c r="B87" s="17">
        <v>4264305</v>
      </c>
      <c r="C87" s="18">
        <v>38355</v>
      </c>
      <c r="D87" s="16" t="s">
        <v>77</v>
      </c>
      <c r="E87" s="16">
        <f>40-39</f>
        <v>1</v>
      </c>
      <c r="F87" s="16">
        <f>38.84-38.13</f>
        <v>0.71000000000000085</v>
      </c>
      <c r="H87" s="16">
        <v>0</v>
      </c>
      <c r="I87" s="16" t="s">
        <v>79</v>
      </c>
      <c r="J87" s="16" t="s">
        <v>166</v>
      </c>
    </row>
    <row r="88" spans="1:10" s="16" customFormat="1">
      <c r="A88" s="17" t="s">
        <v>65</v>
      </c>
      <c r="B88" s="17">
        <v>4264305</v>
      </c>
      <c r="C88" s="18">
        <v>38496</v>
      </c>
      <c r="D88" s="16" t="s">
        <v>78</v>
      </c>
      <c r="E88" s="16">
        <f>41-40</f>
        <v>1</v>
      </c>
      <c r="F88" s="16">
        <f>39.1-38.09</f>
        <v>1.009999999999998</v>
      </c>
      <c r="H88" s="16">
        <v>0</v>
      </c>
      <c r="I88" s="16" t="s">
        <v>79</v>
      </c>
      <c r="J88" s="16" t="s">
        <v>166</v>
      </c>
    </row>
    <row r="89" spans="1:10" s="16" customFormat="1">
      <c r="A89" s="17" t="s">
        <v>65</v>
      </c>
      <c r="B89" s="17">
        <v>4264305</v>
      </c>
      <c r="C89" s="18">
        <v>38859</v>
      </c>
      <c r="D89" s="16" t="s">
        <v>100</v>
      </c>
      <c r="E89" s="16">
        <f>41-40</f>
        <v>1</v>
      </c>
      <c r="F89" s="16">
        <f>41.68-40.57</f>
        <v>1.1099999999999994</v>
      </c>
      <c r="H89" s="16">
        <v>0</v>
      </c>
      <c r="I89" s="16" t="s">
        <v>79</v>
      </c>
      <c r="J89" s="16" t="s">
        <v>166</v>
      </c>
    </row>
    <row r="90" spans="1:10" s="7" customFormat="1">
      <c r="A90" s="9" t="s">
        <v>229</v>
      </c>
      <c r="B90" s="9">
        <v>50581183</v>
      </c>
      <c r="C90" s="1">
        <v>40925</v>
      </c>
      <c r="D90" s="7" t="s">
        <v>334</v>
      </c>
      <c r="E90" s="7" t="s">
        <v>163</v>
      </c>
      <c r="H90" s="7">
        <v>2</v>
      </c>
      <c r="I90" s="7" t="s">
        <v>68</v>
      </c>
    </row>
    <row r="91" spans="1:10" s="7" customFormat="1">
      <c r="A91" s="9" t="s">
        <v>233</v>
      </c>
      <c r="B91" s="9">
        <v>25321185</v>
      </c>
      <c r="C91" s="1">
        <v>40827</v>
      </c>
      <c r="D91" s="7" t="s">
        <v>334</v>
      </c>
      <c r="E91" s="7" t="s">
        <v>163</v>
      </c>
      <c r="H91" s="7">
        <v>2</v>
      </c>
      <c r="I91" s="7" t="s">
        <v>68</v>
      </c>
    </row>
    <row r="92" spans="1:10" s="7" customFormat="1">
      <c r="A92" s="9" t="s">
        <v>233</v>
      </c>
      <c r="B92" s="9">
        <v>25321185</v>
      </c>
      <c r="C92" s="1">
        <v>40939</v>
      </c>
      <c r="D92" s="7" t="s">
        <v>140</v>
      </c>
      <c r="E92" s="7">
        <f>27-26.2</f>
        <v>0.80000000000000071</v>
      </c>
      <c r="F92" s="7">
        <f>34.3-34.2</f>
        <v>9.9999999999994316E-2</v>
      </c>
      <c r="H92" s="7">
        <v>2</v>
      </c>
      <c r="I92" s="7" t="s">
        <v>68</v>
      </c>
    </row>
    <row r="93" spans="1:10" s="7" customFormat="1">
      <c r="A93" s="9" t="s">
        <v>239</v>
      </c>
      <c r="B93" s="9">
        <v>25415147</v>
      </c>
      <c r="C93" s="1">
        <v>40618</v>
      </c>
      <c r="D93" s="7" t="s">
        <v>83</v>
      </c>
      <c r="E93" s="7">
        <f>38.3-35</f>
        <v>3.2999999999999972</v>
      </c>
      <c r="F93" s="7">
        <f>41.7-38.9</f>
        <v>2.8000000000000043</v>
      </c>
      <c r="H93" s="7">
        <v>0</v>
      </c>
      <c r="I93" s="7" t="s">
        <v>68</v>
      </c>
    </row>
    <row r="94" spans="1:10" s="7" customFormat="1">
      <c r="A94" s="9" t="s">
        <v>239</v>
      </c>
      <c r="B94" s="9">
        <v>25415147</v>
      </c>
      <c r="C94" s="1">
        <v>40660</v>
      </c>
      <c r="D94" s="7" t="s">
        <v>119</v>
      </c>
      <c r="E94" s="7">
        <f>42-41.9</f>
        <v>0.10000000000000142</v>
      </c>
      <c r="F94" s="7">
        <f>41.3-40.8</f>
        <v>0.5</v>
      </c>
      <c r="H94" s="7">
        <v>0</v>
      </c>
      <c r="I94" s="7" t="s">
        <v>68</v>
      </c>
    </row>
    <row r="95" spans="1:10" s="7" customFormat="1">
      <c r="A95" s="9" t="s">
        <v>239</v>
      </c>
      <c r="B95" s="9">
        <v>25415147</v>
      </c>
      <c r="C95" s="1">
        <v>40751</v>
      </c>
      <c r="D95" s="7" t="s">
        <v>77</v>
      </c>
      <c r="E95" s="7">
        <f>36.7-34</f>
        <v>2.7000000000000028</v>
      </c>
      <c r="F95" s="7">
        <f xml:space="preserve"> 39.6-39.3</f>
        <v>0.30000000000000426</v>
      </c>
      <c r="H95" s="7">
        <v>0</v>
      </c>
      <c r="I95" s="7" t="s">
        <v>79</v>
      </c>
    </row>
    <row r="96" spans="1:10" s="7" customFormat="1">
      <c r="A96" s="17" t="s">
        <v>242</v>
      </c>
      <c r="B96" s="17">
        <v>25167833</v>
      </c>
      <c r="C96" s="18">
        <v>39211</v>
      </c>
      <c r="D96" s="16" t="s">
        <v>83</v>
      </c>
      <c r="E96" s="16">
        <f xml:space="preserve"> 23-22</f>
        <v>1</v>
      </c>
      <c r="F96" s="16">
        <f>29.65-28.37</f>
        <v>1.2799999999999976</v>
      </c>
      <c r="G96" s="16"/>
      <c r="H96" s="16">
        <v>2</v>
      </c>
      <c r="I96" s="16" t="s">
        <v>68</v>
      </c>
      <c r="J96" s="16"/>
    </row>
    <row r="97" spans="1:10" s="7" customFormat="1">
      <c r="A97" s="17" t="s">
        <v>242</v>
      </c>
      <c r="B97" s="17">
        <v>25167833</v>
      </c>
      <c r="C97" s="18">
        <v>39253</v>
      </c>
      <c r="D97" s="16" t="s">
        <v>76</v>
      </c>
      <c r="E97" s="16">
        <f>26-24</f>
        <v>2</v>
      </c>
      <c r="F97" s="16">
        <f>30.92-29.56</f>
        <v>1.360000000000003</v>
      </c>
      <c r="G97" s="16"/>
      <c r="H97" s="16">
        <v>2</v>
      </c>
      <c r="I97" s="16" t="s">
        <v>68</v>
      </c>
      <c r="J97" s="16"/>
    </row>
    <row r="98" spans="1:10" s="7" customFormat="1">
      <c r="A98" s="17" t="s">
        <v>242</v>
      </c>
      <c r="B98" s="17">
        <v>25167833</v>
      </c>
      <c r="C98" s="18">
        <v>39344</v>
      </c>
      <c r="D98" s="16" t="s">
        <v>77</v>
      </c>
      <c r="E98" s="16">
        <f>22-20</f>
        <v>2</v>
      </c>
      <c r="F98" s="16">
        <f>27.5-25.78</f>
        <v>1.7199999999999989</v>
      </c>
      <c r="G98" s="16"/>
      <c r="H98" s="16">
        <v>1</v>
      </c>
      <c r="I98" s="16" t="s">
        <v>79</v>
      </c>
      <c r="J98" s="16"/>
    </row>
    <row r="99" spans="1:10" s="7" customFormat="1">
      <c r="A99" s="17" t="s">
        <v>247</v>
      </c>
      <c r="B99" s="17">
        <v>18391821</v>
      </c>
      <c r="C99" s="18">
        <v>37931</v>
      </c>
      <c r="D99" s="16" t="s">
        <v>76</v>
      </c>
      <c r="E99" s="16" t="s">
        <v>163</v>
      </c>
      <c r="F99" s="16"/>
      <c r="G99" s="16"/>
      <c r="H99" s="16">
        <v>2</v>
      </c>
      <c r="I99" s="16" t="s">
        <v>79</v>
      </c>
      <c r="J99" s="16"/>
    </row>
    <row r="100" spans="1:10" s="7" customFormat="1">
      <c r="A100" s="17" t="s">
        <v>247</v>
      </c>
      <c r="B100" s="17">
        <v>18391821</v>
      </c>
      <c r="C100" s="18">
        <v>38239</v>
      </c>
      <c r="D100" s="16" t="s">
        <v>78</v>
      </c>
      <c r="E100" s="16">
        <f>31-29</f>
        <v>2</v>
      </c>
      <c r="F100" s="16">
        <f>36-35.56</f>
        <v>0.43999999999999773</v>
      </c>
      <c r="G100" s="16"/>
      <c r="H100" s="16">
        <v>1</v>
      </c>
      <c r="I100" s="16" t="s">
        <v>79</v>
      </c>
      <c r="J100" s="16" t="s">
        <v>336</v>
      </c>
    </row>
    <row r="101" spans="1:10" s="7" customFormat="1">
      <c r="A101" s="17" t="s">
        <v>250</v>
      </c>
      <c r="B101" s="17">
        <v>18251850</v>
      </c>
      <c r="C101" s="18">
        <v>37908</v>
      </c>
      <c r="D101" s="16" t="s">
        <v>83</v>
      </c>
      <c r="E101" s="16">
        <f>34-32</f>
        <v>2</v>
      </c>
      <c r="F101" s="16">
        <f>40.93-38.88</f>
        <v>2.0499999999999972</v>
      </c>
      <c r="G101" s="16"/>
      <c r="H101" s="16">
        <v>2</v>
      </c>
      <c r="I101" s="16" t="s">
        <v>68</v>
      </c>
      <c r="J101" s="16"/>
    </row>
    <row r="102" spans="1:10" s="7" customFormat="1">
      <c r="A102" s="17" t="s">
        <v>250</v>
      </c>
      <c r="B102" s="17">
        <v>18251850</v>
      </c>
      <c r="C102" s="18">
        <v>37950</v>
      </c>
      <c r="D102" s="16" t="s">
        <v>76</v>
      </c>
      <c r="E102" s="16">
        <f>35-32</f>
        <v>3</v>
      </c>
      <c r="F102" s="16">
        <f>40.55-38.59</f>
        <v>1.9599999999999937</v>
      </c>
      <c r="G102" s="16"/>
      <c r="H102" s="16">
        <v>2</v>
      </c>
      <c r="I102" s="16" t="s">
        <v>68</v>
      </c>
      <c r="J102" s="16"/>
    </row>
    <row r="103" spans="1:10" s="7" customFormat="1">
      <c r="A103" s="17" t="s">
        <v>250</v>
      </c>
      <c r="B103" s="17">
        <v>18251850</v>
      </c>
      <c r="C103" s="18">
        <v>38041</v>
      </c>
      <c r="D103" s="16" t="s">
        <v>77</v>
      </c>
      <c r="E103" s="16">
        <f>34-33</f>
        <v>1</v>
      </c>
      <c r="F103" s="16">
        <f>37.72-37.42</f>
        <v>0.29999999999999716</v>
      </c>
      <c r="G103" s="16"/>
      <c r="H103" s="16">
        <v>2</v>
      </c>
      <c r="I103" s="16" t="s">
        <v>79</v>
      </c>
      <c r="J103" s="16"/>
    </row>
    <row r="104" spans="1:10" s="16" customFormat="1">
      <c r="A104" s="17" t="s">
        <v>250</v>
      </c>
      <c r="B104" s="17">
        <v>18251850</v>
      </c>
      <c r="C104" s="18">
        <v>38223</v>
      </c>
      <c r="D104" s="16" t="s">
        <v>78</v>
      </c>
      <c r="E104" s="16">
        <f>38-35</f>
        <v>3</v>
      </c>
      <c r="F104" s="16">
        <f>39.8-39.03</f>
        <v>0.76999999999999602</v>
      </c>
      <c r="H104" s="16">
        <v>1</v>
      </c>
      <c r="I104" s="16" t="s">
        <v>79</v>
      </c>
    </row>
    <row r="105" spans="1:10" s="7" customFormat="1">
      <c r="A105" s="17" t="s">
        <v>250</v>
      </c>
      <c r="B105" s="17">
        <v>18251850</v>
      </c>
      <c r="C105" s="18">
        <v>38287</v>
      </c>
      <c r="D105" s="16" t="s">
        <v>337</v>
      </c>
      <c r="E105" s="16">
        <f>35-32</f>
        <v>3</v>
      </c>
      <c r="F105" s="16">
        <f>37.9-36.48</f>
        <v>1.4200000000000017</v>
      </c>
      <c r="G105" s="16"/>
      <c r="H105" s="16">
        <v>1</v>
      </c>
      <c r="I105" s="16" t="s">
        <v>79</v>
      </c>
      <c r="J105" s="16"/>
    </row>
    <row r="106" spans="1:10" s="7" customFormat="1">
      <c r="A106" s="17" t="s">
        <v>250</v>
      </c>
      <c r="B106" s="17">
        <v>18251850</v>
      </c>
      <c r="C106" s="18">
        <v>38496</v>
      </c>
      <c r="D106" s="16" t="s">
        <v>338</v>
      </c>
      <c r="E106" s="16">
        <f>36-33</f>
        <v>3</v>
      </c>
      <c r="F106" s="16">
        <f>39.58-38.52</f>
        <v>1.0599999999999952</v>
      </c>
      <c r="G106" s="16"/>
      <c r="H106" s="16">
        <v>1</v>
      </c>
      <c r="I106" s="16" t="s">
        <v>79</v>
      </c>
      <c r="J106" s="16"/>
    </row>
    <row r="107" spans="1:10" s="7" customFormat="1">
      <c r="A107" s="17" t="s">
        <v>250</v>
      </c>
      <c r="B107" s="17">
        <v>18251850</v>
      </c>
      <c r="C107" s="18">
        <v>38602</v>
      </c>
      <c r="D107" s="16" t="s">
        <v>100</v>
      </c>
      <c r="E107" s="16">
        <f>31-31</f>
        <v>0</v>
      </c>
      <c r="F107" s="16">
        <f>35.42-34.17</f>
        <v>1.25</v>
      </c>
      <c r="G107" s="16"/>
      <c r="H107" s="16">
        <v>1</v>
      </c>
      <c r="I107" s="16" t="s">
        <v>79</v>
      </c>
      <c r="J107" s="16"/>
    </row>
    <row r="108" spans="1:10" s="7" customFormat="1">
      <c r="A108" s="9" t="s">
        <v>252</v>
      </c>
      <c r="B108" s="9">
        <v>14011548</v>
      </c>
      <c r="C108" s="1">
        <v>40862</v>
      </c>
      <c r="D108" s="7" t="s">
        <v>334</v>
      </c>
      <c r="E108" s="7" t="s">
        <v>163</v>
      </c>
      <c r="H108" s="7">
        <v>2</v>
      </c>
      <c r="I108" s="7" t="s">
        <v>68</v>
      </c>
    </row>
    <row r="109" spans="1:10" s="7" customFormat="1">
      <c r="A109" s="9" t="s">
        <v>252</v>
      </c>
      <c r="B109" s="9">
        <v>14011548</v>
      </c>
      <c r="C109" s="1">
        <v>40962</v>
      </c>
      <c r="D109" s="7" t="s">
        <v>140</v>
      </c>
      <c r="E109" s="7" t="s">
        <v>163</v>
      </c>
      <c r="H109" s="7">
        <v>2</v>
      </c>
      <c r="I109" s="7" t="s">
        <v>68</v>
      </c>
    </row>
    <row r="110" spans="1:10" s="7" customFormat="1">
      <c r="A110" s="17" t="s">
        <v>256</v>
      </c>
      <c r="B110" s="17">
        <v>25211293</v>
      </c>
      <c r="C110" s="18">
        <v>39454</v>
      </c>
      <c r="D110" s="16" t="s">
        <v>83</v>
      </c>
      <c r="E110" s="16">
        <f>15-14</f>
        <v>1</v>
      </c>
      <c r="F110" s="16">
        <f>27-26.65</f>
        <v>0.35000000000000142</v>
      </c>
      <c r="G110" s="16"/>
      <c r="H110" s="16">
        <v>2</v>
      </c>
      <c r="I110" s="16" t="s">
        <v>68</v>
      </c>
      <c r="J110" s="16"/>
    </row>
    <row r="111" spans="1:10" s="7" customFormat="1">
      <c r="A111" s="17" t="s">
        <v>256</v>
      </c>
      <c r="B111" s="17">
        <v>25211293</v>
      </c>
      <c r="C111" s="18">
        <v>39503</v>
      </c>
      <c r="D111" s="16" t="s">
        <v>76</v>
      </c>
      <c r="E111" s="16">
        <f>19-18</f>
        <v>1</v>
      </c>
      <c r="F111" s="16">
        <f>29.4-28</f>
        <v>1.3999999999999986</v>
      </c>
      <c r="G111" s="16"/>
      <c r="H111" s="16">
        <v>2</v>
      </c>
      <c r="I111" s="16" t="s">
        <v>68</v>
      </c>
      <c r="J111" s="16"/>
    </row>
    <row r="112" spans="1:10" s="7" customFormat="1">
      <c r="A112" s="9" t="s">
        <v>256</v>
      </c>
      <c r="B112" s="9">
        <v>25211293</v>
      </c>
      <c r="C112" s="1">
        <v>39601</v>
      </c>
      <c r="D112" s="7" t="s">
        <v>77</v>
      </c>
      <c r="E112" s="7">
        <f>19-18</f>
        <v>1</v>
      </c>
      <c r="F112" s="7">
        <f>27.9-27.6</f>
        <v>0.29999999999999716</v>
      </c>
      <c r="H112" s="7">
        <v>1</v>
      </c>
      <c r="I112" s="7" t="s">
        <v>79</v>
      </c>
    </row>
    <row r="113" spans="1:10" s="7" customFormat="1">
      <c r="A113" s="17" t="s">
        <v>258</v>
      </c>
      <c r="B113" s="17">
        <v>25079337</v>
      </c>
      <c r="C113" s="18">
        <v>38867</v>
      </c>
      <c r="D113" s="16" t="s">
        <v>83</v>
      </c>
      <c r="E113" s="16" t="s">
        <v>163</v>
      </c>
      <c r="F113" s="16"/>
      <c r="G113" s="16"/>
      <c r="H113" s="16">
        <v>2</v>
      </c>
      <c r="I113" s="16" t="s">
        <v>68</v>
      </c>
      <c r="J113" s="16"/>
    </row>
    <row r="114" spans="1:10" s="7" customFormat="1">
      <c r="A114" s="17" t="s">
        <v>258</v>
      </c>
      <c r="B114" s="17">
        <v>25079337</v>
      </c>
      <c r="C114" s="18">
        <v>38912</v>
      </c>
      <c r="D114" s="16" t="s">
        <v>76</v>
      </c>
      <c r="E114" s="16">
        <f>40-38</f>
        <v>2</v>
      </c>
      <c r="F114" s="16">
        <f>40.35-39.09</f>
        <v>1.259999999999998</v>
      </c>
      <c r="G114" s="16"/>
      <c r="H114" s="16">
        <v>0</v>
      </c>
      <c r="I114" s="16" t="s">
        <v>68</v>
      </c>
      <c r="J114" s="16" t="s">
        <v>166</v>
      </c>
    </row>
    <row r="115" spans="1:10" s="7" customFormat="1">
      <c r="A115" s="17" t="s">
        <v>258</v>
      </c>
      <c r="B115" s="17">
        <v>25079337</v>
      </c>
      <c r="C115" s="18">
        <v>38999</v>
      </c>
      <c r="D115" s="16" t="s">
        <v>77</v>
      </c>
      <c r="E115" s="16">
        <f>41-39</f>
        <v>2</v>
      </c>
      <c r="F115" s="16">
        <f>36.32-36.06</f>
        <v>0.25999999999999801</v>
      </c>
      <c r="G115" s="16"/>
      <c r="H115" s="16">
        <v>0</v>
      </c>
      <c r="I115" s="16" t="s">
        <v>79</v>
      </c>
      <c r="J115" s="16" t="s">
        <v>166</v>
      </c>
    </row>
    <row r="116" spans="1:10" s="7" customFormat="1">
      <c r="A116" s="9" t="s">
        <v>260</v>
      </c>
      <c r="B116" s="9">
        <v>4560330</v>
      </c>
      <c r="C116" s="1">
        <v>39994</v>
      </c>
      <c r="D116" s="7" t="s">
        <v>83</v>
      </c>
      <c r="E116" s="7" t="s">
        <v>163</v>
      </c>
      <c r="H116" s="7">
        <v>2</v>
      </c>
      <c r="I116" s="7" t="s">
        <v>68</v>
      </c>
    </row>
    <row r="117" spans="1:10" s="7" customFormat="1">
      <c r="A117" s="9" t="s">
        <v>260</v>
      </c>
      <c r="B117" s="9">
        <v>4560330</v>
      </c>
      <c r="C117" s="1">
        <v>40057</v>
      </c>
      <c r="D117" s="7" t="s">
        <v>76</v>
      </c>
      <c r="E117" s="7">
        <f>34-33</f>
        <v>1</v>
      </c>
      <c r="F117" s="7">
        <f>47.3-43.4</f>
        <v>3.8999999999999986</v>
      </c>
      <c r="H117" s="7">
        <v>2</v>
      </c>
      <c r="I117" s="7" t="s">
        <v>68</v>
      </c>
    </row>
    <row r="118" spans="1:10" s="7" customFormat="1">
      <c r="A118" s="9" t="s">
        <v>260</v>
      </c>
      <c r="B118" s="9">
        <v>4560330</v>
      </c>
      <c r="C118" s="1">
        <v>40162</v>
      </c>
      <c r="D118" s="7" t="s">
        <v>77</v>
      </c>
      <c r="E118" s="7">
        <f>33-33</f>
        <v>0</v>
      </c>
      <c r="F118" s="7">
        <f>42.4-40.7</f>
        <v>1.6999999999999957</v>
      </c>
      <c r="H118" s="7" t="s">
        <v>339</v>
      </c>
      <c r="I118" s="7" t="s">
        <v>79</v>
      </c>
      <c r="J118" s="7" t="s">
        <v>340</v>
      </c>
    </row>
    <row r="119" spans="1:10" s="7" customFormat="1">
      <c r="A119" s="9" t="s">
        <v>260</v>
      </c>
      <c r="B119" s="9">
        <v>4560330</v>
      </c>
      <c r="C119" s="1">
        <v>40456</v>
      </c>
      <c r="D119" s="7" t="s">
        <v>338</v>
      </c>
      <c r="E119" s="7">
        <f>43-43</f>
        <v>0</v>
      </c>
      <c r="F119" s="7">
        <f>40.3-37.9</f>
        <v>2.3999999999999986</v>
      </c>
      <c r="H119" s="7" t="s">
        <v>339</v>
      </c>
      <c r="I119" s="7" t="s">
        <v>79</v>
      </c>
      <c r="J119" s="7" t="s">
        <v>341</v>
      </c>
    </row>
    <row r="120" spans="1:10" s="7" customFormat="1">
      <c r="A120" s="17" t="s">
        <v>269</v>
      </c>
      <c r="B120" s="17">
        <v>17282567</v>
      </c>
      <c r="C120" s="18">
        <v>37075</v>
      </c>
      <c r="D120" s="16" t="s">
        <v>342</v>
      </c>
      <c r="E120" s="16"/>
      <c r="F120" s="16"/>
      <c r="G120" s="16"/>
      <c r="H120" s="16"/>
      <c r="I120" s="16" t="s">
        <v>68</v>
      </c>
      <c r="J120" s="16" t="s">
        <v>343</v>
      </c>
    </row>
    <row r="121" spans="1:10" s="7" customFormat="1">
      <c r="A121" s="17" t="s">
        <v>269</v>
      </c>
      <c r="B121" s="17">
        <v>17282567</v>
      </c>
      <c r="C121" s="18">
        <v>37097</v>
      </c>
      <c r="D121" s="16" t="s">
        <v>83</v>
      </c>
      <c r="E121" s="16"/>
      <c r="F121" s="16"/>
      <c r="G121" s="16"/>
      <c r="H121" s="16"/>
      <c r="I121" s="16" t="s">
        <v>68</v>
      </c>
      <c r="J121" s="16" t="s">
        <v>343</v>
      </c>
    </row>
    <row r="122" spans="1:10" s="7" customFormat="1">
      <c r="A122" s="17" t="s">
        <v>269</v>
      </c>
      <c r="B122" s="17">
        <v>17282567</v>
      </c>
      <c r="C122" s="18">
        <v>37139</v>
      </c>
      <c r="D122" s="16" t="s">
        <v>76</v>
      </c>
      <c r="E122" s="16"/>
      <c r="F122" s="16"/>
      <c r="G122" s="16"/>
      <c r="H122" s="16"/>
      <c r="I122" s="16" t="s">
        <v>68</v>
      </c>
      <c r="J122" s="16" t="s">
        <v>343</v>
      </c>
    </row>
    <row r="123" spans="1:10" s="7" customFormat="1">
      <c r="A123" s="17" t="s">
        <v>269</v>
      </c>
      <c r="B123" s="17">
        <v>17282567</v>
      </c>
      <c r="C123" s="18">
        <v>37215</v>
      </c>
      <c r="D123" s="16" t="s">
        <v>140</v>
      </c>
      <c r="E123" s="16"/>
      <c r="F123" s="16"/>
      <c r="G123" s="16"/>
      <c r="H123" s="16"/>
      <c r="I123" s="16" t="s">
        <v>68</v>
      </c>
      <c r="J123" s="16" t="s">
        <v>343</v>
      </c>
    </row>
    <row r="124" spans="1:10" s="7" customFormat="1">
      <c r="A124" s="17" t="s">
        <v>269</v>
      </c>
      <c r="B124" s="17">
        <v>17282567</v>
      </c>
      <c r="C124" s="18">
        <v>37306</v>
      </c>
      <c r="D124" s="16" t="s">
        <v>335</v>
      </c>
      <c r="E124" s="16"/>
      <c r="F124" s="16"/>
      <c r="G124" s="16"/>
      <c r="H124" s="16"/>
      <c r="I124" s="16" t="s">
        <v>68</v>
      </c>
      <c r="J124" s="16" t="s">
        <v>343</v>
      </c>
    </row>
    <row r="125" spans="1:10" s="16" customFormat="1">
      <c r="A125" s="17" t="s">
        <v>269</v>
      </c>
      <c r="B125" s="17">
        <v>17282567</v>
      </c>
      <c r="C125" s="18">
        <v>37566</v>
      </c>
      <c r="D125" s="16" t="s">
        <v>344</v>
      </c>
      <c r="I125" s="16" t="s">
        <v>68</v>
      </c>
      <c r="J125" s="16" t="s">
        <v>343</v>
      </c>
    </row>
    <row r="126" spans="1:10" s="7" customFormat="1">
      <c r="A126" s="17" t="s">
        <v>269</v>
      </c>
      <c r="B126" s="17">
        <v>17282567</v>
      </c>
      <c r="C126" s="18">
        <v>37664</v>
      </c>
      <c r="D126" s="16" t="s">
        <v>345</v>
      </c>
      <c r="E126" s="16"/>
      <c r="F126" s="16"/>
      <c r="G126" s="16"/>
      <c r="H126" s="16"/>
      <c r="I126" s="16" t="s">
        <v>68</v>
      </c>
      <c r="J126" s="16" t="s">
        <v>343</v>
      </c>
    </row>
    <row r="127" spans="1:10" s="16" customFormat="1">
      <c r="A127" s="17" t="s">
        <v>269</v>
      </c>
      <c r="B127" s="17">
        <v>17282567</v>
      </c>
      <c r="C127" s="18">
        <v>37704</v>
      </c>
      <c r="D127" s="16" t="s">
        <v>346</v>
      </c>
      <c r="I127" s="16" t="s">
        <v>68</v>
      </c>
      <c r="J127" s="16" t="s">
        <v>343</v>
      </c>
    </row>
    <row r="128" spans="1:10" s="16" customFormat="1">
      <c r="A128" s="17" t="s">
        <v>269</v>
      </c>
      <c r="B128" s="17">
        <v>17282567</v>
      </c>
      <c r="C128" s="18">
        <v>37713</v>
      </c>
      <c r="D128" s="16" t="s">
        <v>347</v>
      </c>
      <c r="E128" s="16" t="s">
        <v>163</v>
      </c>
      <c r="H128" s="16">
        <v>2</v>
      </c>
      <c r="I128" s="16" t="s">
        <v>68</v>
      </c>
      <c r="J128" s="20" t="s">
        <v>348</v>
      </c>
    </row>
    <row r="129" spans="1:10" s="7" customFormat="1">
      <c r="A129" s="17" t="s">
        <v>269</v>
      </c>
      <c r="B129" s="17">
        <v>17282567</v>
      </c>
      <c r="C129" s="18">
        <v>37748</v>
      </c>
      <c r="D129" s="16" t="s">
        <v>349</v>
      </c>
      <c r="E129" s="16"/>
      <c r="F129" s="16"/>
      <c r="G129" s="16"/>
      <c r="H129" s="16"/>
      <c r="I129" s="16" t="s">
        <v>68</v>
      </c>
      <c r="J129" s="16" t="s">
        <v>343</v>
      </c>
    </row>
    <row r="130" spans="1:10" s="16" customFormat="1">
      <c r="A130" s="17" t="s">
        <v>269</v>
      </c>
      <c r="B130" s="17">
        <v>17282567</v>
      </c>
      <c r="C130" s="18">
        <v>37779</v>
      </c>
      <c r="D130" s="16" t="s">
        <v>100</v>
      </c>
      <c r="I130" s="16" t="s">
        <v>68</v>
      </c>
      <c r="J130" s="16" t="s">
        <v>343</v>
      </c>
    </row>
    <row r="131" spans="1:10" s="16" customFormat="1">
      <c r="A131" s="17" t="s">
        <v>269</v>
      </c>
      <c r="B131" s="17">
        <v>17282567</v>
      </c>
      <c r="C131" s="18">
        <v>37881</v>
      </c>
      <c r="D131" s="16" t="s">
        <v>157</v>
      </c>
      <c r="E131" s="16">
        <f>32-30</f>
        <v>2</v>
      </c>
      <c r="F131" s="16">
        <f>31.29-30.2</f>
        <v>1.0899999999999999</v>
      </c>
      <c r="H131" s="16">
        <v>1</v>
      </c>
      <c r="I131" s="16" t="s">
        <v>79</v>
      </c>
    </row>
    <row r="132" spans="1:10" s="7" customFormat="1">
      <c r="A132" s="17" t="s">
        <v>269</v>
      </c>
      <c r="B132" s="17">
        <v>17282567</v>
      </c>
      <c r="C132" s="18">
        <v>38034</v>
      </c>
      <c r="D132" s="16" t="s">
        <v>350</v>
      </c>
      <c r="E132" s="16">
        <f>33-32</f>
        <v>1</v>
      </c>
      <c r="F132" s="16">
        <f>32.1-30.97</f>
        <v>1.1300000000000026</v>
      </c>
      <c r="G132" s="16"/>
      <c r="H132" s="16">
        <v>1</v>
      </c>
      <c r="I132" s="16" t="s">
        <v>79</v>
      </c>
      <c r="J132" s="16"/>
    </row>
    <row r="133" spans="1:10" s="7" customFormat="1">
      <c r="A133" s="9" t="s">
        <v>280</v>
      </c>
      <c r="B133" s="9">
        <v>25326385</v>
      </c>
      <c r="C133" s="1">
        <v>39982</v>
      </c>
      <c r="D133" s="7" t="s">
        <v>83</v>
      </c>
      <c r="E133" s="7" t="s">
        <v>163</v>
      </c>
      <c r="H133" s="7">
        <v>2</v>
      </c>
      <c r="I133" s="7" t="s">
        <v>68</v>
      </c>
    </row>
    <row r="134" spans="1:10" s="7" customFormat="1">
      <c r="A134" s="9" t="s">
        <v>280</v>
      </c>
      <c r="B134" s="9">
        <v>25326385</v>
      </c>
      <c r="C134" s="1">
        <v>40071</v>
      </c>
      <c r="D134" s="7" t="s">
        <v>111</v>
      </c>
      <c r="E134" s="7" t="s">
        <v>163</v>
      </c>
      <c r="H134" s="7">
        <v>2</v>
      </c>
      <c r="I134" s="7" t="s">
        <v>68</v>
      </c>
    </row>
    <row r="135" spans="1:10" s="16" customFormat="1">
      <c r="A135" s="9" t="s">
        <v>280</v>
      </c>
      <c r="B135" s="9">
        <v>25326385</v>
      </c>
      <c r="C135" s="1">
        <v>40197</v>
      </c>
      <c r="D135" s="7" t="s">
        <v>335</v>
      </c>
      <c r="E135" s="7">
        <f xml:space="preserve"> 34-34</f>
        <v>0</v>
      </c>
      <c r="F135" s="7">
        <f>35.8-35.4</f>
        <v>0.39999999999999858</v>
      </c>
      <c r="G135" s="7"/>
      <c r="H135" s="7">
        <v>1</v>
      </c>
      <c r="I135" s="7" t="s">
        <v>79</v>
      </c>
      <c r="J135" s="7"/>
    </row>
    <row r="136" spans="1:10" s="16" customFormat="1">
      <c r="A136" s="17" t="s">
        <v>287</v>
      </c>
      <c r="B136" s="9">
        <v>25282021</v>
      </c>
      <c r="C136" s="1">
        <v>39833</v>
      </c>
      <c r="D136" s="7" t="s">
        <v>144</v>
      </c>
      <c r="E136" s="7" t="s">
        <v>163</v>
      </c>
      <c r="F136" s="7"/>
      <c r="G136" s="7"/>
      <c r="H136" s="7">
        <v>2</v>
      </c>
      <c r="I136" s="7" t="s">
        <v>68</v>
      </c>
      <c r="J136" s="7"/>
    </row>
    <row r="137" spans="1:10" s="16" customFormat="1">
      <c r="A137" s="17" t="s">
        <v>287</v>
      </c>
      <c r="B137" s="9">
        <v>25282021</v>
      </c>
      <c r="C137" s="1">
        <v>39910</v>
      </c>
      <c r="D137" s="7" t="s">
        <v>76</v>
      </c>
      <c r="E137" s="7">
        <f>26-25</f>
        <v>1</v>
      </c>
      <c r="F137" s="7">
        <f>29.6-27.8</f>
        <v>1.8000000000000007</v>
      </c>
      <c r="G137" s="7"/>
      <c r="H137" s="7">
        <v>2</v>
      </c>
      <c r="I137" s="7" t="s">
        <v>68</v>
      </c>
      <c r="J137" s="7"/>
    </row>
    <row r="138" spans="1:10" s="16" customFormat="1">
      <c r="A138" s="17" t="s">
        <v>287</v>
      </c>
      <c r="B138" s="9">
        <v>25282021</v>
      </c>
      <c r="C138" s="1">
        <v>40008</v>
      </c>
      <c r="D138" s="7" t="s">
        <v>351</v>
      </c>
      <c r="E138" s="7">
        <f>32-31</f>
        <v>1</v>
      </c>
      <c r="F138" s="7">
        <f>28.6-28.2</f>
        <v>0.40000000000000213</v>
      </c>
      <c r="G138" s="7"/>
      <c r="H138" s="7">
        <v>1</v>
      </c>
      <c r="I138" s="7" t="s">
        <v>79</v>
      </c>
      <c r="J138" s="7"/>
    </row>
    <row r="139" spans="1:10" s="16" customFormat="1">
      <c r="A139" s="17" t="s">
        <v>287</v>
      </c>
      <c r="B139" s="9">
        <v>25282021</v>
      </c>
      <c r="C139" s="1">
        <v>40220</v>
      </c>
      <c r="D139" s="7" t="s">
        <v>78</v>
      </c>
      <c r="E139" s="7">
        <f>29-28</f>
        <v>1</v>
      </c>
      <c r="F139" s="7">
        <f>26.9-26.3</f>
        <v>0.59999999999999787</v>
      </c>
      <c r="G139" s="7"/>
      <c r="H139" s="7">
        <v>1</v>
      </c>
      <c r="I139" s="7" t="s">
        <v>79</v>
      </c>
      <c r="J139" s="7"/>
    </row>
    <row r="140" spans="1:10" s="16" customFormat="1">
      <c r="A140" s="17" t="s">
        <v>287</v>
      </c>
      <c r="B140" s="9">
        <v>25282021</v>
      </c>
      <c r="C140" s="1">
        <v>40666</v>
      </c>
      <c r="D140" s="7" t="s">
        <v>100</v>
      </c>
      <c r="E140" s="7">
        <f xml:space="preserve"> 18-18</f>
        <v>0</v>
      </c>
      <c r="F140" s="7">
        <f>28.7-28</f>
        <v>0.69999999999999929</v>
      </c>
      <c r="G140" s="7"/>
      <c r="H140" s="7">
        <v>1</v>
      </c>
      <c r="I140" s="7" t="s">
        <v>79</v>
      </c>
      <c r="J140" s="7"/>
    </row>
    <row r="141" spans="1:10" s="16" customFormat="1">
      <c r="A141" s="17" t="s">
        <v>292</v>
      </c>
      <c r="B141" s="17">
        <v>25012237</v>
      </c>
      <c r="C141" s="18">
        <v>38587</v>
      </c>
      <c r="D141" s="16" t="s">
        <v>83</v>
      </c>
      <c r="E141" s="16" t="s">
        <v>163</v>
      </c>
      <c r="H141" s="16">
        <v>2</v>
      </c>
      <c r="I141" s="16" t="s">
        <v>68</v>
      </c>
    </row>
    <row r="142" spans="1:10" s="16" customFormat="1">
      <c r="A142" s="17" t="s">
        <v>292</v>
      </c>
      <c r="B142" s="17">
        <v>25012237</v>
      </c>
      <c r="C142" s="18">
        <v>38631</v>
      </c>
      <c r="D142" s="16" t="s">
        <v>76</v>
      </c>
      <c r="E142" s="16">
        <f>44-41</f>
        <v>3</v>
      </c>
      <c r="F142" s="16">
        <f>30.93-30.03</f>
        <v>0.89999999999999858</v>
      </c>
      <c r="H142" s="16">
        <v>2</v>
      </c>
      <c r="I142" s="16" t="s">
        <v>68</v>
      </c>
      <c r="J142" s="16" t="s">
        <v>352</v>
      </c>
    </row>
    <row r="143" spans="1:10" s="16" customFormat="1">
      <c r="A143" s="17" t="s">
        <v>292</v>
      </c>
      <c r="B143" s="17">
        <v>25012237</v>
      </c>
      <c r="C143" s="18">
        <v>38734</v>
      </c>
      <c r="D143" s="16" t="s">
        <v>77</v>
      </c>
      <c r="E143" s="16">
        <f>38-38</f>
        <v>0</v>
      </c>
      <c r="F143" s="16">
        <f>30.55-29.32</f>
        <v>1.2300000000000004</v>
      </c>
      <c r="H143" s="16">
        <v>1</v>
      </c>
      <c r="I143" s="16" t="s">
        <v>79</v>
      </c>
    </row>
    <row r="144" spans="1:10" s="16" customFormat="1">
      <c r="A144" s="17" t="s">
        <v>292</v>
      </c>
      <c r="B144" s="17">
        <v>25012237</v>
      </c>
      <c r="C144" s="18">
        <v>38904</v>
      </c>
      <c r="D144" s="16" t="s">
        <v>78</v>
      </c>
      <c r="E144" s="16">
        <f xml:space="preserve"> 38-37</f>
        <v>1</v>
      </c>
      <c r="F144" s="16">
        <f>29.27-28.48</f>
        <v>0.78999999999999915</v>
      </c>
      <c r="H144" s="16">
        <v>1</v>
      </c>
      <c r="I144" s="16" t="s">
        <v>79</v>
      </c>
    </row>
    <row r="145" spans="1:10" s="16" customFormat="1">
      <c r="A145" s="17" t="s">
        <v>292</v>
      </c>
      <c r="B145" s="17">
        <v>25012237</v>
      </c>
      <c r="C145" s="18">
        <v>40024</v>
      </c>
      <c r="D145" s="16" t="s">
        <v>353</v>
      </c>
      <c r="E145" s="16">
        <f>38-38</f>
        <v>0</v>
      </c>
      <c r="F145" s="16">
        <f>39.8-39.4</f>
        <v>0.39999999999999858</v>
      </c>
      <c r="H145" s="16">
        <v>1</v>
      </c>
      <c r="I145" s="16" t="s">
        <v>79</v>
      </c>
    </row>
    <row r="146" spans="1:10" s="16" customFormat="1">
      <c r="A146" s="17" t="s">
        <v>295</v>
      </c>
      <c r="B146" s="17">
        <v>15927908</v>
      </c>
      <c r="C146" s="18">
        <v>40386</v>
      </c>
      <c r="D146" s="16" t="s">
        <v>83</v>
      </c>
      <c r="E146" s="16" t="s">
        <v>163</v>
      </c>
      <c r="H146" s="16">
        <v>2</v>
      </c>
      <c r="I146" s="16" t="s">
        <v>68</v>
      </c>
    </row>
    <row r="147" spans="1:10" s="16" customFormat="1">
      <c r="A147" s="17" t="s">
        <v>295</v>
      </c>
      <c r="B147" s="17">
        <v>15927908</v>
      </c>
      <c r="C147" s="18">
        <v>40435</v>
      </c>
      <c r="D147" s="16" t="s">
        <v>76</v>
      </c>
      <c r="E147" s="16" t="s">
        <v>163</v>
      </c>
      <c r="H147" s="16">
        <v>2</v>
      </c>
      <c r="I147" s="16" t="s">
        <v>68</v>
      </c>
    </row>
    <row r="148" spans="1:10" s="16" customFormat="1">
      <c r="A148" s="9" t="s">
        <v>295</v>
      </c>
      <c r="B148" s="9">
        <v>15927908</v>
      </c>
      <c r="C148" s="1">
        <v>40708</v>
      </c>
      <c r="D148" s="7" t="s">
        <v>78</v>
      </c>
      <c r="E148" s="7">
        <f>29-26</f>
        <v>3</v>
      </c>
      <c r="F148" s="7">
        <f>36.1-35</f>
        <v>1.1000000000000014</v>
      </c>
      <c r="G148" s="7"/>
      <c r="H148" s="7">
        <v>1</v>
      </c>
      <c r="I148" s="7" t="s">
        <v>79</v>
      </c>
      <c r="J148" s="7"/>
    </row>
    <row r="149" spans="1:10" s="16" customFormat="1">
      <c r="A149" s="17" t="s">
        <v>299</v>
      </c>
      <c r="B149" s="17">
        <v>18013409</v>
      </c>
      <c r="C149" s="18">
        <v>38447</v>
      </c>
      <c r="D149" s="16" t="s">
        <v>83</v>
      </c>
      <c r="E149" s="16" t="s">
        <v>163</v>
      </c>
      <c r="H149" s="16">
        <v>2</v>
      </c>
      <c r="I149" s="16" t="s">
        <v>68</v>
      </c>
    </row>
    <row r="150" spans="1:10" s="16" customFormat="1">
      <c r="A150" s="17" t="s">
        <v>299</v>
      </c>
      <c r="B150" s="17">
        <v>18013409</v>
      </c>
      <c r="C150" s="18">
        <v>38503</v>
      </c>
      <c r="D150" s="16" t="s">
        <v>76</v>
      </c>
      <c r="E150" s="16">
        <f>40-38</f>
        <v>2</v>
      </c>
      <c r="F150" s="16">
        <f>36.28-35.33</f>
        <v>0.95000000000000284</v>
      </c>
      <c r="H150" s="16">
        <v>2</v>
      </c>
      <c r="I150" s="16" t="s">
        <v>68</v>
      </c>
    </row>
    <row r="151" spans="1:10" s="16" customFormat="1">
      <c r="A151" s="17" t="s">
        <v>299</v>
      </c>
      <c r="B151" s="17">
        <v>18013409</v>
      </c>
      <c r="C151" s="18">
        <v>38596</v>
      </c>
      <c r="D151" s="16" t="s">
        <v>77</v>
      </c>
      <c r="E151" s="16">
        <f>41-39</f>
        <v>2</v>
      </c>
      <c r="F151" s="16">
        <f>38.29-36.41</f>
        <v>1.8800000000000026</v>
      </c>
      <c r="H151" s="16">
        <v>2</v>
      </c>
      <c r="I151" s="16" t="s">
        <v>79</v>
      </c>
    </row>
    <row r="152" spans="1:10" s="16" customFormat="1">
      <c r="A152" s="17" t="s">
        <v>299</v>
      </c>
      <c r="B152" s="17">
        <v>18013409</v>
      </c>
      <c r="C152" s="18">
        <v>38778</v>
      </c>
      <c r="D152" s="16" t="s">
        <v>78</v>
      </c>
      <c r="E152" s="16">
        <f>41-39</f>
        <v>2</v>
      </c>
      <c r="F152" s="16">
        <f>37.28-36.6</f>
        <v>0.67999999999999972</v>
      </c>
      <c r="H152" s="16">
        <v>1</v>
      </c>
      <c r="I152" s="16" t="s">
        <v>79</v>
      </c>
    </row>
    <row r="153" spans="1:10" s="16" customFormat="1">
      <c r="A153" s="17" t="s">
        <v>302</v>
      </c>
      <c r="B153" s="17">
        <v>18490268</v>
      </c>
      <c r="C153" s="18">
        <v>37861</v>
      </c>
      <c r="D153" s="16" t="s">
        <v>83</v>
      </c>
      <c r="E153" s="16" t="s">
        <v>163</v>
      </c>
      <c r="H153" s="16">
        <v>2</v>
      </c>
      <c r="I153" s="16" t="s">
        <v>68</v>
      </c>
      <c r="J153" s="16" t="s">
        <v>354</v>
      </c>
    </row>
    <row r="154" spans="1:10" s="16" customFormat="1">
      <c r="A154" s="17" t="s">
        <v>302</v>
      </c>
      <c r="B154" s="17">
        <v>18490268</v>
      </c>
      <c r="C154" s="18">
        <v>37903</v>
      </c>
      <c r="D154" s="16" t="s">
        <v>76</v>
      </c>
      <c r="E154" s="16" t="s">
        <v>163</v>
      </c>
      <c r="H154" s="16">
        <v>2</v>
      </c>
      <c r="I154" s="16" t="s">
        <v>68</v>
      </c>
    </row>
    <row r="155" spans="1:10" s="16" customFormat="1">
      <c r="A155" s="17" t="s">
        <v>302</v>
      </c>
      <c r="B155" s="17">
        <v>18490268</v>
      </c>
      <c r="C155" s="18">
        <v>38135</v>
      </c>
      <c r="D155" s="16" t="s">
        <v>355</v>
      </c>
      <c r="E155" s="16">
        <f>38-36</f>
        <v>2</v>
      </c>
      <c r="F155" s="16">
        <f>30.24-29.82</f>
        <v>0.41999999999999815</v>
      </c>
      <c r="H155" s="16">
        <v>2</v>
      </c>
      <c r="I155" s="16" t="s">
        <v>79</v>
      </c>
    </row>
    <row r="156" spans="1:10" s="16" customFormat="1">
      <c r="A156" s="17" t="s">
        <v>302</v>
      </c>
      <c r="B156" s="17">
        <v>18490268</v>
      </c>
      <c r="C156" s="18">
        <v>38358</v>
      </c>
      <c r="D156" s="16" t="s">
        <v>338</v>
      </c>
      <c r="E156" s="16">
        <f>38-37</f>
        <v>1</v>
      </c>
      <c r="F156" s="16">
        <f>31.56-31.51</f>
        <v>4.9999999999997158E-2</v>
      </c>
      <c r="H156" s="16">
        <v>1</v>
      </c>
      <c r="I156" s="16" t="s">
        <v>79</v>
      </c>
    </row>
    <row r="157" spans="1:10" s="16" customFormat="1">
      <c r="A157" s="9" t="s">
        <v>304</v>
      </c>
      <c r="B157" s="9">
        <v>35215807</v>
      </c>
      <c r="C157" s="1">
        <v>40648</v>
      </c>
      <c r="D157" s="7" t="s">
        <v>83</v>
      </c>
      <c r="E157" s="7" t="s">
        <v>163</v>
      </c>
      <c r="F157" s="7"/>
      <c r="G157" s="7"/>
      <c r="H157" s="7">
        <v>2</v>
      </c>
      <c r="I157" s="7" t="s">
        <v>68</v>
      </c>
      <c r="J157" s="7"/>
    </row>
    <row r="158" spans="1:10" s="16" customFormat="1">
      <c r="A158" s="9" t="s">
        <v>304</v>
      </c>
      <c r="B158" s="9">
        <v>35215807</v>
      </c>
      <c r="C158" s="1">
        <v>40736</v>
      </c>
      <c r="D158" s="7" t="s">
        <v>111</v>
      </c>
      <c r="E158" s="7" t="s">
        <v>163</v>
      </c>
      <c r="F158" s="7"/>
      <c r="G158" s="7"/>
      <c r="H158" s="7">
        <v>2</v>
      </c>
      <c r="I158" s="7" t="s">
        <v>90</v>
      </c>
      <c r="J158" s="7"/>
    </row>
    <row r="159" spans="1:10" s="16" customFormat="1">
      <c r="A159" s="9" t="s">
        <v>304</v>
      </c>
      <c r="B159" s="9">
        <v>35215807</v>
      </c>
      <c r="C159" s="1">
        <v>40921</v>
      </c>
      <c r="D159" s="7" t="s">
        <v>355</v>
      </c>
      <c r="E159" s="7" t="s">
        <v>163</v>
      </c>
      <c r="F159" s="7"/>
      <c r="G159" s="7"/>
      <c r="H159" s="7">
        <v>0</v>
      </c>
      <c r="I159" s="7" t="s">
        <v>90</v>
      </c>
      <c r="J159" s="7"/>
    </row>
    <row r="160" spans="1:10" s="16" customFormat="1">
      <c r="A160" s="9" t="s">
        <v>308</v>
      </c>
      <c r="B160" s="9">
        <v>25361535</v>
      </c>
      <c r="C160" s="1">
        <v>40309</v>
      </c>
      <c r="D160" s="7" t="s">
        <v>83</v>
      </c>
      <c r="E160" s="7" t="s">
        <v>163</v>
      </c>
      <c r="F160" s="7"/>
      <c r="G160" s="7"/>
      <c r="H160" s="7">
        <v>2</v>
      </c>
      <c r="I160" s="7" t="s">
        <v>68</v>
      </c>
      <c r="J160" s="7"/>
    </row>
    <row r="161" spans="1:10" s="16" customFormat="1">
      <c r="A161" s="9" t="s">
        <v>308</v>
      </c>
      <c r="B161" s="9">
        <v>25361535</v>
      </c>
      <c r="C161" s="1">
        <v>40360</v>
      </c>
      <c r="D161" s="7" t="s">
        <v>76</v>
      </c>
      <c r="E161" s="7">
        <f>35-28</f>
        <v>7</v>
      </c>
      <c r="F161" s="7">
        <f>31-27.8</f>
        <v>3.1999999999999993</v>
      </c>
      <c r="G161" s="7"/>
      <c r="H161" s="7">
        <v>4</v>
      </c>
      <c r="I161" s="7" t="s">
        <v>68</v>
      </c>
      <c r="J161" s="7"/>
    </row>
    <row r="162" spans="1:10" s="16" customFormat="1">
      <c r="A162" s="17" t="s">
        <v>313</v>
      </c>
      <c r="B162" s="17">
        <v>11982030</v>
      </c>
      <c r="C162" s="18">
        <v>39105</v>
      </c>
      <c r="D162" s="16" t="s">
        <v>83</v>
      </c>
      <c r="E162" s="16">
        <f>39-39</f>
        <v>0</v>
      </c>
      <c r="F162" s="16">
        <f>41.84-41.26</f>
        <v>0.5800000000000054</v>
      </c>
      <c r="H162" s="16">
        <v>0</v>
      </c>
      <c r="I162" s="16" t="s">
        <v>68</v>
      </c>
      <c r="J162" s="16" t="s">
        <v>166</v>
      </c>
    </row>
    <row r="163" spans="1:10" s="16" customFormat="1">
      <c r="A163" s="17" t="s">
        <v>313</v>
      </c>
      <c r="B163" s="17">
        <v>11982030</v>
      </c>
      <c r="C163" s="18">
        <v>39148</v>
      </c>
      <c r="D163" s="16" t="s">
        <v>76</v>
      </c>
      <c r="E163" s="16">
        <f>39-37</f>
        <v>2</v>
      </c>
      <c r="F163" s="16">
        <f>42.64-40.26</f>
        <v>2.3800000000000026</v>
      </c>
      <c r="H163" s="16">
        <v>0</v>
      </c>
      <c r="I163" s="16" t="s">
        <v>68</v>
      </c>
      <c r="J163" s="16" t="s">
        <v>166</v>
      </c>
    </row>
    <row r="164" spans="1:10" s="16" customFormat="1">
      <c r="A164" s="17" t="s">
        <v>313</v>
      </c>
      <c r="B164" s="17">
        <v>11982030</v>
      </c>
      <c r="C164" s="18">
        <v>39239</v>
      </c>
      <c r="D164" s="16" t="s">
        <v>77</v>
      </c>
      <c r="E164" s="16">
        <f>38-38</f>
        <v>0</v>
      </c>
      <c r="F164" s="16">
        <f>37.51-37.42</f>
        <v>8.9999999999996305E-2</v>
      </c>
      <c r="H164" s="16">
        <v>0</v>
      </c>
      <c r="I164" s="16" t="s">
        <v>68</v>
      </c>
      <c r="J164" s="16" t="s">
        <v>166</v>
      </c>
    </row>
    <row r="165" spans="1:10" s="16" customFormat="1">
      <c r="A165" s="17" t="s">
        <v>313</v>
      </c>
      <c r="B165" s="17">
        <v>11982030</v>
      </c>
      <c r="C165" s="18">
        <v>39421</v>
      </c>
      <c r="D165" s="16" t="s">
        <v>78</v>
      </c>
      <c r="E165" s="16">
        <f>41-40</f>
        <v>1</v>
      </c>
      <c r="F165" s="16">
        <f>37.82-36.38</f>
        <v>1.4399999999999977</v>
      </c>
      <c r="H165" s="16">
        <v>0</v>
      </c>
      <c r="I165" s="16" t="s">
        <v>68</v>
      </c>
      <c r="J165" s="16" t="s">
        <v>166</v>
      </c>
    </row>
    <row r="166" spans="1:10" s="16" customFormat="1">
      <c r="A166" s="9" t="s">
        <v>314</v>
      </c>
      <c r="B166" s="9">
        <v>9288911</v>
      </c>
      <c r="C166" s="1">
        <v>40141</v>
      </c>
      <c r="D166" s="7" t="s">
        <v>83</v>
      </c>
      <c r="E166" s="7" t="s">
        <v>163</v>
      </c>
      <c r="F166" s="7"/>
      <c r="G166" s="7"/>
      <c r="H166" s="7">
        <v>2</v>
      </c>
      <c r="I166" s="7" t="s">
        <v>68</v>
      </c>
      <c r="J166" s="7"/>
    </row>
    <row r="167" spans="1:10" s="16" customFormat="1">
      <c r="A167" s="9" t="s">
        <v>314</v>
      </c>
      <c r="B167" s="9">
        <v>9288911</v>
      </c>
      <c r="C167" s="1">
        <v>40190</v>
      </c>
      <c r="D167" s="7" t="s">
        <v>76</v>
      </c>
      <c r="E167" s="7">
        <f>34-32</f>
        <v>2</v>
      </c>
      <c r="F167" s="7">
        <f>35.2-32.7</f>
        <v>2.5</v>
      </c>
      <c r="G167" s="7"/>
      <c r="H167" s="7">
        <v>2</v>
      </c>
      <c r="I167" s="7" t="s">
        <v>68</v>
      </c>
      <c r="J167" s="7"/>
    </row>
    <row r="168" spans="1:10" s="16" customFormat="1">
      <c r="A168" s="9" t="s">
        <v>316</v>
      </c>
      <c r="B168" s="9">
        <v>25202232</v>
      </c>
      <c r="C168" s="1">
        <v>40080</v>
      </c>
      <c r="D168" s="7" t="s">
        <v>83</v>
      </c>
      <c r="E168" s="7" t="s">
        <v>163</v>
      </c>
      <c r="F168" s="7"/>
      <c r="G168" s="7"/>
      <c r="H168" s="7">
        <v>0</v>
      </c>
      <c r="I168" s="7" t="s">
        <v>68</v>
      </c>
      <c r="J168" s="7"/>
    </row>
    <row r="169" spans="1:10" s="16" customFormat="1">
      <c r="A169" s="9" t="s">
        <v>316</v>
      </c>
      <c r="B169" s="9">
        <v>25202232</v>
      </c>
      <c r="C169" s="1">
        <v>40122</v>
      </c>
      <c r="D169" s="7" t="s">
        <v>76</v>
      </c>
      <c r="E169" s="7">
        <f>51-51</f>
        <v>0</v>
      </c>
      <c r="F169" s="7">
        <f>45.8-45.5</f>
        <v>0.29999999999999716</v>
      </c>
      <c r="G169" s="7"/>
      <c r="H169" s="7">
        <v>2</v>
      </c>
      <c r="I169" s="7" t="s">
        <v>68</v>
      </c>
      <c r="J169" s="7"/>
    </row>
    <row r="170" spans="1:10" s="16" customFormat="1">
      <c r="A170" s="9" t="s">
        <v>316</v>
      </c>
      <c r="B170" s="9">
        <v>25202232</v>
      </c>
      <c r="C170" s="1">
        <v>40218</v>
      </c>
      <c r="D170" s="7" t="s">
        <v>77</v>
      </c>
      <c r="E170" s="7">
        <f>52-49</f>
        <v>3</v>
      </c>
      <c r="F170" s="7">
        <f>44.5-44</f>
        <v>0.5</v>
      </c>
      <c r="G170" s="7"/>
      <c r="H170" s="7">
        <v>0</v>
      </c>
      <c r="I170" s="7" t="s">
        <v>68</v>
      </c>
      <c r="J170" s="7"/>
    </row>
    <row r="171" spans="1:10" s="16" customFormat="1">
      <c r="A171" s="17" t="s">
        <v>323</v>
      </c>
      <c r="B171" s="17">
        <v>25205802</v>
      </c>
      <c r="C171" s="18">
        <v>39372</v>
      </c>
      <c r="D171" s="16" t="s">
        <v>147</v>
      </c>
      <c r="E171" s="16">
        <f>37-31</f>
        <v>6</v>
      </c>
      <c r="F171" s="16">
        <f>52.88-50.44</f>
        <v>2.4400000000000048</v>
      </c>
      <c r="H171" s="16">
        <v>2</v>
      </c>
      <c r="I171" s="16" t="s">
        <v>68</v>
      </c>
      <c r="J171" s="16" t="s">
        <v>356</v>
      </c>
    </row>
    <row r="172" spans="1:10" s="16" customFormat="1">
      <c r="A172" s="17" t="s">
        <v>323</v>
      </c>
      <c r="B172" s="17">
        <v>25205802</v>
      </c>
      <c r="C172" s="18">
        <v>39476</v>
      </c>
      <c r="D172" s="16" t="s">
        <v>111</v>
      </c>
      <c r="E172" s="16">
        <f>33-32</f>
        <v>1</v>
      </c>
      <c r="F172" s="16">
        <f>54.65-53.42</f>
        <v>1.2299999999999969</v>
      </c>
      <c r="H172" s="16">
        <v>2</v>
      </c>
      <c r="I172" s="16" t="s">
        <v>68</v>
      </c>
    </row>
    <row r="173" spans="1:10" s="16" customFormat="1">
      <c r="A173" s="9" t="s">
        <v>323</v>
      </c>
      <c r="B173" s="9">
        <v>25205802</v>
      </c>
      <c r="C173" s="1">
        <v>39714</v>
      </c>
      <c r="D173" s="7" t="s">
        <v>78</v>
      </c>
      <c r="E173" s="7">
        <f>35-31</f>
        <v>4</v>
      </c>
      <c r="F173" s="7">
        <f>48.6-46.9</f>
        <v>1.7000000000000028</v>
      </c>
      <c r="G173" s="7"/>
      <c r="H173" s="7">
        <v>2</v>
      </c>
      <c r="I173" s="7" t="s">
        <v>68</v>
      </c>
      <c r="J173" s="7"/>
    </row>
    <row r="174" spans="1:10" s="16" customFormat="1">
      <c r="A174" s="9" t="s">
        <v>323</v>
      </c>
      <c r="B174" s="9">
        <v>25205802</v>
      </c>
      <c r="C174" s="1">
        <v>40030</v>
      </c>
      <c r="D174" s="7" t="s">
        <v>349</v>
      </c>
      <c r="E174" s="7">
        <f>39-32</f>
        <v>7</v>
      </c>
      <c r="F174" s="7">
        <f>50.7-44.2</f>
        <v>6.5</v>
      </c>
      <c r="G174" s="7"/>
      <c r="H174" s="7">
        <v>4</v>
      </c>
      <c r="I174" s="7" t="s">
        <v>68</v>
      </c>
      <c r="J174" s="7"/>
    </row>
    <row r="175" spans="1:10" s="16" customFormat="1">
      <c r="A175" s="9" t="s">
        <v>323</v>
      </c>
      <c r="B175" s="9">
        <v>25205802</v>
      </c>
      <c r="C175" s="1">
        <v>40772</v>
      </c>
      <c r="D175" s="7" t="s">
        <v>357</v>
      </c>
      <c r="E175" s="7">
        <f>30-28</f>
        <v>2</v>
      </c>
      <c r="F175" s="7">
        <f>44.5-43.6</f>
        <v>0.89999999999999858</v>
      </c>
      <c r="G175" s="7"/>
      <c r="H175" s="7">
        <v>3</v>
      </c>
      <c r="I175" s="7" t="s">
        <v>68</v>
      </c>
      <c r="J175" s="7"/>
    </row>
    <row r="176" spans="1:10" s="16" customFormat="1">
      <c r="A176" s="9" t="s">
        <v>329</v>
      </c>
      <c r="B176" s="9">
        <v>90001421</v>
      </c>
      <c r="C176" s="1">
        <v>39933</v>
      </c>
      <c r="D176" s="7" t="s">
        <v>83</v>
      </c>
      <c r="E176" s="7" t="s">
        <v>163</v>
      </c>
      <c r="F176" s="7"/>
      <c r="G176" s="7"/>
      <c r="H176" s="7">
        <v>2</v>
      </c>
      <c r="I176" s="7" t="s">
        <v>68</v>
      </c>
      <c r="J176" s="7"/>
    </row>
    <row r="177" spans="1:10" s="16" customFormat="1">
      <c r="A177" s="9" t="s">
        <v>329</v>
      </c>
      <c r="B177" s="9">
        <v>90001421</v>
      </c>
      <c r="C177" s="1">
        <v>39996</v>
      </c>
      <c r="D177" s="7" t="s">
        <v>76</v>
      </c>
      <c r="E177" s="7">
        <f>24-23</f>
        <v>1</v>
      </c>
      <c r="F177" s="7">
        <f>32-30.4</f>
        <v>1.6000000000000014</v>
      </c>
      <c r="G177" s="7"/>
      <c r="H177" s="7">
        <v>2</v>
      </c>
      <c r="I177" s="7" t="s">
        <v>68</v>
      </c>
      <c r="J177" s="7"/>
    </row>
    <row r="178" spans="1:10" s="16" customFormat="1">
      <c r="A178" s="9" t="s">
        <v>329</v>
      </c>
      <c r="B178" s="9">
        <v>90001421</v>
      </c>
      <c r="C178" s="1">
        <v>40092</v>
      </c>
      <c r="D178" s="7" t="s">
        <v>77</v>
      </c>
      <c r="E178" s="7">
        <f>24-23</f>
        <v>1</v>
      </c>
      <c r="F178" s="7">
        <f>27-26.7</f>
        <v>0.30000000000000071</v>
      </c>
      <c r="G178" s="7"/>
      <c r="H178" s="7">
        <v>1</v>
      </c>
      <c r="I178" s="7" t="s">
        <v>79</v>
      </c>
      <c r="J178" s="7"/>
    </row>
    <row r="179" spans="1:10" s="16" customFormat="1">
      <c r="A179" s="17" t="s">
        <v>330</v>
      </c>
      <c r="B179" s="17">
        <v>3897170</v>
      </c>
      <c r="C179" s="18">
        <v>39518</v>
      </c>
      <c r="D179" s="16" t="s">
        <v>83</v>
      </c>
      <c r="E179" s="16" t="s">
        <v>163</v>
      </c>
      <c r="H179" s="16">
        <v>2</v>
      </c>
      <c r="I179" s="16" t="s">
        <v>68</v>
      </c>
    </row>
    <row r="180" spans="1:10" s="16" customFormat="1">
      <c r="A180" s="9" t="s">
        <v>330</v>
      </c>
      <c r="B180" s="9">
        <v>3897170</v>
      </c>
      <c r="C180" s="1">
        <v>39602</v>
      </c>
      <c r="D180" s="7" t="s">
        <v>77</v>
      </c>
      <c r="E180" s="7">
        <f>25-21</f>
        <v>4</v>
      </c>
      <c r="F180" s="7">
        <f>24.7-24.2</f>
        <v>0.5</v>
      </c>
      <c r="G180" s="7"/>
      <c r="H180" s="7">
        <v>2</v>
      </c>
      <c r="I180" s="7" t="s">
        <v>68</v>
      </c>
      <c r="J18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85"/>
  <sheetViews>
    <sheetView tabSelected="1" workbookViewId="0">
      <selection activeCell="F13" sqref="F13"/>
    </sheetView>
  </sheetViews>
  <sheetFormatPr defaultColWidth="11" defaultRowHeight="15.6"/>
  <cols>
    <col min="1" max="1" width="20.69921875" customWidth="1"/>
    <col min="2" max="2" width="11.69921875" bestFit="1" customWidth="1"/>
    <col min="3" max="3" width="13.796875" bestFit="1" customWidth="1"/>
    <col min="4" max="4" width="30" bestFit="1" customWidth="1"/>
    <col min="5" max="5" width="23.19921875" bestFit="1" customWidth="1"/>
    <col min="6" max="6" width="20" style="7" bestFit="1" customWidth="1"/>
    <col min="7" max="7" width="22.296875" bestFit="1" customWidth="1"/>
  </cols>
  <sheetData>
    <row r="1" spans="1:8">
      <c r="A1" s="2" t="s">
        <v>8</v>
      </c>
    </row>
    <row r="2" spans="1:8">
      <c r="A2" s="3" t="s">
        <v>0</v>
      </c>
      <c r="B2" s="3" t="s">
        <v>7</v>
      </c>
      <c r="C2" s="3" t="s">
        <v>14</v>
      </c>
      <c r="D2" s="3" t="s">
        <v>15</v>
      </c>
      <c r="E2" s="3" t="s">
        <v>156</v>
      </c>
      <c r="F2" s="9" t="s">
        <v>154</v>
      </c>
      <c r="G2" s="9" t="s">
        <v>155</v>
      </c>
      <c r="H2" s="3"/>
    </row>
    <row r="3" spans="1:8" s="16" customFormat="1">
      <c r="A3" s="17" t="s">
        <v>28</v>
      </c>
      <c r="B3" s="17">
        <v>25258634</v>
      </c>
      <c r="C3" s="16" t="s">
        <v>74</v>
      </c>
      <c r="D3" s="16" t="s">
        <v>74</v>
      </c>
      <c r="E3" s="16" t="s">
        <v>74</v>
      </c>
      <c r="F3" s="16" t="s">
        <v>74</v>
      </c>
      <c r="G3" s="16" t="s">
        <v>74</v>
      </c>
    </row>
    <row r="4" spans="1:8">
      <c r="A4" s="5" t="s">
        <v>30</v>
      </c>
      <c r="B4" s="5">
        <v>25105026</v>
      </c>
      <c r="C4" s="11">
        <v>40969</v>
      </c>
      <c r="D4" s="7" t="s">
        <v>162</v>
      </c>
      <c r="E4" s="5"/>
      <c r="F4" s="7" t="s">
        <v>168</v>
      </c>
      <c r="G4" s="9" t="s">
        <v>74</v>
      </c>
    </row>
    <row r="5" spans="1:8">
      <c r="A5" s="9" t="s">
        <v>34</v>
      </c>
      <c r="B5" s="9">
        <v>18397265</v>
      </c>
      <c r="C5" s="1" t="s">
        <v>74</v>
      </c>
      <c r="D5" t="s">
        <v>74</v>
      </c>
      <c r="E5" s="9" t="s">
        <v>74</v>
      </c>
      <c r="F5" s="7" t="s">
        <v>74</v>
      </c>
      <c r="G5" s="9" t="s">
        <v>74</v>
      </c>
    </row>
    <row r="6" spans="1:8">
      <c r="A6" s="9" t="s">
        <v>36</v>
      </c>
      <c r="B6" s="9">
        <v>35074663</v>
      </c>
      <c r="C6" t="s">
        <v>74</v>
      </c>
      <c r="D6" t="s">
        <v>74</v>
      </c>
      <c r="E6" s="9" t="s">
        <v>74</v>
      </c>
      <c r="F6" s="7" t="s">
        <v>74</v>
      </c>
      <c r="G6" s="9" t="s">
        <v>74</v>
      </c>
    </row>
    <row r="7" spans="1:8" s="16" customFormat="1">
      <c r="A7" s="17" t="s">
        <v>37</v>
      </c>
      <c r="B7" s="17">
        <v>17021346</v>
      </c>
      <c r="C7" s="18">
        <v>39135</v>
      </c>
      <c r="D7" s="16" t="s">
        <v>77</v>
      </c>
      <c r="F7" s="16" t="s">
        <v>173</v>
      </c>
      <c r="G7" s="16" t="s">
        <v>79</v>
      </c>
    </row>
    <row r="8" spans="1:8" s="16" customFormat="1">
      <c r="A8" s="17" t="s">
        <v>37</v>
      </c>
      <c r="B8" s="17">
        <v>17021346</v>
      </c>
      <c r="C8" s="18">
        <v>39388</v>
      </c>
      <c r="D8" s="16" t="s">
        <v>104</v>
      </c>
      <c r="F8" s="16" t="s">
        <v>173</v>
      </c>
      <c r="G8" s="16" t="s">
        <v>79</v>
      </c>
    </row>
    <row r="9" spans="1:8">
      <c r="A9" s="9" t="s">
        <v>38</v>
      </c>
      <c r="B9" s="9">
        <v>25332064</v>
      </c>
      <c r="C9" s="1">
        <v>40220</v>
      </c>
      <c r="D9" s="7" t="s">
        <v>111</v>
      </c>
      <c r="E9" s="7"/>
      <c r="F9" s="7" t="s">
        <v>168</v>
      </c>
      <c r="G9" s="7" t="s">
        <v>68</v>
      </c>
    </row>
    <row r="10" spans="1:8">
      <c r="A10" s="9" t="s">
        <v>38</v>
      </c>
      <c r="B10" s="9">
        <v>25332064</v>
      </c>
      <c r="C10" s="1">
        <v>40309</v>
      </c>
      <c r="D10" s="7" t="s">
        <v>112</v>
      </c>
      <c r="E10" s="7"/>
      <c r="F10" s="7" t="s">
        <v>168</v>
      </c>
      <c r="G10" s="7" t="s">
        <v>79</v>
      </c>
    </row>
    <row r="11" spans="1:8" s="7" customFormat="1">
      <c r="A11" s="9" t="s">
        <v>39</v>
      </c>
      <c r="B11" s="9">
        <v>1648153</v>
      </c>
      <c r="C11" s="1">
        <v>39947</v>
      </c>
      <c r="D11" s="7" t="s">
        <v>76</v>
      </c>
      <c r="F11" s="7" t="s">
        <v>168</v>
      </c>
      <c r="G11" s="7" t="s">
        <v>79</v>
      </c>
    </row>
    <row r="12" spans="1:8" s="7" customFormat="1">
      <c r="A12" s="9" t="s">
        <v>39</v>
      </c>
      <c r="B12" s="9">
        <v>1648153</v>
      </c>
      <c r="C12" s="1">
        <v>40038</v>
      </c>
      <c r="D12" s="7" t="s">
        <v>77</v>
      </c>
      <c r="F12" s="7" t="s">
        <v>169</v>
      </c>
      <c r="G12" s="7" t="s">
        <v>79</v>
      </c>
    </row>
    <row r="13" spans="1:8" s="7" customFormat="1">
      <c r="A13" s="9" t="s">
        <v>40</v>
      </c>
      <c r="B13" s="9">
        <v>17172016</v>
      </c>
      <c r="C13" s="1">
        <v>40857</v>
      </c>
      <c r="D13" s="7" t="s">
        <v>76</v>
      </c>
      <c r="F13" s="7" t="s">
        <v>168</v>
      </c>
      <c r="G13" s="7" t="s">
        <v>79</v>
      </c>
    </row>
    <row r="14" spans="1:8">
      <c r="A14" s="9" t="s">
        <v>41</v>
      </c>
      <c r="B14" s="9">
        <v>25095199</v>
      </c>
      <c r="C14" s="1">
        <v>40100</v>
      </c>
      <c r="D14" t="s">
        <v>165</v>
      </c>
      <c r="F14" s="7" t="s">
        <v>169</v>
      </c>
      <c r="G14" t="s">
        <v>79</v>
      </c>
      <c r="H14" t="s">
        <v>164</v>
      </c>
    </row>
    <row r="15" spans="1:8" s="16" customFormat="1">
      <c r="A15" s="17" t="s">
        <v>43</v>
      </c>
      <c r="B15" s="17">
        <v>14658843</v>
      </c>
      <c r="C15" s="18">
        <v>38321</v>
      </c>
      <c r="D15" s="16" t="s">
        <v>77</v>
      </c>
      <c r="F15" s="16" t="s">
        <v>180</v>
      </c>
      <c r="G15" s="16" t="s">
        <v>79</v>
      </c>
    </row>
    <row r="16" spans="1:8" s="16" customFormat="1">
      <c r="A16" s="17" t="s">
        <v>43</v>
      </c>
      <c r="B16" s="17">
        <v>14658843</v>
      </c>
      <c r="C16" s="18">
        <v>38447</v>
      </c>
      <c r="D16" s="16" t="s">
        <v>78</v>
      </c>
      <c r="F16" s="16" t="s">
        <v>173</v>
      </c>
      <c r="G16" s="16" t="s">
        <v>79</v>
      </c>
    </row>
    <row r="17" spans="1:8">
      <c r="A17" s="9" t="s">
        <v>44</v>
      </c>
      <c r="B17" s="9">
        <v>35409185</v>
      </c>
      <c r="C17" s="1">
        <v>40030</v>
      </c>
      <c r="D17" s="7" t="s">
        <v>111</v>
      </c>
      <c r="E17" s="7"/>
      <c r="F17" s="7" t="s">
        <v>170</v>
      </c>
      <c r="G17" s="7" t="s">
        <v>68</v>
      </c>
    </row>
    <row r="18" spans="1:8" s="7" customFormat="1">
      <c r="A18" s="9" t="s">
        <v>44</v>
      </c>
      <c r="B18" s="9">
        <v>35409185</v>
      </c>
      <c r="C18" s="1">
        <v>40121</v>
      </c>
      <c r="D18" s="7" t="s">
        <v>112</v>
      </c>
      <c r="F18" s="7" t="s">
        <v>170</v>
      </c>
      <c r="G18" s="7" t="s">
        <v>68</v>
      </c>
    </row>
    <row r="19" spans="1:8" s="7" customFormat="1">
      <c r="A19" s="9" t="s">
        <v>44</v>
      </c>
      <c r="B19" s="9">
        <v>35409185</v>
      </c>
      <c r="C19" s="1">
        <v>40310</v>
      </c>
      <c r="D19" s="7" t="s">
        <v>113</v>
      </c>
      <c r="F19" s="7" t="s">
        <v>170</v>
      </c>
      <c r="G19" s="7" t="s">
        <v>68</v>
      </c>
      <c r="H19" s="7" t="s">
        <v>123</v>
      </c>
    </row>
    <row r="20" spans="1:8" s="7" customFormat="1">
      <c r="A20" s="9" t="s">
        <v>44</v>
      </c>
      <c r="B20" s="9">
        <v>35409185</v>
      </c>
      <c r="C20" s="1">
        <v>40723</v>
      </c>
      <c r="D20" s="7" t="s">
        <v>124</v>
      </c>
      <c r="F20" s="7" t="s">
        <v>171</v>
      </c>
      <c r="G20" s="7" t="s">
        <v>68</v>
      </c>
      <c r="H20" s="7" t="s">
        <v>167</v>
      </c>
    </row>
    <row r="21" spans="1:8" s="16" customFormat="1">
      <c r="A21" s="17" t="s">
        <v>46</v>
      </c>
      <c r="B21" s="17">
        <v>40389819</v>
      </c>
      <c r="C21" s="18">
        <v>39181</v>
      </c>
      <c r="D21" s="16" t="s">
        <v>83</v>
      </c>
      <c r="F21" s="16" t="s">
        <v>177</v>
      </c>
      <c r="G21" s="16" t="s">
        <v>68</v>
      </c>
    </row>
    <row r="22" spans="1:8" s="16" customFormat="1">
      <c r="A22" s="17" t="s">
        <v>46</v>
      </c>
      <c r="B22" s="17">
        <v>40389819</v>
      </c>
      <c r="C22" s="18">
        <v>39223</v>
      </c>
      <c r="D22" s="16" t="s">
        <v>76</v>
      </c>
      <c r="F22" s="16" t="s">
        <v>177</v>
      </c>
      <c r="G22" s="16" t="s">
        <v>79</v>
      </c>
    </row>
    <row r="23" spans="1:8" s="16" customFormat="1">
      <c r="A23" s="17" t="s">
        <v>46</v>
      </c>
      <c r="B23" s="17">
        <v>40389819</v>
      </c>
      <c r="C23" s="18">
        <v>39302</v>
      </c>
      <c r="D23" s="16" t="s">
        <v>77</v>
      </c>
      <c r="F23" s="16" t="s">
        <v>177</v>
      </c>
      <c r="G23" s="16" t="s">
        <v>79</v>
      </c>
    </row>
    <row r="24" spans="1:8" s="7" customFormat="1">
      <c r="A24" s="9" t="s">
        <v>46</v>
      </c>
      <c r="B24" s="9">
        <v>40389819</v>
      </c>
      <c r="C24" s="1">
        <v>39846</v>
      </c>
      <c r="D24" s="7" t="s">
        <v>100</v>
      </c>
      <c r="F24" s="7" t="s">
        <v>172</v>
      </c>
      <c r="G24" s="7" t="s">
        <v>79</v>
      </c>
      <c r="H24" s="7" t="s">
        <v>128</v>
      </c>
    </row>
    <row r="25" spans="1:8" s="7" customFormat="1">
      <c r="A25" s="9" t="s">
        <v>48</v>
      </c>
      <c r="B25" s="9">
        <v>35367708</v>
      </c>
      <c r="C25" s="1">
        <v>40301</v>
      </c>
      <c r="D25" s="7" t="s">
        <v>112</v>
      </c>
      <c r="F25" s="7" t="s">
        <v>173</v>
      </c>
      <c r="G25" s="7" t="s">
        <v>79</v>
      </c>
    </row>
    <row r="26" spans="1:8">
      <c r="A26" s="9" t="s">
        <v>49</v>
      </c>
      <c r="B26" s="9">
        <v>15853286</v>
      </c>
      <c r="C26" s="1">
        <v>38972</v>
      </c>
      <c r="D26" t="s">
        <v>76</v>
      </c>
      <c r="F26" s="7" t="s">
        <v>177</v>
      </c>
      <c r="G26" t="s">
        <v>74</v>
      </c>
      <c r="H26" t="s">
        <v>181</v>
      </c>
    </row>
    <row r="27" spans="1:8" s="7" customFormat="1">
      <c r="A27" s="9" t="s">
        <v>49</v>
      </c>
      <c r="B27" s="9">
        <v>15853286</v>
      </c>
      <c r="C27" s="1">
        <v>39063</v>
      </c>
      <c r="D27" s="7" t="s">
        <v>77</v>
      </c>
      <c r="F27" s="7" t="s">
        <v>173</v>
      </c>
      <c r="G27" s="7" t="s">
        <v>74</v>
      </c>
      <c r="H27" s="7" t="s">
        <v>181</v>
      </c>
    </row>
    <row r="28" spans="1:8" s="16" customFormat="1">
      <c r="A28" s="17" t="s">
        <v>50</v>
      </c>
      <c r="B28" s="17">
        <v>25293736</v>
      </c>
      <c r="C28" s="18">
        <v>40120</v>
      </c>
      <c r="D28" s="16" t="s">
        <v>76</v>
      </c>
      <c r="F28" s="16" t="s">
        <v>177</v>
      </c>
      <c r="G28" s="16" t="s">
        <v>79</v>
      </c>
    </row>
    <row r="29" spans="1:8" s="16" customFormat="1">
      <c r="A29" s="17" t="s">
        <v>50</v>
      </c>
      <c r="B29" s="17">
        <v>25293736</v>
      </c>
      <c r="C29" s="18">
        <v>40213</v>
      </c>
      <c r="D29" s="16" t="s">
        <v>77</v>
      </c>
      <c r="F29" s="16" t="s">
        <v>173</v>
      </c>
      <c r="G29" s="16" t="s">
        <v>79</v>
      </c>
    </row>
    <row r="30" spans="1:8" s="16" customFormat="1">
      <c r="A30" s="17" t="s">
        <v>51</v>
      </c>
      <c r="B30" s="17">
        <v>11822772</v>
      </c>
      <c r="C30" s="18">
        <v>38175</v>
      </c>
      <c r="D30" s="16" t="s">
        <v>76</v>
      </c>
      <c r="F30" s="16" t="s">
        <v>177</v>
      </c>
      <c r="G30" s="16" t="s">
        <v>79</v>
      </c>
      <c r="H30" s="16" t="s">
        <v>182</v>
      </c>
    </row>
    <row r="31" spans="1:8" s="16" customFormat="1">
      <c r="A31" s="17" t="s">
        <v>51</v>
      </c>
      <c r="B31" s="17">
        <v>11822772</v>
      </c>
      <c r="C31" s="18">
        <v>38265</v>
      </c>
      <c r="D31" s="16" t="s">
        <v>77</v>
      </c>
      <c r="F31" s="16" t="s">
        <v>173</v>
      </c>
      <c r="G31" s="16" t="s">
        <v>79</v>
      </c>
    </row>
    <row r="32" spans="1:8" s="7" customFormat="1">
      <c r="A32" s="9" t="s">
        <v>52</v>
      </c>
      <c r="B32" s="9">
        <v>25284343</v>
      </c>
      <c r="C32" s="1">
        <v>39825</v>
      </c>
      <c r="D32" s="7" t="s">
        <v>76</v>
      </c>
      <c r="F32" s="7" t="s">
        <v>175</v>
      </c>
      <c r="G32" s="7" t="s">
        <v>68</v>
      </c>
    </row>
    <row r="33" spans="1:8" s="7" customFormat="1">
      <c r="A33" s="9" t="s">
        <v>52</v>
      </c>
      <c r="B33" s="9">
        <v>25284343</v>
      </c>
      <c r="C33" s="1">
        <v>39916</v>
      </c>
      <c r="D33" s="7" t="s">
        <v>77</v>
      </c>
      <c r="F33" s="7" t="s">
        <v>175</v>
      </c>
      <c r="G33" s="7" t="s">
        <v>68</v>
      </c>
      <c r="H33" s="7" t="s">
        <v>176</v>
      </c>
    </row>
    <row r="34" spans="1:8" s="7" customFormat="1">
      <c r="A34" s="9" t="s">
        <v>53</v>
      </c>
      <c r="B34" s="9">
        <v>25427499</v>
      </c>
      <c r="C34" s="1">
        <v>40736</v>
      </c>
      <c r="D34" s="7" t="s">
        <v>76</v>
      </c>
      <c r="F34" s="7" t="s">
        <v>177</v>
      </c>
      <c r="G34" s="7" t="s">
        <v>68</v>
      </c>
    </row>
    <row r="35" spans="1:8">
      <c r="A35" s="9" t="s">
        <v>53</v>
      </c>
      <c r="B35" s="9">
        <v>25427499</v>
      </c>
      <c r="C35" s="1">
        <v>40827</v>
      </c>
      <c r="D35" t="s">
        <v>77</v>
      </c>
      <c r="F35" s="7" t="s">
        <v>173</v>
      </c>
      <c r="G35" t="s">
        <v>79</v>
      </c>
      <c r="H35" t="s">
        <v>178</v>
      </c>
    </row>
    <row r="36" spans="1:8">
      <c r="A36" s="9" t="s">
        <v>55</v>
      </c>
      <c r="B36" s="9">
        <v>91345660</v>
      </c>
      <c r="C36" s="1">
        <v>39646</v>
      </c>
      <c r="D36" t="s">
        <v>77</v>
      </c>
      <c r="F36" s="7" t="s">
        <v>177</v>
      </c>
      <c r="G36" t="s">
        <v>79</v>
      </c>
    </row>
    <row r="37" spans="1:8">
      <c r="A37" s="9" t="s">
        <v>56</v>
      </c>
      <c r="B37" s="9">
        <v>3642816</v>
      </c>
      <c r="C37" s="1">
        <v>40505</v>
      </c>
      <c r="D37" s="7" t="s">
        <v>76</v>
      </c>
      <c r="E37" s="7"/>
      <c r="F37" s="7" t="s">
        <v>177</v>
      </c>
      <c r="G37" s="7" t="s">
        <v>79</v>
      </c>
    </row>
    <row r="38" spans="1:8" s="16" customFormat="1">
      <c r="A38" s="17" t="s">
        <v>57</v>
      </c>
      <c r="B38" s="17">
        <v>35195894</v>
      </c>
      <c r="C38" s="18">
        <v>39266</v>
      </c>
      <c r="D38" s="16" t="s">
        <v>76</v>
      </c>
      <c r="F38" s="16" t="s">
        <v>177</v>
      </c>
      <c r="G38" s="16" t="s">
        <v>68</v>
      </c>
    </row>
    <row r="39" spans="1:8" s="16" customFormat="1">
      <c r="A39" s="17" t="s">
        <v>57</v>
      </c>
      <c r="B39" s="17">
        <v>35195894</v>
      </c>
      <c r="C39" s="18">
        <v>39358</v>
      </c>
      <c r="D39" s="16" t="s">
        <v>77</v>
      </c>
      <c r="F39" s="16" t="s">
        <v>185</v>
      </c>
      <c r="G39" s="16" t="s">
        <v>68</v>
      </c>
    </row>
    <row r="40" spans="1:8" s="16" customFormat="1">
      <c r="A40" s="17" t="s">
        <v>57</v>
      </c>
      <c r="B40" s="17">
        <v>35195894</v>
      </c>
      <c r="C40" s="18">
        <v>39539</v>
      </c>
      <c r="D40" s="16" t="s">
        <v>78</v>
      </c>
      <c r="F40" s="16" t="s">
        <v>185</v>
      </c>
      <c r="G40" s="16" t="s">
        <v>68</v>
      </c>
    </row>
    <row r="41" spans="1:8" s="16" customFormat="1">
      <c r="A41" s="17" t="s">
        <v>57</v>
      </c>
      <c r="B41" s="17">
        <v>35195894</v>
      </c>
      <c r="C41" s="18">
        <v>39946</v>
      </c>
      <c r="D41" s="16" t="s">
        <v>100</v>
      </c>
      <c r="F41" s="16" t="s">
        <v>184</v>
      </c>
      <c r="G41" s="16" t="s">
        <v>68</v>
      </c>
      <c r="H41" s="16" t="s">
        <v>183</v>
      </c>
    </row>
    <row r="42" spans="1:8">
      <c r="A42" s="9" t="s">
        <v>58</v>
      </c>
      <c r="B42" s="9">
        <v>25438991</v>
      </c>
      <c r="C42" s="1">
        <v>40652</v>
      </c>
      <c r="D42" s="7" t="s">
        <v>76</v>
      </c>
      <c r="E42" s="7"/>
      <c r="F42" s="7" t="s">
        <v>177</v>
      </c>
      <c r="G42" s="7" t="s">
        <v>79</v>
      </c>
    </row>
    <row r="43" spans="1:8">
      <c r="A43" s="9" t="s">
        <v>60</v>
      </c>
      <c r="B43" s="9">
        <v>25042943</v>
      </c>
      <c r="C43" t="s">
        <v>74</v>
      </c>
      <c r="D43" t="s">
        <v>74</v>
      </c>
      <c r="E43" t="s">
        <v>74</v>
      </c>
      <c r="F43" s="7" t="s">
        <v>74</v>
      </c>
      <c r="G43" s="7" t="s">
        <v>74</v>
      </c>
    </row>
    <row r="44" spans="1:8">
      <c r="A44" s="9" t="s">
        <v>61</v>
      </c>
      <c r="B44" s="9">
        <v>35471746</v>
      </c>
      <c r="C44" s="1">
        <v>40311</v>
      </c>
      <c r="D44" s="7" t="s">
        <v>112</v>
      </c>
      <c r="E44" s="7"/>
      <c r="F44" s="7" t="s">
        <v>177</v>
      </c>
      <c r="G44" s="7" t="s">
        <v>68</v>
      </c>
    </row>
    <row r="45" spans="1:8">
      <c r="A45" s="9" t="s">
        <v>62</v>
      </c>
      <c r="B45" s="9">
        <v>17254939</v>
      </c>
      <c r="C45" t="s">
        <v>74</v>
      </c>
      <c r="D45" t="s">
        <v>74</v>
      </c>
      <c r="E45" t="s">
        <v>74</v>
      </c>
      <c r="F45" s="7" t="s">
        <v>74</v>
      </c>
      <c r="G45" t="s">
        <v>74</v>
      </c>
    </row>
    <row r="46" spans="1:8">
      <c r="A46" s="9" t="s">
        <v>63</v>
      </c>
      <c r="B46" s="9">
        <v>12327581</v>
      </c>
      <c r="C46" s="1">
        <v>40911</v>
      </c>
      <c r="D46" s="7" t="s">
        <v>77</v>
      </c>
      <c r="E46" s="7"/>
      <c r="F46" s="7" t="s">
        <v>177</v>
      </c>
      <c r="G46" s="7" t="s">
        <v>68</v>
      </c>
    </row>
    <row r="47" spans="1:8" s="16" customFormat="1">
      <c r="A47" s="17" t="s">
        <v>65</v>
      </c>
      <c r="B47" s="17">
        <v>4264305</v>
      </c>
      <c r="C47" s="18">
        <v>38355</v>
      </c>
      <c r="D47" s="16" t="s">
        <v>77</v>
      </c>
      <c r="F47" s="16" t="s">
        <v>173</v>
      </c>
      <c r="G47" s="16" t="s">
        <v>79</v>
      </c>
    </row>
    <row r="48" spans="1:8" s="16" customFormat="1">
      <c r="A48" s="17" t="s">
        <v>65</v>
      </c>
      <c r="B48" s="17">
        <v>4264305</v>
      </c>
      <c r="C48" s="18">
        <v>38496</v>
      </c>
      <c r="D48" s="16" t="s">
        <v>78</v>
      </c>
      <c r="F48" s="16" t="s">
        <v>173</v>
      </c>
      <c r="G48" s="16" t="s">
        <v>79</v>
      </c>
    </row>
    <row r="49" spans="1:8" s="16" customFormat="1">
      <c r="A49" s="17" t="s">
        <v>65</v>
      </c>
      <c r="B49" s="17">
        <v>4264305</v>
      </c>
      <c r="C49" s="18">
        <v>38859</v>
      </c>
      <c r="D49" s="16" t="s">
        <v>100</v>
      </c>
      <c r="F49" s="16" t="s">
        <v>173</v>
      </c>
      <c r="G49" s="16" t="s">
        <v>79</v>
      </c>
    </row>
    <row r="50" spans="1:8" s="7" customFormat="1">
      <c r="A50" s="9" t="s">
        <v>229</v>
      </c>
      <c r="B50" s="9">
        <v>50581183</v>
      </c>
      <c r="C50" s="7" t="s">
        <v>74</v>
      </c>
      <c r="D50" s="7" t="s">
        <v>74</v>
      </c>
      <c r="E50" s="7" t="s">
        <v>74</v>
      </c>
      <c r="F50" s="7" t="s">
        <v>74</v>
      </c>
      <c r="G50" s="7" t="s">
        <v>74</v>
      </c>
    </row>
    <row r="51" spans="1:8" s="7" customFormat="1">
      <c r="A51" s="9" t="s">
        <v>233</v>
      </c>
      <c r="B51" s="9">
        <v>25321185</v>
      </c>
      <c r="C51" s="7" t="s">
        <v>74</v>
      </c>
      <c r="D51" s="7" t="s">
        <v>74</v>
      </c>
      <c r="E51" s="7" t="s">
        <v>74</v>
      </c>
      <c r="F51" s="7" t="s">
        <v>74</v>
      </c>
      <c r="G51" s="7" t="s">
        <v>74</v>
      </c>
    </row>
    <row r="52" spans="1:8" s="7" customFormat="1">
      <c r="A52" s="9" t="s">
        <v>239</v>
      </c>
      <c r="B52" s="9">
        <v>25415147</v>
      </c>
      <c r="C52" s="1">
        <v>40751</v>
      </c>
      <c r="D52" s="7" t="s">
        <v>77</v>
      </c>
      <c r="F52" s="7" t="s">
        <v>173</v>
      </c>
      <c r="G52" s="7" t="s">
        <v>79</v>
      </c>
    </row>
    <row r="53" spans="1:8" s="7" customFormat="1">
      <c r="A53" s="17" t="s">
        <v>242</v>
      </c>
      <c r="B53" s="17">
        <v>25167833</v>
      </c>
      <c r="C53" s="18">
        <v>39253</v>
      </c>
      <c r="D53" s="16" t="s">
        <v>76</v>
      </c>
      <c r="E53" s="16"/>
      <c r="F53" s="16" t="s">
        <v>177</v>
      </c>
      <c r="G53" s="16" t="s">
        <v>68</v>
      </c>
      <c r="H53" s="16"/>
    </row>
    <row r="54" spans="1:8" s="7" customFormat="1">
      <c r="A54" s="17" t="s">
        <v>242</v>
      </c>
      <c r="B54" s="17">
        <v>25167833</v>
      </c>
      <c r="C54" s="18">
        <v>39344</v>
      </c>
      <c r="D54" s="16" t="s">
        <v>77</v>
      </c>
      <c r="E54" s="16"/>
      <c r="F54" s="16" t="s">
        <v>173</v>
      </c>
      <c r="G54" s="16" t="s">
        <v>79</v>
      </c>
      <c r="H54" s="16"/>
    </row>
    <row r="55" spans="1:8" s="7" customFormat="1">
      <c r="A55" s="9" t="s">
        <v>247</v>
      </c>
      <c r="B55" s="9">
        <v>18391821</v>
      </c>
      <c r="C55" s="7" t="s">
        <v>74</v>
      </c>
      <c r="D55" s="7" t="s">
        <v>74</v>
      </c>
      <c r="E55" s="7" t="s">
        <v>74</v>
      </c>
      <c r="F55" s="7" t="s">
        <v>74</v>
      </c>
      <c r="G55" s="7" t="s">
        <v>74</v>
      </c>
    </row>
    <row r="56" spans="1:8" s="7" customFormat="1">
      <c r="A56" s="17" t="s">
        <v>250</v>
      </c>
      <c r="B56" s="17">
        <v>18251850</v>
      </c>
      <c r="C56" s="18">
        <v>37923</v>
      </c>
      <c r="D56" s="16" t="s">
        <v>83</v>
      </c>
      <c r="E56" s="16"/>
      <c r="F56" s="16" t="s">
        <v>177</v>
      </c>
      <c r="G56" s="16" t="s">
        <v>68</v>
      </c>
      <c r="H56" s="16"/>
    </row>
    <row r="57" spans="1:8" s="7" customFormat="1">
      <c r="A57" s="17" t="s">
        <v>250</v>
      </c>
      <c r="B57" s="17">
        <v>18251850</v>
      </c>
      <c r="C57" s="18">
        <v>38602</v>
      </c>
      <c r="D57" s="16" t="s">
        <v>100</v>
      </c>
      <c r="E57" s="16"/>
      <c r="F57" s="16" t="s">
        <v>173</v>
      </c>
      <c r="G57" s="16" t="s">
        <v>79</v>
      </c>
      <c r="H57" s="16"/>
    </row>
    <row r="58" spans="1:8" s="7" customFormat="1">
      <c r="A58" s="9" t="s">
        <v>252</v>
      </c>
      <c r="B58" s="9">
        <v>14011548</v>
      </c>
      <c r="C58" s="7" t="s">
        <v>74</v>
      </c>
      <c r="D58" s="7" t="s">
        <v>74</v>
      </c>
      <c r="E58" s="7" t="s">
        <v>74</v>
      </c>
      <c r="F58" s="7" t="s">
        <v>74</v>
      </c>
      <c r="G58" s="7" t="s">
        <v>74</v>
      </c>
    </row>
    <row r="59" spans="1:8" s="7" customFormat="1">
      <c r="A59" s="17" t="s">
        <v>256</v>
      </c>
      <c r="B59" s="17">
        <v>25211293</v>
      </c>
      <c r="C59" s="18">
        <v>39601</v>
      </c>
      <c r="D59" s="16" t="s">
        <v>77</v>
      </c>
      <c r="E59" s="16"/>
      <c r="F59" s="16" t="s">
        <v>173</v>
      </c>
      <c r="G59" s="16" t="s">
        <v>79</v>
      </c>
      <c r="H59" s="16"/>
    </row>
    <row r="60" spans="1:8" s="7" customFormat="1">
      <c r="A60" s="17" t="s">
        <v>258</v>
      </c>
      <c r="B60" s="17">
        <v>25079337</v>
      </c>
      <c r="C60" s="18">
        <v>38999</v>
      </c>
      <c r="D60" s="16" t="s">
        <v>77</v>
      </c>
      <c r="E60" s="16"/>
      <c r="F60" s="16" t="s">
        <v>177</v>
      </c>
      <c r="G60" s="16" t="s">
        <v>79</v>
      </c>
      <c r="H60" s="16"/>
    </row>
    <row r="61" spans="1:8" s="7" customFormat="1">
      <c r="A61" s="17" t="s">
        <v>258</v>
      </c>
      <c r="B61" s="17">
        <v>25079337</v>
      </c>
      <c r="C61" s="18">
        <v>39177</v>
      </c>
      <c r="D61" s="16" t="s">
        <v>78</v>
      </c>
      <c r="E61" s="16"/>
      <c r="F61" s="16" t="s">
        <v>173</v>
      </c>
      <c r="G61" s="16" t="s">
        <v>79</v>
      </c>
      <c r="H61" s="16"/>
    </row>
    <row r="62" spans="1:8" s="14" customFormat="1">
      <c r="A62" s="9" t="s">
        <v>260</v>
      </c>
      <c r="B62" s="9">
        <v>4560330</v>
      </c>
      <c r="C62" s="7" t="s">
        <v>74</v>
      </c>
      <c r="D62" s="7" t="s">
        <v>74</v>
      </c>
      <c r="E62" s="7" t="s">
        <v>74</v>
      </c>
      <c r="F62" s="7" t="s">
        <v>74</v>
      </c>
      <c r="G62" s="7" t="s">
        <v>68</v>
      </c>
      <c r="H62" s="7" t="s">
        <v>358</v>
      </c>
    </row>
    <row r="63" spans="1:8" s="7" customFormat="1">
      <c r="A63" s="17" t="s">
        <v>269</v>
      </c>
      <c r="B63" s="17">
        <v>17282567</v>
      </c>
      <c r="C63" s="18">
        <v>37336</v>
      </c>
      <c r="D63" s="16" t="s">
        <v>359</v>
      </c>
      <c r="E63" s="16"/>
      <c r="F63" s="16"/>
      <c r="G63" s="16" t="s">
        <v>68</v>
      </c>
      <c r="H63" s="16" t="s">
        <v>343</v>
      </c>
    </row>
    <row r="64" spans="1:8" s="7" customFormat="1">
      <c r="A64" s="17" t="s">
        <v>269</v>
      </c>
      <c r="B64" s="17">
        <v>17282567</v>
      </c>
      <c r="C64" s="18">
        <v>37704</v>
      </c>
      <c r="D64" s="16" t="s">
        <v>346</v>
      </c>
      <c r="E64" s="16"/>
      <c r="F64" s="16" t="s">
        <v>185</v>
      </c>
      <c r="G64" s="16" t="s">
        <v>68</v>
      </c>
      <c r="H64" s="16" t="s">
        <v>360</v>
      </c>
    </row>
    <row r="65" spans="1:8" s="7" customFormat="1">
      <c r="A65" s="17" t="s">
        <v>269</v>
      </c>
      <c r="B65" s="17">
        <v>17282567</v>
      </c>
      <c r="C65" s="18">
        <v>38034</v>
      </c>
      <c r="D65" s="16" t="s">
        <v>350</v>
      </c>
      <c r="E65" s="16"/>
      <c r="F65" s="16"/>
      <c r="G65" s="16" t="s">
        <v>79</v>
      </c>
      <c r="H65" s="16" t="s">
        <v>343</v>
      </c>
    </row>
    <row r="66" spans="1:8" s="16" customFormat="1">
      <c r="A66" s="9" t="s">
        <v>280</v>
      </c>
      <c r="B66" s="9">
        <v>25326385</v>
      </c>
      <c r="C66" s="1" t="s">
        <v>74</v>
      </c>
      <c r="D66" s="7" t="s">
        <v>74</v>
      </c>
      <c r="E66" s="7" t="s">
        <v>74</v>
      </c>
      <c r="F66" s="7" t="s">
        <v>74</v>
      </c>
      <c r="G66" s="7" t="s">
        <v>74</v>
      </c>
      <c r="H66" s="7"/>
    </row>
    <row r="67" spans="1:8" s="16" customFormat="1">
      <c r="A67" s="17" t="s">
        <v>287</v>
      </c>
      <c r="B67" s="9">
        <v>25282021</v>
      </c>
      <c r="C67" s="1">
        <v>39910</v>
      </c>
      <c r="D67" s="7" t="s">
        <v>76</v>
      </c>
      <c r="E67" s="7"/>
      <c r="F67" s="7" t="s">
        <v>177</v>
      </c>
      <c r="G67" s="7" t="s">
        <v>68</v>
      </c>
      <c r="H67" s="7"/>
    </row>
    <row r="68" spans="1:8" s="16" customFormat="1">
      <c r="A68" s="17" t="s">
        <v>287</v>
      </c>
      <c r="B68" s="9">
        <v>25282021</v>
      </c>
      <c r="C68" s="1">
        <v>40008</v>
      </c>
      <c r="D68" s="7" t="s">
        <v>351</v>
      </c>
      <c r="E68" s="7"/>
      <c r="F68" s="7" t="s">
        <v>173</v>
      </c>
      <c r="G68" s="7" t="s">
        <v>79</v>
      </c>
      <c r="H68" s="7"/>
    </row>
    <row r="69" spans="1:8" s="7" customFormat="1">
      <c r="A69" s="17" t="s">
        <v>292</v>
      </c>
      <c r="B69" s="17">
        <v>25012237</v>
      </c>
      <c r="C69" s="1">
        <v>40024</v>
      </c>
      <c r="D69" s="7" t="s">
        <v>353</v>
      </c>
      <c r="F69" s="7" t="s">
        <v>173</v>
      </c>
      <c r="G69" s="7" t="s">
        <v>79</v>
      </c>
    </row>
    <row r="70" spans="1:8" s="7" customFormat="1">
      <c r="A70" s="9" t="s">
        <v>295</v>
      </c>
      <c r="B70" s="9">
        <v>15927908</v>
      </c>
      <c r="C70" s="1">
        <v>40526</v>
      </c>
      <c r="D70" s="7" t="s">
        <v>77</v>
      </c>
      <c r="F70" s="7" t="s">
        <v>173</v>
      </c>
      <c r="G70" s="7" t="s">
        <v>79</v>
      </c>
    </row>
    <row r="71" spans="1:8" s="16" customFormat="1">
      <c r="A71" s="9" t="s">
        <v>299</v>
      </c>
      <c r="B71" s="9">
        <v>18013409</v>
      </c>
      <c r="C71" s="1">
        <v>38596</v>
      </c>
      <c r="D71" s="7" t="s">
        <v>77</v>
      </c>
      <c r="E71" s="7"/>
      <c r="F71" s="7" t="s">
        <v>177</v>
      </c>
      <c r="G71" s="7" t="s">
        <v>74</v>
      </c>
      <c r="H71" s="7"/>
    </row>
    <row r="72" spans="1:8" s="16" customFormat="1">
      <c r="A72" s="9" t="s">
        <v>302</v>
      </c>
      <c r="B72" s="9">
        <v>18490268</v>
      </c>
      <c r="C72" s="7" t="s">
        <v>74</v>
      </c>
      <c r="D72" s="7" t="s">
        <v>74</v>
      </c>
      <c r="E72" s="7" t="s">
        <v>74</v>
      </c>
      <c r="F72" s="7" t="s">
        <v>74</v>
      </c>
      <c r="G72" s="7" t="s">
        <v>74</v>
      </c>
      <c r="H72" s="7"/>
    </row>
    <row r="73" spans="1:8" s="16" customFormat="1">
      <c r="A73" s="9" t="s">
        <v>304</v>
      </c>
      <c r="B73" s="9">
        <v>35215807</v>
      </c>
      <c r="C73" s="7" t="s">
        <v>74</v>
      </c>
      <c r="D73" s="7" t="s">
        <v>74</v>
      </c>
      <c r="E73" s="7" t="s">
        <v>74</v>
      </c>
      <c r="F73" s="7" t="s">
        <v>74</v>
      </c>
      <c r="G73" s="7" t="s">
        <v>74</v>
      </c>
      <c r="H73" s="7"/>
    </row>
    <row r="74" spans="1:8" s="16" customFormat="1">
      <c r="A74" s="9" t="s">
        <v>308</v>
      </c>
      <c r="B74" s="9">
        <v>25361535</v>
      </c>
      <c r="C74" s="1">
        <v>40360</v>
      </c>
      <c r="D74" s="7" t="s">
        <v>76</v>
      </c>
      <c r="E74" s="7"/>
      <c r="F74" s="7" t="s">
        <v>177</v>
      </c>
      <c r="G74" s="7" t="s">
        <v>68</v>
      </c>
      <c r="H74" s="7"/>
    </row>
    <row r="75" spans="1:8" s="14" customFormat="1">
      <c r="A75" s="17" t="s">
        <v>313</v>
      </c>
      <c r="B75" s="17">
        <v>11982030</v>
      </c>
      <c r="C75" s="18">
        <v>39239</v>
      </c>
      <c r="D75" s="16" t="s">
        <v>77</v>
      </c>
      <c r="E75" s="16"/>
      <c r="F75" s="16" t="s">
        <v>177</v>
      </c>
      <c r="G75" s="16" t="s">
        <v>68</v>
      </c>
      <c r="H75" s="16" t="s">
        <v>361</v>
      </c>
    </row>
    <row r="76" spans="1:8" s="14" customFormat="1">
      <c r="A76" s="17" t="s">
        <v>313</v>
      </c>
      <c r="B76" s="17">
        <v>11982030</v>
      </c>
      <c r="C76" s="18">
        <v>39421</v>
      </c>
      <c r="D76" s="16" t="s">
        <v>78</v>
      </c>
      <c r="E76" s="16"/>
      <c r="F76" s="16" t="s">
        <v>173</v>
      </c>
      <c r="G76" s="16" t="s">
        <v>68</v>
      </c>
      <c r="H76" s="16" t="s">
        <v>362</v>
      </c>
    </row>
    <row r="77" spans="1:8" s="7" customFormat="1">
      <c r="A77" s="9" t="s">
        <v>314</v>
      </c>
      <c r="B77" s="9">
        <v>9288911</v>
      </c>
      <c r="C77" s="1" t="s">
        <v>74</v>
      </c>
      <c r="D77" s="7" t="s">
        <v>74</v>
      </c>
      <c r="E77" s="7" t="s">
        <v>74</v>
      </c>
      <c r="F77" s="7" t="s">
        <v>74</v>
      </c>
      <c r="G77" s="7" t="s">
        <v>74</v>
      </c>
    </row>
    <row r="78" spans="1:8" s="7" customFormat="1">
      <c r="A78" s="9" t="s">
        <v>316</v>
      </c>
      <c r="B78" s="9">
        <v>25202232</v>
      </c>
      <c r="C78" s="1">
        <v>40487</v>
      </c>
      <c r="D78" s="7" t="s">
        <v>76</v>
      </c>
      <c r="F78" s="7" t="s">
        <v>177</v>
      </c>
      <c r="G78" s="7" t="s">
        <v>68</v>
      </c>
    </row>
    <row r="79" spans="1:8" s="16" customFormat="1">
      <c r="A79" s="9" t="s">
        <v>316</v>
      </c>
      <c r="B79" s="9">
        <v>25202232</v>
      </c>
      <c r="C79" s="1">
        <v>40218</v>
      </c>
      <c r="D79" s="7" t="s">
        <v>77</v>
      </c>
      <c r="E79" s="7"/>
      <c r="F79" s="7" t="s">
        <v>363</v>
      </c>
      <c r="G79" s="7" t="s">
        <v>68</v>
      </c>
      <c r="H79" s="7"/>
    </row>
    <row r="80" spans="1:8" s="7" customFormat="1">
      <c r="A80" s="17" t="s">
        <v>323</v>
      </c>
      <c r="B80" s="17">
        <v>25205802</v>
      </c>
      <c r="C80" s="18">
        <v>39437</v>
      </c>
      <c r="D80" s="16" t="s">
        <v>76</v>
      </c>
      <c r="E80" s="16"/>
      <c r="F80" s="16" t="s">
        <v>185</v>
      </c>
      <c r="G80" s="16" t="s">
        <v>68</v>
      </c>
      <c r="H80" s="16"/>
    </row>
    <row r="81" spans="1:8" s="7" customFormat="1">
      <c r="A81" s="17" t="s">
        <v>323</v>
      </c>
      <c r="B81" s="17">
        <v>25205802</v>
      </c>
      <c r="C81" s="18">
        <v>39533</v>
      </c>
      <c r="D81" s="16" t="s">
        <v>77</v>
      </c>
      <c r="E81" s="16"/>
      <c r="F81" s="16" t="s">
        <v>185</v>
      </c>
      <c r="G81" s="16" t="s">
        <v>68</v>
      </c>
      <c r="H81" s="16"/>
    </row>
    <row r="82" spans="1:8" s="7" customFormat="1">
      <c r="A82" s="9" t="s">
        <v>323</v>
      </c>
      <c r="B82" s="9">
        <v>25205802</v>
      </c>
      <c r="C82" s="1">
        <v>39714</v>
      </c>
      <c r="D82" s="7" t="s">
        <v>78</v>
      </c>
      <c r="F82" s="7" t="s">
        <v>185</v>
      </c>
      <c r="G82" s="7" t="s">
        <v>68</v>
      </c>
      <c r="H82" s="7" t="s">
        <v>356</v>
      </c>
    </row>
    <row r="83" spans="1:8" s="16" customFormat="1">
      <c r="A83" s="9" t="s">
        <v>323</v>
      </c>
      <c r="B83" s="9">
        <v>25205802</v>
      </c>
      <c r="C83" s="1">
        <v>40078</v>
      </c>
      <c r="D83" s="7" t="s">
        <v>100</v>
      </c>
      <c r="E83" s="7"/>
      <c r="F83" s="7" t="s">
        <v>185</v>
      </c>
      <c r="G83" s="7" t="s">
        <v>68</v>
      </c>
      <c r="H83" s="7" t="s">
        <v>178</v>
      </c>
    </row>
    <row r="84" spans="1:8" s="16" customFormat="1">
      <c r="A84" s="7" t="str">
        <f>'[1]Xray info'!A81</f>
        <v>THOMPSON, MARY C</v>
      </c>
      <c r="B84" s="7">
        <f>'[1]Xray info'!B81</f>
        <v>11982030</v>
      </c>
      <c r="C84" s="1" t="s">
        <v>74</v>
      </c>
      <c r="D84" s="7" t="s">
        <v>74</v>
      </c>
      <c r="E84" s="7" t="s">
        <v>74</v>
      </c>
      <c r="F84" s="7" t="s">
        <v>74</v>
      </c>
      <c r="G84" s="7" t="s">
        <v>74</v>
      </c>
      <c r="H84" s="7"/>
    </row>
    <row r="85" spans="1:8" s="16" customFormat="1">
      <c r="A85" s="9" t="s">
        <v>330</v>
      </c>
      <c r="B85" s="9">
        <v>3897170</v>
      </c>
      <c r="C85" s="1">
        <v>39602</v>
      </c>
      <c r="D85" s="7" t="s">
        <v>77</v>
      </c>
      <c r="E85" s="7"/>
      <c r="F85" s="7" t="s">
        <v>173</v>
      </c>
      <c r="G85" s="7" t="s">
        <v>68</v>
      </c>
      <c r="H85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Y56"/>
  <sheetViews>
    <sheetView workbookViewId="0">
      <pane ySplit="1" topLeftCell="A2" activePane="bottomLeft" state="frozen"/>
      <selection pane="bottomLeft" activeCell="J2" sqref="J2"/>
    </sheetView>
  </sheetViews>
  <sheetFormatPr defaultColWidth="10.796875" defaultRowHeight="15.6"/>
  <cols>
    <col min="1" max="1" width="25.5" style="16" bestFit="1" customWidth="1"/>
    <col min="2" max="2" width="21.5" style="16" bestFit="1" customWidth="1"/>
    <col min="3" max="3" width="21.796875" style="16" bestFit="1" customWidth="1"/>
    <col min="4" max="4" width="18" style="16" bestFit="1" customWidth="1"/>
    <col min="5" max="5" width="10.5" style="16" bestFit="1" customWidth="1"/>
    <col min="6" max="6" width="9.69921875" style="16" bestFit="1" customWidth="1"/>
    <col min="7" max="9" width="10.796875" style="16"/>
    <col min="10" max="10" width="12.69921875" style="42" bestFit="1" customWidth="1"/>
    <col min="11" max="24" width="10.796875" style="16"/>
    <col min="25" max="25" width="21.796875" style="16" bestFit="1" customWidth="1"/>
    <col min="26" max="16384" width="10.796875" style="16"/>
  </cols>
  <sheetData>
    <row r="1" spans="1:25" s="19" customFormat="1" ht="31.2">
      <c r="A1" s="19" t="s">
        <v>186</v>
      </c>
      <c r="B1" s="20" t="s">
        <v>4</v>
      </c>
      <c r="C1" s="20" t="s">
        <v>85</v>
      </c>
      <c r="D1" s="19" t="s">
        <v>187</v>
      </c>
      <c r="E1" s="21" t="s">
        <v>188</v>
      </c>
      <c r="F1" s="21" t="s">
        <v>189</v>
      </c>
      <c r="G1" s="21" t="s">
        <v>190</v>
      </c>
      <c r="H1" s="21" t="s">
        <v>191</v>
      </c>
      <c r="I1" s="21" t="s">
        <v>192</v>
      </c>
      <c r="J1" s="39" t="s">
        <v>193</v>
      </c>
      <c r="K1" s="21" t="s">
        <v>194</v>
      </c>
      <c r="L1" s="21" t="s">
        <v>195</v>
      </c>
      <c r="M1" s="21" t="s">
        <v>196</v>
      </c>
      <c r="N1" s="21" t="s">
        <v>197</v>
      </c>
      <c r="O1" s="21" t="s">
        <v>198</v>
      </c>
      <c r="P1" s="21" t="s">
        <v>199</v>
      </c>
      <c r="Q1" s="21" t="s">
        <v>200</v>
      </c>
      <c r="R1" s="21" t="s">
        <v>201</v>
      </c>
      <c r="S1" s="21" t="s">
        <v>202</v>
      </c>
      <c r="T1" s="19" t="s">
        <v>203</v>
      </c>
      <c r="U1" s="19" t="s">
        <v>204</v>
      </c>
      <c r="W1" s="19">
        <f>AVERAGE(W2:W34)</f>
        <v>31268.434666666664</v>
      </c>
      <c r="Y1" s="20" t="s">
        <v>85</v>
      </c>
    </row>
    <row r="2" spans="1:25" ht="15" customHeight="1">
      <c r="A2" s="16" t="s">
        <v>37</v>
      </c>
      <c r="B2" s="16" t="s">
        <v>95</v>
      </c>
      <c r="C2" s="16" t="s">
        <v>88</v>
      </c>
      <c r="E2" s="23">
        <v>880</v>
      </c>
      <c r="F2" s="23">
        <v>273.44</v>
      </c>
      <c r="G2" s="23">
        <v>34.58</v>
      </c>
      <c r="H2" s="23">
        <v>4268</v>
      </c>
      <c r="I2" s="23">
        <v>58</v>
      </c>
      <c r="J2" s="40">
        <v>964</v>
      </c>
      <c r="K2" s="23">
        <v>0</v>
      </c>
      <c r="L2" s="23">
        <v>771</v>
      </c>
      <c r="M2" s="23">
        <v>9963</v>
      </c>
      <c r="N2" s="23">
        <v>2181</v>
      </c>
      <c r="O2" s="23">
        <v>0</v>
      </c>
      <c r="P2" s="23"/>
      <c r="Q2" s="23"/>
      <c r="R2" s="23">
        <v>648</v>
      </c>
      <c r="S2" s="23">
        <v>822</v>
      </c>
      <c r="W2" s="16">
        <f>SUM(D2:U2)</f>
        <v>20863.02</v>
      </c>
      <c r="Y2" s="16" t="s">
        <v>88</v>
      </c>
    </row>
    <row r="3" spans="1:25" ht="16.2">
      <c r="A3" s="16" t="s">
        <v>51</v>
      </c>
      <c r="B3" s="16" t="s">
        <v>95</v>
      </c>
      <c r="C3" s="16" t="s">
        <v>88</v>
      </c>
      <c r="E3" s="23">
        <v>785</v>
      </c>
      <c r="F3" s="23">
        <v>1720.81</v>
      </c>
      <c r="G3" s="23">
        <v>245.84</v>
      </c>
      <c r="H3" s="23">
        <v>3380</v>
      </c>
      <c r="I3" s="23">
        <v>57.5</v>
      </c>
      <c r="J3" s="40">
        <v>5777.2</v>
      </c>
      <c r="K3" s="23">
        <v>0</v>
      </c>
      <c r="L3" s="23">
        <v>317</v>
      </c>
      <c r="M3" s="23">
        <v>9613</v>
      </c>
      <c r="N3" s="23">
        <v>2095</v>
      </c>
      <c r="O3" s="23">
        <v>0</v>
      </c>
      <c r="P3" s="23"/>
      <c r="Q3" s="23">
        <v>1281</v>
      </c>
      <c r="W3" s="16">
        <f>SUM(D3:U3)</f>
        <v>25272.35</v>
      </c>
      <c r="Y3" s="16" t="s">
        <v>88</v>
      </c>
    </row>
    <row r="4" spans="1:25" ht="16.2">
      <c r="A4" s="16" t="s">
        <v>55</v>
      </c>
      <c r="B4" s="16" t="s">
        <v>95</v>
      </c>
      <c r="C4" s="16" t="s">
        <v>88</v>
      </c>
      <c r="D4" s="22">
        <v>3250</v>
      </c>
      <c r="F4" s="22">
        <v>2949.57</v>
      </c>
      <c r="G4" s="22">
        <v>38.75</v>
      </c>
      <c r="H4" s="22">
        <v>5743</v>
      </c>
      <c r="J4" s="41">
        <v>9028</v>
      </c>
      <c r="K4" s="24">
        <v>322</v>
      </c>
      <c r="L4" s="22">
        <v>532</v>
      </c>
      <c r="M4" s="22">
        <v>11790</v>
      </c>
      <c r="N4" s="22">
        <v>2882</v>
      </c>
      <c r="O4" s="22">
        <v>87</v>
      </c>
      <c r="P4" s="22">
        <v>365.78</v>
      </c>
      <c r="Q4" s="22">
        <v>840</v>
      </c>
      <c r="T4" s="22">
        <v>93</v>
      </c>
      <c r="W4" s="16">
        <f>SUM(D4:U4)</f>
        <v>37921.1</v>
      </c>
      <c r="Y4" s="16" t="s">
        <v>88</v>
      </c>
    </row>
    <row r="5" spans="1:25" ht="16.2">
      <c r="A5" s="17" t="s">
        <v>57</v>
      </c>
      <c r="B5" s="16" t="s">
        <v>95</v>
      </c>
      <c r="C5" s="16" t="s">
        <v>88</v>
      </c>
      <c r="J5" s="40">
        <v>6032.68</v>
      </c>
      <c r="Y5" s="16" t="s">
        <v>88</v>
      </c>
    </row>
    <row r="6" spans="1:25" ht="16.2">
      <c r="A6" s="16" t="s">
        <v>61</v>
      </c>
      <c r="B6" s="16" t="s">
        <v>95</v>
      </c>
      <c r="C6" s="16" t="s">
        <v>88</v>
      </c>
      <c r="D6" s="23">
        <v>3605</v>
      </c>
      <c r="E6" s="23">
        <f>10815</f>
        <v>10815</v>
      </c>
      <c r="F6" s="23">
        <f>1968.55</f>
        <v>1968.55</v>
      </c>
      <c r="G6" s="23">
        <v>123.31</v>
      </c>
      <c r="H6" s="23">
        <v>2693</v>
      </c>
      <c r="I6" s="23"/>
      <c r="J6" s="40">
        <v>8313</v>
      </c>
      <c r="K6" s="23">
        <v>1103</v>
      </c>
      <c r="L6" s="23">
        <v>3071</v>
      </c>
      <c r="M6" s="23">
        <v>13208</v>
      </c>
      <c r="N6" s="23">
        <v>3302</v>
      </c>
      <c r="O6" s="23"/>
      <c r="P6" s="23"/>
      <c r="Q6" s="23">
        <v>630</v>
      </c>
      <c r="R6" s="23">
        <v>1345</v>
      </c>
      <c r="S6" s="23">
        <v>412</v>
      </c>
      <c r="T6" s="23">
        <v>106</v>
      </c>
      <c r="W6" s="16">
        <f>SUM(D6:U6)</f>
        <v>50694.86</v>
      </c>
      <c r="Y6" s="16" t="s">
        <v>88</v>
      </c>
    </row>
    <row r="7" spans="1:25" ht="16.2">
      <c r="A7" s="16" t="s">
        <v>65</v>
      </c>
      <c r="B7" s="16" t="s">
        <v>95</v>
      </c>
      <c r="C7" s="16" t="s">
        <v>88</v>
      </c>
      <c r="E7" s="23">
        <v>785</v>
      </c>
      <c r="F7" s="23">
        <v>209.6</v>
      </c>
      <c r="G7" s="23"/>
      <c r="H7" s="23">
        <v>2723.75</v>
      </c>
      <c r="I7" s="23">
        <v>96.25</v>
      </c>
      <c r="J7" s="40">
        <v>5139.6000000000004</v>
      </c>
      <c r="K7" s="23">
        <v>304</v>
      </c>
      <c r="L7" s="23">
        <v>216</v>
      </c>
      <c r="M7" s="23">
        <v>10045</v>
      </c>
      <c r="N7" s="23">
        <v>2143</v>
      </c>
      <c r="O7" s="23"/>
      <c r="P7" s="23"/>
      <c r="Q7" s="23"/>
      <c r="R7" s="23">
        <v>965</v>
      </c>
      <c r="S7" s="23">
        <v>296</v>
      </c>
      <c r="T7" s="23">
        <v>74</v>
      </c>
      <c r="W7" s="16">
        <f>SUM(D7:U7)</f>
        <v>22997.200000000001</v>
      </c>
      <c r="Y7" s="16" t="s">
        <v>88</v>
      </c>
    </row>
    <row r="8" spans="1:25" ht="16.2">
      <c r="A8" s="17" t="s">
        <v>239</v>
      </c>
      <c r="B8" s="17" t="s">
        <v>95</v>
      </c>
      <c r="C8" s="16" t="s">
        <v>88</v>
      </c>
      <c r="J8" s="40">
        <v>6032.68</v>
      </c>
    </row>
    <row r="9" spans="1:25" ht="16.2">
      <c r="A9" s="16" t="s">
        <v>258</v>
      </c>
      <c r="B9" s="17" t="s">
        <v>95</v>
      </c>
      <c r="C9" s="16" t="s">
        <v>88</v>
      </c>
      <c r="E9" s="23">
        <v>730</v>
      </c>
      <c r="F9" s="23">
        <v>766.73</v>
      </c>
      <c r="G9" s="23">
        <v>49.01</v>
      </c>
      <c r="H9" s="23">
        <v>1734.5</v>
      </c>
      <c r="I9" s="23">
        <v>109</v>
      </c>
      <c r="J9" s="40">
        <v>6221</v>
      </c>
      <c r="K9" s="23"/>
      <c r="L9" s="23">
        <v>481</v>
      </c>
      <c r="M9" s="23">
        <v>11882</v>
      </c>
      <c r="N9" s="23">
        <v>2343</v>
      </c>
      <c r="O9" s="23"/>
      <c r="P9" s="23">
        <v>218.6</v>
      </c>
      <c r="Q9" s="23">
        <v>855</v>
      </c>
      <c r="W9" s="16">
        <f>SUM(D9:U9)</f>
        <v>25389.839999999997</v>
      </c>
    </row>
    <row r="10" spans="1:25" ht="16.2">
      <c r="A10" s="17" t="s">
        <v>52</v>
      </c>
      <c r="B10" s="16" t="s">
        <v>95</v>
      </c>
      <c r="J10" s="40">
        <v>5332.89</v>
      </c>
    </row>
    <row r="11" spans="1:25" ht="16.2">
      <c r="A11" s="17" t="s">
        <v>63</v>
      </c>
      <c r="B11" s="16" t="s">
        <v>95</v>
      </c>
      <c r="J11" s="40">
        <v>5332.89</v>
      </c>
    </row>
    <row r="12" spans="1:25" ht="16.2">
      <c r="A12" s="17" t="s">
        <v>304</v>
      </c>
      <c r="B12" s="16" t="s">
        <v>95</v>
      </c>
      <c r="J12" s="40">
        <v>5332.89</v>
      </c>
    </row>
    <row r="13" spans="1:25" ht="16.2">
      <c r="A13" s="17" t="s">
        <v>316</v>
      </c>
      <c r="B13" s="17" t="s">
        <v>95</v>
      </c>
      <c r="C13" s="17"/>
      <c r="J13" s="40">
        <v>5332.89</v>
      </c>
    </row>
    <row r="14" spans="1:25" ht="16.2">
      <c r="A14" s="17" t="s">
        <v>287</v>
      </c>
      <c r="B14" s="17" t="s">
        <v>69</v>
      </c>
      <c r="C14" s="16" t="s">
        <v>288</v>
      </c>
      <c r="J14" s="40">
        <v>4639</v>
      </c>
    </row>
    <row r="15" spans="1:25" ht="16.2">
      <c r="A15" s="17" t="s">
        <v>233</v>
      </c>
      <c r="B15" s="16" t="s">
        <v>69</v>
      </c>
      <c r="C15" s="16" t="s">
        <v>235</v>
      </c>
      <c r="J15" s="40">
        <v>4639</v>
      </c>
    </row>
    <row r="16" spans="1:25" ht="16.2">
      <c r="A16" s="16" t="s">
        <v>28</v>
      </c>
      <c r="B16" s="16" t="s">
        <v>69</v>
      </c>
      <c r="C16" s="16" t="s">
        <v>88</v>
      </c>
      <c r="E16" s="22">
        <v>950</v>
      </c>
      <c r="F16" s="22">
        <v>2130.08</v>
      </c>
      <c r="G16" s="22">
        <v>123.54</v>
      </c>
      <c r="H16" s="22">
        <v>3359</v>
      </c>
      <c r="J16" s="41">
        <v>1564</v>
      </c>
      <c r="K16" s="22">
        <v>13</v>
      </c>
      <c r="L16" s="22">
        <v>1064</v>
      </c>
      <c r="M16" s="22">
        <v>8865</v>
      </c>
      <c r="N16" s="22">
        <v>2167</v>
      </c>
      <c r="O16" s="22"/>
      <c r="Q16" s="22">
        <v>1859</v>
      </c>
      <c r="W16" s="16">
        <f>SUM(D16:U16)</f>
        <v>22094.62</v>
      </c>
      <c r="Y16" s="16" t="s">
        <v>88</v>
      </c>
    </row>
    <row r="17" spans="1:25">
      <c r="A17" s="17" t="s">
        <v>44</v>
      </c>
      <c r="B17" s="16" t="s">
        <v>69</v>
      </c>
      <c r="C17" s="16" t="s">
        <v>88</v>
      </c>
      <c r="J17" s="42">
        <v>1702.75</v>
      </c>
      <c r="Y17" s="16" t="s">
        <v>88</v>
      </c>
    </row>
    <row r="18" spans="1:25">
      <c r="A18" s="17" t="s">
        <v>46</v>
      </c>
      <c r="B18" s="16" t="s">
        <v>69</v>
      </c>
      <c r="C18" s="16" t="s">
        <v>88</v>
      </c>
      <c r="J18" s="42">
        <v>1702.75</v>
      </c>
      <c r="Y18" s="16" t="s">
        <v>88</v>
      </c>
    </row>
    <row r="19" spans="1:25" ht="16.2">
      <c r="A19" s="16" t="s">
        <v>48</v>
      </c>
      <c r="B19" s="16" t="s">
        <v>69</v>
      </c>
      <c r="C19" s="16" t="s">
        <v>88</v>
      </c>
      <c r="D19" s="23"/>
      <c r="E19" s="23">
        <v>2100</v>
      </c>
      <c r="F19" s="23">
        <v>4599.08</v>
      </c>
      <c r="G19" s="23">
        <v>89.34</v>
      </c>
      <c r="H19" s="23">
        <v>15294</v>
      </c>
      <c r="I19" s="23">
        <v>40</v>
      </c>
      <c r="J19" s="40">
        <v>2279</v>
      </c>
      <c r="K19" s="23">
        <f>45</f>
        <v>45</v>
      </c>
      <c r="L19" s="23">
        <v>599</v>
      </c>
      <c r="M19" s="23">
        <v>16900</v>
      </c>
      <c r="N19" s="23">
        <v>4225</v>
      </c>
      <c r="O19" s="23"/>
      <c r="P19" s="23">
        <v>177.76</v>
      </c>
      <c r="Q19" s="23">
        <v>2170</v>
      </c>
      <c r="R19" s="23">
        <v>1614</v>
      </c>
      <c r="S19" s="23">
        <v>412</v>
      </c>
      <c r="T19" s="23">
        <v>351</v>
      </c>
      <c r="W19" s="16">
        <f>SUM(D19:U19)</f>
        <v>50895.18</v>
      </c>
      <c r="Y19" s="16" t="s">
        <v>88</v>
      </c>
    </row>
    <row r="20" spans="1:25">
      <c r="A20" s="17" t="s">
        <v>58</v>
      </c>
      <c r="B20" s="16" t="s">
        <v>69</v>
      </c>
      <c r="C20" s="16" t="s">
        <v>88</v>
      </c>
      <c r="J20" s="42">
        <v>1702.75</v>
      </c>
      <c r="Y20" s="16" t="s">
        <v>88</v>
      </c>
    </row>
    <row r="21" spans="1:25">
      <c r="A21" s="17" t="s">
        <v>242</v>
      </c>
      <c r="B21" s="17" t="s">
        <v>69</v>
      </c>
      <c r="C21" s="16" t="s">
        <v>88</v>
      </c>
      <c r="J21" s="42">
        <v>1702.75</v>
      </c>
    </row>
    <row r="22" spans="1:25" ht="16.2">
      <c r="A22" s="16" t="s">
        <v>365</v>
      </c>
      <c r="B22" s="17" t="s">
        <v>69</v>
      </c>
      <c r="C22" s="16" t="s">
        <v>88</v>
      </c>
      <c r="E22" s="22">
        <v>950</v>
      </c>
      <c r="F22" s="22">
        <v>1257.5</v>
      </c>
      <c r="G22" s="22">
        <v>74.819999999999993</v>
      </c>
      <c r="H22" s="22">
        <v>3922</v>
      </c>
      <c r="I22" s="22">
        <v>29</v>
      </c>
      <c r="J22" s="41">
        <v>6393</v>
      </c>
      <c r="K22" s="22">
        <v>39</v>
      </c>
      <c r="L22" s="22">
        <v>532</v>
      </c>
      <c r="M22" s="22">
        <v>12465</v>
      </c>
      <c r="N22" s="22">
        <v>3047</v>
      </c>
      <c r="O22" s="22"/>
      <c r="P22" s="22"/>
      <c r="Q22" s="22">
        <v>2178</v>
      </c>
      <c r="R22" s="22">
        <v>1195</v>
      </c>
      <c r="S22" s="22">
        <v>366</v>
      </c>
      <c r="W22" s="16">
        <f>SUM(D22:U22)</f>
        <v>32448.32</v>
      </c>
    </row>
    <row r="23" spans="1:25">
      <c r="A23" s="17" t="s">
        <v>280</v>
      </c>
      <c r="B23" s="17" t="s">
        <v>69</v>
      </c>
      <c r="C23" s="16" t="s">
        <v>88</v>
      </c>
      <c r="J23" s="42">
        <v>1702.75</v>
      </c>
    </row>
    <row r="24" spans="1:25" ht="16.2">
      <c r="A24" s="16" t="s">
        <v>314</v>
      </c>
      <c r="B24" s="16" t="s">
        <v>69</v>
      </c>
      <c r="C24" s="16" t="s">
        <v>88</v>
      </c>
      <c r="E24" s="23">
        <v>2100</v>
      </c>
      <c r="F24" s="23">
        <v>3819.24</v>
      </c>
      <c r="G24" s="23">
        <v>372.94</v>
      </c>
      <c r="H24" s="23">
        <v>6041</v>
      </c>
      <c r="I24" s="23">
        <v>40</v>
      </c>
      <c r="J24" s="40">
        <v>1615</v>
      </c>
      <c r="K24" s="23">
        <v>224</v>
      </c>
      <c r="L24" s="23">
        <v>2346</v>
      </c>
      <c r="M24" s="23">
        <v>13716</v>
      </c>
      <c r="N24" s="23">
        <v>3081</v>
      </c>
      <c r="O24" s="23"/>
      <c r="P24" s="23">
        <v>64.239999999999995</v>
      </c>
      <c r="Q24" s="23">
        <v>689</v>
      </c>
      <c r="R24" s="23">
        <v>1345</v>
      </c>
      <c r="S24" s="23">
        <v>614</v>
      </c>
      <c r="T24" s="23"/>
      <c r="U24" s="23">
        <v>1110</v>
      </c>
      <c r="W24" s="16">
        <f>SUM(D24:U24)</f>
        <v>37177.42</v>
      </c>
    </row>
    <row r="25" spans="1:25" ht="16.2">
      <c r="A25" s="16" t="s">
        <v>366</v>
      </c>
      <c r="B25" s="17" t="s">
        <v>69</v>
      </c>
      <c r="C25" s="16" t="s">
        <v>88</v>
      </c>
      <c r="E25" s="22">
        <v>950</v>
      </c>
      <c r="F25" s="22">
        <v>1965.32</v>
      </c>
      <c r="G25" s="22">
        <v>14.1</v>
      </c>
      <c r="H25" s="22">
        <v>5293</v>
      </c>
      <c r="I25" s="22">
        <v>29</v>
      </c>
      <c r="J25" s="41">
        <v>1353</v>
      </c>
      <c r="K25" s="22"/>
      <c r="L25" s="22">
        <v>658</v>
      </c>
      <c r="M25" s="22">
        <v>16795</v>
      </c>
      <c r="N25" s="22">
        <v>3817</v>
      </c>
      <c r="O25" s="22"/>
      <c r="P25" s="22"/>
      <c r="Q25" s="22">
        <v>1771</v>
      </c>
      <c r="R25" s="22">
        <v>1195</v>
      </c>
      <c r="S25" s="22">
        <v>366</v>
      </c>
      <c r="T25" s="22"/>
      <c r="W25" s="16">
        <f>SUM(D25:U25)</f>
        <v>34206.42</v>
      </c>
    </row>
    <row r="26" spans="1:25" ht="16.2">
      <c r="A26" s="16" t="s">
        <v>205</v>
      </c>
      <c r="B26" s="16" t="s">
        <v>69</v>
      </c>
      <c r="E26" s="23">
        <v>725</v>
      </c>
      <c r="F26" s="23">
        <v>670.99</v>
      </c>
      <c r="G26" s="23">
        <v>22.89</v>
      </c>
      <c r="H26" s="23">
        <v>2741.75</v>
      </c>
      <c r="I26" s="23">
        <v>28.5</v>
      </c>
      <c r="J26" s="40">
        <v>772.8</v>
      </c>
      <c r="K26" s="23">
        <v>61</v>
      </c>
      <c r="L26" s="23"/>
      <c r="M26" s="23">
        <v>5097</v>
      </c>
      <c r="N26" s="23">
        <v>1678</v>
      </c>
      <c r="O26" s="23">
        <v>660</v>
      </c>
      <c r="P26" s="23"/>
      <c r="Q26" s="23"/>
      <c r="R26" s="23">
        <v>540</v>
      </c>
      <c r="S26" s="23">
        <v>276</v>
      </c>
      <c r="W26" s="16">
        <f>SUM(D26:U26)</f>
        <v>13273.93</v>
      </c>
    </row>
    <row r="27" spans="1:25">
      <c r="A27" s="17" t="s">
        <v>37</v>
      </c>
      <c r="B27" s="16" t="s">
        <v>69</v>
      </c>
      <c r="J27" s="42">
        <v>1002.96</v>
      </c>
    </row>
    <row r="28" spans="1:25">
      <c r="A28" s="17" t="s">
        <v>39</v>
      </c>
      <c r="B28" s="16" t="s">
        <v>69</v>
      </c>
      <c r="J28" s="42">
        <v>1002.96</v>
      </c>
    </row>
    <row r="29" spans="1:25" ht="16.2">
      <c r="A29" s="16" t="s">
        <v>207</v>
      </c>
      <c r="B29" s="16" t="s">
        <v>69</v>
      </c>
      <c r="E29" s="23">
        <v>785</v>
      </c>
      <c r="F29" s="23">
        <v>2229.5100000000002</v>
      </c>
      <c r="G29" s="23">
        <v>126.88</v>
      </c>
      <c r="H29" s="23">
        <v>3980</v>
      </c>
      <c r="I29" s="23">
        <v>28.75</v>
      </c>
      <c r="J29" s="40">
        <v>772.8</v>
      </c>
      <c r="K29" s="23">
        <v>282</v>
      </c>
      <c r="L29" s="23">
        <v>642</v>
      </c>
      <c r="M29" s="23">
        <v>9019</v>
      </c>
      <c r="N29" s="23">
        <v>2047</v>
      </c>
      <c r="O29" s="23"/>
      <c r="P29" s="23"/>
      <c r="Q29" s="23">
        <v>1288</v>
      </c>
      <c r="R29" s="23">
        <v>772</v>
      </c>
      <c r="S29" s="23">
        <v>296</v>
      </c>
      <c r="W29" s="16">
        <f>SUM(D29:U29)</f>
        <v>22268.940000000002</v>
      </c>
    </row>
    <row r="30" spans="1:25" ht="16.2">
      <c r="A30" s="16" t="s">
        <v>49</v>
      </c>
      <c r="B30" s="16" t="s">
        <v>69</v>
      </c>
      <c r="E30" s="23">
        <v>880</v>
      </c>
      <c r="F30" s="23">
        <v>765.17</v>
      </c>
      <c r="G30" s="23">
        <v>24.04</v>
      </c>
      <c r="H30" s="23">
        <v>4250</v>
      </c>
      <c r="I30" s="23">
        <v>29</v>
      </c>
      <c r="J30" s="40">
        <v>964</v>
      </c>
      <c r="K30" s="23">
        <v>464</v>
      </c>
      <c r="L30" s="23">
        <v>481</v>
      </c>
      <c r="M30" s="23">
        <v>11523</v>
      </c>
      <c r="N30" s="23">
        <v>2343</v>
      </c>
      <c r="O30" s="23">
        <v>434</v>
      </c>
      <c r="P30" s="23"/>
      <c r="Q30" s="23">
        <v>675</v>
      </c>
      <c r="R30" s="23">
        <v>864</v>
      </c>
      <c r="S30" s="23">
        <v>330</v>
      </c>
      <c r="W30" s="16">
        <f>SUM(D30:U30)</f>
        <v>24026.21</v>
      </c>
    </row>
    <row r="31" spans="1:25">
      <c r="A31" s="17" t="s">
        <v>50</v>
      </c>
      <c r="B31" s="16" t="s">
        <v>69</v>
      </c>
      <c r="J31" s="42">
        <v>1002.96</v>
      </c>
    </row>
    <row r="32" spans="1:25">
      <c r="A32" s="17" t="s">
        <v>53</v>
      </c>
      <c r="B32" s="16" t="s">
        <v>69</v>
      </c>
      <c r="J32" s="42">
        <v>1002.96</v>
      </c>
    </row>
    <row r="33" spans="1:25" ht="16.2">
      <c r="A33" s="16" t="s">
        <v>56</v>
      </c>
      <c r="B33" s="16" t="s">
        <v>69</v>
      </c>
      <c r="D33" s="23">
        <v>3605</v>
      </c>
      <c r="E33" s="23"/>
      <c r="F33" s="23">
        <v>3026.04</v>
      </c>
      <c r="G33" s="23">
        <v>133.94</v>
      </c>
      <c r="H33" s="23">
        <v>16109</v>
      </c>
      <c r="I33" s="23">
        <v>72</v>
      </c>
      <c r="J33" s="40">
        <v>1580</v>
      </c>
      <c r="K33" s="23">
        <f>160</f>
        <v>160</v>
      </c>
      <c r="L33" s="23">
        <v>602</v>
      </c>
      <c r="M33" s="23">
        <v>18227</v>
      </c>
      <c r="N33" s="23">
        <v>4225</v>
      </c>
      <c r="O33" s="23"/>
      <c r="P33" s="23">
        <v>433.13</v>
      </c>
      <c r="Q33" s="23">
        <v>1260</v>
      </c>
      <c r="U33" s="23">
        <v>64</v>
      </c>
      <c r="W33" s="16">
        <f>SUM(D33:U33)</f>
        <v>49497.109999999993</v>
      </c>
    </row>
    <row r="34" spans="1:25">
      <c r="A34" s="17" t="s">
        <v>60</v>
      </c>
      <c r="B34" s="16" t="s">
        <v>69</v>
      </c>
      <c r="J34" s="42">
        <v>1002.96</v>
      </c>
    </row>
    <row r="35" spans="1:25">
      <c r="A35" s="17" t="s">
        <v>229</v>
      </c>
      <c r="B35" s="16" t="s">
        <v>69</v>
      </c>
      <c r="J35" s="42">
        <v>1002.96</v>
      </c>
    </row>
    <row r="36" spans="1:25">
      <c r="A36" s="17" t="s">
        <v>247</v>
      </c>
      <c r="B36" s="17" t="s">
        <v>69</v>
      </c>
      <c r="J36" s="42">
        <v>1002.96</v>
      </c>
    </row>
    <row r="37" spans="1:25" ht="16.2">
      <c r="A37" s="16" t="s">
        <v>367</v>
      </c>
      <c r="B37" s="17" t="s">
        <v>69</v>
      </c>
      <c r="E37" s="23">
        <v>785</v>
      </c>
      <c r="F37" s="23">
        <v>2099.19</v>
      </c>
      <c r="G37" s="23">
        <v>93.87</v>
      </c>
      <c r="H37" s="23">
        <v>4394.75</v>
      </c>
      <c r="I37" s="23">
        <v>57</v>
      </c>
      <c r="J37" s="40">
        <v>772.8</v>
      </c>
      <c r="K37" s="23">
        <v>423</v>
      </c>
      <c r="L37" s="23">
        <v>317</v>
      </c>
      <c r="M37" s="23">
        <v>11877</v>
      </c>
      <c r="N37" s="23">
        <v>2287</v>
      </c>
      <c r="O37" s="23"/>
      <c r="P37" s="23"/>
      <c r="Q37" s="23">
        <v>1320</v>
      </c>
      <c r="R37" s="23">
        <v>965</v>
      </c>
      <c r="S37" s="23">
        <v>296</v>
      </c>
      <c r="W37" s="16">
        <f>SUM(D37:U37)</f>
        <v>25687.61</v>
      </c>
    </row>
    <row r="38" spans="1:25" ht="16.2">
      <c r="A38" s="16" t="s">
        <v>364</v>
      </c>
      <c r="B38" s="17" t="s">
        <v>69</v>
      </c>
      <c r="E38" s="23">
        <v>565</v>
      </c>
      <c r="F38" s="23">
        <v>695.66</v>
      </c>
      <c r="G38" s="23">
        <v>23.57</v>
      </c>
      <c r="H38" s="23">
        <v>3264.25</v>
      </c>
      <c r="I38" s="23">
        <v>25.75</v>
      </c>
      <c r="J38" s="40">
        <v>1702</v>
      </c>
      <c r="K38" s="23"/>
      <c r="L38" s="23">
        <v>500.75</v>
      </c>
      <c r="M38" s="23">
        <v>6602.25</v>
      </c>
      <c r="N38" s="23">
        <v>1582.25</v>
      </c>
      <c r="O38" s="23">
        <v>282.75</v>
      </c>
      <c r="P38" s="23"/>
      <c r="Q38" s="23">
        <v>480</v>
      </c>
      <c r="R38" s="23">
        <v>47</v>
      </c>
      <c r="W38" s="16">
        <f>SUM(D38:U38)</f>
        <v>15771.23</v>
      </c>
    </row>
    <row r="39" spans="1:25">
      <c r="A39" s="17" t="s">
        <v>299</v>
      </c>
      <c r="B39" s="17" t="s">
        <v>69</v>
      </c>
      <c r="J39" s="42">
        <v>1002.96</v>
      </c>
    </row>
    <row r="40" spans="1:25" ht="16.2">
      <c r="A40" s="16" t="s">
        <v>368</v>
      </c>
      <c r="B40" s="17" t="s">
        <v>69</v>
      </c>
      <c r="E40" s="23">
        <v>725</v>
      </c>
      <c r="F40" s="23">
        <v>1732.81</v>
      </c>
      <c r="G40" s="23">
        <v>19.899999999999999</v>
      </c>
      <c r="H40" s="23">
        <v>3587.75</v>
      </c>
      <c r="I40" s="23">
        <v>28.5</v>
      </c>
      <c r="J40" s="40">
        <v>772.8</v>
      </c>
      <c r="K40" s="23">
        <v>-36</v>
      </c>
      <c r="L40" s="23">
        <v>335</v>
      </c>
      <c r="M40" s="23">
        <v>5979</v>
      </c>
      <c r="N40" s="23">
        <v>1810</v>
      </c>
      <c r="O40" s="23">
        <v>-373.66</v>
      </c>
      <c r="P40" s="23">
        <v>870</v>
      </c>
      <c r="Q40" s="23">
        <v>540</v>
      </c>
      <c r="R40" s="23">
        <v>276</v>
      </c>
      <c r="W40" s="16">
        <f>SUM(D40:U40)</f>
        <v>16267.1</v>
      </c>
    </row>
    <row r="41" spans="1:25" ht="16.2">
      <c r="A41" s="16" t="s">
        <v>308</v>
      </c>
      <c r="B41" s="16" t="s">
        <v>69</v>
      </c>
      <c r="E41" s="23">
        <v>1050</v>
      </c>
      <c r="F41" s="23">
        <v>1858.12</v>
      </c>
      <c r="G41" s="23">
        <v>114.49</v>
      </c>
      <c r="H41" s="23">
        <v>5034</v>
      </c>
      <c r="I41" s="23">
        <v>42</v>
      </c>
      <c r="J41" s="40">
        <v>1090</v>
      </c>
      <c r="K41" s="23"/>
      <c r="L41" s="23">
        <v>301</v>
      </c>
      <c r="M41" s="23">
        <v>9751</v>
      </c>
      <c r="N41" s="23">
        <v>2106</v>
      </c>
      <c r="O41" s="23">
        <v>32</v>
      </c>
      <c r="P41" s="23">
        <v>433.13</v>
      </c>
      <c r="Q41" s="23">
        <v>1105</v>
      </c>
      <c r="R41" s="23">
        <v>1076</v>
      </c>
      <c r="S41" s="23">
        <v>618</v>
      </c>
      <c r="T41" s="23"/>
      <c r="U41" s="23">
        <v>337</v>
      </c>
      <c r="W41" s="16">
        <f>SUM(D41:U41)</f>
        <v>24947.74</v>
      </c>
    </row>
    <row r="42" spans="1:25">
      <c r="A42" s="17" t="s">
        <v>329</v>
      </c>
      <c r="B42" s="17" t="s">
        <v>69</v>
      </c>
      <c r="J42" s="42">
        <v>1002.96</v>
      </c>
    </row>
    <row r="43" spans="1:25" ht="16.2">
      <c r="A43" s="16" t="s">
        <v>330</v>
      </c>
      <c r="B43" s="17" t="s">
        <v>69</v>
      </c>
      <c r="E43" s="22">
        <v>950</v>
      </c>
      <c r="F43" s="22">
        <v>1834.33</v>
      </c>
      <c r="G43" s="22">
        <v>42.84</v>
      </c>
      <c r="H43" s="22">
        <v>4848</v>
      </c>
      <c r="I43" s="22">
        <v>67</v>
      </c>
      <c r="J43" s="41">
        <v>577</v>
      </c>
      <c r="K43" s="22"/>
      <c r="L43" s="22">
        <v>532</v>
      </c>
      <c r="M43" s="22">
        <v>12285</v>
      </c>
      <c r="N43" s="22">
        <v>3003</v>
      </c>
      <c r="O43" s="22"/>
      <c r="P43" s="22">
        <v>1548.76</v>
      </c>
      <c r="Q43" s="22">
        <v>1584</v>
      </c>
      <c r="R43" s="22">
        <v>956</v>
      </c>
      <c r="S43" s="22">
        <v>366</v>
      </c>
      <c r="U43" s="22">
        <v>2135</v>
      </c>
      <c r="W43" s="16">
        <f>SUM(D43:U43)</f>
        <v>30728.929999999997</v>
      </c>
    </row>
    <row r="44" spans="1:25" ht="16.2">
      <c r="A44" s="16" t="s">
        <v>41</v>
      </c>
      <c r="B44" s="16" t="s">
        <v>369</v>
      </c>
      <c r="C44" s="16" t="s">
        <v>88</v>
      </c>
      <c r="D44" s="23">
        <v>2895</v>
      </c>
      <c r="F44" s="23">
        <v>586.62</v>
      </c>
      <c r="G44" s="23">
        <v>42.59</v>
      </c>
      <c r="H44" s="23">
        <v>3046.5</v>
      </c>
      <c r="I44" s="23">
        <v>55</v>
      </c>
      <c r="J44" s="40">
        <v>2902</v>
      </c>
      <c r="K44" s="22">
        <v>154</v>
      </c>
      <c r="L44" s="23">
        <v>481</v>
      </c>
      <c r="M44" s="23">
        <v>10962</v>
      </c>
      <c r="N44" s="23">
        <v>2289</v>
      </c>
      <c r="O44" s="23">
        <v>75</v>
      </c>
      <c r="P44" s="23"/>
      <c r="Q44" s="23">
        <v>2050</v>
      </c>
      <c r="R44" s="23">
        <v>1080</v>
      </c>
      <c r="S44" s="23">
        <v>330</v>
      </c>
      <c r="T44" s="23"/>
      <c r="U44" s="23">
        <v>282</v>
      </c>
      <c r="W44" s="16">
        <f>SUM(D44:U44)</f>
        <v>27230.71</v>
      </c>
      <c r="Y44" s="16" t="s">
        <v>88</v>
      </c>
    </row>
    <row r="45" spans="1:25">
      <c r="A45" s="17" t="s">
        <v>252</v>
      </c>
      <c r="B45" s="16" t="s">
        <v>369</v>
      </c>
      <c r="C45" s="16" t="s">
        <v>88</v>
      </c>
    </row>
    <row r="46" spans="1:25" ht="16.2">
      <c r="A46" s="16" t="s">
        <v>206</v>
      </c>
      <c r="B46" s="16" t="s">
        <v>261</v>
      </c>
      <c r="C46" s="16" t="s">
        <v>106</v>
      </c>
      <c r="E46" s="23">
        <v>1050</v>
      </c>
      <c r="F46" s="23">
        <v>1625.43</v>
      </c>
      <c r="G46" s="23">
        <v>91.41</v>
      </c>
      <c r="H46" s="23">
        <v>6648</v>
      </c>
      <c r="I46" s="23">
        <v>56</v>
      </c>
      <c r="J46" s="40">
        <v>4526</v>
      </c>
      <c r="K46" s="23"/>
      <c r="L46" s="23">
        <v>883</v>
      </c>
      <c r="M46" s="23">
        <v>19995</v>
      </c>
      <c r="N46" s="23">
        <v>4667</v>
      </c>
      <c r="O46" s="23"/>
      <c r="P46" s="23">
        <v>433.13</v>
      </c>
      <c r="Q46" s="23">
        <v>910</v>
      </c>
      <c r="R46" s="23">
        <v>1883</v>
      </c>
      <c r="S46" s="23">
        <v>412</v>
      </c>
      <c r="V46" s="20" t="s">
        <v>209</v>
      </c>
      <c r="W46" s="20">
        <f>SUM(D46:U46)</f>
        <v>43179.969999999994</v>
      </c>
      <c r="Y46" s="16" t="s">
        <v>106</v>
      </c>
    </row>
    <row r="47" spans="1:25">
      <c r="A47" s="17" t="s">
        <v>40</v>
      </c>
      <c r="B47" s="16" t="s">
        <v>261</v>
      </c>
      <c r="C47" s="16" t="s">
        <v>88</v>
      </c>
      <c r="Y47" s="16" t="s">
        <v>88</v>
      </c>
    </row>
    <row r="48" spans="1:25">
      <c r="A48" s="17" t="s">
        <v>260</v>
      </c>
      <c r="B48" s="17" t="s">
        <v>261</v>
      </c>
      <c r="C48" s="16" t="s">
        <v>88</v>
      </c>
    </row>
    <row r="49" spans="1:23">
      <c r="A49" s="17" t="s">
        <v>292</v>
      </c>
      <c r="B49" s="9" t="s">
        <v>261</v>
      </c>
      <c r="C49" s="16" t="s">
        <v>88</v>
      </c>
    </row>
    <row r="50" spans="1:23" ht="16.2">
      <c r="A50" s="16" t="s">
        <v>295</v>
      </c>
      <c r="B50" s="16" t="s">
        <v>261</v>
      </c>
      <c r="C50" s="16" t="s">
        <v>88</v>
      </c>
      <c r="E50" s="23">
        <v>1050</v>
      </c>
      <c r="F50" s="23">
        <v>2652.92</v>
      </c>
      <c r="G50" s="23">
        <v>6.61</v>
      </c>
      <c r="H50" s="23">
        <v>2092</v>
      </c>
      <c r="I50" s="23"/>
      <c r="J50" s="40">
        <v>932</v>
      </c>
      <c r="K50" s="23">
        <v>32</v>
      </c>
      <c r="L50" s="23">
        <v>599</v>
      </c>
      <c r="M50" s="23">
        <v>11960</v>
      </c>
      <c r="N50" s="23">
        <v>2990</v>
      </c>
      <c r="O50" s="23">
        <v>61</v>
      </c>
      <c r="P50" s="23">
        <v>6.06</v>
      </c>
      <c r="Q50" s="23">
        <v>1014</v>
      </c>
      <c r="W50" s="16">
        <f>SUM(D50:U50)</f>
        <v>23395.59</v>
      </c>
    </row>
    <row r="51" spans="1:23">
      <c r="A51" s="17" t="s">
        <v>30</v>
      </c>
      <c r="B51" s="16" t="s">
        <v>261</v>
      </c>
    </row>
    <row r="52" spans="1:23">
      <c r="A52" s="17"/>
    </row>
    <row r="53" spans="1:23" ht="16.2">
      <c r="D53" s="23"/>
      <c r="F53" s="23"/>
      <c r="G53" s="23"/>
      <c r="H53" s="23"/>
      <c r="I53" s="23"/>
      <c r="J53" s="40"/>
      <c r="K53" s="22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5" spans="1:23">
      <c r="A55" s="17"/>
      <c r="B55" s="17"/>
    </row>
    <row r="56" spans="1:23" ht="16.2">
      <c r="B56" s="17"/>
      <c r="D56" s="22"/>
      <c r="E56" s="22"/>
      <c r="F56" s="22"/>
      <c r="G56" s="22"/>
      <c r="H56" s="22"/>
      <c r="I56" s="20"/>
      <c r="J56" s="43"/>
      <c r="K56" s="22"/>
      <c r="L56" s="22"/>
      <c r="M56" s="22"/>
      <c r="N56" s="22"/>
      <c r="Q56" s="22"/>
      <c r="R56" s="22"/>
      <c r="S56" s="22"/>
      <c r="T56" s="22"/>
    </row>
  </sheetData>
  <sortState ref="A2:Y51">
    <sortCondition ref="B2:B51"/>
    <sortCondition ref="C2:C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A24"/>
  <sheetViews>
    <sheetView topLeftCell="A4" workbookViewId="0">
      <selection activeCell="F33" sqref="F33"/>
    </sheetView>
  </sheetViews>
  <sheetFormatPr defaultColWidth="11.19921875" defaultRowHeight="15.6"/>
  <cols>
    <col min="1" max="1" width="29.796875" customWidth="1"/>
    <col min="27" max="27" width="97.69921875" customWidth="1"/>
  </cols>
  <sheetData>
    <row r="1" spans="1:27" s="8" customFormat="1">
      <c r="A1" s="8" t="s">
        <v>0</v>
      </c>
      <c r="B1" s="8" t="s">
        <v>27</v>
      </c>
      <c r="C1" s="8" t="s">
        <v>1</v>
      </c>
      <c r="D1" s="8" t="s">
        <v>18</v>
      </c>
      <c r="E1" s="8" t="s">
        <v>2</v>
      </c>
      <c r="F1" s="8" t="s">
        <v>3</v>
      </c>
      <c r="G1" s="8" t="s">
        <v>20</v>
      </c>
      <c r="H1" s="6" t="s">
        <v>5</v>
      </c>
      <c r="I1" s="6" t="s">
        <v>6</v>
      </c>
      <c r="J1" s="8" t="s">
        <v>4</v>
      </c>
      <c r="K1" s="8" t="s">
        <v>85</v>
      </c>
      <c r="L1" s="8" t="s">
        <v>21</v>
      </c>
      <c r="M1" s="8" t="s">
        <v>9</v>
      </c>
      <c r="N1" s="8" t="s">
        <v>23</v>
      </c>
      <c r="O1" s="8" t="s">
        <v>22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72</v>
      </c>
      <c r="U1" s="10" t="s">
        <v>86</v>
      </c>
      <c r="V1" s="10" t="s">
        <v>87</v>
      </c>
      <c r="W1" s="8" t="s">
        <v>16</v>
      </c>
      <c r="X1" s="8" t="s">
        <v>26</v>
      </c>
      <c r="Y1" s="8" t="s">
        <v>17</v>
      </c>
      <c r="Z1" s="8" t="s">
        <v>24</v>
      </c>
      <c r="AA1" s="8" t="s">
        <v>99</v>
      </c>
    </row>
    <row r="2" spans="1:27" s="14" customFormat="1">
      <c r="A2" s="12" t="s">
        <v>32</v>
      </c>
      <c r="B2" s="12">
        <v>25367986</v>
      </c>
      <c r="C2" s="12" t="s">
        <v>29</v>
      </c>
      <c r="D2" s="13">
        <v>21122</v>
      </c>
      <c r="E2" s="13">
        <v>40247</v>
      </c>
      <c r="F2" s="12">
        <v>53</v>
      </c>
      <c r="G2" s="14" t="s">
        <v>68</v>
      </c>
      <c r="J2" s="14" t="s">
        <v>80</v>
      </c>
      <c r="L2" s="14" t="s">
        <v>81</v>
      </c>
      <c r="M2" s="14" t="s">
        <v>82</v>
      </c>
      <c r="N2" s="14">
        <v>3</v>
      </c>
      <c r="O2" s="14">
        <v>1</v>
      </c>
      <c r="U2" s="14" t="s">
        <v>90</v>
      </c>
      <c r="V2" s="14" t="s">
        <v>90</v>
      </c>
      <c r="W2" s="14" t="s">
        <v>68</v>
      </c>
      <c r="X2" s="14" t="s">
        <v>93</v>
      </c>
      <c r="Y2" s="14" t="s">
        <v>74</v>
      </c>
      <c r="Z2" s="14" t="s">
        <v>74</v>
      </c>
    </row>
    <row r="3" spans="1:27" s="14" customFormat="1">
      <c r="A3" s="12" t="s">
        <v>211</v>
      </c>
      <c r="B3" s="12">
        <v>15501950</v>
      </c>
      <c r="C3" s="12" t="s">
        <v>212</v>
      </c>
      <c r="D3" s="12"/>
      <c r="E3" s="25">
        <v>36221</v>
      </c>
      <c r="F3" s="26"/>
      <c r="G3" s="12"/>
      <c r="J3" s="12"/>
      <c r="AA3" s="14" t="s">
        <v>213</v>
      </c>
    </row>
    <row r="4" spans="1:27" s="7" customFormat="1">
      <c r="A4" s="12" t="s">
        <v>33</v>
      </c>
      <c r="B4" s="12">
        <v>35299923</v>
      </c>
      <c r="C4" s="12" t="s">
        <v>29</v>
      </c>
      <c r="D4" s="13">
        <v>7841</v>
      </c>
      <c r="E4" s="13">
        <v>39657</v>
      </c>
      <c r="F4" s="12">
        <v>87</v>
      </c>
      <c r="G4" s="14" t="s">
        <v>68</v>
      </c>
      <c r="H4" s="14"/>
      <c r="I4" s="14"/>
      <c r="J4" s="14" t="s">
        <v>95</v>
      </c>
      <c r="K4" s="14" t="s">
        <v>88</v>
      </c>
      <c r="L4" s="14" t="s">
        <v>70</v>
      </c>
      <c r="M4" s="14" t="s">
        <v>94</v>
      </c>
      <c r="N4" s="14">
        <v>8</v>
      </c>
      <c r="O4" s="14" t="s">
        <v>105</v>
      </c>
      <c r="P4" s="14"/>
      <c r="Q4" s="14"/>
      <c r="R4" s="14"/>
      <c r="S4" s="14"/>
      <c r="T4" s="14"/>
      <c r="U4" s="14" t="s">
        <v>96</v>
      </c>
      <c r="V4" s="14" t="s">
        <v>90</v>
      </c>
      <c r="W4" s="14" t="s">
        <v>68</v>
      </c>
      <c r="X4" s="14" t="s">
        <v>97</v>
      </c>
      <c r="Y4" s="14" t="s">
        <v>74</v>
      </c>
      <c r="Z4" s="14" t="s">
        <v>74</v>
      </c>
      <c r="AA4" s="14" t="s">
        <v>98</v>
      </c>
    </row>
    <row r="5" spans="1:27" s="14" customFormat="1">
      <c r="A5" s="12" t="s">
        <v>35</v>
      </c>
      <c r="B5" s="12">
        <v>715094</v>
      </c>
      <c r="C5" s="12" t="s">
        <v>31</v>
      </c>
      <c r="D5" s="13"/>
      <c r="E5" s="13"/>
      <c r="F5" s="12"/>
      <c r="AA5" s="14" t="s">
        <v>103</v>
      </c>
    </row>
    <row r="6" spans="1:27" s="7" customFormat="1">
      <c r="A6" s="12" t="s">
        <v>54</v>
      </c>
      <c r="B6" s="12">
        <v>18325506</v>
      </c>
      <c r="C6" s="12" t="s">
        <v>31</v>
      </c>
      <c r="D6" s="13">
        <v>9113</v>
      </c>
      <c r="E6" s="13">
        <v>37706</v>
      </c>
      <c r="F6" s="12">
        <v>78</v>
      </c>
      <c r="G6" s="14" t="s">
        <v>68</v>
      </c>
      <c r="H6" s="14"/>
      <c r="I6" s="14"/>
      <c r="J6" s="14" t="s">
        <v>69</v>
      </c>
      <c r="K6" s="14"/>
      <c r="L6" s="14" t="s">
        <v>70</v>
      </c>
      <c r="M6" s="14" t="s">
        <v>71</v>
      </c>
      <c r="N6" s="14">
        <v>7</v>
      </c>
      <c r="O6" s="14">
        <v>0</v>
      </c>
      <c r="P6" s="14"/>
      <c r="Q6" s="14"/>
      <c r="R6" s="14"/>
      <c r="S6" s="14"/>
      <c r="T6" s="14"/>
      <c r="U6" s="14" t="s">
        <v>101</v>
      </c>
      <c r="V6" s="14" t="s">
        <v>139</v>
      </c>
      <c r="W6" s="14" t="s">
        <v>68</v>
      </c>
      <c r="X6" s="14" t="s">
        <v>138</v>
      </c>
      <c r="Y6" s="14" t="s">
        <v>74</v>
      </c>
      <c r="Z6" s="14" t="s">
        <v>74</v>
      </c>
      <c r="AA6" s="14" t="s">
        <v>208</v>
      </c>
    </row>
    <row r="7" spans="1:27" s="14" customFormat="1">
      <c r="A7" s="12" t="s">
        <v>214</v>
      </c>
      <c r="B7" s="12">
        <v>15957517</v>
      </c>
      <c r="C7" s="12" t="s">
        <v>29</v>
      </c>
      <c r="D7" s="25">
        <v>15385</v>
      </c>
      <c r="E7" s="25">
        <v>40567</v>
      </c>
      <c r="F7" s="12">
        <v>68</v>
      </c>
      <c r="G7" s="14" t="s">
        <v>210</v>
      </c>
      <c r="H7" s="14" t="s">
        <v>215</v>
      </c>
      <c r="I7" s="14" t="s">
        <v>216</v>
      </c>
      <c r="J7" s="14" t="s">
        <v>217</v>
      </c>
      <c r="L7" s="14" t="s">
        <v>70</v>
      </c>
      <c r="M7" s="14" t="s">
        <v>218</v>
      </c>
      <c r="N7" s="14">
        <v>2</v>
      </c>
      <c r="O7" s="14">
        <v>0</v>
      </c>
      <c r="U7" s="14" t="s">
        <v>96</v>
      </c>
      <c r="V7" s="14" t="s">
        <v>219</v>
      </c>
      <c r="W7" s="14" t="s">
        <v>68</v>
      </c>
      <c r="X7" s="14" t="s">
        <v>73</v>
      </c>
      <c r="Y7" s="14" t="s">
        <v>74</v>
      </c>
      <c r="Z7" s="14" t="s">
        <v>74</v>
      </c>
      <c r="AA7" s="14" t="s">
        <v>298</v>
      </c>
    </row>
    <row r="8" spans="1:27" s="14" customFormat="1">
      <c r="A8" s="12" t="s">
        <v>220</v>
      </c>
      <c r="B8" s="12">
        <v>16255275</v>
      </c>
      <c r="C8" s="12" t="s">
        <v>221</v>
      </c>
      <c r="D8" s="12"/>
      <c r="E8" s="25">
        <v>36630</v>
      </c>
      <c r="F8" s="26"/>
      <c r="G8" s="12"/>
      <c r="J8" s="12"/>
      <c r="AA8" s="14" t="s">
        <v>213</v>
      </c>
    </row>
    <row r="9" spans="1:27" s="14" customFormat="1">
      <c r="A9" s="12" t="s">
        <v>59</v>
      </c>
      <c r="B9" s="12">
        <v>25052046</v>
      </c>
      <c r="C9" s="12" t="s">
        <v>42</v>
      </c>
      <c r="D9" s="13"/>
      <c r="H9" s="15"/>
      <c r="I9" s="15"/>
      <c r="AA9" s="14" t="s">
        <v>153</v>
      </c>
    </row>
    <row r="10" spans="1:27" s="7" customFormat="1">
      <c r="A10" s="12" t="s">
        <v>222</v>
      </c>
      <c r="B10" s="12">
        <v>25121042</v>
      </c>
      <c r="C10" s="12" t="s">
        <v>31</v>
      </c>
      <c r="D10" s="25">
        <v>15110</v>
      </c>
      <c r="E10" s="25">
        <v>39307</v>
      </c>
      <c r="F10" s="26">
        <v>66</v>
      </c>
      <c r="G10" s="12" t="s">
        <v>210</v>
      </c>
      <c r="H10" s="14"/>
      <c r="I10" s="14"/>
      <c r="J10" s="12" t="s">
        <v>217</v>
      </c>
      <c r="K10" s="14"/>
      <c r="L10" s="14" t="s">
        <v>70</v>
      </c>
      <c r="M10" s="14" t="s">
        <v>223</v>
      </c>
      <c r="N10" s="14">
        <v>3</v>
      </c>
      <c r="O10" s="14">
        <v>0</v>
      </c>
      <c r="P10" s="14"/>
      <c r="Q10" s="14"/>
      <c r="R10" s="14"/>
      <c r="S10" s="14"/>
      <c r="T10" s="14"/>
      <c r="U10" s="14" t="s">
        <v>215</v>
      </c>
      <c r="V10" s="14" t="s">
        <v>76</v>
      </c>
      <c r="W10" s="14" t="s">
        <v>68</v>
      </c>
      <c r="X10" s="14" t="s">
        <v>73</v>
      </c>
      <c r="Y10" s="14" t="s">
        <v>74</v>
      </c>
      <c r="Z10" s="14" t="s">
        <v>74</v>
      </c>
      <c r="AA10" s="14" t="s">
        <v>224</v>
      </c>
    </row>
    <row r="11" spans="1:27" s="7" customFormat="1">
      <c r="A11" s="12" t="s">
        <v>62</v>
      </c>
      <c r="B11" s="12">
        <v>17254939</v>
      </c>
      <c r="C11" s="12" t="s">
        <v>31</v>
      </c>
      <c r="D11" s="13">
        <v>29021</v>
      </c>
      <c r="E11" s="13">
        <v>37011</v>
      </c>
      <c r="F11" s="12">
        <v>21</v>
      </c>
      <c r="G11" s="14" t="s">
        <v>79</v>
      </c>
      <c r="H11" s="14"/>
      <c r="I11" s="14"/>
      <c r="J11" s="14" t="s">
        <v>69</v>
      </c>
      <c r="K11" s="14"/>
      <c r="L11" s="14" t="s">
        <v>70</v>
      </c>
      <c r="M11" s="14" t="s">
        <v>94</v>
      </c>
      <c r="N11" s="14">
        <v>4</v>
      </c>
      <c r="O11" s="14">
        <v>0</v>
      </c>
      <c r="P11" s="14"/>
      <c r="Q11" s="14"/>
      <c r="R11" s="14"/>
      <c r="S11" s="14"/>
      <c r="T11" s="14"/>
      <c r="U11" s="14" t="s">
        <v>101</v>
      </c>
      <c r="V11" s="14" t="s">
        <v>119</v>
      </c>
      <c r="W11" s="14" t="s">
        <v>68</v>
      </c>
      <c r="X11" s="14" t="s">
        <v>73</v>
      </c>
      <c r="Y11" s="14" t="s">
        <v>74</v>
      </c>
      <c r="Z11" s="14" t="s">
        <v>74</v>
      </c>
      <c r="AA11" s="14" t="s">
        <v>148</v>
      </c>
    </row>
    <row r="12" spans="1:27" s="7" customFormat="1">
      <c r="A12" s="12" t="s">
        <v>66</v>
      </c>
      <c r="B12" s="12">
        <v>11766177</v>
      </c>
      <c r="C12" s="12" t="s">
        <v>31</v>
      </c>
      <c r="D12" s="13">
        <v>9619</v>
      </c>
      <c r="E12" s="13">
        <v>40735</v>
      </c>
      <c r="F12" s="12">
        <v>85</v>
      </c>
      <c r="G12" s="14" t="s">
        <v>68</v>
      </c>
      <c r="H12" s="14"/>
      <c r="I12" s="14"/>
      <c r="J12" s="14" t="s">
        <v>69</v>
      </c>
      <c r="K12" s="14"/>
      <c r="L12" s="14" t="s">
        <v>70</v>
      </c>
      <c r="M12" s="14" t="s">
        <v>71</v>
      </c>
      <c r="N12" s="14">
        <v>4</v>
      </c>
      <c r="O12" s="14">
        <v>0</v>
      </c>
      <c r="P12" s="14"/>
      <c r="Q12" s="14"/>
      <c r="R12" s="14"/>
      <c r="S12" s="14"/>
      <c r="T12" s="14"/>
      <c r="U12" s="14" t="s">
        <v>90</v>
      </c>
      <c r="V12" s="14" t="s">
        <v>90</v>
      </c>
      <c r="W12" s="14" t="s">
        <v>68</v>
      </c>
      <c r="X12" s="14" t="s">
        <v>73</v>
      </c>
      <c r="Y12" s="14" t="s">
        <v>74</v>
      </c>
      <c r="Z12" s="14" t="s">
        <v>74</v>
      </c>
      <c r="AA12" s="14" t="s">
        <v>208</v>
      </c>
    </row>
    <row r="13" spans="1:27" s="7" customFormat="1">
      <c r="A13" s="12" t="s">
        <v>67</v>
      </c>
      <c r="B13" s="12">
        <v>15402639</v>
      </c>
      <c r="C13" s="12" t="s">
        <v>31</v>
      </c>
      <c r="D13" s="13">
        <v>16143</v>
      </c>
      <c r="E13" s="13">
        <v>39090</v>
      </c>
      <c r="F13" s="12">
        <v>62</v>
      </c>
      <c r="G13" s="14" t="s">
        <v>135</v>
      </c>
      <c r="H13" s="14"/>
      <c r="I13" s="14"/>
      <c r="J13" s="14" t="s">
        <v>69</v>
      </c>
      <c r="K13" s="14"/>
      <c r="L13" s="14" t="s">
        <v>70</v>
      </c>
      <c r="M13" s="14" t="s">
        <v>71</v>
      </c>
      <c r="N13" s="14">
        <v>3</v>
      </c>
      <c r="O13" s="14">
        <v>0</v>
      </c>
      <c r="P13" s="14"/>
      <c r="Q13" s="14"/>
      <c r="R13" s="14"/>
      <c r="S13" s="14"/>
      <c r="T13" s="14"/>
      <c r="U13" s="14" t="s">
        <v>101</v>
      </c>
      <c r="V13" s="14" t="s">
        <v>90</v>
      </c>
      <c r="W13" s="14" t="s">
        <v>68</v>
      </c>
      <c r="X13" s="14" t="s">
        <v>73</v>
      </c>
      <c r="Y13" s="14" t="s">
        <v>74</v>
      </c>
      <c r="Z13" s="14" t="s">
        <v>74</v>
      </c>
      <c r="AA13" s="14" t="s">
        <v>152</v>
      </c>
    </row>
    <row r="14" spans="1:27" s="7" customFormat="1">
      <c r="A14" s="12" t="s">
        <v>225</v>
      </c>
      <c r="B14" s="12">
        <v>25065907</v>
      </c>
      <c r="C14" s="12" t="s">
        <v>226</v>
      </c>
      <c r="D14" s="25"/>
      <c r="E14" s="25">
        <v>38677</v>
      </c>
      <c r="F14" s="26"/>
      <c r="G14" s="12"/>
      <c r="H14" s="14"/>
      <c r="I14" s="14"/>
      <c r="J14" s="12" t="s">
        <v>227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 t="s">
        <v>228</v>
      </c>
    </row>
    <row r="15" spans="1:27" s="7" customFormat="1">
      <c r="A15" s="12" t="s">
        <v>244</v>
      </c>
      <c r="B15" s="12">
        <v>3661089</v>
      </c>
      <c r="C15" s="12" t="s">
        <v>29</v>
      </c>
      <c r="D15" s="25">
        <v>11966</v>
      </c>
      <c r="E15" s="25">
        <v>38588</v>
      </c>
      <c r="F15" s="26">
        <v>72</v>
      </c>
      <c r="G15" s="12" t="s">
        <v>210</v>
      </c>
      <c r="H15" s="14"/>
      <c r="I15" s="14"/>
      <c r="J15" s="12" t="s">
        <v>69</v>
      </c>
      <c r="K15" s="14" t="s">
        <v>88</v>
      </c>
      <c r="L15" s="14" t="s">
        <v>70</v>
      </c>
      <c r="M15" s="14" t="s">
        <v>245</v>
      </c>
      <c r="N15" s="14">
        <v>3</v>
      </c>
      <c r="O15" s="14">
        <v>0</v>
      </c>
      <c r="P15" s="14"/>
      <c r="Q15" s="14"/>
      <c r="R15" s="14"/>
      <c r="S15" s="14"/>
      <c r="T15" s="14"/>
      <c r="U15" s="14" t="s">
        <v>90</v>
      </c>
      <c r="V15" s="14" t="s">
        <v>90</v>
      </c>
      <c r="W15" s="14" t="s">
        <v>68</v>
      </c>
      <c r="X15" s="14" t="s">
        <v>73</v>
      </c>
      <c r="Y15" s="14" t="s">
        <v>74</v>
      </c>
      <c r="Z15" s="14" t="s">
        <v>74</v>
      </c>
      <c r="AA15" s="14" t="s">
        <v>246</v>
      </c>
    </row>
    <row r="16" spans="1:27" s="7" customFormat="1">
      <c r="A16" s="12" t="s">
        <v>264</v>
      </c>
      <c r="B16" s="12">
        <v>25372145</v>
      </c>
      <c r="C16" s="12" t="s">
        <v>31</v>
      </c>
      <c r="D16" s="25">
        <v>15625</v>
      </c>
      <c r="E16" s="25">
        <v>40226</v>
      </c>
      <c r="F16" s="12">
        <v>67</v>
      </c>
      <c r="G16" s="14" t="s">
        <v>210</v>
      </c>
      <c r="H16" s="14" t="s">
        <v>215</v>
      </c>
      <c r="I16" s="14" t="s">
        <v>265</v>
      </c>
      <c r="J16" s="25" t="s">
        <v>69</v>
      </c>
      <c r="K16" s="14" t="s">
        <v>235</v>
      </c>
      <c r="L16" s="14" t="s">
        <v>70</v>
      </c>
      <c r="M16" s="14" t="s">
        <v>266</v>
      </c>
      <c r="N16" s="14">
        <v>3</v>
      </c>
      <c r="O16" s="14">
        <v>1</v>
      </c>
      <c r="P16" s="14"/>
      <c r="Q16" s="14"/>
      <c r="R16" s="14"/>
      <c r="S16" s="14"/>
      <c r="T16" s="14"/>
      <c r="U16" s="14" t="s">
        <v>267</v>
      </c>
      <c r="V16" s="14" t="s">
        <v>267</v>
      </c>
      <c r="W16" s="14" t="s">
        <v>68</v>
      </c>
      <c r="X16" s="14" t="s">
        <v>73</v>
      </c>
      <c r="Y16" s="14" t="s">
        <v>74</v>
      </c>
      <c r="Z16" s="14" t="s">
        <v>74</v>
      </c>
      <c r="AA16" s="14" t="s">
        <v>268</v>
      </c>
    </row>
    <row r="17" spans="1:27" s="7" customFormat="1">
      <c r="A17" s="12" t="s">
        <v>277</v>
      </c>
      <c r="B17" s="12">
        <v>13049515</v>
      </c>
      <c r="C17" s="12" t="s">
        <v>278</v>
      </c>
      <c r="D17" s="12"/>
      <c r="E17" s="25">
        <v>36363</v>
      </c>
      <c r="F17" s="26"/>
      <c r="G17" s="12"/>
      <c r="H17" s="14"/>
      <c r="I17" s="14"/>
      <c r="J17" s="12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 t="s">
        <v>279</v>
      </c>
    </row>
    <row r="18" spans="1:27" s="7" customFormat="1">
      <c r="A18" s="12" t="s">
        <v>283</v>
      </c>
      <c r="B18" s="12">
        <v>4173464</v>
      </c>
      <c r="C18" s="12" t="s">
        <v>278</v>
      </c>
      <c r="D18" s="12"/>
      <c r="E18" s="25">
        <v>36920</v>
      </c>
      <c r="F18" s="26"/>
      <c r="G18" s="12"/>
      <c r="H18" s="14"/>
      <c r="I18" s="14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 t="s">
        <v>284</v>
      </c>
    </row>
    <row r="19" spans="1:27" s="7" customFormat="1">
      <c r="A19" s="12" t="s">
        <v>285</v>
      </c>
      <c r="B19" s="12">
        <v>18307512</v>
      </c>
      <c r="C19" s="12" t="s">
        <v>31</v>
      </c>
      <c r="D19" s="25"/>
      <c r="E19" s="25">
        <v>37816</v>
      </c>
      <c r="F19" s="26"/>
      <c r="G19" s="12"/>
      <c r="H19" s="14"/>
      <c r="I19" s="14"/>
      <c r="J19" s="1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 t="s">
        <v>286</v>
      </c>
    </row>
    <row r="20" spans="1:27" s="7" customFormat="1">
      <c r="A20" s="12" t="s">
        <v>296</v>
      </c>
      <c r="B20" s="12">
        <v>18704866</v>
      </c>
      <c r="C20" s="12" t="s">
        <v>297</v>
      </c>
      <c r="D20" s="12"/>
      <c r="E20" s="25">
        <v>38266</v>
      </c>
      <c r="F20" s="26"/>
      <c r="G20" s="12"/>
      <c r="H20" s="14"/>
      <c r="I20" s="14"/>
      <c r="J20" s="1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298</v>
      </c>
    </row>
    <row r="21" spans="1:27" s="7" customFormat="1">
      <c r="A21" s="12" t="s">
        <v>300</v>
      </c>
      <c r="B21" s="12">
        <v>35048327</v>
      </c>
      <c r="C21" s="12" t="s">
        <v>226</v>
      </c>
      <c r="D21" s="12"/>
      <c r="E21" s="25">
        <v>38611</v>
      </c>
      <c r="F21" s="26"/>
      <c r="G21" s="12"/>
      <c r="H21" s="14"/>
      <c r="I21" s="14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 t="s">
        <v>301</v>
      </c>
    </row>
    <row r="22" spans="1:27" s="7" customFormat="1">
      <c r="A22" s="12" t="s">
        <v>311</v>
      </c>
      <c r="B22" s="12">
        <v>98388614</v>
      </c>
      <c r="C22" s="12" t="s">
        <v>278</v>
      </c>
      <c r="D22" s="25">
        <v>15026</v>
      </c>
      <c r="E22" s="25">
        <v>36577</v>
      </c>
      <c r="F22" s="26">
        <v>59</v>
      </c>
      <c r="G22" s="12" t="s">
        <v>210</v>
      </c>
      <c r="H22" s="14"/>
      <c r="I22" s="14"/>
      <c r="J22" s="12" t="s">
        <v>69</v>
      </c>
      <c r="K22" s="14" t="s">
        <v>88</v>
      </c>
      <c r="L22" s="14" t="s">
        <v>70</v>
      </c>
      <c r="M22" s="14" t="s">
        <v>272</v>
      </c>
      <c r="N22" s="14" t="s">
        <v>90</v>
      </c>
      <c r="O22" s="14" t="s">
        <v>90</v>
      </c>
      <c r="P22" s="14"/>
      <c r="Q22" s="14"/>
      <c r="R22" s="14"/>
      <c r="S22" s="14"/>
      <c r="T22" s="14"/>
      <c r="U22" s="14" t="s">
        <v>79</v>
      </c>
      <c r="V22" s="14" t="s">
        <v>76</v>
      </c>
      <c r="W22" s="14" t="s">
        <v>68</v>
      </c>
      <c r="X22" s="14" t="s">
        <v>73</v>
      </c>
      <c r="Y22" s="14" t="s">
        <v>74</v>
      </c>
      <c r="Z22" s="14" t="s">
        <v>74</v>
      </c>
      <c r="AA22" s="14" t="s">
        <v>312</v>
      </c>
    </row>
    <row r="23" spans="1:27" s="7" customFormat="1">
      <c r="A23" s="12" t="s">
        <v>318</v>
      </c>
      <c r="B23" s="12">
        <v>15590391</v>
      </c>
      <c r="C23" s="12" t="s">
        <v>29</v>
      </c>
      <c r="D23" s="25">
        <v>9467</v>
      </c>
      <c r="E23" s="25">
        <v>39535</v>
      </c>
      <c r="F23" s="26">
        <v>82</v>
      </c>
      <c r="G23" s="12" t="s">
        <v>210</v>
      </c>
      <c r="H23" s="14" t="s">
        <v>215</v>
      </c>
      <c r="I23" s="14"/>
      <c r="J23" s="12" t="s">
        <v>319</v>
      </c>
      <c r="K23" s="14"/>
      <c r="L23" s="14" t="s">
        <v>70</v>
      </c>
      <c r="M23" s="14" t="s">
        <v>320</v>
      </c>
      <c r="N23" s="14">
        <v>12</v>
      </c>
      <c r="O23" s="14" t="s">
        <v>90</v>
      </c>
      <c r="P23" s="14"/>
      <c r="Q23" s="14"/>
      <c r="R23" s="14"/>
      <c r="S23" s="14"/>
      <c r="T23" s="14"/>
      <c r="U23" s="14" t="s">
        <v>321</v>
      </c>
      <c r="V23" s="14" t="s">
        <v>83</v>
      </c>
      <c r="W23" s="14" t="s">
        <v>68</v>
      </c>
      <c r="X23" s="14" t="s">
        <v>73</v>
      </c>
      <c r="Y23" s="14" t="s">
        <v>74</v>
      </c>
      <c r="Z23" s="14" t="s">
        <v>74</v>
      </c>
      <c r="AA23" s="14" t="s">
        <v>322</v>
      </c>
    </row>
    <row r="24" spans="1:27" s="7" customFormat="1">
      <c r="A24" s="12" t="s">
        <v>328</v>
      </c>
      <c r="B24" s="12">
        <v>25086831</v>
      </c>
      <c r="C24" s="12" t="s">
        <v>31</v>
      </c>
      <c r="D24" s="12"/>
      <c r="E24" s="25">
        <v>38754</v>
      </c>
      <c r="F24" s="26"/>
      <c r="G24" s="12"/>
      <c r="H24" s="14"/>
      <c r="I24" s="14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 t="s">
        <v>228</v>
      </c>
    </row>
  </sheetData>
  <sortState ref="A2:AA24">
    <sortCondition ref="A2:A2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PatientInfo</vt:lpstr>
      <vt:lpstr>Xray info</vt:lpstr>
      <vt:lpstr>CTSCan</vt:lpstr>
      <vt:lpstr>Cost</vt:lpstr>
      <vt:lpstr>Patients that are removed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Thakur</dc:creator>
  <cp:lastModifiedBy>bwu2</cp:lastModifiedBy>
  <dcterms:created xsi:type="dcterms:W3CDTF">2011-12-27T17:48:31Z</dcterms:created>
  <dcterms:modified xsi:type="dcterms:W3CDTF">2012-05-10T19:29:38Z</dcterms:modified>
</cp:coreProperties>
</file>