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autoCompressPictures="0"/>
  <bookViews>
    <workbookView xWindow="1365" yWindow="-75" windowWidth="19125" windowHeight="7620" activeTab="1"/>
  </bookViews>
  <sheets>
    <sheet name="Sheet1" sheetId="1" r:id="rId1"/>
    <sheet name="Sheet2" sheetId="2" r:id="rId2"/>
    <sheet name="Sheet3" sheetId="3" r:id="rId3"/>
  </sheets>
  <calcPr calcId="145621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O6" i="2" l="1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5" i="2"/>
  <c r="N7" i="2"/>
  <c r="N10" i="2"/>
  <c r="N12" i="2"/>
  <c r="N15" i="2"/>
  <c r="N17" i="2"/>
  <c r="N20" i="2"/>
  <c r="N22" i="2"/>
  <c r="N25" i="2"/>
  <c r="N27" i="2"/>
  <c r="N30" i="2"/>
  <c r="N32" i="2"/>
  <c r="N35" i="2"/>
  <c r="N37" i="2"/>
  <c r="N40" i="2"/>
  <c r="N42" i="2"/>
  <c r="N45" i="2"/>
  <c r="N47" i="2"/>
  <c r="N50" i="2"/>
  <c r="N52" i="2"/>
  <c r="N55" i="2"/>
  <c r="N57" i="2"/>
  <c r="N60" i="2"/>
  <c r="N62" i="2"/>
  <c r="N65" i="2"/>
  <c r="N67" i="2"/>
  <c r="N5" i="2"/>
  <c r="M62" i="2"/>
  <c r="M50" i="2"/>
  <c r="M7" i="2"/>
  <c r="M10" i="2"/>
  <c r="M12" i="2"/>
  <c r="M15" i="2"/>
  <c r="M17" i="2"/>
  <c r="M20" i="2"/>
  <c r="M22" i="2"/>
  <c r="M25" i="2"/>
  <c r="M27" i="2"/>
  <c r="M30" i="2"/>
  <c r="M32" i="2"/>
  <c r="M35" i="2"/>
  <c r="M37" i="2"/>
  <c r="M40" i="2"/>
  <c r="M42" i="2"/>
  <c r="M45" i="2"/>
  <c r="M47" i="2"/>
  <c r="M52" i="2"/>
  <c r="M55" i="2"/>
  <c r="M57" i="2"/>
  <c r="M60" i="2"/>
  <c r="M65" i="2"/>
  <c r="M67" i="2"/>
  <c r="M5" i="2"/>
  <c r="L7" i="2" l="1"/>
  <c r="L10" i="2"/>
  <c r="L12" i="2"/>
  <c r="L15" i="2"/>
  <c r="L17" i="2"/>
  <c r="L20" i="2"/>
  <c r="L22" i="2"/>
  <c r="L25" i="2"/>
  <c r="L27" i="2"/>
  <c r="L30" i="2"/>
  <c r="L32" i="2"/>
  <c r="L35" i="2"/>
  <c r="L37" i="2"/>
  <c r="K7" i="2"/>
  <c r="K10" i="2"/>
  <c r="K12" i="2"/>
  <c r="K15" i="2"/>
  <c r="K17" i="2"/>
  <c r="K20" i="2"/>
  <c r="K22" i="2"/>
  <c r="K25" i="2"/>
  <c r="K27" i="2"/>
  <c r="K30" i="2"/>
  <c r="K32" i="2"/>
  <c r="K35" i="2"/>
  <c r="K37" i="2"/>
  <c r="J7" i="2"/>
  <c r="J10" i="2"/>
  <c r="J12" i="2"/>
  <c r="J15" i="2"/>
  <c r="J17" i="2"/>
  <c r="J20" i="2"/>
  <c r="J22" i="2"/>
  <c r="J25" i="2"/>
  <c r="J27" i="2"/>
  <c r="J30" i="2"/>
  <c r="J32" i="2"/>
  <c r="J35" i="2"/>
  <c r="J37" i="2"/>
  <c r="K5" i="2"/>
  <c r="L5" i="2"/>
  <c r="J5" i="2"/>
  <c r="G68" i="2"/>
  <c r="G67" i="2"/>
  <c r="F65" i="2"/>
  <c r="G65" i="2"/>
  <c r="G66" i="2"/>
  <c r="F68" i="2"/>
  <c r="F67" i="2"/>
  <c r="F66" i="2"/>
  <c r="E68" i="2"/>
  <c r="E67" i="2"/>
  <c r="E66" i="2"/>
  <c r="E65" i="2"/>
  <c r="G63" i="2"/>
  <c r="G62" i="2"/>
  <c r="G61" i="2"/>
  <c r="G60" i="2"/>
  <c r="F63" i="2"/>
  <c r="F62" i="2"/>
  <c r="F61" i="2"/>
  <c r="F60" i="2"/>
  <c r="E63" i="2"/>
  <c r="E62" i="2"/>
  <c r="J62" i="2" s="1"/>
  <c r="E61" i="2"/>
  <c r="E60" i="2"/>
  <c r="J60" i="2" s="1"/>
  <c r="G58" i="2"/>
  <c r="G57" i="2"/>
  <c r="L57" i="2" s="1"/>
  <c r="G56" i="2"/>
  <c r="G55" i="2"/>
  <c r="L55" i="2" s="1"/>
  <c r="F58" i="2"/>
  <c r="F57" i="2"/>
  <c r="K57" i="2" s="1"/>
  <c r="F56" i="2"/>
  <c r="F55" i="2"/>
  <c r="K55" i="2" s="1"/>
  <c r="E58" i="2"/>
  <c r="E57" i="2"/>
  <c r="J57" i="2" s="1"/>
  <c r="E56" i="2"/>
  <c r="E55" i="2"/>
  <c r="J55" i="2" s="1"/>
  <c r="K60" i="2" l="1"/>
  <c r="K62" i="2"/>
  <c r="L60" i="2"/>
  <c r="L62" i="2"/>
  <c r="J65" i="2"/>
  <c r="J67" i="2"/>
  <c r="K67" i="2"/>
  <c r="L65" i="2"/>
  <c r="L67" i="2"/>
  <c r="K65" i="2"/>
  <c r="F53" i="2"/>
  <c r="G50" i="2"/>
  <c r="G51" i="2"/>
  <c r="G53" i="2"/>
  <c r="G52" i="2"/>
  <c r="F52" i="2"/>
  <c r="F51" i="2"/>
  <c r="F50" i="2"/>
  <c r="E53" i="2"/>
  <c r="E52" i="2"/>
  <c r="E51" i="2"/>
  <c r="E50" i="2"/>
  <c r="G48" i="2"/>
  <c r="G47" i="2"/>
  <c r="G46" i="2"/>
  <c r="G45" i="2"/>
  <c r="F48" i="2"/>
  <c r="F47" i="2"/>
  <c r="F46" i="2"/>
  <c r="F45" i="2"/>
  <c r="E48" i="2"/>
  <c r="E47" i="2"/>
  <c r="E46" i="2"/>
  <c r="E45" i="2"/>
  <c r="G43" i="2"/>
  <c r="G42" i="2"/>
  <c r="G41" i="2"/>
  <c r="G40" i="2"/>
  <c r="F43" i="2"/>
  <c r="F42" i="2"/>
  <c r="F41" i="2"/>
  <c r="F40" i="2"/>
  <c r="E43" i="2"/>
  <c r="E42" i="2"/>
  <c r="E41" i="2"/>
  <c r="E40" i="2"/>
  <c r="E73" i="2"/>
  <c r="F73" i="2"/>
  <c r="G73" i="2"/>
  <c r="E74" i="2"/>
  <c r="F74" i="2"/>
  <c r="G74" i="2"/>
  <c r="E75" i="2"/>
  <c r="F75" i="2"/>
  <c r="G75" i="2"/>
  <c r="E76" i="2"/>
  <c r="F76" i="2"/>
  <c r="G76" i="2"/>
  <c r="F43" i="1"/>
  <c r="G43" i="1"/>
  <c r="F42" i="1"/>
  <c r="G42" i="1"/>
  <c r="F41" i="1"/>
  <c r="G41" i="1"/>
  <c r="F40" i="1"/>
  <c r="G40" i="1"/>
  <c r="E43" i="1"/>
  <c r="E42" i="1"/>
  <c r="E41" i="1"/>
  <c r="E40" i="1"/>
  <c r="J40" i="2" l="1"/>
  <c r="J42" i="2"/>
  <c r="K40" i="2"/>
  <c r="K42" i="2"/>
  <c r="L40" i="2"/>
  <c r="L42" i="2"/>
  <c r="J45" i="2"/>
  <c r="J47" i="2"/>
  <c r="K45" i="2"/>
  <c r="K47" i="2"/>
  <c r="L45" i="2"/>
  <c r="L47" i="2"/>
  <c r="J50" i="2"/>
  <c r="J52" i="2"/>
  <c r="K50" i="2"/>
  <c r="K52" i="2"/>
  <c r="L50" i="2"/>
  <c r="L52" i="2"/>
  <c r="F140" i="2" s="1"/>
  <c r="F108" i="2"/>
  <c r="M73" i="2"/>
  <c r="M75" i="2"/>
  <c r="F110" i="2"/>
  <c r="G108" i="2"/>
  <c r="N73" i="2"/>
  <c r="N75" i="2"/>
  <c r="G110" i="2"/>
  <c r="O73" i="2"/>
  <c r="H108" i="2"/>
  <c r="H110" i="2"/>
  <c r="O75" i="2"/>
  <c r="F109" i="2"/>
  <c r="M74" i="2"/>
  <c r="F111" i="2"/>
  <c r="M76" i="2"/>
  <c r="G109" i="2"/>
  <c r="N74" i="2"/>
  <c r="G111" i="2"/>
  <c r="N76" i="2"/>
  <c r="H109" i="2"/>
  <c r="O74" i="2"/>
  <c r="H111" i="2"/>
  <c r="O76" i="2"/>
  <c r="E140" i="2" l="1"/>
  <c r="D140" i="2"/>
  <c r="N140" i="2" s="1"/>
  <c r="F139" i="2"/>
  <c r="E139" i="2"/>
  <c r="D139" i="2"/>
  <c r="M139" i="2" l="1"/>
  <c r="N139" i="2"/>
  <c r="M140" i="2"/>
</calcChain>
</file>

<file path=xl/sharedStrings.xml><?xml version="1.0" encoding="utf-8"?>
<sst xmlns="http://schemas.openxmlformats.org/spreadsheetml/2006/main" count="251" uniqueCount="58">
  <si>
    <t>cadaver 5667</t>
  </si>
  <si>
    <t>xray</t>
  </si>
  <si>
    <t>1.5 mAs</t>
  </si>
  <si>
    <t>50kV</t>
  </si>
  <si>
    <t>prefusion</t>
  </si>
  <si>
    <t>AP</t>
  </si>
  <si>
    <t>lateral</t>
  </si>
  <si>
    <t>abduc</t>
  </si>
  <si>
    <t>adduc</t>
  </si>
  <si>
    <t>post fusion</t>
  </si>
  <si>
    <t>post scaphoid excision</t>
  </si>
  <si>
    <t>L</t>
  </si>
  <si>
    <t>R</t>
  </si>
  <si>
    <t>3R</t>
    <phoneticPr fontId="2" type="noConversion"/>
  </si>
  <si>
    <t>4L</t>
    <phoneticPr fontId="2" type="noConversion"/>
  </si>
  <si>
    <t>5R</t>
    <phoneticPr fontId="2" type="noConversion"/>
  </si>
  <si>
    <t>6R</t>
    <phoneticPr fontId="2" type="noConversion"/>
  </si>
  <si>
    <t>7L</t>
    <phoneticPr fontId="2" type="noConversion"/>
  </si>
  <si>
    <t>average</t>
    <phoneticPr fontId="2" type="noConversion"/>
  </si>
  <si>
    <t>rounded average</t>
    <phoneticPr fontId="2" type="noConversion"/>
  </si>
  <si>
    <t>pre-fusion</t>
    <phoneticPr fontId="2" type="noConversion"/>
  </si>
  <si>
    <t>post-fusion</t>
    <phoneticPr fontId="2" type="noConversion"/>
  </si>
  <si>
    <t>s/p scaphoid excision</t>
    <phoneticPr fontId="2" type="noConversion"/>
  </si>
  <si>
    <t>extension</t>
    <phoneticPr fontId="2" type="noConversion"/>
  </si>
  <si>
    <t>palmer abduc</t>
    <phoneticPr fontId="2" type="noConversion"/>
  </si>
  <si>
    <t>8L</t>
  </si>
  <si>
    <t>10L</t>
  </si>
  <si>
    <t>11L</t>
  </si>
  <si>
    <t>12L</t>
  </si>
  <si>
    <t>average1-7</t>
  </si>
  <si>
    <t>average 8-13</t>
  </si>
  <si>
    <t>rounded average 1-8</t>
  </si>
  <si>
    <t>rounded average 9-13</t>
  </si>
  <si>
    <t>average 1-13</t>
  </si>
  <si>
    <t>fusion</t>
  </si>
  <si>
    <t>scaphoid excision</t>
  </si>
  <si>
    <t>% normal</t>
  </si>
  <si>
    <t>1L</t>
  </si>
  <si>
    <t>2R</t>
  </si>
  <si>
    <t>Arc of motion</t>
  </si>
  <si>
    <t>Post scaphoid excision</t>
  </si>
  <si>
    <t>lat</t>
  </si>
  <si>
    <t>ap</t>
  </si>
  <si>
    <t>Average arc of motion</t>
  </si>
  <si>
    <t>% prefusion arc of motion</t>
  </si>
  <si>
    <t>9R Eaton1</t>
  </si>
  <si>
    <t>13R Eaton 2</t>
  </si>
  <si>
    <t>palmar abduc</t>
  </si>
  <si>
    <t>Average motion</t>
  </si>
  <si>
    <t>Lateral</t>
  </si>
  <si>
    <t>palmar abduction</t>
  </si>
  <si>
    <t>PA</t>
  </si>
  <si>
    <t>Palmar adduction</t>
  </si>
  <si>
    <t>Planar abduction</t>
  </si>
  <si>
    <t>Planar adduction</t>
  </si>
  <si>
    <t>postfusion/prefusion</t>
  </si>
  <si>
    <t>scaph exc/prefusion</t>
  </si>
  <si>
    <t>diff in arc of motion pre/post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</si>
</sst>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/>
    <xf numFmtId="0" fontId="0" fillId="0" borderId="0" xfId="0" applyAlignment="1"/>
    <xf numFmtId="0" fontId="1" fillId="0" borderId="0" xfId="0" applyFont="1"/>
    <xf numFmtId="0" fontId="1" fillId="0" borderId="0" xfId="0" applyFont="1"/>
    <xf numFmtId="0" fontId="1" fillId="0" borderId="0" xfId="0" applyFont="1" applyAlignment="1">
      <alignment wrapText="1"/>
    </xf>
    <xf numFmtId="0" fontId="1" fillId="0" borderId="0" xfId="0" applyFont="1"/>
    <xf numFmtId="0" fontId="1" fillId="0" borderId="0" xfId="0" applyFont="1" applyAlignment="1">
      <alignment wrapText="1"/>
    </xf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/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Sheet1!$E$45</c:f>
              <c:strCache>
                <c:ptCount val="1"/>
                <c:pt idx="0">
                  <c:v>pre-fusion</c:v>
                </c:pt>
              </c:strCache>
            </c:strRef>
          </c:tx>
          <c:invertIfNegative val="0"/>
          <c:cat>
            <c:multiLvlStrRef>
              <c:f>Sheet1!$B$46:$D$49</c:f>
              <c:multiLvlStrCache>
                <c:ptCount val="4"/>
                <c:lvl>
                  <c:pt idx="0">
                    <c:v>palmer abduc</c:v>
                  </c:pt>
                  <c:pt idx="1">
                    <c:v>extension</c:v>
                  </c:pt>
                  <c:pt idx="2">
                    <c:v>abduc</c:v>
                  </c:pt>
                  <c:pt idx="3">
                    <c:v>adduc</c:v>
                  </c:pt>
                </c:lvl>
                <c:lvl>
                  <c:pt idx="0">
                    <c:v>lateral</c:v>
                  </c:pt>
                  <c:pt idx="2">
                    <c:v>AP</c:v>
                  </c:pt>
                </c:lvl>
                <c:lvl>
                  <c:pt idx="0">
                    <c:v>rounded average</c:v>
                  </c:pt>
                </c:lvl>
              </c:multiLvlStrCache>
            </c:multiLvlStrRef>
          </c:cat>
          <c:val>
            <c:numRef>
              <c:f>Sheet1!$E$46:$E$49</c:f>
              <c:numCache>
                <c:formatCode>General</c:formatCode>
                <c:ptCount val="4"/>
                <c:pt idx="0">
                  <c:v>40</c:v>
                </c:pt>
                <c:pt idx="1">
                  <c:v>-12</c:v>
                </c:pt>
                <c:pt idx="2">
                  <c:v>40</c:v>
                </c:pt>
                <c:pt idx="3">
                  <c:v>-9</c:v>
                </c:pt>
              </c:numCache>
            </c:numRef>
          </c:val>
        </c:ser>
        <c:ser>
          <c:idx val="1"/>
          <c:order val="1"/>
          <c:tx>
            <c:strRef>
              <c:f>Sheet1!$F$45</c:f>
              <c:strCache>
                <c:ptCount val="1"/>
                <c:pt idx="0">
                  <c:v>post-fusion</c:v>
                </c:pt>
              </c:strCache>
            </c:strRef>
          </c:tx>
          <c:invertIfNegative val="0"/>
          <c:cat>
            <c:multiLvlStrRef>
              <c:f>Sheet1!$B$46:$D$49</c:f>
              <c:multiLvlStrCache>
                <c:ptCount val="4"/>
                <c:lvl>
                  <c:pt idx="0">
                    <c:v>palmer abduc</c:v>
                  </c:pt>
                  <c:pt idx="1">
                    <c:v>extension</c:v>
                  </c:pt>
                  <c:pt idx="2">
                    <c:v>abduc</c:v>
                  </c:pt>
                  <c:pt idx="3">
                    <c:v>adduc</c:v>
                  </c:pt>
                </c:lvl>
                <c:lvl>
                  <c:pt idx="0">
                    <c:v>lateral</c:v>
                  </c:pt>
                  <c:pt idx="2">
                    <c:v>AP</c:v>
                  </c:pt>
                </c:lvl>
                <c:lvl>
                  <c:pt idx="0">
                    <c:v>rounded average</c:v>
                  </c:pt>
                </c:lvl>
              </c:multiLvlStrCache>
            </c:multiLvlStrRef>
          </c:cat>
          <c:val>
            <c:numRef>
              <c:f>Sheet1!$F$46:$F$49</c:f>
              <c:numCache>
                <c:formatCode>General</c:formatCode>
                <c:ptCount val="4"/>
                <c:pt idx="0">
                  <c:v>27</c:v>
                </c:pt>
                <c:pt idx="1">
                  <c:v>10</c:v>
                </c:pt>
                <c:pt idx="2">
                  <c:v>34</c:v>
                </c:pt>
                <c:pt idx="3">
                  <c:v>15</c:v>
                </c:pt>
              </c:numCache>
            </c:numRef>
          </c:val>
        </c:ser>
        <c:ser>
          <c:idx val="2"/>
          <c:order val="2"/>
          <c:tx>
            <c:strRef>
              <c:f>Sheet1!$G$45</c:f>
              <c:strCache>
                <c:ptCount val="1"/>
                <c:pt idx="0">
                  <c:v>s/p scaphoid excision</c:v>
                </c:pt>
              </c:strCache>
            </c:strRef>
          </c:tx>
          <c:invertIfNegative val="0"/>
          <c:cat>
            <c:multiLvlStrRef>
              <c:f>Sheet1!$B$46:$D$49</c:f>
              <c:multiLvlStrCache>
                <c:ptCount val="4"/>
                <c:lvl>
                  <c:pt idx="0">
                    <c:v>palmer abduc</c:v>
                  </c:pt>
                  <c:pt idx="1">
                    <c:v>extension</c:v>
                  </c:pt>
                  <c:pt idx="2">
                    <c:v>abduc</c:v>
                  </c:pt>
                  <c:pt idx="3">
                    <c:v>adduc</c:v>
                  </c:pt>
                </c:lvl>
                <c:lvl>
                  <c:pt idx="0">
                    <c:v>lateral</c:v>
                  </c:pt>
                  <c:pt idx="2">
                    <c:v>AP</c:v>
                  </c:pt>
                </c:lvl>
                <c:lvl>
                  <c:pt idx="0">
                    <c:v>rounded average</c:v>
                  </c:pt>
                </c:lvl>
              </c:multiLvlStrCache>
            </c:multiLvlStrRef>
          </c:cat>
          <c:val>
            <c:numRef>
              <c:f>Sheet1!$G$46:$G$49</c:f>
              <c:numCache>
                <c:formatCode>General</c:formatCode>
                <c:ptCount val="4"/>
                <c:pt idx="0">
                  <c:v>32</c:v>
                </c:pt>
                <c:pt idx="1">
                  <c:v>-2</c:v>
                </c:pt>
                <c:pt idx="2">
                  <c:v>37</c:v>
                </c:pt>
                <c:pt idx="3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8156928"/>
        <c:axId val="58158464"/>
        <c:axId val="0"/>
      </c:bar3DChart>
      <c:catAx>
        <c:axId val="58156928"/>
        <c:scaling>
          <c:orientation val="minMax"/>
        </c:scaling>
        <c:delete val="0"/>
        <c:axPos val="b"/>
        <c:majorTickMark val="out"/>
        <c:minorTickMark val="none"/>
        <c:tickLblPos val="nextTo"/>
        <c:crossAx val="58158464"/>
        <c:crosses val="autoZero"/>
        <c:auto val="1"/>
        <c:lblAlgn val="ctr"/>
        <c:lblOffset val="100"/>
        <c:noMultiLvlLbl val="0"/>
      </c:catAx>
      <c:valAx>
        <c:axId val="58158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8156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Sheet2!$M$84</c:f>
              <c:strCache>
                <c:ptCount val="1"/>
                <c:pt idx="0">
                  <c:v>pre-fusion</c:v>
                </c:pt>
              </c:strCache>
            </c:strRef>
          </c:tx>
          <c:invertIfNegative val="0"/>
          <c:cat>
            <c:multiLvlStrRef>
              <c:f>Sheet2!$J$85:$L$88</c:f>
              <c:multiLvlStrCache>
                <c:ptCount val="4"/>
                <c:lvl>
                  <c:pt idx="0">
                    <c:v>palmar abduc</c:v>
                  </c:pt>
                  <c:pt idx="1">
                    <c:v>extension</c:v>
                  </c:pt>
                  <c:pt idx="2">
                    <c:v>abduc</c:v>
                  </c:pt>
                  <c:pt idx="3">
                    <c:v>adduc</c:v>
                  </c:pt>
                </c:lvl>
                <c:lvl>
                  <c:pt idx="0">
                    <c:v>lateral</c:v>
                  </c:pt>
                  <c:pt idx="2">
                    <c:v>PA</c:v>
                  </c:pt>
                </c:lvl>
                <c:lvl>
                  <c:pt idx="0">
                    <c:v>rounded average 9-13</c:v>
                  </c:pt>
                </c:lvl>
              </c:multiLvlStrCache>
            </c:multiLvlStrRef>
          </c:cat>
          <c:val>
            <c:numRef>
              <c:f>Sheet2!$M$85:$M$88</c:f>
              <c:numCache>
                <c:formatCode>General</c:formatCode>
                <c:ptCount val="4"/>
                <c:pt idx="0">
                  <c:v>45</c:v>
                </c:pt>
                <c:pt idx="1">
                  <c:v>-10</c:v>
                </c:pt>
                <c:pt idx="2">
                  <c:v>39</c:v>
                </c:pt>
                <c:pt idx="3">
                  <c:v>-5</c:v>
                </c:pt>
              </c:numCache>
            </c:numRef>
          </c:val>
        </c:ser>
        <c:ser>
          <c:idx val="1"/>
          <c:order val="1"/>
          <c:tx>
            <c:strRef>
              <c:f>Sheet2!$N$84</c:f>
              <c:strCache>
                <c:ptCount val="1"/>
                <c:pt idx="0">
                  <c:v>post-fusion</c:v>
                </c:pt>
              </c:strCache>
            </c:strRef>
          </c:tx>
          <c:invertIfNegative val="0"/>
          <c:cat>
            <c:multiLvlStrRef>
              <c:f>Sheet2!$J$85:$L$88</c:f>
              <c:multiLvlStrCache>
                <c:ptCount val="4"/>
                <c:lvl>
                  <c:pt idx="0">
                    <c:v>palmar abduc</c:v>
                  </c:pt>
                  <c:pt idx="1">
                    <c:v>extension</c:v>
                  </c:pt>
                  <c:pt idx="2">
                    <c:v>abduc</c:v>
                  </c:pt>
                  <c:pt idx="3">
                    <c:v>adduc</c:v>
                  </c:pt>
                </c:lvl>
                <c:lvl>
                  <c:pt idx="0">
                    <c:v>lateral</c:v>
                  </c:pt>
                  <c:pt idx="2">
                    <c:v>PA</c:v>
                  </c:pt>
                </c:lvl>
                <c:lvl>
                  <c:pt idx="0">
                    <c:v>rounded average 9-13</c:v>
                  </c:pt>
                </c:lvl>
              </c:multiLvlStrCache>
            </c:multiLvlStrRef>
          </c:cat>
          <c:val>
            <c:numRef>
              <c:f>Sheet2!$N$85:$N$88</c:f>
              <c:numCache>
                <c:formatCode>General</c:formatCode>
                <c:ptCount val="4"/>
                <c:pt idx="0">
                  <c:v>33</c:v>
                </c:pt>
                <c:pt idx="1">
                  <c:v>6</c:v>
                </c:pt>
                <c:pt idx="2">
                  <c:v>32</c:v>
                </c:pt>
                <c:pt idx="3">
                  <c:v>4</c:v>
                </c:pt>
              </c:numCache>
            </c:numRef>
          </c:val>
        </c:ser>
        <c:ser>
          <c:idx val="2"/>
          <c:order val="2"/>
          <c:tx>
            <c:strRef>
              <c:f>Sheet2!$O$84</c:f>
              <c:strCache>
                <c:ptCount val="1"/>
                <c:pt idx="0">
                  <c:v>s/p scaphoid excision</c:v>
                </c:pt>
              </c:strCache>
            </c:strRef>
          </c:tx>
          <c:invertIfNegative val="0"/>
          <c:cat>
            <c:multiLvlStrRef>
              <c:f>Sheet2!$J$85:$L$88</c:f>
              <c:multiLvlStrCache>
                <c:ptCount val="4"/>
                <c:lvl>
                  <c:pt idx="0">
                    <c:v>palmar abduc</c:v>
                  </c:pt>
                  <c:pt idx="1">
                    <c:v>extension</c:v>
                  </c:pt>
                  <c:pt idx="2">
                    <c:v>abduc</c:v>
                  </c:pt>
                  <c:pt idx="3">
                    <c:v>adduc</c:v>
                  </c:pt>
                </c:lvl>
                <c:lvl>
                  <c:pt idx="0">
                    <c:v>lateral</c:v>
                  </c:pt>
                  <c:pt idx="2">
                    <c:v>PA</c:v>
                  </c:pt>
                </c:lvl>
                <c:lvl>
                  <c:pt idx="0">
                    <c:v>rounded average 9-13</c:v>
                  </c:pt>
                </c:lvl>
              </c:multiLvlStrCache>
            </c:multiLvlStrRef>
          </c:cat>
          <c:val>
            <c:numRef>
              <c:f>Sheet2!$O$85:$O$88</c:f>
              <c:numCache>
                <c:formatCode>General</c:formatCode>
                <c:ptCount val="4"/>
                <c:pt idx="0">
                  <c:v>36</c:v>
                </c:pt>
                <c:pt idx="1">
                  <c:v>4</c:v>
                </c:pt>
                <c:pt idx="2">
                  <c:v>35</c:v>
                </c:pt>
                <c:pt idx="3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Sheet2!$P$84</c:f>
              <c:strCache>
                <c:ptCount val="1"/>
              </c:strCache>
            </c:strRef>
          </c:tx>
          <c:invertIfNegative val="0"/>
          <c:cat>
            <c:multiLvlStrRef>
              <c:f>Sheet2!$J$85:$L$88</c:f>
              <c:multiLvlStrCache>
                <c:ptCount val="4"/>
                <c:lvl>
                  <c:pt idx="0">
                    <c:v>palmar abduc</c:v>
                  </c:pt>
                  <c:pt idx="1">
                    <c:v>extension</c:v>
                  </c:pt>
                  <c:pt idx="2">
                    <c:v>abduc</c:v>
                  </c:pt>
                  <c:pt idx="3">
                    <c:v>adduc</c:v>
                  </c:pt>
                </c:lvl>
                <c:lvl>
                  <c:pt idx="0">
                    <c:v>lateral</c:v>
                  </c:pt>
                  <c:pt idx="2">
                    <c:v>PA</c:v>
                  </c:pt>
                </c:lvl>
                <c:lvl>
                  <c:pt idx="0">
                    <c:v>rounded average 9-13</c:v>
                  </c:pt>
                </c:lvl>
              </c:multiLvlStrCache>
            </c:multiLvlStrRef>
          </c:cat>
          <c:val>
            <c:numRef>
              <c:f>Sheet2!$P$85:$P$88</c:f>
              <c:numCache>
                <c:formatCode>General</c:formatCode>
                <c:ptCount val="4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8562816"/>
        <c:axId val="58568704"/>
        <c:axId val="0"/>
      </c:bar3DChart>
      <c:catAx>
        <c:axId val="58562816"/>
        <c:scaling>
          <c:orientation val="minMax"/>
        </c:scaling>
        <c:delete val="0"/>
        <c:axPos val="b"/>
        <c:majorTickMark val="out"/>
        <c:minorTickMark val="none"/>
        <c:tickLblPos val="nextTo"/>
        <c:crossAx val="58568704"/>
        <c:crosses val="autoZero"/>
        <c:auto val="1"/>
        <c:lblAlgn val="ctr"/>
        <c:lblOffset val="100"/>
        <c:noMultiLvlLbl val="0"/>
      </c:catAx>
      <c:valAx>
        <c:axId val="58568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85628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Sheet2!$E$84</c:f>
              <c:strCache>
                <c:ptCount val="1"/>
                <c:pt idx="0">
                  <c:v>pre-fusion</c:v>
                </c:pt>
              </c:strCache>
            </c:strRef>
          </c:tx>
          <c:invertIfNegative val="0"/>
          <c:cat>
            <c:multiLvlStrRef>
              <c:f>Sheet2!$B$85:$D$88</c:f>
              <c:multiLvlStrCache>
                <c:ptCount val="4"/>
                <c:lvl>
                  <c:pt idx="0">
                    <c:v>palmar abduc</c:v>
                  </c:pt>
                  <c:pt idx="1">
                    <c:v>extension</c:v>
                  </c:pt>
                  <c:pt idx="2">
                    <c:v>abduc</c:v>
                  </c:pt>
                  <c:pt idx="3">
                    <c:v>adduc</c:v>
                  </c:pt>
                </c:lvl>
                <c:lvl>
                  <c:pt idx="0">
                    <c:v>lateral</c:v>
                  </c:pt>
                  <c:pt idx="2">
                    <c:v>PA</c:v>
                  </c:pt>
                </c:lvl>
                <c:lvl>
                  <c:pt idx="0">
                    <c:v>rounded average 1-8</c:v>
                  </c:pt>
                </c:lvl>
              </c:multiLvlStrCache>
            </c:multiLvlStrRef>
          </c:cat>
          <c:val>
            <c:numRef>
              <c:f>Sheet2!$E$85:$E$88</c:f>
              <c:numCache>
                <c:formatCode>General</c:formatCode>
                <c:ptCount val="4"/>
                <c:pt idx="0">
                  <c:v>40</c:v>
                </c:pt>
                <c:pt idx="1">
                  <c:v>-12</c:v>
                </c:pt>
                <c:pt idx="2">
                  <c:v>40</c:v>
                </c:pt>
                <c:pt idx="3">
                  <c:v>-9</c:v>
                </c:pt>
              </c:numCache>
            </c:numRef>
          </c:val>
        </c:ser>
        <c:ser>
          <c:idx val="1"/>
          <c:order val="1"/>
          <c:tx>
            <c:strRef>
              <c:f>Sheet2!$F$84</c:f>
              <c:strCache>
                <c:ptCount val="1"/>
                <c:pt idx="0">
                  <c:v>post-fusion</c:v>
                </c:pt>
              </c:strCache>
            </c:strRef>
          </c:tx>
          <c:invertIfNegative val="0"/>
          <c:cat>
            <c:multiLvlStrRef>
              <c:f>Sheet2!$B$85:$D$88</c:f>
              <c:multiLvlStrCache>
                <c:ptCount val="4"/>
                <c:lvl>
                  <c:pt idx="0">
                    <c:v>palmar abduc</c:v>
                  </c:pt>
                  <c:pt idx="1">
                    <c:v>extension</c:v>
                  </c:pt>
                  <c:pt idx="2">
                    <c:v>abduc</c:v>
                  </c:pt>
                  <c:pt idx="3">
                    <c:v>adduc</c:v>
                  </c:pt>
                </c:lvl>
                <c:lvl>
                  <c:pt idx="0">
                    <c:v>lateral</c:v>
                  </c:pt>
                  <c:pt idx="2">
                    <c:v>PA</c:v>
                  </c:pt>
                </c:lvl>
                <c:lvl>
                  <c:pt idx="0">
                    <c:v>rounded average 1-8</c:v>
                  </c:pt>
                </c:lvl>
              </c:multiLvlStrCache>
            </c:multiLvlStrRef>
          </c:cat>
          <c:val>
            <c:numRef>
              <c:f>Sheet2!$F$85:$F$88</c:f>
              <c:numCache>
                <c:formatCode>General</c:formatCode>
                <c:ptCount val="4"/>
                <c:pt idx="0">
                  <c:v>27</c:v>
                </c:pt>
                <c:pt idx="1">
                  <c:v>10</c:v>
                </c:pt>
                <c:pt idx="2">
                  <c:v>34</c:v>
                </c:pt>
                <c:pt idx="3">
                  <c:v>15</c:v>
                </c:pt>
              </c:numCache>
            </c:numRef>
          </c:val>
        </c:ser>
        <c:ser>
          <c:idx val="2"/>
          <c:order val="2"/>
          <c:tx>
            <c:strRef>
              <c:f>Sheet2!$G$84</c:f>
              <c:strCache>
                <c:ptCount val="1"/>
                <c:pt idx="0">
                  <c:v>s/p scaphoid excision</c:v>
                </c:pt>
              </c:strCache>
            </c:strRef>
          </c:tx>
          <c:invertIfNegative val="0"/>
          <c:cat>
            <c:multiLvlStrRef>
              <c:f>Sheet2!$B$85:$D$88</c:f>
              <c:multiLvlStrCache>
                <c:ptCount val="4"/>
                <c:lvl>
                  <c:pt idx="0">
                    <c:v>palmar abduc</c:v>
                  </c:pt>
                  <c:pt idx="1">
                    <c:v>extension</c:v>
                  </c:pt>
                  <c:pt idx="2">
                    <c:v>abduc</c:v>
                  </c:pt>
                  <c:pt idx="3">
                    <c:v>adduc</c:v>
                  </c:pt>
                </c:lvl>
                <c:lvl>
                  <c:pt idx="0">
                    <c:v>lateral</c:v>
                  </c:pt>
                  <c:pt idx="2">
                    <c:v>PA</c:v>
                  </c:pt>
                </c:lvl>
                <c:lvl>
                  <c:pt idx="0">
                    <c:v>rounded average 1-8</c:v>
                  </c:pt>
                </c:lvl>
              </c:multiLvlStrCache>
            </c:multiLvlStrRef>
          </c:cat>
          <c:val>
            <c:numRef>
              <c:f>Sheet2!$G$85:$G$88</c:f>
              <c:numCache>
                <c:formatCode>General</c:formatCode>
                <c:ptCount val="4"/>
                <c:pt idx="0">
                  <c:v>32</c:v>
                </c:pt>
                <c:pt idx="1">
                  <c:v>-2</c:v>
                </c:pt>
                <c:pt idx="2">
                  <c:v>37</c:v>
                </c:pt>
                <c:pt idx="3">
                  <c:v>6</c:v>
                </c:pt>
              </c:numCache>
            </c:numRef>
          </c:val>
        </c:ser>
        <c:ser>
          <c:idx val="3"/>
          <c:order val="3"/>
          <c:tx>
            <c:strRef>
              <c:f>Sheet2!$H$84</c:f>
              <c:strCache>
                <c:ptCount val="1"/>
              </c:strCache>
            </c:strRef>
          </c:tx>
          <c:invertIfNegative val="0"/>
          <c:cat>
            <c:multiLvlStrRef>
              <c:f>Sheet2!$B$85:$D$88</c:f>
              <c:multiLvlStrCache>
                <c:ptCount val="4"/>
                <c:lvl>
                  <c:pt idx="0">
                    <c:v>palmar abduc</c:v>
                  </c:pt>
                  <c:pt idx="1">
                    <c:v>extension</c:v>
                  </c:pt>
                  <c:pt idx="2">
                    <c:v>abduc</c:v>
                  </c:pt>
                  <c:pt idx="3">
                    <c:v>adduc</c:v>
                  </c:pt>
                </c:lvl>
                <c:lvl>
                  <c:pt idx="0">
                    <c:v>lateral</c:v>
                  </c:pt>
                  <c:pt idx="2">
                    <c:v>PA</c:v>
                  </c:pt>
                </c:lvl>
                <c:lvl>
                  <c:pt idx="0">
                    <c:v>rounded average 1-8</c:v>
                  </c:pt>
                </c:lvl>
              </c:multiLvlStrCache>
            </c:multiLvlStrRef>
          </c:cat>
          <c:val>
            <c:numRef>
              <c:f>Sheet2!$H$85:$H$88</c:f>
              <c:numCache>
                <c:formatCode>General</c:formatCode>
                <c:ptCount val="4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8603776"/>
        <c:axId val="58605568"/>
        <c:axId val="0"/>
      </c:bar3DChart>
      <c:catAx>
        <c:axId val="58603776"/>
        <c:scaling>
          <c:orientation val="minMax"/>
        </c:scaling>
        <c:delete val="0"/>
        <c:axPos val="b"/>
        <c:majorTickMark val="out"/>
        <c:minorTickMark val="none"/>
        <c:tickLblPos val="nextTo"/>
        <c:crossAx val="58605568"/>
        <c:crosses val="autoZero"/>
        <c:auto val="1"/>
        <c:lblAlgn val="ctr"/>
        <c:lblOffset val="100"/>
        <c:noMultiLvlLbl val="0"/>
      </c:catAx>
      <c:valAx>
        <c:axId val="58605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86037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Avg arc of motion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Sheet2!$D$138</c:f>
              <c:strCache>
                <c:ptCount val="1"/>
                <c:pt idx="0">
                  <c:v>prefusion</c:v>
                </c:pt>
              </c:strCache>
            </c:strRef>
          </c:tx>
          <c:invertIfNegative val="0"/>
          <c:cat>
            <c:strRef>
              <c:f>Sheet2!$B$139:$C$140</c:f>
              <c:strCache>
                <c:ptCount val="2"/>
                <c:pt idx="0">
                  <c:v>PA</c:v>
                </c:pt>
                <c:pt idx="1">
                  <c:v>Lateral</c:v>
                </c:pt>
              </c:strCache>
            </c:strRef>
          </c:cat>
          <c:val>
            <c:numRef>
              <c:f>Sheet2!$D$139:$D$140</c:f>
              <c:numCache>
                <c:formatCode>General</c:formatCode>
                <c:ptCount val="2"/>
                <c:pt idx="0">
                  <c:v>53.41538461538461</c:v>
                </c:pt>
                <c:pt idx="1">
                  <c:v>48.469230769230762</c:v>
                </c:pt>
              </c:numCache>
            </c:numRef>
          </c:val>
        </c:ser>
        <c:ser>
          <c:idx val="1"/>
          <c:order val="1"/>
          <c:tx>
            <c:strRef>
              <c:f>Sheet2!$E$138</c:f>
              <c:strCache>
                <c:ptCount val="1"/>
                <c:pt idx="0">
                  <c:v>post fusion</c:v>
                </c:pt>
              </c:strCache>
            </c:strRef>
          </c:tx>
          <c:invertIfNegative val="0"/>
          <c:cat>
            <c:strRef>
              <c:f>Sheet2!$B$139:$C$140</c:f>
              <c:strCache>
                <c:ptCount val="2"/>
                <c:pt idx="0">
                  <c:v>PA</c:v>
                </c:pt>
                <c:pt idx="1">
                  <c:v>Lateral</c:v>
                </c:pt>
              </c:strCache>
            </c:strRef>
          </c:cat>
          <c:val>
            <c:numRef>
              <c:f>Sheet2!$E$139:$E$140</c:f>
              <c:numCache>
                <c:formatCode>General</c:formatCode>
                <c:ptCount val="2"/>
                <c:pt idx="0">
                  <c:v>22.392307692307693</c:v>
                </c:pt>
                <c:pt idx="1">
                  <c:v>25.053846153846152</c:v>
                </c:pt>
              </c:numCache>
            </c:numRef>
          </c:val>
        </c:ser>
        <c:ser>
          <c:idx val="2"/>
          <c:order val="2"/>
          <c:tx>
            <c:strRef>
              <c:f>Sheet2!$F$138</c:f>
              <c:strCache>
                <c:ptCount val="1"/>
                <c:pt idx="0">
                  <c:v>scaphoid excision</c:v>
                </c:pt>
              </c:strCache>
            </c:strRef>
          </c:tx>
          <c:invertIfNegative val="0"/>
          <c:cat>
            <c:strRef>
              <c:f>Sheet2!$B$139:$C$140</c:f>
              <c:strCache>
                <c:ptCount val="2"/>
                <c:pt idx="0">
                  <c:v>PA</c:v>
                </c:pt>
                <c:pt idx="1">
                  <c:v>Lateral</c:v>
                </c:pt>
              </c:strCache>
            </c:strRef>
          </c:cat>
          <c:val>
            <c:numRef>
              <c:f>Sheet2!$F$139:$F$140</c:f>
              <c:numCache>
                <c:formatCode>General</c:formatCode>
                <c:ptCount val="2"/>
                <c:pt idx="0">
                  <c:v>33.615384615384613</c:v>
                </c:pt>
                <c:pt idx="1">
                  <c:v>34.553846153846159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8669696"/>
        <c:axId val="58675584"/>
        <c:axId val="0"/>
      </c:bar3DChart>
      <c:catAx>
        <c:axId val="58669696"/>
        <c:scaling>
          <c:orientation val="minMax"/>
        </c:scaling>
        <c:delete val="0"/>
        <c:axPos val="b"/>
        <c:majorTickMark val="none"/>
        <c:minorTickMark val="none"/>
        <c:tickLblPos val="nextTo"/>
        <c:crossAx val="58675584"/>
        <c:crosses val="autoZero"/>
        <c:auto val="1"/>
        <c:lblAlgn val="ctr"/>
        <c:lblOffset val="100"/>
        <c:noMultiLvlLbl val="0"/>
      </c:catAx>
      <c:valAx>
        <c:axId val="5867558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586696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% Prefusion</a:t>
            </a:r>
            <a:r>
              <a:rPr lang="en-US" baseline="0"/>
              <a:t> arc of motion</a:t>
            </a:r>
            <a:endParaRPr lang="en-US"/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Sheet2!$M$138</c:f>
              <c:strCache>
                <c:ptCount val="1"/>
                <c:pt idx="0">
                  <c:v>post fusion</c:v>
                </c:pt>
              </c:strCache>
            </c:strRef>
          </c:tx>
          <c:invertIfNegative val="0"/>
          <c:cat>
            <c:strRef>
              <c:f>Sheet2!$K$139:$L$140</c:f>
              <c:strCache>
                <c:ptCount val="2"/>
                <c:pt idx="0">
                  <c:v>PA</c:v>
                </c:pt>
                <c:pt idx="1">
                  <c:v>Lateral</c:v>
                </c:pt>
              </c:strCache>
            </c:strRef>
          </c:cat>
          <c:val>
            <c:numRef>
              <c:f>Sheet2!$M$139:$M$140</c:f>
              <c:numCache>
                <c:formatCode>General</c:formatCode>
                <c:ptCount val="2"/>
                <c:pt idx="0">
                  <c:v>0.41921082949308758</c:v>
                </c:pt>
                <c:pt idx="1">
                  <c:v>0.51690207903507379</c:v>
                </c:pt>
              </c:numCache>
            </c:numRef>
          </c:val>
        </c:ser>
        <c:ser>
          <c:idx val="1"/>
          <c:order val="1"/>
          <c:tx>
            <c:strRef>
              <c:f>Sheet2!$N$138</c:f>
              <c:strCache>
                <c:ptCount val="1"/>
                <c:pt idx="0">
                  <c:v>scaphoid excision</c:v>
                </c:pt>
              </c:strCache>
            </c:strRef>
          </c:tx>
          <c:invertIfNegative val="0"/>
          <c:cat>
            <c:strRef>
              <c:f>Sheet2!$K$139:$L$140</c:f>
              <c:strCache>
                <c:ptCount val="2"/>
                <c:pt idx="0">
                  <c:v>PA</c:v>
                </c:pt>
                <c:pt idx="1">
                  <c:v>Lateral</c:v>
                </c:pt>
              </c:strCache>
            </c:strRef>
          </c:cat>
          <c:val>
            <c:numRef>
              <c:f>Sheet2!$N$139:$N$140</c:f>
              <c:numCache>
                <c:formatCode>General</c:formatCode>
                <c:ptCount val="2"/>
                <c:pt idx="0">
                  <c:v>0.62932027649769584</c:v>
                </c:pt>
                <c:pt idx="1">
                  <c:v>0.71290271385494386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8712064"/>
        <c:axId val="58713600"/>
        <c:axId val="0"/>
      </c:bar3DChart>
      <c:catAx>
        <c:axId val="58712064"/>
        <c:scaling>
          <c:orientation val="minMax"/>
        </c:scaling>
        <c:delete val="0"/>
        <c:axPos val="b"/>
        <c:majorTickMark val="none"/>
        <c:minorTickMark val="none"/>
        <c:tickLblPos val="nextTo"/>
        <c:crossAx val="58713600"/>
        <c:crosses val="autoZero"/>
        <c:auto val="1"/>
        <c:lblAlgn val="ctr"/>
        <c:lblOffset val="100"/>
        <c:noMultiLvlLbl val="0"/>
      </c:catAx>
      <c:valAx>
        <c:axId val="587136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587120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motion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Sheet2!$F$115</c:f>
              <c:strCache>
                <c:ptCount val="1"/>
                <c:pt idx="0">
                  <c:v>pre-fusion</c:v>
                </c:pt>
              </c:strCache>
            </c:strRef>
          </c:tx>
          <c:invertIfNegative val="0"/>
          <c:cat>
            <c:multiLvlStrRef>
              <c:f>Sheet2!$D$116:$E$119</c:f>
              <c:multiLvlStrCache>
                <c:ptCount val="4"/>
                <c:lvl>
                  <c:pt idx="0">
                    <c:v>Planar abduction</c:v>
                  </c:pt>
                  <c:pt idx="1">
                    <c:v>Planar adduction</c:v>
                  </c:pt>
                  <c:pt idx="2">
                    <c:v>palmar abduction</c:v>
                  </c:pt>
                  <c:pt idx="3">
                    <c:v>Palmar adduction</c:v>
                  </c:pt>
                </c:lvl>
                <c:lvl>
                  <c:pt idx="0">
                    <c:v>PA</c:v>
                  </c:pt>
                  <c:pt idx="2">
                    <c:v>Lateral</c:v>
                  </c:pt>
                </c:lvl>
              </c:multiLvlStrCache>
            </c:multiLvlStrRef>
          </c:cat>
          <c:val>
            <c:numRef>
              <c:f>Sheet2!$F$116:$F$119</c:f>
              <c:numCache>
                <c:formatCode>General</c:formatCode>
                <c:ptCount val="4"/>
                <c:pt idx="0">
                  <c:v>39.090000000000003</c:v>
                </c:pt>
                <c:pt idx="1">
                  <c:v>-9.3800000000000008</c:v>
                </c:pt>
                <c:pt idx="2">
                  <c:v>42.36</c:v>
                </c:pt>
                <c:pt idx="3">
                  <c:v>-11.05</c:v>
                </c:pt>
              </c:numCache>
            </c:numRef>
          </c:val>
        </c:ser>
        <c:ser>
          <c:idx val="1"/>
          <c:order val="1"/>
          <c:tx>
            <c:strRef>
              <c:f>Sheet2!$G$115</c:f>
              <c:strCache>
                <c:ptCount val="1"/>
                <c:pt idx="0">
                  <c:v>post-fusion</c:v>
                </c:pt>
              </c:strCache>
            </c:strRef>
          </c:tx>
          <c:invertIfNegative val="0"/>
          <c:cat>
            <c:multiLvlStrRef>
              <c:f>Sheet2!$D$116:$E$119</c:f>
              <c:multiLvlStrCache>
                <c:ptCount val="4"/>
                <c:lvl>
                  <c:pt idx="0">
                    <c:v>Planar abduction</c:v>
                  </c:pt>
                  <c:pt idx="1">
                    <c:v>Planar adduction</c:v>
                  </c:pt>
                  <c:pt idx="2">
                    <c:v>palmar abduction</c:v>
                  </c:pt>
                  <c:pt idx="3">
                    <c:v>Palmar adduction</c:v>
                  </c:pt>
                </c:lvl>
                <c:lvl>
                  <c:pt idx="0">
                    <c:v>PA</c:v>
                  </c:pt>
                  <c:pt idx="2">
                    <c:v>Lateral</c:v>
                  </c:pt>
                </c:lvl>
              </c:multiLvlStrCache>
            </c:multiLvlStrRef>
          </c:cat>
          <c:val>
            <c:numRef>
              <c:f>Sheet2!$G$116:$G$119</c:f>
              <c:numCache>
                <c:formatCode>General</c:formatCode>
                <c:ptCount val="4"/>
                <c:pt idx="0">
                  <c:v>32.58</c:v>
                </c:pt>
                <c:pt idx="1">
                  <c:v>7.52</c:v>
                </c:pt>
                <c:pt idx="2">
                  <c:v>29.95</c:v>
                </c:pt>
                <c:pt idx="3">
                  <c:v>7.56</c:v>
                </c:pt>
              </c:numCache>
            </c:numRef>
          </c:val>
        </c:ser>
        <c:ser>
          <c:idx val="2"/>
          <c:order val="2"/>
          <c:tx>
            <c:strRef>
              <c:f>Sheet2!$H$115</c:f>
              <c:strCache>
                <c:ptCount val="1"/>
                <c:pt idx="0">
                  <c:v>s/p scaphoid excision</c:v>
                </c:pt>
              </c:strCache>
            </c:strRef>
          </c:tx>
          <c:invertIfNegative val="0"/>
          <c:cat>
            <c:multiLvlStrRef>
              <c:f>Sheet2!$D$116:$E$119</c:f>
              <c:multiLvlStrCache>
                <c:ptCount val="4"/>
                <c:lvl>
                  <c:pt idx="0">
                    <c:v>Planar abduction</c:v>
                  </c:pt>
                  <c:pt idx="1">
                    <c:v>Planar adduction</c:v>
                  </c:pt>
                  <c:pt idx="2">
                    <c:v>palmar abduction</c:v>
                  </c:pt>
                  <c:pt idx="3">
                    <c:v>Palmar adduction</c:v>
                  </c:pt>
                </c:lvl>
                <c:lvl>
                  <c:pt idx="0">
                    <c:v>PA</c:v>
                  </c:pt>
                  <c:pt idx="2">
                    <c:v>Lateral</c:v>
                  </c:pt>
                </c:lvl>
              </c:multiLvlStrCache>
            </c:multiLvlStrRef>
          </c:cat>
          <c:val>
            <c:numRef>
              <c:f>Sheet2!$H$116:$H$119</c:f>
              <c:numCache>
                <c:formatCode>General</c:formatCode>
                <c:ptCount val="4"/>
                <c:pt idx="0">
                  <c:v>35.42</c:v>
                </c:pt>
                <c:pt idx="1">
                  <c:v>0.87</c:v>
                </c:pt>
                <c:pt idx="2">
                  <c:v>34.01</c:v>
                </c:pt>
                <c:pt idx="3">
                  <c:v>0.39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6572928"/>
        <c:axId val="56607488"/>
        <c:axId val="0"/>
      </c:bar3DChart>
      <c:catAx>
        <c:axId val="56572928"/>
        <c:scaling>
          <c:orientation val="minMax"/>
        </c:scaling>
        <c:delete val="0"/>
        <c:axPos val="b"/>
        <c:majorTickMark val="none"/>
        <c:minorTickMark val="none"/>
        <c:tickLblPos val="nextTo"/>
        <c:crossAx val="56607488"/>
        <c:crosses val="autoZero"/>
        <c:auto val="1"/>
        <c:lblAlgn val="ctr"/>
        <c:lblOffset val="100"/>
        <c:noMultiLvlLbl val="0"/>
      </c:catAx>
      <c:valAx>
        <c:axId val="5660748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565729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660400</xdr:colOff>
      <xdr:row>26</xdr:row>
      <xdr:rowOff>127000</xdr:rowOff>
    </xdr:from>
    <xdr:to>
      <xdr:col>14</xdr:col>
      <xdr:colOff>520700</xdr:colOff>
      <xdr:row>42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89</xdr:row>
      <xdr:rowOff>90487</xdr:rowOff>
    </xdr:from>
    <xdr:to>
      <xdr:col>16</xdr:col>
      <xdr:colOff>438150</xdr:colOff>
      <xdr:row>103</xdr:row>
      <xdr:rowOff>166687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552450</xdr:colOff>
      <xdr:row>89</xdr:row>
      <xdr:rowOff>80962</xdr:rowOff>
    </xdr:from>
    <xdr:to>
      <xdr:col>8</xdr:col>
      <xdr:colOff>400050</xdr:colOff>
      <xdr:row>103</xdr:row>
      <xdr:rowOff>157162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76200</xdr:colOff>
      <xdr:row>140</xdr:row>
      <xdr:rowOff>100012</xdr:rowOff>
    </xdr:from>
    <xdr:to>
      <xdr:col>8</xdr:col>
      <xdr:colOff>514350</xdr:colOff>
      <xdr:row>154</xdr:row>
      <xdr:rowOff>176212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342900</xdr:colOff>
      <xdr:row>141</xdr:row>
      <xdr:rowOff>23812</xdr:rowOff>
    </xdr:from>
    <xdr:to>
      <xdr:col>17</xdr:col>
      <xdr:colOff>190500</xdr:colOff>
      <xdr:row>155</xdr:row>
      <xdr:rowOff>100012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447675</xdr:colOff>
      <xdr:row>119</xdr:row>
      <xdr:rowOff>138112</xdr:rowOff>
    </xdr:from>
    <xdr:to>
      <xdr:col>9</xdr:col>
      <xdr:colOff>295275</xdr:colOff>
      <xdr:row>134</xdr:row>
      <xdr:rowOff>23812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49"/>
  <sheetViews>
    <sheetView workbookViewId="0">
      <selection sqref="A1:O50"/>
    </sheetView>
  </sheetViews>
  <sheetFormatPr defaultColWidth="8.85546875" defaultRowHeight="15" x14ac:dyDescent="0.25"/>
  <cols>
    <col min="5" max="5" width="15.7109375" customWidth="1"/>
    <col min="6" max="6" width="15.28515625" customWidth="1"/>
    <col min="7" max="7" width="15.140625" customWidth="1"/>
  </cols>
  <sheetData>
    <row r="2" spans="2:7" x14ac:dyDescent="0.25">
      <c r="D2" t="s">
        <v>1</v>
      </c>
      <c r="E2" t="s">
        <v>2</v>
      </c>
      <c r="F2" t="s">
        <v>3</v>
      </c>
    </row>
    <row r="4" spans="2:7" x14ac:dyDescent="0.25">
      <c r="B4" t="s">
        <v>0</v>
      </c>
      <c r="E4" t="s">
        <v>4</v>
      </c>
      <c r="F4" t="s">
        <v>9</v>
      </c>
      <c r="G4" t="s">
        <v>10</v>
      </c>
    </row>
    <row r="5" spans="2:7" x14ac:dyDescent="0.25">
      <c r="B5" s="10" t="s">
        <v>11</v>
      </c>
      <c r="C5" t="s">
        <v>6</v>
      </c>
      <c r="D5" t="s">
        <v>7</v>
      </c>
      <c r="E5">
        <v>42</v>
      </c>
      <c r="F5">
        <v>34</v>
      </c>
      <c r="G5">
        <v>37</v>
      </c>
    </row>
    <row r="6" spans="2:7" x14ac:dyDescent="0.25">
      <c r="B6" s="10"/>
      <c r="D6" t="s">
        <v>8</v>
      </c>
      <c r="E6">
        <v>-8</v>
      </c>
      <c r="F6">
        <v>0</v>
      </c>
      <c r="G6">
        <v>-6</v>
      </c>
    </row>
    <row r="7" spans="2:7" x14ac:dyDescent="0.25">
      <c r="B7" s="10"/>
      <c r="C7" t="s">
        <v>5</v>
      </c>
      <c r="D7" t="s">
        <v>7</v>
      </c>
      <c r="E7">
        <v>32</v>
      </c>
      <c r="F7">
        <v>28</v>
      </c>
      <c r="G7">
        <v>32</v>
      </c>
    </row>
    <row r="8" spans="2:7" x14ac:dyDescent="0.25">
      <c r="B8" s="10"/>
      <c r="D8" t="s">
        <v>8</v>
      </c>
      <c r="E8">
        <v>-40</v>
      </c>
      <c r="F8">
        <v>-20</v>
      </c>
      <c r="G8">
        <v>-30</v>
      </c>
    </row>
    <row r="10" spans="2:7" x14ac:dyDescent="0.25">
      <c r="B10" s="10" t="s">
        <v>12</v>
      </c>
      <c r="C10" t="s">
        <v>6</v>
      </c>
      <c r="D10" t="s">
        <v>7</v>
      </c>
      <c r="E10">
        <v>40</v>
      </c>
      <c r="F10">
        <v>48</v>
      </c>
      <c r="G10">
        <v>49</v>
      </c>
    </row>
    <row r="11" spans="2:7" x14ac:dyDescent="0.25">
      <c r="B11" s="10"/>
      <c r="D11" t="s">
        <v>8</v>
      </c>
      <c r="E11">
        <v>4</v>
      </c>
      <c r="F11">
        <v>20</v>
      </c>
      <c r="G11">
        <v>2</v>
      </c>
    </row>
    <row r="12" spans="2:7" x14ac:dyDescent="0.25">
      <c r="B12" s="10"/>
      <c r="C12" t="s">
        <v>5</v>
      </c>
      <c r="D12" t="s">
        <v>7</v>
      </c>
      <c r="E12">
        <v>32</v>
      </c>
      <c r="F12">
        <v>30</v>
      </c>
      <c r="G12">
        <v>32</v>
      </c>
    </row>
    <row r="13" spans="2:7" x14ac:dyDescent="0.25">
      <c r="B13" s="10"/>
      <c r="D13" t="s">
        <v>8</v>
      </c>
      <c r="E13">
        <v>-20</v>
      </c>
      <c r="F13">
        <v>-2</v>
      </c>
      <c r="G13">
        <v>-22</v>
      </c>
    </row>
    <row r="14" spans="2:7" x14ac:dyDescent="0.25">
      <c r="B14" s="1"/>
    </row>
    <row r="15" spans="2:7" x14ac:dyDescent="0.25">
      <c r="B15" s="10" t="s">
        <v>13</v>
      </c>
      <c r="C15" t="s">
        <v>6</v>
      </c>
      <c r="D15" t="s">
        <v>7</v>
      </c>
      <c r="E15">
        <v>50</v>
      </c>
      <c r="F15">
        <v>30</v>
      </c>
      <c r="G15">
        <v>30</v>
      </c>
    </row>
    <row r="16" spans="2:7" x14ac:dyDescent="0.25">
      <c r="B16" s="10"/>
      <c r="D16" t="s">
        <v>8</v>
      </c>
      <c r="E16">
        <v>0</v>
      </c>
      <c r="F16">
        <v>12</v>
      </c>
      <c r="G16">
        <v>0</v>
      </c>
    </row>
    <row r="17" spans="2:7" x14ac:dyDescent="0.25">
      <c r="B17" s="10"/>
      <c r="C17" t="s">
        <v>5</v>
      </c>
      <c r="D17" t="s">
        <v>7</v>
      </c>
      <c r="E17">
        <v>50</v>
      </c>
      <c r="F17">
        <v>40</v>
      </c>
      <c r="G17">
        <v>44</v>
      </c>
    </row>
    <row r="18" spans="2:7" x14ac:dyDescent="0.25">
      <c r="B18" s="10"/>
      <c r="D18" t="s">
        <v>8</v>
      </c>
      <c r="E18">
        <v>-8</v>
      </c>
      <c r="F18">
        <v>24</v>
      </c>
      <c r="G18">
        <v>12</v>
      </c>
    </row>
    <row r="20" spans="2:7" x14ac:dyDescent="0.25">
      <c r="B20" s="10" t="s">
        <v>14</v>
      </c>
      <c r="C20" t="s">
        <v>6</v>
      </c>
      <c r="D20" t="s">
        <v>7</v>
      </c>
      <c r="E20">
        <v>44</v>
      </c>
      <c r="F20">
        <v>28</v>
      </c>
      <c r="G20">
        <v>32</v>
      </c>
    </row>
    <row r="21" spans="2:7" x14ac:dyDescent="0.25">
      <c r="B21" s="10"/>
      <c r="D21" t="s">
        <v>8</v>
      </c>
      <c r="E21">
        <v>-16</v>
      </c>
      <c r="F21">
        <v>14</v>
      </c>
      <c r="G21">
        <v>-2</v>
      </c>
    </row>
    <row r="22" spans="2:7" x14ac:dyDescent="0.25">
      <c r="B22" s="10"/>
      <c r="C22" t="s">
        <v>5</v>
      </c>
      <c r="D22" t="s">
        <v>7</v>
      </c>
      <c r="E22">
        <v>52</v>
      </c>
      <c r="F22">
        <v>40</v>
      </c>
      <c r="G22">
        <v>42</v>
      </c>
    </row>
    <row r="23" spans="2:7" x14ac:dyDescent="0.25">
      <c r="B23" s="10"/>
      <c r="D23" t="s">
        <v>8</v>
      </c>
      <c r="E23">
        <v>5</v>
      </c>
      <c r="F23">
        <v>18</v>
      </c>
      <c r="G23">
        <v>12</v>
      </c>
    </row>
    <row r="24" spans="2:7" x14ac:dyDescent="0.25">
      <c r="B24" s="1"/>
    </row>
    <row r="25" spans="2:7" x14ac:dyDescent="0.25">
      <c r="B25" s="8" t="s">
        <v>15</v>
      </c>
      <c r="C25" s="3" t="s">
        <v>6</v>
      </c>
      <c r="D25" s="3" t="s">
        <v>7</v>
      </c>
      <c r="E25" s="3">
        <v>40</v>
      </c>
      <c r="F25" s="3">
        <v>22</v>
      </c>
      <c r="G25" s="3">
        <v>30</v>
      </c>
    </row>
    <row r="26" spans="2:7" x14ac:dyDescent="0.25">
      <c r="B26" s="8"/>
      <c r="C26" s="3"/>
      <c r="D26" s="3" t="s">
        <v>8</v>
      </c>
      <c r="E26" s="3">
        <v>-20</v>
      </c>
      <c r="F26" s="3">
        <v>12</v>
      </c>
      <c r="G26" s="3">
        <v>0</v>
      </c>
    </row>
    <row r="27" spans="2:7" x14ac:dyDescent="0.25">
      <c r="B27" s="8"/>
      <c r="C27" s="3" t="s">
        <v>5</v>
      </c>
      <c r="D27" s="3" t="s">
        <v>7</v>
      </c>
      <c r="E27" s="3">
        <v>40</v>
      </c>
      <c r="F27" s="3">
        <v>30</v>
      </c>
      <c r="G27" s="3">
        <v>32</v>
      </c>
    </row>
    <row r="28" spans="2:7" x14ac:dyDescent="0.25">
      <c r="B28" s="8"/>
      <c r="C28" s="3"/>
      <c r="D28" s="3" t="s">
        <v>8</v>
      </c>
      <c r="E28" s="3">
        <v>-14</v>
      </c>
      <c r="F28" s="3">
        <v>10</v>
      </c>
      <c r="G28" s="3">
        <v>8</v>
      </c>
    </row>
    <row r="29" spans="2:7" x14ac:dyDescent="0.25">
      <c r="B29" s="3"/>
      <c r="C29" s="3"/>
      <c r="D29" s="3"/>
      <c r="E29" s="3"/>
      <c r="F29" s="3"/>
      <c r="G29" s="3"/>
    </row>
    <row r="30" spans="2:7" x14ac:dyDescent="0.25">
      <c r="B30" s="8" t="s">
        <v>16</v>
      </c>
      <c r="C30" s="3" t="s">
        <v>6</v>
      </c>
      <c r="D30" s="3" t="s">
        <v>7</v>
      </c>
      <c r="E30" s="3">
        <v>28</v>
      </c>
      <c r="F30" s="3">
        <v>18</v>
      </c>
      <c r="G30" s="3">
        <v>22</v>
      </c>
    </row>
    <row r="31" spans="2:7" x14ac:dyDescent="0.25">
      <c r="B31" s="8"/>
      <c r="C31" s="3"/>
      <c r="D31" s="3" t="s">
        <v>8</v>
      </c>
      <c r="E31" s="3">
        <v>-22</v>
      </c>
      <c r="F31" s="3">
        <v>6</v>
      </c>
      <c r="G31" s="3">
        <v>-2</v>
      </c>
    </row>
    <row r="32" spans="2:7" x14ac:dyDescent="0.25">
      <c r="B32" s="8"/>
      <c r="C32" s="3" t="s">
        <v>5</v>
      </c>
      <c r="D32" s="3" t="s">
        <v>7</v>
      </c>
      <c r="E32" s="3">
        <v>30</v>
      </c>
      <c r="F32" s="3">
        <v>30</v>
      </c>
      <c r="G32" s="3">
        <v>32</v>
      </c>
    </row>
    <row r="33" spans="2:7" x14ac:dyDescent="0.25">
      <c r="B33" s="8"/>
      <c r="C33" s="3"/>
      <c r="D33" s="3" t="s">
        <v>8</v>
      </c>
      <c r="E33" s="3">
        <v>-12</v>
      </c>
      <c r="F33" s="3">
        <v>22</v>
      </c>
      <c r="G33" s="3">
        <v>16</v>
      </c>
    </row>
    <row r="35" spans="2:7" x14ac:dyDescent="0.25">
      <c r="B35" s="8" t="s">
        <v>17</v>
      </c>
      <c r="C35" s="3" t="s">
        <v>6</v>
      </c>
      <c r="D35" s="3" t="s">
        <v>7</v>
      </c>
      <c r="E35" s="3">
        <v>38</v>
      </c>
      <c r="F35" s="3">
        <v>14</v>
      </c>
      <c r="G35" s="3">
        <v>26</v>
      </c>
    </row>
    <row r="36" spans="2:7" x14ac:dyDescent="0.25">
      <c r="B36" s="8"/>
      <c r="C36" s="3"/>
      <c r="D36" s="3" t="s">
        <v>8</v>
      </c>
      <c r="E36" s="3">
        <v>-20</v>
      </c>
      <c r="F36" s="3">
        <v>-4</v>
      </c>
      <c r="G36" s="3">
        <v>-10</v>
      </c>
    </row>
    <row r="37" spans="2:7" x14ac:dyDescent="0.25">
      <c r="B37" s="8"/>
      <c r="C37" s="3" t="s">
        <v>5</v>
      </c>
      <c r="D37" s="3" t="s">
        <v>7</v>
      </c>
      <c r="E37" s="3">
        <v>38</v>
      </c>
      <c r="F37" s="3">
        <v>36</v>
      </c>
      <c r="G37" s="3">
        <v>38</v>
      </c>
    </row>
    <row r="38" spans="2:7" x14ac:dyDescent="0.25">
      <c r="B38" s="8"/>
      <c r="C38" s="3"/>
      <c r="D38" s="3" t="s">
        <v>8</v>
      </c>
      <c r="E38" s="3">
        <v>-4</v>
      </c>
      <c r="F38" s="3">
        <v>20</v>
      </c>
      <c r="G38" s="3">
        <v>16</v>
      </c>
    </row>
    <row r="39" spans="2:7" x14ac:dyDescent="0.25">
      <c r="B39" s="3"/>
      <c r="C39" s="3"/>
      <c r="D39" s="3"/>
      <c r="E39" s="3"/>
      <c r="F39" s="3"/>
      <c r="G39" s="3"/>
    </row>
    <row r="40" spans="2:7" x14ac:dyDescent="0.25">
      <c r="B40" s="8" t="s">
        <v>18</v>
      </c>
      <c r="C40" s="3" t="s">
        <v>6</v>
      </c>
      <c r="D40" s="3" t="s">
        <v>7</v>
      </c>
      <c r="E40" s="3">
        <f>SUM(E5+E10+E15+E20+E25+E30+E35)/7</f>
        <v>40.285714285714285</v>
      </c>
      <c r="F40" s="3">
        <f t="shared" ref="F40:G40" si="0">SUM(F5+F10+F15+F20+F25+F30+F35)/7</f>
        <v>27.714285714285715</v>
      </c>
      <c r="G40" s="3">
        <f t="shared" si="0"/>
        <v>32.285714285714285</v>
      </c>
    </row>
    <row r="41" spans="2:7" x14ac:dyDescent="0.25">
      <c r="B41" s="8"/>
      <c r="C41" s="3"/>
      <c r="D41" s="3" t="s">
        <v>8</v>
      </c>
      <c r="E41" s="3">
        <f>SUM(E6+E11+E16+E21+E26+E31+E36)/7</f>
        <v>-11.714285714285714</v>
      </c>
      <c r="F41" s="3">
        <f t="shared" ref="F41:G41" si="1">SUM(F6+F11+F16+F21+F26+F31+F36)/7</f>
        <v>8.5714285714285712</v>
      </c>
      <c r="G41" s="3">
        <f t="shared" si="1"/>
        <v>-2.5714285714285716</v>
      </c>
    </row>
    <row r="42" spans="2:7" x14ac:dyDescent="0.25">
      <c r="B42" s="8"/>
      <c r="C42" s="3" t="s">
        <v>5</v>
      </c>
      <c r="D42" s="3" t="s">
        <v>7</v>
      </c>
      <c r="E42" s="3">
        <f>SUM(E7+E12+E17+E22+E27+E32+E37)/7</f>
        <v>39.142857142857146</v>
      </c>
      <c r="F42" s="3">
        <f t="shared" ref="F42:G42" si="2">SUM(F7+F12+F17+F22+F27+F32+F37)/7</f>
        <v>33.428571428571431</v>
      </c>
      <c r="G42" s="3">
        <f t="shared" si="2"/>
        <v>36</v>
      </c>
    </row>
    <row r="43" spans="2:7" x14ac:dyDescent="0.25">
      <c r="B43" s="8"/>
      <c r="C43" s="3"/>
      <c r="D43" s="3" t="s">
        <v>8</v>
      </c>
      <c r="E43" s="3">
        <f>SUM(E8+E13+E18+E23+E28+E33+E38)/7</f>
        <v>-13.285714285714286</v>
      </c>
      <c r="F43" s="3">
        <f t="shared" ref="F43:G43" si="3">SUM(F8+F13+F18+F23+F28+F33+F38)/7</f>
        <v>10.285714285714286</v>
      </c>
      <c r="G43" s="3">
        <f t="shared" si="3"/>
        <v>1.7142857142857142</v>
      </c>
    </row>
    <row r="44" spans="2:7" x14ac:dyDescent="0.25">
      <c r="B44" s="3"/>
      <c r="C44" s="3"/>
      <c r="D44" s="3"/>
      <c r="E44" s="3"/>
      <c r="F44" s="3"/>
      <c r="G44" s="3"/>
    </row>
    <row r="45" spans="2:7" x14ac:dyDescent="0.25">
      <c r="E45" t="s">
        <v>20</v>
      </c>
      <c r="F45" t="s">
        <v>21</v>
      </c>
      <c r="G45" t="s">
        <v>22</v>
      </c>
    </row>
    <row r="46" spans="2:7" x14ac:dyDescent="0.25">
      <c r="B46" s="9" t="s">
        <v>19</v>
      </c>
      <c r="C46" s="3" t="s">
        <v>6</v>
      </c>
      <c r="D46" s="3" t="s">
        <v>24</v>
      </c>
      <c r="E46" s="3">
        <v>40</v>
      </c>
      <c r="F46" s="3">
        <v>27</v>
      </c>
      <c r="G46" s="3">
        <v>32</v>
      </c>
    </row>
    <row r="47" spans="2:7" x14ac:dyDescent="0.25">
      <c r="B47" s="9"/>
      <c r="C47" s="3"/>
      <c r="D47" s="3" t="s">
        <v>23</v>
      </c>
      <c r="E47" s="3">
        <v>-12</v>
      </c>
      <c r="F47" s="3">
        <v>10</v>
      </c>
      <c r="G47" s="3">
        <v>-2</v>
      </c>
    </row>
    <row r="48" spans="2:7" x14ac:dyDescent="0.25">
      <c r="B48" s="9"/>
      <c r="C48" s="3" t="s">
        <v>5</v>
      </c>
      <c r="D48" s="3" t="s">
        <v>7</v>
      </c>
      <c r="E48" s="3">
        <v>40</v>
      </c>
      <c r="F48" s="3">
        <v>34</v>
      </c>
      <c r="G48" s="3">
        <v>37</v>
      </c>
    </row>
    <row r="49" spans="2:7" x14ac:dyDescent="0.25">
      <c r="B49" s="9"/>
      <c r="C49" s="3"/>
      <c r="D49" s="3" t="s">
        <v>8</v>
      </c>
      <c r="E49" s="3">
        <v>-9</v>
      </c>
      <c r="F49" s="3">
        <v>15</v>
      </c>
      <c r="G49" s="3">
        <v>6</v>
      </c>
    </row>
  </sheetData>
  <mergeCells count="9">
    <mergeCell ref="B30:B33"/>
    <mergeCell ref="B35:B38"/>
    <mergeCell ref="B40:B43"/>
    <mergeCell ref="B46:B49"/>
    <mergeCell ref="B5:B8"/>
    <mergeCell ref="B10:B13"/>
    <mergeCell ref="B15:B18"/>
    <mergeCell ref="B20:B23"/>
    <mergeCell ref="B25:B28"/>
  </mergeCells>
  <phoneticPr fontId="2" type="noConversion"/>
  <pageMargins left="0.7" right="0.7" top="0.75" bottom="0.75" header="0.3" footer="0.3"/>
  <pageSetup orientation="portrait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141"/>
  <sheetViews>
    <sheetView tabSelected="1" topLeftCell="D52" workbookViewId="0">
      <selection activeCell="P1" sqref="P1"/>
    </sheetView>
  </sheetViews>
  <sheetFormatPr defaultColWidth="8.85546875" defaultRowHeight="15" x14ac:dyDescent="0.25"/>
  <sheetData>
    <row r="2" spans="2:15" x14ac:dyDescent="0.25">
      <c r="D2" t="s">
        <v>1</v>
      </c>
      <c r="E2" t="s">
        <v>2</v>
      </c>
      <c r="F2" t="s">
        <v>3</v>
      </c>
    </row>
    <row r="3" spans="2:15" x14ac:dyDescent="0.25">
      <c r="K3" t="s">
        <v>39</v>
      </c>
    </row>
    <row r="4" spans="2:15" x14ac:dyDescent="0.25">
      <c r="B4" t="s">
        <v>0</v>
      </c>
      <c r="E4" t="s">
        <v>4</v>
      </c>
      <c r="F4" t="s">
        <v>9</v>
      </c>
      <c r="G4" t="s">
        <v>10</v>
      </c>
      <c r="J4" t="s">
        <v>4</v>
      </c>
      <c r="K4" t="s">
        <v>9</v>
      </c>
      <c r="L4" t="s">
        <v>40</v>
      </c>
      <c r="M4" t="s">
        <v>55</v>
      </c>
      <c r="N4" t="s">
        <v>56</v>
      </c>
      <c r="O4" t="s">
        <v>57</v>
      </c>
    </row>
    <row r="5" spans="2:15" x14ac:dyDescent="0.25">
      <c r="B5" s="10" t="s">
        <v>37</v>
      </c>
      <c r="C5" t="s">
        <v>6</v>
      </c>
      <c r="D5" t="s">
        <v>7</v>
      </c>
      <c r="E5">
        <v>42</v>
      </c>
      <c r="F5">
        <v>34</v>
      </c>
      <c r="G5">
        <v>37</v>
      </c>
      <c r="I5" t="s">
        <v>41</v>
      </c>
      <c r="J5">
        <f>E5-E6</f>
        <v>50</v>
      </c>
      <c r="K5">
        <f>F5-F6</f>
        <v>34</v>
      </c>
      <c r="L5">
        <f>G5-G6</f>
        <v>43</v>
      </c>
      <c r="M5">
        <f>SUM(K5/J5)</f>
        <v>0.68</v>
      </c>
      <c r="N5">
        <f>SUM(L5/J5)</f>
        <v>0.86</v>
      </c>
      <c r="O5">
        <f>SUM(N5-M5)</f>
        <v>0.17999999999999994</v>
      </c>
    </row>
    <row r="6" spans="2:15" x14ac:dyDescent="0.25">
      <c r="B6" s="10"/>
      <c r="D6" t="s">
        <v>8</v>
      </c>
      <c r="E6">
        <v>-8</v>
      </c>
      <c r="F6">
        <v>0</v>
      </c>
      <c r="G6">
        <v>-6</v>
      </c>
      <c r="O6">
        <f t="shared" ref="O6:O67" si="0">SUM(N6-M6)</f>
        <v>0</v>
      </c>
    </row>
    <row r="7" spans="2:15" x14ac:dyDescent="0.25">
      <c r="B7" s="10"/>
      <c r="C7" t="s">
        <v>51</v>
      </c>
      <c r="D7" t="s">
        <v>7</v>
      </c>
      <c r="E7">
        <v>32</v>
      </c>
      <c r="F7">
        <v>28</v>
      </c>
      <c r="G7">
        <v>32</v>
      </c>
      <c r="I7" t="s">
        <v>42</v>
      </c>
      <c r="J7">
        <f>E7-E8</f>
        <v>72</v>
      </c>
      <c r="K7">
        <f>F7-F8</f>
        <v>48</v>
      </c>
      <c r="L7">
        <f>G7-G8</f>
        <v>62</v>
      </c>
      <c r="M7">
        <f t="shared" ref="M6:M68" si="1">SUM(K7/J7)</f>
        <v>0.66666666666666663</v>
      </c>
      <c r="N7">
        <f t="shared" ref="N6:N68" si="2">SUM(L7/J7)</f>
        <v>0.86111111111111116</v>
      </c>
      <c r="O7">
        <f t="shared" si="0"/>
        <v>0.19444444444444453</v>
      </c>
    </row>
    <row r="8" spans="2:15" x14ac:dyDescent="0.25">
      <c r="B8" s="10"/>
      <c r="D8" t="s">
        <v>8</v>
      </c>
      <c r="E8">
        <v>-40</v>
      </c>
      <c r="F8">
        <v>-20</v>
      </c>
      <c r="G8">
        <v>-30</v>
      </c>
      <c r="O8">
        <f t="shared" si="0"/>
        <v>0</v>
      </c>
    </row>
    <row r="9" spans="2:15" x14ac:dyDescent="0.25">
      <c r="O9">
        <f t="shared" si="0"/>
        <v>0</v>
      </c>
    </row>
    <row r="10" spans="2:15" x14ac:dyDescent="0.25">
      <c r="B10" s="10" t="s">
        <v>38</v>
      </c>
      <c r="C10" t="s">
        <v>6</v>
      </c>
      <c r="D10" t="s">
        <v>7</v>
      </c>
      <c r="E10">
        <v>40</v>
      </c>
      <c r="F10">
        <v>48</v>
      </c>
      <c r="G10">
        <v>49</v>
      </c>
      <c r="J10">
        <f>E10-E11</f>
        <v>36</v>
      </c>
      <c r="K10">
        <f>F10-F11</f>
        <v>28</v>
      </c>
      <c r="L10">
        <f>G10-G11</f>
        <v>47</v>
      </c>
      <c r="M10">
        <f t="shared" si="1"/>
        <v>0.77777777777777779</v>
      </c>
      <c r="N10">
        <f t="shared" si="2"/>
        <v>1.3055555555555556</v>
      </c>
      <c r="O10">
        <f t="shared" si="0"/>
        <v>0.52777777777777779</v>
      </c>
    </row>
    <row r="11" spans="2:15" x14ac:dyDescent="0.25">
      <c r="B11" s="10"/>
      <c r="D11" t="s">
        <v>8</v>
      </c>
      <c r="E11">
        <v>4</v>
      </c>
      <c r="F11">
        <v>20</v>
      </c>
      <c r="G11">
        <v>2</v>
      </c>
      <c r="O11">
        <f t="shared" si="0"/>
        <v>0</v>
      </c>
    </row>
    <row r="12" spans="2:15" x14ac:dyDescent="0.25">
      <c r="B12" s="10"/>
      <c r="C12" t="s">
        <v>51</v>
      </c>
      <c r="D12" t="s">
        <v>7</v>
      </c>
      <c r="E12">
        <v>32</v>
      </c>
      <c r="F12">
        <v>30</v>
      </c>
      <c r="G12">
        <v>32</v>
      </c>
      <c r="J12">
        <f>E12-E13</f>
        <v>52</v>
      </c>
      <c r="K12">
        <f>F12-F13</f>
        <v>32</v>
      </c>
      <c r="L12">
        <f>G12-G13</f>
        <v>54</v>
      </c>
      <c r="M12">
        <f t="shared" si="1"/>
        <v>0.61538461538461542</v>
      </c>
      <c r="N12">
        <f t="shared" si="2"/>
        <v>1.0384615384615385</v>
      </c>
      <c r="O12">
        <f t="shared" si="0"/>
        <v>0.42307692307692313</v>
      </c>
    </row>
    <row r="13" spans="2:15" x14ac:dyDescent="0.25">
      <c r="B13" s="10"/>
      <c r="D13" t="s">
        <v>8</v>
      </c>
      <c r="E13">
        <v>-20</v>
      </c>
      <c r="F13">
        <v>-2</v>
      </c>
      <c r="G13">
        <v>-22</v>
      </c>
      <c r="O13">
        <f t="shared" si="0"/>
        <v>0</v>
      </c>
    </row>
    <row r="14" spans="2:15" x14ac:dyDescent="0.25">
      <c r="B14" s="2"/>
      <c r="O14">
        <f t="shared" si="0"/>
        <v>0</v>
      </c>
    </row>
    <row r="15" spans="2:15" x14ac:dyDescent="0.25">
      <c r="B15" s="10" t="s">
        <v>13</v>
      </c>
      <c r="C15" t="s">
        <v>6</v>
      </c>
      <c r="D15" t="s">
        <v>7</v>
      </c>
      <c r="E15">
        <v>50</v>
      </c>
      <c r="F15">
        <v>30</v>
      </c>
      <c r="G15">
        <v>30</v>
      </c>
      <c r="J15">
        <f>E15-E16</f>
        <v>50</v>
      </c>
      <c r="K15">
        <f>F15-F16</f>
        <v>18</v>
      </c>
      <c r="L15">
        <f>G15-G16</f>
        <v>30</v>
      </c>
      <c r="M15">
        <f t="shared" si="1"/>
        <v>0.36</v>
      </c>
      <c r="N15">
        <f t="shared" si="2"/>
        <v>0.6</v>
      </c>
      <c r="O15">
        <f t="shared" si="0"/>
        <v>0.24</v>
      </c>
    </row>
    <row r="16" spans="2:15" x14ac:dyDescent="0.25">
      <c r="B16" s="10"/>
      <c r="D16" t="s">
        <v>8</v>
      </c>
      <c r="E16">
        <v>0</v>
      </c>
      <c r="F16">
        <v>12</v>
      </c>
      <c r="G16">
        <v>0</v>
      </c>
      <c r="O16">
        <f t="shared" si="0"/>
        <v>0</v>
      </c>
    </row>
    <row r="17" spans="2:15" x14ac:dyDescent="0.25">
      <c r="B17" s="10"/>
      <c r="C17" t="s">
        <v>51</v>
      </c>
      <c r="D17" t="s">
        <v>7</v>
      </c>
      <c r="E17">
        <v>50</v>
      </c>
      <c r="F17">
        <v>40</v>
      </c>
      <c r="G17">
        <v>44</v>
      </c>
      <c r="J17">
        <f>E17-E18</f>
        <v>58</v>
      </c>
      <c r="K17">
        <f>F17-F18</f>
        <v>16</v>
      </c>
      <c r="L17">
        <f>G17-G18</f>
        <v>32</v>
      </c>
      <c r="M17">
        <f t="shared" si="1"/>
        <v>0.27586206896551724</v>
      </c>
      <c r="N17">
        <f t="shared" si="2"/>
        <v>0.55172413793103448</v>
      </c>
      <c r="O17">
        <f t="shared" si="0"/>
        <v>0.27586206896551724</v>
      </c>
    </row>
    <row r="18" spans="2:15" x14ac:dyDescent="0.25">
      <c r="B18" s="10"/>
      <c r="D18" t="s">
        <v>8</v>
      </c>
      <c r="E18">
        <v>-8</v>
      </c>
      <c r="F18">
        <v>24</v>
      </c>
      <c r="G18">
        <v>12</v>
      </c>
      <c r="O18">
        <f t="shared" si="0"/>
        <v>0</v>
      </c>
    </row>
    <row r="19" spans="2:15" x14ac:dyDescent="0.25">
      <c r="O19">
        <f t="shared" si="0"/>
        <v>0</v>
      </c>
    </row>
    <row r="20" spans="2:15" x14ac:dyDescent="0.25">
      <c r="B20" s="10" t="s">
        <v>14</v>
      </c>
      <c r="C20" t="s">
        <v>6</v>
      </c>
      <c r="D20" t="s">
        <v>7</v>
      </c>
      <c r="E20">
        <v>44</v>
      </c>
      <c r="F20">
        <v>28</v>
      </c>
      <c r="G20">
        <v>32</v>
      </c>
      <c r="J20">
        <f>E20-E21</f>
        <v>60</v>
      </c>
      <c r="K20">
        <f>F20-F21</f>
        <v>14</v>
      </c>
      <c r="L20">
        <f>G20-G21</f>
        <v>34</v>
      </c>
      <c r="M20">
        <f t="shared" si="1"/>
        <v>0.23333333333333334</v>
      </c>
      <c r="N20">
        <f t="shared" si="2"/>
        <v>0.56666666666666665</v>
      </c>
      <c r="O20">
        <f t="shared" si="0"/>
        <v>0.33333333333333331</v>
      </c>
    </row>
    <row r="21" spans="2:15" x14ac:dyDescent="0.25">
      <c r="B21" s="10"/>
      <c r="D21" t="s">
        <v>8</v>
      </c>
      <c r="E21">
        <v>-16</v>
      </c>
      <c r="F21">
        <v>14</v>
      </c>
      <c r="G21">
        <v>-2</v>
      </c>
      <c r="O21">
        <f t="shared" si="0"/>
        <v>0</v>
      </c>
    </row>
    <row r="22" spans="2:15" x14ac:dyDescent="0.25">
      <c r="B22" s="10"/>
      <c r="C22" t="s">
        <v>51</v>
      </c>
      <c r="D22" t="s">
        <v>7</v>
      </c>
      <c r="E22">
        <v>52</v>
      </c>
      <c r="F22">
        <v>40</v>
      </c>
      <c r="G22">
        <v>42</v>
      </c>
      <c r="J22">
        <f>E22-E23</f>
        <v>47</v>
      </c>
      <c r="K22">
        <f>F22-F23</f>
        <v>22</v>
      </c>
      <c r="L22">
        <f>G22-G23</f>
        <v>30</v>
      </c>
      <c r="M22">
        <f t="shared" si="1"/>
        <v>0.46808510638297873</v>
      </c>
      <c r="N22">
        <f t="shared" si="2"/>
        <v>0.63829787234042556</v>
      </c>
      <c r="O22">
        <f t="shared" si="0"/>
        <v>0.17021276595744683</v>
      </c>
    </row>
    <row r="23" spans="2:15" x14ac:dyDescent="0.25">
      <c r="B23" s="10"/>
      <c r="D23" t="s">
        <v>8</v>
      </c>
      <c r="E23">
        <v>5</v>
      </c>
      <c r="F23">
        <v>18</v>
      </c>
      <c r="G23">
        <v>12</v>
      </c>
      <c r="O23">
        <f t="shared" si="0"/>
        <v>0</v>
      </c>
    </row>
    <row r="24" spans="2:15" x14ac:dyDescent="0.25">
      <c r="B24" s="2"/>
      <c r="O24">
        <f t="shared" si="0"/>
        <v>0</v>
      </c>
    </row>
    <row r="25" spans="2:15" x14ac:dyDescent="0.25">
      <c r="B25" s="8" t="s">
        <v>15</v>
      </c>
      <c r="C25" s="4" t="s">
        <v>6</v>
      </c>
      <c r="D25" s="4" t="s">
        <v>7</v>
      </c>
      <c r="E25" s="4">
        <v>40</v>
      </c>
      <c r="F25" s="4">
        <v>22</v>
      </c>
      <c r="G25" s="4">
        <v>30</v>
      </c>
      <c r="J25">
        <f>E25-E26</f>
        <v>60</v>
      </c>
      <c r="K25">
        <f>F25-F26</f>
        <v>10</v>
      </c>
      <c r="L25">
        <f>G25-G26</f>
        <v>30</v>
      </c>
      <c r="M25">
        <f t="shared" si="1"/>
        <v>0.16666666666666666</v>
      </c>
      <c r="N25">
        <f t="shared" si="2"/>
        <v>0.5</v>
      </c>
      <c r="O25">
        <f t="shared" si="0"/>
        <v>0.33333333333333337</v>
      </c>
    </row>
    <row r="26" spans="2:15" x14ac:dyDescent="0.25">
      <c r="B26" s="8"/>
      <c r="C26" s="4"/>
      <c r="D26" s="4" t="s">
        <v>8</v>
      </c>
      <c r="E26" s="4">
        <v>-20</v>
      </c>
      <c r="F26" s="4">
        <v>12</v>
      </c>
      <c r="G26" s="4">
        <v>0</v>
      </c>
      <c r="O26">
        <f t="shared" si="0"/>
        <v>0</v>
      </c>
    </row>
    <row r="27" spans="2:15" x14ac:dyDescent="0.25">
      <c r="B27" s="8"/>
      <c r="C27" s="4" t="s">
        <v>51</v>
      </c>
      <c r="D27" s="4" t="s">
        <v>7</v>
      </c>
      <c r="E27" s="4">
        <v>40</v>
      </c>
      <c r="F27" s="4">
        <v>30</v>
      </c>
      <c r="G27" s="4">
        <v>32</v>
      </c>
      <c r="J27">
        <f>E27-E28</f>
        <v>54</v>
      </c>
      <c r="K27">
        <f>F27-F28</f>
        <v>20</v>
      </c>
      <c r="L27">
        <f>G27-G28</f>
        <v>24</v>
      </c>
      <c r="M27">
        <f t="shared" si="1"/>
        <v>0.37037037037037035</v>
      </c>
      <c r="N27">
        <f t="shared" si="2"/>
        <v>0.44444444444444442</v>
      </c>
      <c r="O27">
        <f t="shared" si="0"/>
        <v>7.407407407407407E-2</v>
      </c>
    </row>
    <row r="28" spans="2:15" x14ac:dyDescent="0.25">
      <c r="B28" s="8"/>
      <c r="C28" s="4"/>
      <c r="D28" s="4" t="s">
        <v>8</v>
      </c>
      <c r="E28" s="4">
        <v>-14</v>
      </c>
      <c r="F28" s="4">
        <v>10</v>
      </c>
      <c r="G28" s="4">
        <v>8</v>
      </c>
      <c r="O28">
        <f t="shared" si="0"/>
        <v>0</v>
      </c>
    </row>
    <row r="29" spans="2:15" x14ac:dyDescent="0.25">
      <c r="B29" s="4"/>
      <c r="C29" s="4"/>
      <c r="D29" s="4"/>
      <c r="E29" s="4"/>
      <c r="F29" s="4"/>
      <c r="G29" s="4"/>
      <c r="O29">
        <f t="shared" si="0"/>
        <v>0</v>
      </c>
    </row>
    <row r="30" spans="2:15" x14ac:dyDescent="0.25">
      <c r="B30" s="8" t="s">
        <v>16</v>
      </c>
      <c r="C30" s="4" t="s">
        <v>6</v>
      </c>
      <c r="D30" s="4" t="s">
        <v>7</v>
      </c>
      <c r="E30" s="4">
        <v>28</v>
      </c>
      <c r="F30" s="4">
        <v>18</v>
      </c>
      <c r="G30" s="4">
        <v>22</v>
      </c>
      <c r="J30">
        <f>E30-E31</f>
        <v>50</v>
      </c>
      <c r="K30">
        <f>F30-F31</f>
        <v>12</v>
      </c>
      <c r="L30">
        <f>G30-G31</f>
        <v>24</v>
      </c>
      <c r="M30">
        <f t="shared" si="1"/>
        <v>0.24</v>
      </c>
      <c r="N30">
        <f t="shared" si="2"/>
        <v>0.48</v>
      </c>
      <c r="O30">
        <f t="shared" si="0"/>
        <v>0.24</v>
      </c>
    </row>
    <row r="31" spans="2:15" x14ac:dyDescent="0.25">
      <c r="B31" s="8"/>
      <c r="C31" s="4"/>
      <c r="D31" s="4" t="s">
        <v>8</v>
      </c>
      <c r="E31" s="4">
        <v>-22</v>
      </c>
      <c r="F31" s="4">
        <v>6</v>
      </c>
      <c r="G31" s="4">
        <v>-2</v>
      </c>
      <c r="O31">
        <f t="shared" si="0"/>
        <v>0</v>
      </c>
    </row>
    <row r="32" spans="2:15" x14ac:dyDescent="0.25">
      <c r="B32" s="8"/>
      <c r="C32" s="4" t="s">
        <v>51</v>
      </c>
      <c r="D32" s="4" t="s">
        <v>7</v>
      </c>
      <c r="E32" s="4">
        <v>30</v>
      </c>
      <c r="F32" s="4">
        <v>30</v>
      </c>
      <c r="G32" s="4">
        <v>32</v>
      </c>
      <c r="J32">
        <f>E32-E33</f>
        <v>42</v>
      </c>
      <c r="K32">
        <f>F32-F33</f>
        <v>8</v>
      </c>
      <c r="L32">
        <f>G32-G33</f>
        <v>16</v>
      </c>
      <c r="M32">
        <f t="shared" si="1"/>
        <v>0.19047619047619047</v>
      </c>
      <c r="N32">
        <f t="shared" si="2"/>
        <v>0.38095238095238093</v>
      </c>
      <c r="O32">
        <f t="shared" si="0"/>
        <v>0.19047619047619047</v>
      </c>
    </row>
    <row r="33" spans="2:15" x14ac:dyDescent="0.25">
      <c r="B33" s="8"/>
      <c r="C33" s="4"/>
      <c r="D33" s="4" t="s">
        <v>8</v>
      </c>
      <c r="E33" s="4">
        <v>-12</v>
      </c>
      <c r="F33" s="4">
        <v>22</v>
      </c>
      <c r="G33" s="4">
        <v>16</v>
      </c>
      <c r="O33">
        <f t="shared" si="0"/>
        <v>0</v>
      </c>
    </row>
    <row r="34" spans="2:15" x14ac:dyDescent="0.25">
      <c r="O34">
        <f t="shared" si="0"/>
        <v>0</v>
      </c>
    </row>
    <row r="35" spans="2:15" x14ac:dyDescent="0.25">
      <c r="B35" s="8" t="s">
        <v>17</v>
      </c>
      <c r="C35" s="4" t="s">
        <v>6</v>
      </c>
      <c r="D35" s="4" t="s">
        <v>7</v>
      </c>
      <c r="E35" s="4">
        <v>38</v>
      </c>
      <c r="F35" s="4">
        <v>14</v>
      </c>
      <c r="G35" s="4">
        <v>26</v>
      </c>
      <c r="J35">
        <f>E35-E36</f>
        <v>58</v>
      </c>
      <c r="K35">
        <f>F35-F36</f>
        <v>18</v>
      </c>
      <c r="L35">
        <f>G35-G36</f>
        <v>36</v>
      </c>
      <c r="M35">
        <f t="shared" si="1"/>
        <v>0.31034482758620691</v>
      </c>
      <c r="N35">
        <f t="shared" si="2"/>
        <v>0.62068965517241381</v>
      </c>
      <c r="O35">
        <f t="shared" si="0"/>
        <v>0.31034482758620691</v>
      </c>
    </row>
    <row r="36" spans="2:15" x14ac:dyDescent="0.25">
      <c r="B36" s="8"/>
      <c r="C36" s="4"/>
      <c r="D36" s="4" t="s">
        <v>8</v>
      </c>
      <c r="E36" s="4">
        <v>-20</v>
      </c>
      <c r="F36" s="4">
        <v>-4</v>
      </c>
      <c r="G36" s="4">
        <v>-10</v>
      </c>
      <c r="O36">
        <f t="shared" si="0"/>
        <v>0</v>
      </c>
    </row>
    <row r="37" spans="2:15" x14ac:dyDescent="0.25">
      <c r="B37" s="8"/>
      <c r="C37" s="4" t="s">
        <v>51</v>
      </c>
      <c r="D37" s="4" t="s">
        <v>7</v>
      </c>
      <c r="E37" s="4">
        <v>38</v>
      </c>
      <c r="F37" s="4">
        <v>36</v>
      </c>
      <c r="G37" s="4">
        <v>38</v>
      </c>
      <c r="J37">
        <f>E37-E38</f>
        <v>42</v>
      </c>
      <c r="K37">
        <f>F37-F38</f>
        <v>16</v>
      </c>
      <c r="L37">
        <f>G37-G38</f>
        <v>22</v>
      </c>
      <c r="M37">
        <f t="shared" si="1"/>
        <v>0.38095238095238093</v>
      </c>
      <c r="N37">
        <f t="shared" si="2"/>
        <v>0.52380952380952384</v>
      </c>
      <c r="O37">
        <f t="shared" si="0"/>
        <v>0.1428571428571429</v>
      </c>
    </row>
    <row r="38" spans="2:15" x14ac:dyDescent="0.25">
      <c r="B38" s="8"/>
      <c r="C38" s="4"/>
      <c r="D38" s="4" t="s">
        <v>8</v>
      </c>
      <c r="E38" s="4">
        <v>-4</v>
      </c>
      <c r="F38" s="4">
        <v>20</v>
      </c>
      <c r="G38" s="4">
        <v>16</v>
      </c>
      <c r="O38">
        <f t="shared" si="0"/>
        <v>0</v>
      </c>
    </row>
    <row r="39" spans="2:15" x14ac:dyDescent="0.25">
      <c r="B39" s="4"/>
      <c r="C39" s="4"/>
      <c r="D39" s="4"/>
      <c r="E39" s="4"/>
      <c r="F39" s="4"/>
      <c r="G39" s="4"/>
      <c r="O39">
        <f t="shared" si="0"/>
        <v>0</v>
      </c>
    </row>
    <row r="40" spans="2:15" x14ac:dyDescent="0.25">
      <c r="B40" s="4"/>
      <c r="C40" s="4" t="s">
        <v>6</v>
      </c>
      <c r="D40" s="4" t="s">
        <v>7</v>
      </c>
      <c r="E40" s="4">
        <f>99.5-53.7</f>
        <v>45.8</v>
      </c>
      <c r="F40" s="4">
        <f>82.3-51.8</f>
        <v>30.5</v>
      </c>
      <c r="G40" s="4">
        <f>97.3-59.5</f>
        <v>37.799999999999997</v>
      </c>
      <c r="J40">
        <f>E40-E41</f>
        <v>56</v>
      </c>
      <c r="K40">
        <f>F40-F41</f>
        <v>24.5</v>
      </c>
      <c r="L40">
        <f>G40-G41</f>
        <v>39.499999999999986</v>
      </c>
      <c r="M40">
        <f t="shared" si="1"/>
        <v>0.4375</v>
      </c>
      <c r="N40">
        <f t="shared" si="2"/>
        <v>0.70535714285714257</v>
      </c>
      <c r="O40">
        <f t="shared" si="0"/>
        <v>0.26785714285714257</v>
      </c>
    </row>
    <row r="41" spans="2:15" x14ac:dyDescent="0.25">
      <c r="B41" s="4"/>
      <c r="C41" s="4"/>
      <c r="D41" s="4" t="s">
        <v>8</v>
      </c>
      <c r="E41" s="4">
        <f>95.6-105.8</f>
        <v>-10.200000000000003</v>
      </c>
      <c r="F41" s="4">
        <f>86.8-80.8</f>
        <v>6</v>
      </c>
      <c r="G41" s="4">
        <f>98.4-100.1</f>
        <v>-1.6999999999999886</v>
      </c>
      <c r="O41">
        <f t="shared" si="0"/>
        <v>0</v>
      </c>
    </row>
    <row r="42" spans="2:15" x14ac:dyDescent="0.25">
      <c r="B42" s="4"/>
      <c r="C42" s="4" t="s">
        <v>51</v>
      </c>
      <c r="D42" s="4" t="s">
        <v>7</v>
      </c>
      <c r="E42" s="4">
        <f>76.3-34.4</f>
        <v>41.9</v>
      </c>
      <c r="F42" s="4">
        <f>83.5-44.3</f>
        <v>39.200000000000003</v>
      </c>
      <c r="G42" s="4">
        <f>90.4-40</f>
        <v>50.400000000000006</v>
      </c>
      <c r="J42">
        <f>E42-E43</f>
        <v>38.599999999999987</v>
      </c>
      <c r="K42">
        <f>F42-F43</f>
        <v>36.299999999999997</v>
      </c>
      <c r="L42">
        <f>G42-G43</f>
        <v>49.500000000000014</v>
      </c>
      <c r="M42">
        <f t="shared" si="1"/>
        <v>0.94041450777202096</v>
      </c>
      <c r="N42">
        <f t="shared" si="2"/>
        <v>1.28238341968912</v>
      </c>
      <c r="O42">
        <f t="shared" si="0"/>
        <v>0.34196891191709899</v>
      </c>
    </row>
    <row r="43" spans="2:15" x14ac:dyDescent="0.25">
      <c r="B43" s="4" t="s">
        <v>25</v>
      </c>
      <c r="C43" s="4"/>
      <c r="D43" s="4" t="s">
        <v>8</v>
      </c>
      <c r="E43" s="4">
        <f>74.9-71.6</f>
        <v>3.3000000000000114</v>
      </c>
      <c r="F43" s="4">
        <f>83.4-80.5</f>
        <v>2.9000000000000057</v>
      </c>
      <c r="G43" s="4">
        <f>91.8-90.9</f>
        <v>0.89999999999999147</v>
      </c>
      <c r="O43">
        <f t="shared" si="0"/>
        <v>0</v>
      </c>
    </row>
    <row r="44" spans="2:15" x14ac:dyDescent="0.25">
      <c r="B44" s="4"/>
      <c r="C44" s="4"/>
      <c r="D44" s="4"/>
      <c r="E44" s="4"/>
      <c r="F44" s="4"/>
      <c r="G44" s="4"/>
      <c r="O44">
        <f t="shared" si="0"/>
        <v>0</v>
      </c>
    </row>
    <row r="45" spans="2:15" x14ac:dyDescent="0.25">
      <c r="B45" s="4"/>
      <c r="C45" s="4" t="s">
        <v>6</v>
      </c>
      <c r="D45" s="4" t="s">
        <v>7</v>
      </c>
      <c r="E45" s="4">
        <f>124.9 -89.2</f>
        <v>35.700000000000003</v>
      </c>
      <c r="F45" s="4">
        <f>110.1-97.1</f>
        <v>13</v>
      </c>
      <c r="G45" s="4">
        <f>121.1-100.4</f>
        <v>20.699999999999989</v>
      </c>
      <c r="J45">
        <f>E45-E46</f>
        <v>59.600000000000009</v>
      </c>
      <c r="K45">
        <f>F45-F46</f>
        <v>27.100000000000009</v>
      </c>
      <c r="L45">
        <f>G45-G46</f>
        <v>33.399999999999991</v>
      </c>
      <c r="M45">
        <f t="shared" si="1"/>
        <v>0.4546979865771813</v>
      </c>
      <c r="N45">
        <f t="shared" si="2"/>
        <v>0.56040268456375819</v>
      </c>
      <c r="O45">
        <f t="shared" si="0"/>
        <v>0.10570469798657689</v>
      </c>
    </row>
    <row r="46" spans="2:15" x14ac:dyDescent="0.25">
      <c r="B46" s="4"/>
      <c r="C46" s="4"/>
      <c r="D46" s="4" t="s">
        <v>8</v>
      </c>
      <c r="E46" s="4">
        <f>68.8-92.7</f>
        <v>-23.900000000000006</v>
      </c>
      <c r="F46" s="4">
        <f>77.8-91.9</f>
        <v>-14.100000000000009</v>
      </c>
      <c r="G46" s="4">
        <f>87.8-100.5</f>
        <v>-12.700000000000003</v>
      </c>
      <c r="O46">
        <f t="shared" si="0"/>
        <v>0</v>
      </c>
    </row>
    <row r="47" spans="2:15" x14ac:dyDescent="0.25">
      <c r="B47" s="4"/>
      <c r="C47" s="4" t="s">
        <v>51</v>
      </c>
      <c r="D47" s="4" t="s">
        <v>7</v>
      </c>
      <c r="E47" s="4">
        <f>135-104.8</f>
        <v>30.200000000000003</v>
      </c>
      <c r="F47" s="4">
        <f>123.5-101.8</f>
        <v>21.700000000000003</v>
      </c>
      <c r="G47" s="4">
        <f>128.4-105.3</f>
        <v>23.100000000000009</v>
      </c>
      <c r="J47">
        <f>E47-E48</f>
        <v>46.8</v>
      </c>
      <c r="K47">
        <f>F47-F48</f>
        <v>16.900000000000006</v>
      </c>
      <c r="L47">
        <f>G47-G48</f>
        <v>23.700000000000003</v>
      </c>
      <c r="M47">
        <f t="shared" si="1"/>
        <v>0.36111111111111127</v>
      </c>
      <c r="N47">
        <f t="shared" si="2"/>
        <v>0.5064102564102565</v>
      </c>
      <c r="O47">
        <f t="shared" si="0"/>
        <v>0.14529914529914523</v>
      </c>
    </row>
    <row r="48" spans="2:15" x14ac:dyDescent="0.25">
      <c r="B48" s="4" t="s">
        <v>45</v>
      </c>
      <c r="C48" s="4"/>
      <c r="D48" s="4" t="s">
        <v>8</v>
      </c>
      <c r="E48" s="4">
        <f>87.7-104.3</f>
        <v>-16.599999999999994</v>
      </c>
      <c r="F48" s="4">
        <f>102.2-97.4</f>
        <v>4.7999999999999972</v>
      </c>
      <c r="G48" s="4">
        <f>103.7-104.3</f>
        <v>-0.59999999999999432</v>
      </c>
      <c r="O48">
        <f t="shared" si="0"/>
        <v>0</v>
      </c>
    </row>
    <row r="49" spans="2:15" x14ac:dyDescent="0.25">
      <c r="B49" s="4"/>
      <c r="C49" s="4"/>
      <c r="D49" s="4"/>
      <c r="E49" s="4"/>
      <c r="F49" s="4"/>
      <c r="G49" s="4"/>
      <c r="O49">
        <f t="shared" si="0"/>
        <v>0</v>
      </c>
    </row>
    <row r="50" spans="2:15" x14ac:dyDescent="0.25">
      <c r="B50" s="4"/>
      <c r="C50" s="4" t="s">
        <v>6</v>
      </c>
      <c r="D50" s="4" t="s">
        <v>7</v>
      </c>
      <c r="E50" s="4">
        <f>93.8-38.6</f>
        <v>55.199999999999996</v>
      </c>
      <c r="F50" s="4">
        <f>92-56</f>
        <v>36</v>
      </c>
      <c r="G50" s="4">
        <f>102.4-65.6</f>
        <v>36.800000000000011</v>
      </c>
      <c r="J50">
        <f>E50-E51</f>
        <v>73.699999999999989</v>
      </c>
      <c r="K50">
        <f>F50-F51</f>
        <v>33.5</v>
      </c>
      <c r="L50">
        <f>G50-G51</f>
        <v>37.500000000000014</v>
      </c>
      <c r="M50">
        <f t="shared" si="1"/>
        <v>0.45454545454545464</v>
      </c>
      <c r="N50">
        <f t="shared" si="2"/>
        <v>0.50881953867028518</v>
      </c>
      <c r="O50">
        <f t="shared" si="0"/>
        <v>5.4274084124830535E-2</v>
      </c>
    </row>
    <row r="51" spans="2:15" x14ac:dyDescent="0.25">
      <c r="B51" s="4"/>
      <c r="C51" s="4"/>
      <c r="D51" s="4" t="s">
        <v>8</v>
      </c>
      <c r="E51" s="4">
        <f>91.6-110.1</f>
        <v>-18.5</v>
      </c>
      <c r="F51" s="4">
        <f>89-86.5</f>
        <v>2.5</v>
      </c>
      <c r="G51" s="4">
        <f>99-99.7</f>
        <v>-0.70000000000000284</v>
      </c>
      <c r="O51">
        <f t="shared" si="0"/>
        <v>0</v>
      </c>
    </row>
    <row r="52" spans="2:15" x14ac:dyDescent="0.25">
      <c r="B52" s="4"/>
      <c r="C52" s="4" t="s">
        <v>51</v>
      </c>
      <c r="D52" s="4" t="s">
        <v>7</v>
      </c>
      <c r="E52" s="4">
        <f>78.1-29.9</f>
        <v>48.199999999999996</v>
      </c>
      <c r="F52" s="4">
        <f>79.9-43.6</f>
        <v>36.300000000000004</v>
      </c>
      <c r="G52" s="4">
        <f>82.4-45.2</f>
        <v>37.200000000000003</v>
      </c>
      <c r="J52">
        <f>E52-E53</f>
        <v>52.800000000000004</v>
      </c>
      <c r="K52">
        <f>F52-F53</f>
        <v>30.699999999999996</v>
      </c>
      <c r="L52">
        <f>G52-G53</f>
        <v>31.600000000000009</v>
      </c>
      <c r="M52">
        <f t="shared" si="1"/>
        <v>0.58143939393939381</v>
      </c>
      <c r="N52">
        <f t="shared" si="2"/>
        <v>0.59848484848484862</v>
      </c>
      <c r="O52">
        <f t="shared" si="0"/>
        <v>1.7045454545454808E-2</v>
      </c>
    </row>
    <row r="53" spans="2:15" x14ac:dyDescent="0.25">
      <c r="B53" s="4" t="s">
        <v>26</v>
      </c>
      <c r="C53" s="4"/>
      <c r="D53" s="4" t="s">
        <v>8</v>
      </c>
      <c r="E53" s="4">
        <f>75.6-80.2</f>
        <v>-4.6000000000000085</v>
      </c>
      <c r="F53" s="4">
        <f>79.2-73.6</f>
        <v>5.6000000000000085</v>
      </c>
      <c r="G53" s="4">
        <f>85.3-79.7</f>
        <v>5.5999999999999943</v>
      </c>
      <c r="O53">
        <f t="shared" si="0"/>
        <v>0</v>
      </c>
    </row>
    <row r="54" spans="2:15" x14ac:dyDescent="0.25">
      <c r="B54" s="4"/>
      <c r="C54" s="4"/>
      <c r="D54" s="4"/>
      <c r="E54" s="4"/>
      <c r="F54" s="4"/>
      <c r="G54" s="4"/>
      <c r="O54">
        <f t="shared" si="0"/>
        <v>0</v>
      </c>
    </row>
    <row r="55" spans="2:15" x14ac:dyDescent="0.25">
      <c r="B55" s="4"/>
      <c r="C55" s="4" t="s">
        <v>6</v>
      </c>
      <c r="D55" s="4" t="s">
        <v>7</v>
      </c>
      <c r="E55" s="4">
        <f>95.1-52.4</f>
        <v>42.699999999999996</v>
      </c>
      <c r="F55" s="4">
        <f>93.1-54.6</f>
        <v>38.499999999999993</v>
      </c>
      <c r="G55" s="4">
        <f>94.8-52.6</f>
        <v>42.199999999999996</v>
      </c>
      <c r="J55">
        <f>E55-E56</f>
        <v>52.099999999999987</v>
      </c>
      <c r="K55">
        <f>F55-F56</f>
        <v>23.6</v>
      </c>
      <c r="L55">
        <f>G55-G56</f>
        <v>27.499999999999993</v>
      </c>
      <c r="M55">
        <f t="shared" si="1"/>
        <v>0.45297504798464505</v>
      </c>
      <c r="N55">
        <f t="shared" si="2"/>
        <v>0.52783109404990403</v>
      </c>
      <c r="O55">
        <f t="shared" si="0"/>
        <v>7.4856046065258974E-2</v>
      </c>
    </row>
    <row r="56" spans="2:15" x14ac:dyDescent="0.25">
      <c r="B56" s="4"/>
      <c r="C56" s="4"/>
      <c r="D56" s="4" t="s">
        <v>8</v>
      </c>
      <c r="E56" s="4">
        <f>93.2-102.6</f>
        <v>-9.3999999999999915</v>
      </c>
      <c r="F56" s="4">
        <f>94.3-79.4</f>
        <v>14.899999999999991</v>
      </c>
      <c r="G56" s="4">
        <f>94-79.3</f>
        <v>14.700000000000003</v>
      </c>
      <c r="O56">
        <f t="shared" si="0"/>
        <v>0</v>
      </c>
    </row>
    <row r="57" spans="2:15" x14ac:dyDescent="0.25">
      <c r="B57" s="4"/>
      <c r="C57" s="4" t="s">
        <v>51</v>
      </c>
      <c r="D57" s="4" t="s">
        <v>7</v>
      </c>
      <c r="E57" s="4">
        <f>72.2-30.3</f>
        <v>41.900000000000006</v>
      </c>
      <c r="F57" s="4">
        <f>70.3-36.6</f>
        <v>33.699999999999996</v>
      </c>
      <c r="G57" s="4">
        <f>78.8-41.3</f>
        <v>37.5</v>
      </c>
      <c r="J57">
        <f>E57-E58</f>
        <v>45.8</v>
      </c>
      <c r="K57">
        <f>F57-F58</f>
        <v>25.79999999999999</v>
      </c>
      <c r="L57">
        <f>G57-G58</f>
        <v>34.400000000000006</v>
      </c>
      <c r="M57">
        <f t="shared" si="1"/>
        <v>0.56331877729257629</v>
      </c>
      <c r="N57">
        <f t="shared" si="2"/>
        <v>0.75109170305676876</v>
      </c>
      <c r="O57">
        <f t="shared" si="0"/>
        <v>0.18777292576419247</v>
      </c>
    </row>
    <row r="58" spans="2:15" x14ac:dyDescent="0.25">
      <c r="B58" s="4" t="s">
        <v>27</v>
      </c>
      <c r="C58" s="4"/>
      <c r="D58" s="4" t="s">
        <v>8</v>
      </c>
      <c r="E58" s="4">
        <f>72.7-76.6</f>
        <v>-3.8999999999999915</v>
      </c>
      <c r="F58" s="4">
        <f>74.2-66.3</f>
        <v>7.9000000000000057</v>
      </c>
      <c r="G58" s="4">
        <f>78.8-75.7</f>
        <v>3.0999999999999943</v>
      </c>
      <c r="O58">
        <f t="shared" si="0"/>
        <v>0</v>
      </c>
    </row>
    <row r="59" spans="2:15" x14ac:dyDescent="0.25">
      <c r="B59" s="4"/>
      <c r="C59" s="4"/>
      <c r="D59" s="4"/>
      <c r="E59" s="4"/>
      <c r="F59" s="4"/>
      <c r="G59" s="4"/>
      <c r="O59">
        <f t="shared" si="0"/>
        <v>0</v>
      </c>
    </row>
    <row r="60" spans="2:15" x14ac:dyDescent="0.25">
      <c r="B60" s="4"/>
      <c r="C60" s="4" t="s">
        <v>6</v>
      </c>
      <c r="D60" s="4" t="s">
        <v>7</v>
      </c>
      <c r="E60" s="4">
        <f>91.4-47.2</f>
        <v>44.2</v>
      </c>
      <c r="F60" s="4">
        <f>91-59.7</f>
        <v>31.299999999999997</v>
      </c>
      <c r="G60" s="4">
        <f>90-55.5</f>
        <v>34.5</v>
      </c>
      <c r="J60">
        <f>E60-E61</f>
        <v>63.5</v>
      </c>
      <c r="K60">
        <f>F60-F61</f>
        <v>31.400000000000006</v>
      </c>
      <c r="L60">
        <f>G60-G61</f>
        <v>38.299999999999997</v>
      </c>
      <c r="M60">
        <f t="shared" si="1"/>
        <v>0.49448818897637803</v>
      </c>
      <c r="N60">
        <f t="shared" si="2"/>
        <v>0.60314960629921255</v>
      </c>
      <c r="O60">
        <f t="shared" si="0"/>
        <v>0.10866141732283452</v>
      </c>
    </row>
    <row r="61" spans="2:15" x14ac:dyDescent="0.25">
      <c r="B61" s="4"/>
      <c r="C61" s="4"/>
      <c r="D61" s="4" t="s">
        <v>8</v>
      </c>
      <c r="E61" s="4">
        <f>91.2-110.5</f>
        <v>-19.299999999999997</v>
      </c>
      <c r="F61" s="4">
        <f>95.1-95.2</f>
        <v>-0.10000000000000853</v>
      </c>
      <c r="G61" s="4">
        <f>91.5-95.3</f>
        <v>-3.7999999999999972</v>
      </c>
      <c r="O61">
        <f t="shared" si="0"/>
        <v>0</v>
      </c>
    </row>
    <row r="62" spans="2:15" x14ac:dyDescent="0.25">
      <c r="B62" s="4"/>
      <c r="C62" s="4" t="s">
        <v>51</v>
      </c>
      <c r="D62" s="4" t="s">
        <v>7</v>
      </c>
      <c r="E62" s="4">
        <f>74.2-40.2</f>
        <v>34</v>
      </c>
      <c r="F62" s="4">
        <f>81.2-58.1</f>
        <v>23.1</v>
      </c>
      <c r="G62" s="4">
        <f>74.4-43.9</f>
        <v>30.500000000000007</v>
      </c>
      <c r="J62">
        <f>E62-E63</f>
        <v>49.3</v>
      </c>
      <c r="K62">
        <f>F62-F63</f>
        <v>31.1</v>
      </c>
      <c r="L62">
        <f>G62-G63</f>
        <v>38.500000000000007</v>
      </c>
      <c r="M62">
        <f t="shared" si="1"/>
        <v>0.63083164300202843</v>
      </c>
      <c r="N62">
        <f t="shared" si="2"/>
        <v>0.78093306288032471</v>
      </c>
      <c r="O62">
        <f t="shared" si="0"/>
        <v>0.15010141987829628</v>
      </c>
    </row>
    <row r="63" spans="2:15" x14ac:dyDescent="0.25">
      <c r="B63" s="4" t="s">
        <v>28</v>
      </c>
      <c r="C63" s="4"/>
      <c r="D63" s="4" t="s">
        <v>8</v>
      </c>
      <c r="E63" s="4">
        <f>73.9-89.2</f>
        <v>-15.299999999999997</v>
      </c>
      <c r="F63" s="4">
        <f>79.5-87.5</f>
        <v>-8</v>
      </c>
      <c r="G63" s="4">
        <f>80.2-88.2</f>
        <v>-8</v>
      </c>
      <c r="O63">
        <f t="shared" si="0"/>
        <v>0</v>
      </c>
    </row>
    <row r="64" spans="2:15" x14ac:dyDescent="0.25">
      <c r="B64" s="4"/>
      <c r="C64" s="4"/>
      <c r="D64" s="4"/>
      <c r="E64" s="4"/>
      <c r="F64" s="4"/>
      <c r="G64" s="4"/>
      <c r="O64">
        <f t="shared" si="0"/>
        <v>0</v>
      </c>
    </row>
    <row r="65" spans="2:15" x14ac:dyDescent="0.25">
      <c r="B65" s="4"/>
      <c r="C65" s="4" t="s">
        <v>6</v>
      </c>
      <c r="D65" s="4" t="s">
        <v>7</v>
      </c>
      <c r="E65" s="4">
        <f>132.1-87</f>
        <v>45.099999999999994</v>
      </c>
      <c r="F65" s="4">
        <f>138-91.9</f>
        <v>46.099999999999994</v>
      </c>
      <c r="G65" s="4">
        <f>148.1-104</f>
        <v>44.099999999999994</v>
      </c>
      <c r="J65">
        <f>E65-E66</f>
        <v>25.499999999999986</v>
      </c>
      <c r="K65">
        <f>F65-F66</f>
        <v>17</v>
      </c>
      <c r="L65">
        <f>G65-G66</f>
        <v>16.799999999999997</v>
      </c>
      <c r="M65">
        <f t="shared" si="1"/>
        <v>0.66666666666666707</v>
      </c>
      <c r="N65">
        <f t="shared" si="2"/>
        <v>0.65882352941176492</v>
      </c>
      <c r="O65">
        <f t="shared" si="0"/>
        <v>-7.843137254902155E-3</v>
      </c>
    </row>
    <row r="66" spans="2:15" x14ac:dyDescent="0.25">
      <c r="B66" s="4"/>
      <c r="C66" s="4"/>
      <c r="D66" s="4" t="s">
        <v>8</v>
      </c>
      <c r="E66" s="4">
        <f>113.2-93.6</f>
        <v>19.600000000000009</v>
      </c>
      <c r="F66" s="4">
        <f>122.3-93.2</f>
        <v>29.099999999999994</v>
      </c>
      <c r="G66" s="4">
        <f>127.7-100.4</f>
        <v>27.299999999999997</v>
      </c>
      <c r="O66">
        <f t="shared" si="0"/>
        <v>0</v>
      </c>
    </row>
    <row r="67" spans="2:15" x14ac:dyDescent="0.25">
      <c r="B67" s="4"/>
      <c r="C67" s="4" t="s">
        <v>51</v>
      </c>
      <c r="D67" s="4" t="s">
        <v>7</v>
      </c>
      <c r="E67" s="4">
        <f>128.4-90.4</f>
        <v>38</v>
      </c>
      <c r="F67" s="4">
        <f>122.7-87.2</f>
        <v>35.5</v>
      </c>
      <c r="G67" s="4">
        <f>135-105.2</f>
        <v>29.799999999999997</v>
      </c>
      <c r="J67">
        <f>E67-E68</f>
        <v>29.799999999999997</v>
      </c>
      <c r="K67">
        <f>F67-F68</f>
        <v>22.899999999999991</v>
      </c>
      <c r="L67">
        <f>G67-G68</f>
        <v>31.5</v>
      </c>
      <c r="M67">
        <f t="shared" si="1"/>
        <v>0.76845637583892601</v>
      </c>
      <c r="N67">
        <f t="shared" si="2"/>
        <v>1.057046979865772</v>
      </c>
      <c r="O67">
        <f t="shared" si="0"/>
        <v>0.288590604026846</v>
      </c>
    </row>
    <row r="68" spans="2:15" x14ac:dyDescent="0.25">
      <c r="B68" s="4" t="s">
        <v>46</v>
      </c>
      <c r="C68" s="4"/>
      <c r="D68" s="4" t="s">
        <v>8</v>
      </c>
      <c r="E68" s="4">
        <f>98.8-90.6</f>
        <v>8.2000000000000028</v>
      </c>
      <c r="F68" s="4">
        <f>101.4-88.8</f>
        <v>12.600000000000009</v>
      </c>
      <c r="G68" s="4">
        <f>98-99.7</f>
        <v>-1.7000000000000028</v>
      </c>
    </row>
    <row r="69" spans="2:15" x14ac:dyDescent="0.25">
      <c r="B69" s="4"/>
      <c r="C69" s="4"/>
      <c r="D69" s="4"/>
      <c r="E69" s="4"/>
      <c r="F69" s="4"/>
      <c r="G69" s="4"/>
    </row>
    <row r="70" spans="2:15" x14ac:dyDescent="0.25">
      <c r="B70" s="4"/>
      <c r="C70" s="4"/>
      <c r="D70" s="4"/>
      <c r="E70" s="4"/>
      <c r="F70" s="4"/>
      <c r="G70" s="4"/>
    </row>
    <row r="71" spans="2:15" x14ac:dyDescent="0.25">
      <c r="B71" s="4"/>
      <c r="C71" s="4"/>
      <c r="D71" s="4"/>
      <c r="E71" s="4"/>
      <c r="F71" s="4"/>
      <c r="G71" s="4"/>
    </row>
    <row r="72" spans="2:15" x14ac:dyDescent="0.25">
      <c r="B72" s="4"/>
      <c r="C72" s="4"/>
      <c r="D72" s="4"/>
      <c r="E72" s="4"/>
      <c r="F72" s="4"/>
      <c r="G72" s="4"/>
    </row>
    <row r="73" spans="2:15" x14ac:dyDescent="0.25">
      <c r="B73" s="9" t="s">
        <v>29</v>
      </c>
      <c r="C73" s="4" t="s">
        <v>6</v>
      </c>
      <c r="D73" s="4" t="s">
        <v>7</v>
      </c>
      <c r="E73" s="4">
        <f>SUM(E5+E10+E15+E20+E25+E30+E35)/7</f>
        <v>40.285714285714285</v>
      </c>
      <c r="F73" s="4">
        <f t="shared" ref="F73:G73" si="3">SUM(F5+F10+F15+F20+F25+F30+F35)/7</f>
        <v>27.714285714285715</v>
      </c>
      <c r="G73" s="4">
        <f t="shared" si="3"/>
        <v>32.285714285714285</v>
      </c>
      <c r="J73" s="9" t="s">
        <v>30</v>
      </c>
      <c r="K73" s="4" t="s">
        <v>6</v>
      </c>
      <c r="L73" s="4" t="s">
        <v>7</v>
      </c>
      <c r="M73" s="4">
        <f>SUM(E40+E45+E50+E55+E60+E65)/6</f>
        <v>44.783333333333324</v>
      </c>
      <c r="N73" s="4">
        <f>SUM(F40+F45+F50+F55+F60+F65)/6</f>
        <v>32.56666666666667</v>
      </c>
      <c r="O73" s="4">
        <f>SUM(G40,G45,G50,G55,G60,G65)/6</f>
        <v>36.016666666666666</v>
      </c>
    </row>
    <row r="74" spans="2:15" x14ac:dyDescent="0.25">
      <c r="B74" s="9"/>
      <c r="C74" s="4"/>
      <c r="D74" s="4" t="s">
        <v>8</v>
      </c>
      <c r="E74" s="4">
        <f>SUM(E6+E11+E16+E21+E26+E31+E36)/7</f>
        <v>-11.714285714285714</v>
      </c>
      <c r="F74" s="4">
        <f t="shared" ref="F74:G76" si="4">SUM(F6+F11+F16+F21+F26+F31+F36)/7</f>
        <v>8.5714285714285712</v>
      </c>
      <c r="G74" s="4">
        <f t="shared" si="4"/>
        <v>-2.5714285714285716</v>
      </c>
      <c r="J74" s="9"/>
      <c r="K74" s="4"/>
      <c r="L74" s="4" t="s">
        <v>8</v>
      </c>
      <c r="M74" s="4">
        <f>SUM(E41+E46+E51+E56+E61+E66)/6</f>
        <v>-10.283333333333331</v>
      </c>
      <c r="N74" s="4">
        <f>SUM(F41,F46,F51,F56,F61,F66)/6</f>
        <v>6.3833333333333284</v>
      </c>
      <c r="O74" s="4">
        <f>SUM(G41,G46,G51,G56,G61,G66)/6</f>
        <v>3.8500000000000014</v>
      </c>
    </row>
    <row r="75" spans="2:15" x14ac:dyDescent="0.25">
      <c r="B75" s="9"/>
      <c r="C75" s="4" t="s">
        <v>51</v>
      </c>
      <c r="D75" s="4" t="s">
        <v>7</v>
      </c>
      <c r="E75" s="4">
        <f>SUM(E7+E12+E17+E22+E27+E32+E37)/7</f>
        <v>39.142857142857146</v>
      </c>
      <c r="F75" s="4">
        <f t="shared" si="4"/>
        <v>33.428571428571431</v>
      </c>
      <c r="G75" s="4">
        <f t="shared" si="4"/>
        <v>36</v>
      </c>
      <c r="J75" s="9"/>
      <c r="K75" s="4" t="s">
        <v>51</v>
      </c>
      <c r="L75" s="4" t="s">
        <v>7</v>
      </c>
      <c r="M75" s="4">
        <f>SUM(E42+E47+E52+E57+E62+E67)/6</f>
        <v>39.033333333333331</v>
      </c>
      <c r="N75" s="4">
        <f>SUM(F42,F47,F52,F57,F62,F67)/6</f>
        <v>31.583333333333332</v>
      </c>
      <c r="O75" s="4">
        <f>SUM(G42,G47,G52,G57,G62,G67)/6</f>
        <v>34.75</v>
      </c>
    </row>
    <row r="76" spans="2:15" x14ac:dyDescent="0.25">
      <c r="B76" s="9"/>
      <c r="C76" s="4"/>
      <c r="D76" s="4" t="s">
        <v>8</v>
      </c>
      <c r="E76" s="4">
        <f>SUM(E8+E13+E18+E23+E28+E33+E38)/7</f>
        <v>-13.285714285714286</v>
      </c>
      <c r="F76" s="4">
        <f t="shared" si="4"/>
        <v>10.285714285714286</v>
      </c>
      <c r="G76" s="4">
        <f t="shared" si="4"/>
        <v>1.7142857142857142</v>
      </c>
      <c r="J76" s="9"/>
      <c r="K76" s="4"/>
      <c r="L76" s="4" t="s">
        <v>8</v>
      </c>
      <c r="M76" s="4">
        <f>SUM(E43+E48+E53+E58+E63+E68)/6</f>
        <v>-4.8166666666666629</v>
      </c>
      <c r="N76" s="4">
        <f>SUM(F43,F48,F53,F58,F63,F68)/6</f>
        <v>4.3000000000000043</v>
      </c>
      <c r="O76" s="4">
        <f>SUM(G43,G48,G53,G58,G63,G68)/6</f>
        <v>-0.11666666666666951</v>
      </c>
    </row>
    <row r="77" spans="2:15" x14ac:dyDescent="0.25">
      <c r="B77" s="5"/>
      <c r="C77" s="4"/>
      <c r="D77" s="4"/>
      <c r="E77" s="4"/>
      <c r="F77" s="4"/>
      <c r="G77" s="4"/>
      <c r="J77" s="5"/>
      <c r="K77" s="4"/>
      <c r="L77" s="4"/>
      <c r="M77" s="4"/>
      <c r="N77" s="4"/>
      <c r="O77" s="4"/>
    </row>
    <row r="78" spans="2:15" x14ac:dyDescent="0.25">
      <c r="B78" s="4"/>
      <c r="C78" s="4"/>
      <c r="D78" s="4"/>
      <c r="E78" s="4" t="s">
        <v>34</v>
      </c>
      <c r="F78" s="4" t="s">
        <v>35</v>
      </c>
      <c r="G78" s="4"/>
      <c r="J78" s="4"/>
      <c r="K78" s="4"/>
      <c r="L78" s="4"/>
      <c r="M78" s="4"/>
      <c r="N78" s="4"/>
      <c r="O78" s="4"/>
    </row>
    <row r="79" spans="2:15" ht="15" customHeight="1" x14ac:dyDescent="0.25">
      <c r="B79" s="9" t="s">
        <v>36</v>
      </c>
      <c r="C79" s="4" t="s">
        <v>6</v>
      </c>
      <c r="D79" s="4" t="s">
        <v>7</v>
      </c>
      <c r="E79" s="4"/>
      <c r="F79" s="4"/>
      <c r="G79" s="4"/>
      <c r="J79" s="4"/>
      <c r="K79" s="4"/>
      <c r="L79" s="4"/>
      <c r="M79" s="4"/>
      <c r="N79" s="4"/>
      <c r="O79" s="4"/>
    </row>
    <row r="80" spans="2:15" x14ac:dyDescent="0.25">
      <c r="B80" s="9"/>
      <c r="C80" s="4"/>
      <c r="D80" s="4" t="s">
        <v>8</v>
      </c>
      <c r="E80" s="4"/>
      <c r="F80" s="4"/>
      <c r="G80" s="4"/>
      <c r="J80" s="4"/>
      <c r="K80" s="4"/>
      <c r="L80" s="4"/>
      <c r="M80" s="4"/>
      <c r="N80" s="4"/>
      <c r="O80" s="4"/>
    </row>
    <row r="81" spans="2:15" x14ac:dyDescent="0.25">
      <c r="B81" s="9"/>
      <c r="C81" s="4" t="s">
        <v>51</v>
      </c>
      <c r="D81" s="4" t="s">
        <v>7</v>
      </c>
      <c r="E81" s="4"/>
      <c r="F81" s="4"/>
      <c r="G81" s="4"/>
      <c r="J81" s="4"/>
      <c r="K81" s="4"/>
      <c r="L81" s="4"/>
      <c r="M81" s="4"/>
      <c r="N81" s="4"/>
      <c r="O81" s="4"/>
    </row>
    <row r="82" spans="2:15" x14ac:dyDescent="0.25">
      <c r="B82" s="9"/>
      <c r="C82" s="4"/>
      <c r="D82" s="4" t="s">
        <v>8</v>
      </c>
      <c r="E82" s="4"/>
      <c r="F82" s="4"/>
      <c r="G82" s="4"/>
      <c r="J82" s="4"/>
      <c r="K82" s="4"/>
      <c r="L82" s="4"/>
      <c r="M82" s="4"/>
      <c r="N82" s="4"/>
      <c r="O82" s="4"/>
    </row>
    <row r="83" spans="2:15" x14ac:dyDescent="0.25">
      <c r="B83" s="4"/>
      <c r="C83" s="4"/>
      <c r="D83" s="4"/>
      <c r="E83" s="4"/>
      <c r="F83" s="4"/>
      <c r="G83" s="4"/>
    </row>
    <row r="84" spans="2:15" x14ac:dyDescent="0.25">
      <c r="E84" t="s">
        <v>20</v>
      </c>
      <c r="F84" t="s">
        <v>21</v>
      </c>
      <c r="G84" t="s">
        <v>22</v>
      </c>
      <c r="M84" t="s">
        <v>20</v>
      </c>
      <c r="N84" t="s">
        <v>21</v>
      </c>
      <c r="O84" t="s">
        <v>22</v>
      </c>
    </row>
    <row r="85" spans="2:15" ht="15" customHeight="1" x14ac:dyDescent="0.25">
      <c r="B85" s="9" t="s">
        <v>31</v>
      </c>
      <c r="C85" s="4" t="s">
        <v>6</v>
      </c>
      <c r="D85" s="4" t="s">
        <v>47</v>
      </c>
      <c r="E85" s="4">
        <v>40</v>
      </c>
      <c r="F85" s="4">
        <v>27</v>
      </c>
      <c r="G85" s="4">
        <v>32</v>
      </c>
      <c r="J85" s="9" t="s">
        <v>32</v>
      </c>
      <c r="K85" s="4" t="s">
        <v>6</v>
      </c>
      <c r="L85" s="4" t="s">
        <v>47</v>
      </c>
      <c r="M85" s="4">
        <v>45</v>
      </c>
      <c r="N85" s="4">
        <v>33</v>
      </c>
      <c r="O85" s="4">
        <v>36</v>
      </c>
    </row>
    <row r="86" spans="2:15" x14ac:dyDescent="0.25">
      <c r="B86" s="9"/>
      <c r="C86" s="4"/>
      <c r="D86" s="4" t="s">
        <v>23</v>
      </c>
      <c r="E86" s="4">
        <v>-12</v>
      </c>
      <c r="F86" s="4">
        <v>10</v>
      </c>
      <c r="G86" s="4">
        <v>-2</v>
      </c>
      <c r="J86" s="9"/>
      <c r="K86" s="4"/>
      <c r="L86" s="4" t="s">
        <v>23</v>
      </c>
      <c r="M86" s="4">
        <v>-10</v>
      </c>
      <c r="N86" s="4">
        <v>6</v>
      </c>
      <c r="O86" s="4">
        <v>4</v>
      </c>
    </row>
    <row r="87" spans="2:15" x14ac:dyDescent="0.25">
      <c r="B87" s="9"/>
      <c r="C87" s="4" t="s">
        <v>51</v>
      </c>
      <c r="D87" s="4" t="s">
        <v>7</v>
      </c>
      <c r="E87" s="4">
        <v>40</v>
      </c>
      <c r="F87" s="4">
        <v>34</v>
      </c>
      <c r="G87" s="4">
        <v>37</v>
      </c>
      <c r="J87" s="9"/>
      <c r="K87" s="4" t="s">
        <v>51</v>
      </c>
      <c r="L87" s="4" t="s">
        <v>7</v>
      </c>
      <c r="M87" s="4">
        <v>39</v>
      </c>
      <c r="N87" s="4">
        <v>32</v>
      </c>
      <c r="O87" s="4">
        <v>35</v>
      </c>
    </row>
    <row r="88" spans="2:15" x14ac:dyDescent="0.25">
      <c r="B88" s="9"/>
      <c r="C88" s="4"/>
      <c r="D88" s="4" t="s">
        <v>8</v>
      </c>
      <c r="E88" s="4">
        <v>-9</v>
      </c>
      <c r="F88" s="4">
        <v>15</v>
      </c>
      <c r="G88" s="4">
        <v>6</v>
      </c>
      <c r="J88" s="9"/>
      <c r="K88" s="4"/>
      <c r="L88" s="4" t="s">
        <v>8</v>
      </c>
      <c r="M88" s="4">
        <v>-5</v>
      </c>
      <c r="N88" s="4">
        <v>4</v>
      </c>
      <c r="O88" s="4">
        <v>0</v>
      </c>
    </row>
    <row r="108" spans="3:8" x14ac:dyDescent="0.25">
      <c r="C108" s="9" t="s">
        <v>33</v>
      </c>
      <c r="D108" s="4" t="s">
        <v>49</v>
      </c>
      <c r="E108" s="4" t="s">
        <v>7</v>
      </c>
      <c r="F108" s="4">
        <f>SUM(E5+E10+E15+E20+E25+E30+E35+E40+E45+E50+E55+E60+E65)/13</f>
        <v>42.361538461538458</v>
      </c>
      <c r="G108" s="4">
        <f>SUM(F10+F15+F20+F25+F30+F35+F40+F45,F50,F55,F60,F65+F5)/13</f>
        <v>29.95384615384615</v>
      </c>
      <c r="H108" s="4">
        <f>SUM(G10+G15+G20+G25+G30+G35+G40+G5,G45,G50,G55,G60,G65)/13</f>
        <v>34.007692307692309</v>
      </c>
    </row>
    <row r="109" spans="3:8" x14ac:dyDescent="0.25">
      <c r="C109" s="9"/>
      <c r="D109" s="4"/>
      <c r="E109" s="4" t="s">
        <v>8</v>
      </c>
      <c r="F109" s="4">
        <f>SUM(E6+E11+E16+E21+E26+E31+E36+E41+E46+E51+E56+E61+E66)/13</f>
        <v>-11.053846153846154</v>
      </c>
      <c r="G109" s="4">
        <f>SUM(F11+F16+F21+F26+F31+F36+F41+F6,F46,F51,F56,F61,F66)/13</f>
        <v>7.5615384615384595</v>
      </c>
      <c r="H109" s="4">
        <f>SUM(G11+G16+G21+G26+G31+G36+G41+G6,G46,G51,G56,G61,G66)/13</f>
        <v>0.39230769230769297</v>
      </c>
    </row>
    <row r="110" spans="3:8" x14ac:dyDescent="0.25">
      <c r="C110" s="9"/>
      <c r="D110" s="4" t="s">
        <v>51</v>
      </c>
      <c r="E110" s="4" t="s">
        <v>7</v>
      </c>
      <c r="F110" s="4">
        <f>SUM(E12+E17+E22+E27+E32+E37+E7+E42+E47+E52+E57+E62+E67)/13</f>
        <v>39.092307692307685</v>
      </c>
      <c r="G110" s="4">
        <f>SUM(F12+F17+F22+F27+F32+F37+F42+F7,F47,F52,F57,F62,F67)/13</f>
        <v>32.57692307692308</v>
      </c>
      <c r="H110" s="4">
        <f>SUM(G12+G17+G22+G27+G32+G37+G42+G7,G47,G52,G57,G62,G67)/13</f>
        <v>35.42307692307692</v>
      </c>
    </row>
    <row r="111" spans="3:8" x14ac:dyDescent="0.25">
      <c r="C111" s="9"/>
      <c r="D111" s="4"/>
      <c r="E111" s="4" t="s">
        <v>8</v>
      </c>
      <c r="F111" s="4">
        <f>SUM(E8+E13+E18+E23+E28+E33+E38+E43+E48,E53,E58,E63+E68)/13</f>
        <v>-9.3769230769230756</v>
      </c>
      <c r="G111" s="4">
        <f>SUM(F13+F18+F23+F28+F33+F38+F43+F68,F63,F58,F53,F48,F8)/13</f>
        <v>7.5230769230769248</v>
      </c>
      <c r="H111" s="4">
        <f>SUM(G13+G18+G23+G28+G33+G38+G43+G8,G48,G53,G58,G63,G68)/13</f>
        <v>0.86923076923076792</v>
      </c>
    </row>
    <row r="112" spans="3:8" x14ac:dyDescent="0.25">
      <c r="C112" s="7"/>
      <c r="D112" s="6"/>
      <c r="E112" s="6"/>
      <c r="F112" s="6"/>
      <c r="G112" s="6"/>
      <c r="H112" s="6"/>
    </row>
    <row r="113" spans="3:8" x14ac:dyDescent="0.25">
      <c r="C113" s="7"/>
      <c r="D113" s="6"/>
      <c r="E113" s="6"/>
      <c r="F113" s="6"/>
      <c r="G113" s="6"/>
      <c r="H113" s="6"/>
    </row>
    <row r="114" spans="3:8" x14ac:dyDescent="0.25">
      <c r="D114" t="s">
        <v>48</v>
      </c>
    </row>
    <row r="115" spans="3:8" x14ac:dyDescent="0.25">
      <c r="F115" t="s">
        <v>20</v>
      </c>
      <c r="G115" t="s">
        <v>21</v>
      </c>
      <c r="H115" t="s">
        <v>22</v>
      </c>
    </row>
    <row r="116" spans="3:8" ht="15" customHeight="1" x14ac:dyDescent="0.25">
      <c r="C116" s="9"/>
      <c r="D116" s="4" t="s">
        <v>51</v>
      </c>
      <c r="E116" s="4" t="s">
        <v>53</v>
      </c>
      <c r="F116" s="4">
        <v>39.090000000000003</v>
      </c>
      <c r="G116" s="4">
        <v>32.58</v>
      </c>
      <c r="H116" s="4">
        <v>35.42</v>
      </c>
    </row>
    <row r="117" spans="3:8" x14ac:dyDescent="0.25">
      <c r="C117" s="9"/>
      <c r="D117" s="4"/>
      <c r="E117" s="4" t="s">
        <v>54</v>
      </c>
      <c r="F117" s="4">
        <v>-9.3800000000000008</v>
      </c>
      <c r="G117" s="4">
        <v>7.52</v>
      </c>
      <c r="H117" s="4">
        <v>0.87</v>
      </c>
    </row>
    <row r="118" spans="3:8" x14ac:dyDescent="0.25">
      <c r="C118" s="9"/>
      <c r="D118" s="4" t="s">
        <v>49</v>
      </c>
      <c r="E118" s="4" t="s">
        <v>50</v>
      </c>
      <c r="F118" s="4">
        <v>42.36</v>
      </c>
      <c r="G118" s="4">
        <v>29.95</v>
      </c>
      <c r="H118" s="4">
        <v>34.01</v>
      </c>
    </row>
    <row r="119" spans="3:8" x14ac:dyDescent="0.25">
      <c r="C119" s="9"/>
      <c r="D119" s="4"/>
      <c r="E119" s="4" t="s">
        <v>52</v>
      </c>
      <c r="F119" s="4">
        <v>-11.05</v>
      </c>
      <c r="G119" s="4">
        <v>7.56</v>
      </c>
      <c r="H119" s="4">
        <v>0.39</v>
      </c>
    </row>
    <row r="137" spans="2:16" ht="60" x14ac:dyDescent="0.25">
      <c r="M137" s="5" t="s">
        <v>44</v>
      </c>
    </row>
    <row r="138" spans="2:16" ht="15" customHeight="1" x14ac:dyDescent="0.25">
      <c r="B138" s="11" t="s">
        <v>43</v>
      </c>
      <c r="D138" t="s">
        <v>4</v>
      </c>
      <c r="E138" t="s">
        <v>9</v>
      </c>
      <c r="F138" t="s">
        <v>35</v>
      </c>
      <c r="K138" s="4"/>
      <c r="L138" s="4"/>
      <c r="M138" s="4" t="s">
        <v>9</v>
      </c>
      <c r="N138" s="4" t="s">
        <v>35</v>
      </c>
      <c r="P138" s="4"/>
    </row>
    <row r="139" spans="2:16" x14ac:dyDescent="0.25">
      <c r="B139" s="11"/>
      <c r="C139" t="s">
        <v>51</v>
      </c>
      <c r="D139">
        <f>SUM(J5,J10,J15,J20,J25,J30,J35,J40,J45,J50,J55,J60,J65)/13</f>
        <v>53.41538461538461</v>
      </c>
      <c r="E139">
        <f t="shared" ref="E139:F139" si="5">SUM(K5,K10,K15,K20,K25,K30,K35,K40,K45,K50,K55,K60,K65)/13</f>
        <v>22.392307692307693</v>
      </c>
      <c r="F139">
        <f t="shared" si="5"/>
        <v>33.615384615384613</v>
      </c>
      <c r="L139" s="4" t="s">
        <v>51</v>
      </c>
      <c r="M139" s="4">
        <f>E139/D139</f>
        <v>0.41921082949308758</v>
      </c>
      <c r="N139" s="4">
        <f>F139/D139</f>
        <v>0.62932027649769584</v>
      </c>
      <c r="O139" s="4"/>
      <c r="P139" s="4"/>
    </row>
    <row r="140" spans="2:16" x14ac:dyDescent="0.25">
      <c r="B140" s="11"/>
      <c r="C140" t="s">
        <v>49</v>
      </c>
      <c r="D140">
        <f>SUM(J7,J12,J17,J22,J27,J32,J37,J42,J47,J52,J57,J62,J67)/13</f>
        <v>48.469230769230762</v>
      </c>
      <c r="E140">
        <f t="shared" ref="E140:F140" si="6">SUM(K7,K12,K17,K22,K27,K32,K37,K42,K47,K52,K57,K62,K67)/13</f>
        <v>25.053846153846152</v>
      </c>
      <c r="F140">
        <f t="shared" si="6"/>
        <v>34.553846153846159</v>
      </c>
      <c r="K140" s="5"/>
      <c r="L140" s="4" t="s">
        <v>49</v>
      </c>
      <c r="M140" s="4">
        <f>E140/D140</f>
        <v>0.51690207903507379</v>
      </c>
      <c r="N140" s="4">
        <f>F140/D140</f>
        <v>0.71290271385494386</v>
      </c>
      <c r="O140" s="4"/>
      <c r="P140" s="4"/>
    </row>
    <row r="141" spans="2:16" x14ac:dyDescent="0.25">
      <c r="K141" s="5"/>
      <c r="L141" s="4"/>
      <c r="M141" s="4"/>
      <c r="N141" s="4"/>
      <c r="O141" s="4"/>
      <c r="P141" s="4"/>
    </row>
  </sheetData>
  <mergeCells count="15">
    <mergeCell ref="B35:B38"/>
    <mergeCell ref="B73:B76"/>
    <mergeCell ref="B85:B88"/>
    <mergeCell ref="B5:B8"/>
    <mergeCell ref="B10:B13"/>
    <mergeCell ref="B15:B18"/>
    <mergeCell ref="B20:B23"/>
    <mergeCell ref="B25:B28"/>
    <mergeCell ref="B30:B33"/>
    <mergeCell ref="B138:B140"/>
    <mergeCell ref="J73:J76"/>
    <mergeCell ref="J85:J88"/>
    <mergeCell ref="C108:C111"/>
    <mergeCell ref="C116:C119"/>
    <mergeCell ref="B79:B82"/>
  </mergeCells>
  <pageMargins left="0.7" right="0.7" top="0.75" bottom="0.75" header="0.3" footer="0.3"/>
  <pageSetup orientation="portrait" r:id="rId1"/>
  <drawing r:id="rId2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gbh.apcauto</dc:creator>
  <cp:lastModifiedBy>stanaka</cp:lastModifiedBy>
  <dcterms:created xsi:type="dcterms:W3CDTF">2011-03-23T18:29:12Z</dcterms:created>
  <dcterms:modified xsi:type="dcterms:W3CDTF">2012-08-12T14:19:26Z</dcterms:modified>
</cp:coreProperties>
</file>