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.xiao/Documents/Resources/Trainings/TrainingTues/"/>
    </mc:Choice>
  </mc:AlternateContent>
  <xr:revisionPtr revIDLastSave="0" documentId="13_ncr:1_{FB6C2CD8-49DD-1B44-A030-5C8DA1621B5C}" xr6:coauthVersionLast="36" xr6:coauthVersionMax="36" xr10:uidLastSave="{00000000-0000-0000-0000-000000000000}"/>
  <bookViews>
    <workbookView xWindow="0" yWindow="460" windowWidth="25600" windowHeight="16060" xr2:uid="{00000000-000D-0000-FFFF-FFFF00000000}"/>
  </bookViews>
  <sheets>
    <sheet name="Calendar" sheetId="1" r:id="rId1"/>
    <sheet name="Lookup List" sheetId="2" r:id="rId2"/>
  </sheets>
  <definedNames>
    <definedName name="AprSun1">DATE(TheYear,4,1)-WEEKDAY(DATE(TheYear,4,1))+1</definedName>
    <definedName name="AugSun1">DATE(TheYear,8,1)-WEEKDAY(DATE(TheYear,8,1))+1</definedName>
    <definedName name="DecSun1">DATE(TheYear,12,1)-WEEKDAY(DATE(TheYear,12,1))+1</definedName>
    <definedName name="FebSun1">DATE(TheYear,2,1)-WEEKDAY(DATE(TheYear,2,1))+1</definedName>
    <definedName name="JanSun1">DATE(TheYear,1,1)-WEEKDAY(DATE(TheYear,1,1))+1</definedName>
    <definedName name="JulSun1">DATE(TheYear,7,1)-WEEKDAY(DATE(TheYear,7,1))+1</definedName>
    <definedName name="JunSun1">DATE(TheYear,6,1)-WEEKDAY(DATE(TheYear,6,1))+1</definedName>
    <definedName name="MarSun1">DATE(TheYear,3,1)-WEEKDAY(DATE(TheYear,3,1))+1</definedName>
    <definedName name="MaySun1">DATE(TheYear,5,1)-WEEKDAY(DATE(TheYear,5,1))+1</definedName>
    <definedName name="NovSun1">DATE(TheYear,11,1)-WEEKDAY(DATE(TheYear,11,1))+1</definedName>
    <definedName name="OctSun1">DATE(TheYear,10,1)-WEEKDAY(DATE(TheYear,10,1))+1</definedName>
    <definedName name="SepSun1">DATE(TheYear,9,1)-WEEKDAY(DATE(TheYear,9,1))+1</definedName>
    <definedName name="TheYear">Calendar!$B$2</definedName>
    <definedName name="YearLookup">YearLookupList[]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Q11" i="1"/>
  <c r="P11" i="1"/>
  <c r="O11" i="1"/>
  <c r="N11" i="1"/>
  <c r="M11" i="1"/>
  <c r="L11" i="1"/>
  <c r="K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Y11" i="1"/>
  <c r="X11" i="1"/>
  <c r="W11" i="1"/>
  <c r="V11" i="1"/>
  <c r="U11" i="1"/>
  <c r="T11" i="1"/>
  <c r="S11" i="1"/>
  <c r="Y10" i="1"/>
  <c r="X10" i="1"/>
  <c r="W10" i="1"/>
  <c r="V10" i="1"/>
  <c r="U10" i="1"/>
  <c r="T10" i="1"/>
  <c r="S10" i="1"/>
  <c r="Y9" i="1"/>
  <c r="X9" i="1"/>
  <c r="W9" i="1"/>
  <c r="V9" i="1"/>
  <c r="U9" i="1"/>
  <c r="T9" i="1"/>
  <c r="S9" i="1"/>
  <c r="Y8" i="1"/>
  <c r="X8" i="1"/>
  <c r="W8" i="1"/>
  <c r="V8" i="1"/>
  <c r="U8" i="1"/>
  <c r="T8" i="1"/>
  <c r="S8" i="1"/>
  <c r="Y7" i="1"/>
  <c r="X7" i="1"/>
  <c r="W7" i="1"/>
  <c r="V7" i="1"/>
  <c r="U7" i="1"/>
  <c r="T7" i="1"/>
  <c r="S7" i="1"/>
  <c r="AG11" i="1"/>
  <c r="AF11" i="1"/>
  <c r="AE11" i="1"/>
  <c r="AD11" i="1"/>
  <c r="AC11" i="1"/>
  <c r="AB11" i="1"/>
  <c r="AA11" i="1"/>
  <c r="AG10" i="1"/>
  <c r="AF10" i="1"/>
  <c r="AE10" i="1"/>
  <c r="AD10" i="1"/>
  <c r="AC10" i="1"/>
  <c r="AB10" i="1"/>
  <c r="AA10" i="1"/>
  <c r="AG9" i="1"/>
  <c r="AF9" i="1"/>
  <c r="AE9" i="1"/>
  <c r="AD9" i="1"/>
  <c r="AC9" i="1"/>
  <c r="AB9" i="1"/>
  <c r="AA9" i="1"/>
  <c r="AG8" i="1"/>
  <c r="AF8" i="1"/>
  <c r="AE8" i="1"/>
  <c r="AD8" i="1"/>
  <c r="AC8" i="1"/>
  <c r="AB8" i="1"/>
  <c r="AA8" i="1"/>
  <c r="AG7" i="1"/>
  <c r="AF7" i="1"/>
  <c r="AE7" i="1"/>
  <c r="AD7" i="1"/>
  <c r="AC7" i="1"/>
  <c r="AB7" i="1"/>
  <c r="AA7" i="1"/>
  <c r="Q29" i="1"/>
  <c r="P29" i="1"/>
  <c r="O29" i="1"/>
  <c r="N29" i="1"/>
  <c r="M29" i="1"/>
  <c r="L29" i="1"/>
  <c r="K29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Q20" i="1"/>
  <c r="P20" i="1"/>
  <c r="O20" i="1"/>
  <c r="N20" i="1"/>
  <c r="M20" i="1"/>
  <c r="L20" i="1"/>
  <c r="K20" i="1"/>
  <c r="Q19" i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Y20" i="1"/>
  <c r="X20" i="1"/>
  <c r="W20" i="1"/>
  <c r="V20" i="1"/>
  <c r="U20" i="1"/>
  <c r="T20" i="1"/>
  <c r="S20" i="1"/>
  <c r="Y19" i="1"/>
  <c r="X19" i="1"/>
  <c r="W19" i="1"/>
  <c r="V19" i="1"/>
  <c r="U19" i="1"/>
  <c r="T19" i="1"/>
  <c r="S19" i="1"/>
  <c r="Y18" i="1"/>
  <c r="X18" i="1"/>
  <c r="W18" i="1"/>
  <c r="V18" i="1"/>
  <c r="U18" i="1"/>
  <c r="T18" i="1"/>
  <c r="S18" i="1"/>
  <c r="Y17" i="1"/>
  <c r="X17" i="1"/>
  <c r="W17" i="1"/>
  <c r="V17" i="1"/>
  <c r="U17" i="1"/>
  <c r="T17" i="1"/>
  <c r="S17" i="1"/>
  <c r="Y16" i="1"/>
  <c r="X16" i="1"/>
  <c r="W16" i="1"/>
  <c r="V16" i="1"/>
  <c r="U16" i="1"/>
  <c r="T16" i="1"/>
  <c r="S16" i="1"/>
  <c r="AG20" i="1"/>
  <c r="AF20" i="1"/>
  <c r="AE20" i="1"/>
  <c r="AD20" i="1"/>
  <c r="AC20" i="1"/>
  <c r="AB20" i="1"/>
  <c r="AA20" i="1"/>
  <c r="AG19" i="1"/>
  <c r="AF19" i="1"/>
  <c r="AE19" i="1"/>
  <c r="AD19" i="1"/>
  <c r="AC19" i="1"/>
  <c r="AB19" i="1"/>
  <c r="AA19" i="1"/>
  <c r="AG18" i="1"/>
  <c r="AF18" i="1"/>
  <c r="AE18" i="1"/>
  <c r="AD18" i="1"/>
  <c r="AC18" i="1"/>
  <c r="AB18" i="1"/>
  <c r="AA18" i="1"/>
  <c r="AG17" i="1"/>
  <c r="AF17" i="1"/>
  <c r="AE17" i="1"/>
  <c r="AD17" i="1"/>
  <c r="AC17" i="1"/>
  <c r="AB17" i="1"/>
  <c r="AA17" i="1"/>
  <c r="AG16" i="1"/>
  <c r="AF16" i="1"/>
  <c r="AE16" i="1"/>
  <c r="AD16" i="1"/>
  <c r="AC16" i="1"/>
  <c r="AB16" i="1"/>
  <c r="AA16" i="1"/>
  <c r="Y29" i="1"/>
  <c r="X29" i="1"/>
  <c r="W29" i="1"/>
  <c r="V29" i="1"/>
  <c r="U29" i="1"/>
  <c r="T29" i="1"/>
  <c r="S29" i="1"/>
  <c r="Y28" i="1"/>
  <c r="X28" i="1"/>
  <c r="W28" i="1"/>
  <c r="V28" i="1"/>
  <c r="U28" i="1"/>
  <c r="T28" i="1"/>
  <c r="S28" i="1"/>
  <c r="Y27" i="1"/>
  <c r="X27" i="1"/>
  <c r="W27" i="1"/>
  <c r="V27" i="1"/>
  <c r="U27" i="1"/>
  <c r="T27" i="1"/>
  <c r="S27" i="1"/>
  <c r="Y26" i="1"/>
  <c r="X26" i="1"/>
  <c r="W26" i="1"/>
  <c r="V26" i="1"/>
  <c r="U26" i="1"/>
  <c r="T26" i="1"/>
  <c r="S26" i="1"/>
  <c r="Y25" i="1"/>
  <c r="X25" i="1"/>
  <c r="W25" i="1"/>
  <c r="V25" i="1"/>
  <c r="U25" i="1"/>
  <c r="T25" i="1"/>
  <c r="S25" i="1"/>
  <c r="AG30" i="1"/>
  <c r="AF30" i="1"/>
  <c r="AE30" i="1"/>
  <c r="AD30" i="1"/>
  <c r="AC30" i="1"/>
  <c r="AB30" i="1"/>
  <c r="AA30" i="1"/>
  <c r="Y30" i="1"/>
  <c r="X30" i="1"/>
  <c r="W30" i="1"/>
  <c r="V30" i="1"/>
  <c r="U30" i="1"/>
  <c r="T30" i="1"/>
  <c r="Q30" i="1"/>
  <c r="P30" i="1"/>
  <c r="O30" i="1"/>
  <c r="N30" i="1"/>
  <c r="M30" i="1"/>
  <c r="L30" i="1"/>
  <c r="K30" i="1"/>
  <c r="AG29" i="1"/>
  <c r="AF29" i="1"/>
  <c r="AE29" i="1"/>
  <c r="AD29" i="1"/>
  <c r="AC29" i="1"/>
  <c r="AB29" i="1"/>
  <c r="AA29" i="1"/>
  <c r="AG28" i="1"/>
  <c r="AF28" i="1"/>
  <c r="AE28" i="1"/>
  <c r="AD28" i="1"/>
  <c r="AC28" i="1"/>
  <c r="AB28" i="1"/>
  <c r="AA28" i="1"/>
  <c r="AG27" i="1"/>
  <c r="AF27" i="1"/>
  <c r="AE27" i="1"/>
  <c r="AD27" i="1"/>
  <c r="AC27" i="1"/>
  <c r="AB27" i="1"/>
  <c r="AA27" i="1"/>
  <c r="AG26" i="1"/>
  <c r="AF26" i="1"/>
  <c r="AE26" i="1"/>
  <c r="AD26" i="1"/>
  <c r="AC26" i="1"/>
  <c r="AB26" i="1"/>
  <c r="AA26" i="1"/>
  <c r="AG25" i="1"/>
  <c r="AF25" i="1"/>
  <c r="AE25" i="1"/>
  <c r="AD25" i="1"/>
  <c r="AC25" i="1"/>
  <c r="AB25" i="1"/>
  <c r="AA25" i="1"/>
  <c r="AG21" i="1"/>
  <c r="AF21" i="1"/>
  <c r="AE21" i="1"/>
  <c r="AD21" i="1"/>
  <c r="AC21" i="1"/>
  <c r="AB21" i="1"/>
  <c r="AA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I21" i="1"/>
  <c r="H21" i="1"/>
  <c r="G21" i="1"/>
  <c r="F21" i="1"/>
  <c r="E21" i="1"/>
  <c r="D21" i="1"/>
  <c r="C21" i="1"/>
  <c r="AG12" i="1"/>
  <c r="AF12" i="1"/>
  <c r="AE12" i="1"/>
  <c r="AD12" i="1"/>
  <c r="AC12" i="1"/>
  <c r="AB12" i="1"/>
  <c r="AA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 </author>
  </authors>
  <commentList>
    <comment ref="C3" authorId="0" shapeId="0" xr:uid="{00000000-0006-0000-0100-000001000000}">
      <text>
        <r>
          <rPr>
            <b/>
            <sz val="9"/>
            <color indexed="81"/>
            <rFont val="Geneva"/>
          </rPr>
          <t>This list populates the options that appear in the pop-up list for the year on the Calendar sheet. To add additional years, begin typing in the cell directly beneath the last existing entry and the list will automatically expand.</t>
        </r>
      </text>
    </comment>
  </commentList>
</comments>
</file>

<file path=xl/sharedStrings.xml><?xml version="1.0" encoding="utf-8"?>
<sst xmlns="http://schemas.openxmlformats.org/spreadsheetml/2006/main" count="120" uniqueCount="40">
  <si>
    <t>January</t>
  </si>
  <si>
    <t>April</t>
  </si>
  <si>
    <t>July</t>
  </si>
  <si>
    <t>October</t>
  </si>
  <si>
    <t>S</t>
  </si>
  <si>
    <t>M</t>
  </si>
  <si>
    <t>T</t>
  </si>
  <si>
    <t>W</t>
  </si>
  <si>
    <t>F</t>
  </si>
  <si>
    <t>February</t>
  </si>
  <si>
    <t>May</t>
  </si>
  <si>
    <t>August</t>
  </si>
  <si>
    <t>November</t>
  </si>
  <si>
    <t>March</t>
  </si>
  <si>
    <t>June</t>
  </si>
  <si>
    <t>September</t>
  </si>
  <si>
    <t>December</t>
  </si>
  <si>
    <t>Year</t>
  </si>
  <si>
    <t>Date</t>
  </si>
  <si>
    <t>Topics</t>
  </si>
  <si>
    <t>Aug 14th</t>
  </si>
  <si>
    <t>Level 1 - ARTIK Intro</t>
  </si>
  <si>
    <t>Aug 28th</t>
  </si>
  <si>
    <t xml:space="preserve">Sep 11th </t>
  </si>
  <si>
    <t xml:space="preserve">Sep 25th </t>
  </si>
  <si>
    <t>Oct 9th</t>
  </si>
  <si>
    <t>Oct 23rd</t>
  </si>
  <si>
    <t>Nov 13th</t>
  </si>
  <si>
    <t>Nov 27th</t>
  </si>
  <si>
    <t>Dec 11th</t>
  </si>
  <si>
    <t>Level 2- ARTIK Security</t>
  </si>
  <si>
    <t>Level 2 - ARTIK Connectivitity</t>
  </si>
  <si>
    <t>Level 2- Cloud Communication</t>
  </si>
  <si>
    <t>Level 3- Getting Started with Machine Learning on ARTIK</t>
  </si>
  <si>
    <t>Level 1- ARTIK Intro</t>
  </si>
  <si>
    <t>Level 2- ARTIK 5x system design</t>
  </si>
  <si>
    <t xml:space="preserve">Level 1 - ARTIK Intro </t>
  </si>
  <si>
    <t>Level 1(Overview)</t>
  </si>
  <si>
    <t>Level 2(Feature)</t>
  </si>
  <si>
    <t>Level 3(Solution)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</si>
</sst>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2" x14ac:knownFonts="1">
    <font>
      <sz val="12"/>
      <color theme="1"/>
      <name val="Candara"/>
      <family val="2"/>
      <scheme val="minor"/>
    </font>
    <font>
      <sz val="10"/>
      <name val="Arial"/>
      <family val="2"/>
    </font>
    <font>
      <b/>
      <sz val="12"/>
      <color theme="0"/>
      <name val="Candara"/>
      <family val="2"/>
      <scheme val="major"/>
    </font>
    <font>
      <sz val="12"/>
      <color rgb="FF002060"/>
      <name val="Candara"/>
      <family val="2"/>
      <scheme val="minor"/>
    </font>
    <font>
      <b/>
      <sz val="28"/>
      <color theme="0"/>
      <name val="Candara"/>
      <family val="1"/>
      <scheme val="major"/>
    </font>
    <font>
      <b/>
      <sz val="9"/>
      <color indexed="81"/>
      <name val="Geneva"/>
    </font>
    <font>
      <sz val="8"/>
      <name val="Candara"/>
      <family val="2"/>
      <scheme val="minor"/>
    </font>
    <font>
      <b/>
      <sz val="12"/>
      <color theme="1"/>
      <name val="Candara"/>
      <family val="2"/>
      <scheme val="minor"/>
    </font>
    <font>
      <u/>
      <sz val="12"/>
      <color theme="10"/>
      <name val="Candara"/>
      <family val="2"/>
      <scheme val="minor"/>
    </font>
    <font>
      <u/>
      <sz val="12"/>
      <color theme="11"/>
      <name val="Candara"/>
      <family val="2"/>
      <scheme val="minor"/>
    </font>
    <font>
      <sz val="12"/>
      <color rgb="FFFFFF00"/>
      <name val="Candara"/>
      <scheme val="minor"/>
    </font>
    <font>
      <sz val="12"/>
      <color rgb="FF000000"/>
      <name val="Candar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4BB"/>
        <bgColor indexed="64"/>
      </patternFill>
    </fill>
    <fill>
      <patternFill patternType="solid">
        <fgColor rgb="FFEB592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4BB"/>
        <bgColor rgb="FF000000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/>
      <top/>
      <bottom style="thin">
        <color theme="0" tint="-0.34998626667073579"/>
      </bottom>
      <diagonal/>
    </border>
  </borders>
  <cellStyleXfs count="5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0" xfId="0" applyBorder="1"/>
    <xf numFmtId="164" fontId="3" fillId="4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0" fontId="7" fillId="0" borderId="0" xfId="0" applyFont="1"/>
    <xf numFmtId="164" fontId="3" fillId="6" borderId="0" xfId="0" applyNumberFormat="1" applyFont="1" applyFill="1" applyBorder="1" applyAlignment="1">
      <alignment horizontal="center"/>
    </xf>
    <xf numFmtId="0" fontId="10" fillId="4" borderId="0" xfId="0" applyFont="1" applyFill="1"/>
    <xf numFmtId="0" fontId="0" fillId="7" borderId="0" xfId="0" applyFont="1" applyFill="1"/>
    <xf numFmtId="0" fontId="0" fillId="8" borderId="0" xfId="0" applyFont="1" applyFill="1"/>
    <xf numFmtId="0" fontId="11" fillId="0" borderId="0" xfId="0" applyFont="1"/>
    <xf numFmtId="0" fontId="11" fillId="9" borderId="0" xfId="0" applyFont="1" applyFill="1"/>
    <xf numFmtId="0" fontId="11" fillId="10" borderId="0" xfId="0" applyFont="1" applyFill="1"/>
    <xf numFmtId="0" fontId="7" fillId="0" borderId="0" xfId="0" applyFont="1"/>
    <xf numFmtId="0" fontId="2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YearLookupList" displayName="YearLookupList" ref="A1:A10" totalsRowShown="0" headerRowDxfId="0">
  <autoFilter ref="A1:A10" xr:uid="{00000000-0009-0000-0100-000001000000}"/>
  <tableColumns count="1">
    <tableColumn id="1" xr3:uid="{00000000-0010-0000-0000-000001000000}" name="Year"/>
  </tableColumns>
  <tableStyleInfo name="TableStyleLight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H45"/>
  <sheetViews>
    <sheetView showGridLines="0" tabSelected="1" topLeftCell="A17" workbookViewId="0">
      <selection activeCell="H39" sqref="H39"/>
    </sheetView>
  </sheetViews>
  <sheetFormatPr baseColWidth="10" defaultColWidth="8.7109375" defaultRowHeight="18" x14ac:dyDescent="0.25"/>
  <cols>
    <col min="1" max="1" width="0.85546875" style="2" customWidth="1"/>
    <col min="2" max="2" width="2" style="2" customWidth="1"/>
    <col min="3" max="9" width="4.28515625" style="2" customWidth="1"/>
    <col min="10" max="10" width="2" style="2" customWidth="1"/>
    <col min="11" max="17" width="4.28515625" style="2" customWidth="1"/>
    <col min="18" max="18" width="2" style="2" customWidth="1"/>
    <col min="19" max="25" width="4.28515625" style="2" customWidth="1"/>
    <col min="26" max="26" width="2" style="2" customWidth="1"/>
    <col min="27" max="33" width="4.28515625" style="2" customWidth="1"/>
    <col min="34" max="34" width="2" style="2" customWidth="1"/>
    <col min="35" max="16384" width="8.7109375" style="2"/>
  </cols>
  <sheetData>
    <row r="1" spans="2:34" ht="3" customHeight="1" thickBot="1" x14ac:dyDescent="0.3"/>
    <row r="2" spans="2:34" ht="27" customHeight="1" thickTop="1" x14ac:dyDescent="0.25">
      <c r="B2" s="32">
        <v>2018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4"/>
    </row>
    <row r="3" spans="2:34" ht="9" customHeight="1" thickBot="1" x14ac:dyDescent="0.3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7"/>
    </row>
    <row r="4" spans="2:34" ht="14.25" customHeight="1" thickTop="1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 spans="2:34" x14ac:dyDescent="0.25">
      <c r="B5" s="8"/>
      <c r="C5" s="30" t="s">
        <v>0</v>
      </c>
      <c r="D5" s="30"/>
      <c r="E5" s="30"/>
      <c r="F5" s="30"/>
      <c r="G5" s="30"/>
      <c r="H5" s="30"/>
      <c r="I5" s="30"/>
      <c r="J5" s="3"/>
      <c r="K5" s="30" t="s">
        <v>9</v>
      </c>
      <c r="L5" s="30"/>
      <c r="M5" s="30"/>
      <c r="N5" s="30"/>
      <c r="O5" s="30"/>
      <c r="P5" s="30"/>
      <c r="Q5" s="30"/>
      <c r="R5" s="3"/>
      <c r="S5" s="30" t="s">
        <v>13</v>
      </c>
      <c r="T5" s="30"/>
      <c r="U5" s="30"/>
      <c r="V5" s="30"/>
      <c r="W5" s="30"/>
      <c r="X5" s="30"/>
      <c r="Y5" s="30"/>
      <c r="Z5" s="3"/>
      <c r="AA5" s="30" t="s">
        <v>1</v>
      </c>
      <c r="AB5" s="30"/>
      <c r="AC5" s="30"/>
      <c r="AD5" s="30"/>
      <c r="AE5" s="30"/>
      <c r="AF5" s="30"/>
      <c r="AG5" s="30"/>
      <c r="AH5" s="9"/>
    </row>
    <row r="6" spans="2:34" x14ac:dyDescent="0.25">
      <c r="B6" s="8"/>
      <c r="C6" s="13" t="s">
        <v>4</v>
      </c>
      <c r="D6" s="14" t="s">
        <v>5</v>
      </c>
      <c r="E6" s="14" t="s">
        <v>6</v>
      </c>
      <c r="F6" s="14" t="s">
        <v>7</v>
      </c>
      <c r="G6" s="14" t="s">
        <v>6</v>
      </c>
      <c r="H6" s="14" t="s">
        <v>8</v>
      </c>
      <c r="I6" s="15" t="s">
        <v>4</v>
      </c>
      <c r="J6" s="3"/>
      <c r="K6" s="13" t="s">
        <v>4</v>
      </c>
      <c r="L6" s="14" t="s">
        <v>5</v>
      </c>
      <c r="M6" s="14" t="s">
        <v>6</v>
      </c>
      <c r="N6" s="14" t="s">
        <v>7</v>
      </c>
      <c r="O6" s="14" t="s">
        <v>6</v>
      </c>
      <c r="P6" s="14" t="s">
        <v>8</v>
      </c>
      <c r="Q6" s="15" t="s">
        <v>4</v>
      </c>
      <c r="R6" s="3"/>
      <c r="S6" s="13" t="s">
        <v>4</v>
      </c>
      <c r="T6" s="14" t="s">
        <v>5</v>
      </c>
      <c r="U6" s="14" t="s">
        <v>6</v>
      </c>
      <c r="V6" s="14" t="s">
        <v>7</v>
      </c>
      <c r="W6" s="14" t="s">
        <v>6</v>
      </c>
      <c r="X6" s="14" t="s">
        <v>8</v>
      </c>
      <c r="Y6" s="15" t="s">
        <v>4</v>
      </c>
      <c r="Z6" s="3"/>
      <c r="AA6" s="13" t="s">
        <v>4</v>
      </c>
      <c r="AB6" s="14" t="s">
        <v>5</v>
      </c>
      <c r="AC6" s="14" t="s">
        <v>6</v>
      </c>
      <c r="AD6" s="14" t="s">
        <v>7</v>
      </c>
      <c r="AE6" s="14" t="s">
        <v>6</v>
      </c>
      <c r="AF6" s="14" t="s">
        <v>8</v>
      </c>
      <c r="AG6" s="15" t="s">
        <v>4</v>
      </c>
      <c r="AH6" s="9"/>
    </row>
    <row r="7" spans="2:34" ht="14.25" customHeight="1" x14ac:dyDescent="0.25">
      <c r="B7" s="8"/>
      <c r="C7" s="16" t="str">
        <f>IF(AND(YEAR(JanSun1)=TheYear,MONTH(JanSun1)=1),JanSun1, "")</f>
        <v/>
      </c>
      <c r="D7" s="16">
        <f>IF(AND(YEAR(JanSun1+1)=TheYear,MONTH(JanSun1+1)=1),JanSun1+1, "")</f>
        <v>43101</v>
      </c>
      <c r="E7" s="16">
        <f>IF(AND(YEAR(JanSun1+2)=TheYear,MONTH(JanSun1+2)=1),JanSun1+2, "")</f>
        <v>43102</v>
      </c>
      <c r="F7" s="16">
        <f>IF(AND(YEAR(JanSun1+3)=TheYear,MONTH(JanSun1+3)=1),JanSun1+3, "")</f>
        <v>43103</v>
      </c>
      <c r="G7" s="16">
        <f>IF(AND(YEAR(JanSun1+4)=TheYear,MONTH(JanSun1+4)=1),JanSun1+4, "")</f>
        <v>43104</v>
      </c>
      <c r="H7" s="16">
        <f>IF(AND(YEAR(JanSun1+5)=TheYear,MONTH(JanSun1+5)=1),JanSun1+5, "")</f>
        <v>43105</v>
      </c>
      <c r="I7" s="16">
        <f>IF(AND(YEAR(JanSun1+6)=TheYear,MONTH(JanSun1+6)=1),JanSun1+6, "")</f>
        <v>43106</v>
      </c>
      <c r="J7" s="3"/>
      <c r="K7" s="16" t="str">
        <f>IF(AND(YEAR(FebSun1)=TheYear,MONTH(FebSun1)=2),FebSun1, "")</f>
        <v/>
      </c>
      <c r="L7" s="16" t="str">
        <f>IF(AND(YEAR(FebSun1+1)=TheYear,MONTH(FebSun1+1)=2),FebSun1+1, "")</f>
        <v/>
      </c>
      <c r="M7" s="16" t="str">
        <f>IF(AND(YEAR(FebSun1+2)=TheYear,MONTH(FebSun1+2)=2),FebSun1+2, "")</f>
        <v/>
      </c>
      <c r="N7" s="16" t="str">
        <f>IF(AND(YEAR(FebSun1+3)=TheYear,MONTH(FebSun1+3)=2),FebSun1+3, "")</f>
        <v/>
      </c>
      <c r="O7" s="16">
        <f>IF(AND(YEAR(FebSun1+4)=TheYear,MONTH(FebSun1+4)=2),FebSun1+4, "")</f>
        <v>43132</v>
      </c>
      <c r="P7" s="16">
        <f>IF(AND(YEAR(FebSun1+5)=TheYear,MONTH(FebSun1+5)=2),FebSun1+5, "")</f>
        <v>43133</v>
      </c>
      <c r="Q7" s="16">
        <f>IF(AND(YEAR(FebSun1+6)=TheYear,MONTH(FebSun1+6)=2),FebSun1+6, "")</f>
        <v>43134</v>
      </c>
      <c r="R7" s="3"/>
      <c r="S7" s="16" t="str">
        <f>IF(AND(YEAR(MarSun1)=TheYear,MONTH(MarSun1)=3),MarSun1, "")</f>
        <v/>
      </c>
      <c r="T7" s="16" t="str">
        <f>IF(AND(YEAR(MarSun1+1)=TheYear,MONTH(MarSun1+1)=3),MarSun1+1, "")</f>
        <v/>
      </c>
      <c r="U7" s="16" t="str">
        <f>IF(AND(YEAR(MarSun1+2)=TheYear,MONTH(MarSun1+2)=3),MarSun1+2, "")</f>
        <v/>
      </c>
      <c r="V7" s="16" t="str">
        <f>IF(AND(YEAR(MarSun1+3)=TheYear,MONTH(MarSun1+3)=3),MarSun1+3, "")</f>
        <v/>
      </c>
      <c r="W7" s="16">
        <f>IF(AND(YEAR(MarSun1+4)=TheYear,MONTH(MarSun1+4)=3),MarSun1+4, "")</f>
        <v>43160</v>
      </c>
      <c r="X7" s="16">
        <f>IF(AND(YEAR(MarSun1+5)=TheYear,MONTH(MarSun1+5)=3),MarSun1+5, "")</f>
        <v>43161</v>
      </c>
      <c r="Y7" s="16">
        <f>IF(AND(YEAR(MarSun1+6)=TheYear,MONTH(MarSun1+6)=3),MarSun1+6, "")</f>
        <v>43162</v>
      </c>
      <c r="Z7" s="3"/>
      <c r="AA7" s="16">
        <f>IF(AND(YEAR(AprSun1)=TheYear,MONTH(AprSun1)=4),AprSun1, "")</f>
        <v>43191</v>
      </c>
      <c r="AB7" s="16">
        <f>IF(AND(YEAR(AprSun1+1)=TheYear,MONTH(AprSun1+1)=4),AprSun1+1, "")</f>
        <v>43192</v>
      </c>
      <c r="AC7" s="16">
        <f>IF(AND(YEAR(AprSun1+2)=TheYear,MONTH(AprSun1+2)=4),AprSun1+2, "")</f>
        <v>43193</v>
      </c>
      <c r="AD7" s="16">
        <f>IF(AND(YEAR(AprSun1+3)=TheYear,MONTH(AprSun1+3)=4),AprSun1+3, "")</f>
        <v>43194</v>
      </c>
      <c r="AE7" s="16">
        <f>IF(AND(YEAR(AprSun1+4)=TheYear,MONTH(AprSun1+4)=4),AprSun1+4, "")</f>
        <v>43195</v>
      </c>
      <c r="AF7" s="16">
        <f>IF(AND(YEAR(AprSun1+5)=TheYear,MONTH(AprSun1+5)=4),AprSun1+5, "")</f>
        <v>43196</v>
      </c>
      <c r="AG7" s="16">
        <f>IF(AND(YEAR(AprSun1+6)=TheYear,MONTH(AprSun1+6)=4),AprSun1+6, "")</f>
        <v>43197</v>
      </c>
      <c r="AH7" s="9"/>
    </row>
    <row r="8" spans="2:34" x14ac:dyDescent="0.25">
      <c r="B8" s="8"/>
      <c r="C8" s="16">
        <f>IF(AND(YEAR(JanSun1+7)=TheYear,MONTH(JanSun1+7)=1),JanSun1+7, "")</f>
        <v>43107</v>
      </c>
      <c r="D8" s="16">
        <f>IF(AND(YEAR(JanSun1+8)=TheYear,MONTH(JanSun1+8)=1),JanSun1+8, "")</f>
        <v>43108</v>
      </c>
      <c r="E8" s="16">
        <f>IF(AND(YEAR(JanSun1+9)=TheYear,MONTH(JanSun1+9)=1),JanSun1+9, "")</f>
        <v>43109</v>
      </c>
      <c r="F8" s="16">
        <f>IF(AND(YEAR(JanSun1+10)=TheYear,MONTH(JanSun1+10)=1),JanSun1+10, "")</f>
        <v>43110</v>
      </c>
      <c r="G8" s="16">
        <f>IF(AND(YEAR(JanSun1+11)=TheYear,MONTH(JanSun1+11)=1),JanSun1+11, "")</f>
        <v>43111</v>
      </c>
      <c r="H8" s="16">
        <f>IF(AND(YEAR(JanSun1+12)=TheYear,MONTH(JanSun1+12)=1),JanSun1+12, "")</f>
        <v>43112</v>
      </c>
      <c r="I8" s="16">
        <f>IF(AND(YEAR(JanSun1+13)=TheYear,MONTH(JanSun1+13)=1),JanSun1+13, "")</f>
        <v>43113</v>
      </c>
      <c r="J8" s="3"/>
      <c r="K8" s="16">
        <f>IF(AND(YEAR(FebSun1+7)=TheYear,MONTH(FebSun1+7)=2),FebSun1+7, "")</f>
        <v>43135</v>
      </c>
      <c r="L8" s="16">
        <f>IF(AND(YEAR(FebSun1+8)=TheYear,MONTH(FebSun1+8)=2),FebSun1+8, "")</f>
        <v>43136</v>
      </c>
      <c r="M8" s="16">
        <f>IF(AND(YEAR(FebSun1+9)=TheYear,MONTH(FebSun1+9)=2),FebSun1+9, "")</f>
        <v>43137</v>
      </c>
      <c r="N8" s="16">
        <f>IF(AND(YEAR(FebSun1+10)=TheYear,MONTH(FebSun1+10)=2),FebSun1+10, "")</f>
        <v>43138</v>
      </c>
      <c r="O8" s="16">
        <f>IF(AND(YEAR(FebSun1+11)=TheYear,MONTH(FebSun1+11)=2),FebSun1+11, "")</f>
        <v>43139</v>
      </c>
      <c r="P8" s="16">
        <f>IF(AND(YEAR(FebSun1+12)=TheYear,MONTH(FebSun1+12)=2),FebSun1+12, "")</f>
        <v>43140</v>
      </c>
      <c r="Q8" s="16">
        <f>IF(AND(YEAR(FebSun1+13)=TheYear,MONTH(FebSun1+13)=2),FebSun1+13, "")</f>
        <v>43141</v>
      </c>
      <c r="R8" s="3"/>
      <c r="S8" s="16">
        <f>IF(AND(YEAR(MarSun1+7)=TheYear,MONTH(MarSun1+7)=3),MarSun1+7, "")</f>
        <v>43163</v>
      </c>
      <c r="T8" s="16">
        <f>IF(AND(YEAR(MarSun1+8)=TheYear,MONTH(MarSun1+8)=3),MarSun1+8, "")</f>
        <v>43164</v>
      </c>
      <c r="U8" s="16">
        <f>IF(AND(YEAR(MarSun1+9)=TheYear,MONTH(MarSun1+9)=3),MarSun1+9, "")</f>
        <v>43165</v>
      </c>
      <c r="V8" s="16">
        <f>IF(AND(YEAR(MarSun1+10)=TheYear,MONTH(MarSun1+10)=3),MarSun1+10, "")</f>
        <v>43166</v>
      </c>
      <c r="W8" s="16">
        <f>IF(AND(YEAR(MarSun1+11)=TheYear,MONTH(MarSun1+11)=3),MarSun1+11, "")</f>
        <v>43167</v>
      </c>
      <c r="X8" s="16">
        <f>IF(AND(YEAR(MarSun1+12)=TheYear,MONTH(MarSun1+12)=3),MarSun1+12, "")</f>
        <v>43168</v>
      </c>
      <c r="Y8" s="16">
        <f>IF(AND(YEAR(MarSun1+13)=TheYear,MONTH(MarSun1+13)=3),MarSun1+13, "")</f>
        <v>43169</v>
      </c>
      <c r="Z8" s="3"/>
      <c r="AA8" s="16">
        <f>IF(AND(YEAR(AprSun1+7)=TheYear,MONTH(AprSun1+7)=4),AprSun1+7, "")</f>
        <v>43198</v>
      </c>
      <c r="AB8" s="16">
        <f>IF(AND(YEAR(AprSun1+8)=TheYear,MONTH(AprSun1+8)=4),AprSun1+8, "")</f>
        <v>43199</v>
      </c>
      <c r="AC8" s="16">
        <f>IF(AND(YEAR(AprSun1+9)=TheYear,MONTH(AprSun1+9)=4),AprSun1+9, "")</f>
        <v>43200</v>
      </c>
      <c r="AD8" s="16">
        <f>IF(AND(YEAR(AprSun1+10)=TheYear,MONTH(AprSun1+10)=4),AprSun1+10, "")</f>
        <v>43201</v>
      </c>
      <c r="AE8" s="16">
        <f>IF(AND(YEAR(AprSun1+11)=TheYear,MONTH(AprSun1+11)=4),AprSun1+11, "")</f>
        <v>43202</v>
      </c>
      <c r="AF8" s="16">
        <f>IF(AND(YEAR(AprSun1+12)=TheYear,MONTH(AprSun1+12)=4),AprSun1+12, "")</f>
        <v>43203</v>
      </c>
      <c r="AG8" s="16">
        <f>IF(AND(YEAR(AprSun1+13)=TheYear,MONTH(AprSun1+13)=4),AprSun1+13, "")</f>
        <v>43204</v>
      </c>
      <c r="AH8" s="9"/>
    </row>
    <row r="9" spans="2:34" x14ac:dyDescent="0.25">
      <c r="B9" s="8"/>
      <c r="C9" s="16">
        <f>IF(AND(YEAR(JanSun1+14)=TheYear,MONTH(JanSun1+14)=1),JanSun1+14, "")</f>
        <v>43114</v>
      </c>
      <c r="D9" s="16">
        <f>IF(AND(YEAR(JanSun1+15)=TheYear,MONTH(JanSun1+15)=1),JanSun1+15, "")</f>
        <v>43115</v>
      </c>
      <c r="E9" s="16">
        <f>IF(AND(YEAR(JanSun1+16)=TheYear,MONTH(JanSun1+16)=1),JanSun1+16, "")</f>
        <v>43116</v>
      </c>
      <c r="F9" s="16">
        <f>IF(AND(YEAR(JanSun1+17)=TheYear,MONTH(JanSun1+17)=1),JanSun1+17, "")</f>
        <v>43117</v>
      </c>
      <c r="G9" s="16">
        <f>IF(AND(YEAR(JanSun1+18)=TheYear,MONTH(JanSun1+18)=1),JanSun1+18, "")</f>
        <v>43118</v>
      </c>
      <c r="H9" s="16">
        <f>IF(AND(YEAR(JanSun1+19)=TheYear,MONTH(JanSun1+19)=1),JanSun1+19, "")</f>
        <v>43119</v>
      </c>
      <c r="I9" s="16">
        <f>IF(AND(YEAR(JanSun1+20)=TheYear,MONTH(JanSun1+20)=1),JanSun1+20, "")</f>
        <v>43120</v>
      </c>
      <c r="J9" s="3"/>
      <c r="K9" s="16">
        <f>IF(AND(YEAR(FebSun1+14)=TheYear,MONTH(FebSun1+14)=2),FebSun1+14, "")</f>
        <v>43142</v>
      </c>
      <c r="L9" s="16">
        <f>IF(AND(YEAR(FebSun1+15)=TheYear,MONTH(FebSun1+15)=2),FebSun1+15, "")</f>
        <v>43143</v>
      </c>
      <c r="M9" s="16">
        <f>IF(AND(YEAR(FebSun1+16)=TheYear,MONTH(FebSun1+16)=2),FebSun1+16, "")</f>
        <v>43144</v>
      </c>
      <c r="N9" s="16">
        <f>IF(AND(YEAR(FebSun1+17)=TheYear,MONTH(FebSun1+17)=2),FebSun1+17, "")</f>
        <v>43145</v>
      </c>
      <c r="O9" s="16">
        <f>IF(AND(YEAR(FebSun1+18)=TheYear,MONTH(FebSun1+18)=2),FebSun1+18, "")</f>
        <v>43146</v>
      </c>
      <c r="P9" s="16">
        <f>IF(AND(YEAR(FebSun1+19)=TheYear,MONTH(FebSun1+19)=2),FebSun1+19, "")</f>
        <v>43147</v>
      </c>
      <c r="Q9" s="16">
        <f>IF(AND(YEAR(FebSun1+20)=TheYear,MONTH(FebSun1+20)=2),FebSun1+20, "")</f>
        <v>43148</v>
      </c>
      <c r="R9" s="3"/>
      <c r="S9" s="16">
        <f>IF(AND(YEAR(MarSun1+14)=TheYear,MONTH(MarSun1+14)=3),MarSun1+14, "")</f>
        <v>43170</v>
      </c>
      <c r="T9" s="16">
        <f>IF(AND(YEAR(MarSun1+15)=TheYear,MONTH(MarSun1+15)=3),MarSun1+15, "")</f>
        <v>43171</v>
      </c>
      <c r="U9" s="16">
        <f>IF(AND(YEAR(MarSun1+16)=TheYear,MONTH(MarSun1+16)=3),MarSun1+16, "")</f>
        <v>43172</v>
      </c>
      <c r="V9" s="16">
        <f>IF(AND(YEAR(MarSun1+17)=TheYear,MONTH(MarSun1+17)=3),MarSun1+17, "")</f>
        <v>43173</v>
      </c>
      <c r="W9" s="16">
        <f>IF(AND(YEAR(MarSun1+18)=TheYear,MONTH(MarSun1+18)=3),MarSun1+18, "")</f>
        <v>43174</v>
      </c>
      <c r="X9" s="16">
        <f>IF(AND(YEAR(MarSun1+19)=TheYear,MONTH(MarSun1+19)=3),MarSun1+19, "")</f>
        <v>43175</v>
      </c>
      <c r="Y9" s="16">
        <f>IF(AND(YEAR(MarSun1+20)=TheYear,MONTH(MarSun1+20)=3),MarSun1+20, "")</f>
        <v>43176</v>
      </c>
      <c r="Z9" s="3"/>
      <c r="AA9" s="16">
        <f>IF(AND(YEAR(AprSun1+14)=TheYear,MONTH(AprSun1+14)=4),AprSun1+14, "")</f>
        <v>43205</v>
      </c>
      <c r="AB9" s="16">
        <f>IF(AND(YEAR(AprSun1+15)=TheYear,MONTH(AprSun1+15)=4),AprSun1+15, "")</f>
        <v>43206</v>
      </c>
      <c r="AC9" s="16">
        <f>IF(AND(YEAR(AprSun1+16)=TheYear,MONTH(AprSun1+16)=4),AprSun1+16, "")</f>
        <v>43207</v>
      </c>
      <c r="AD9" s="16">
        <f>IF(AND(YEAR(AprSun1+17)=TheYear,MONTH(AprSun1+17)=4),AprSun1+17, "")</f>
        <v>43208</v>
      </c>
      <c r="AE9" s="16">
        <f>IF(AND(YEAR(AprSun1+18)=TheYear,MONTH(AprSun1+18)=4),AprSun1+18, "")</f>
        <v>43209</v>
      </c>
      <c r="AF9" s="16">
        <f>IF(AND(YEAR(AprSun1+19)=TheYear,MONTH(AprSun1+19)=4),AprSun1+19, "")</f>
        <v>43210</v>
      </c>
      <c r="AG9" s="16">
        <f>IF(AND(YEAR(AprSun1+20)=TheYear,MONTH(AprSun1+20)=4),AprSun1+20, "")</f>
        <v>43211</v>
      </c>
      <c r="AH9" s="9"/>
    </row>
    <row r="10" spans="2:34" x14ac:dyDescent="0.25">
      <c r="B10" s="8"/>
      <c r="C10" s="16">
        <f>IF(AND(YEAR(JanSun1+21)=TheYear,MONTH(JanSun1+21)=1),JanSun1+21, "")</f>
        <v>43121</v>
      </c>
      <c r="D10" s="16">
        <f>IF(AND(YEAR(JanSun1+22)=TheYear,MONTH(JanSun1+22)=1),JanSun1+22, "")</f>
        <v>43122</v>
      </c>
      <c r="E10" s="16">
        <f>IF(AND(YEAR(JanSun1+23)=TheYear,MONTH(JanSun1+23)=1),JanSun1+23, "")</f>
        <v>43123</v>
      </c>
      <c r="F10" s="16">
        <f>IF(AND(YEAR(JanSun1+24)=TheYear,MONTH(JanSun1+24)=1),JanSun1+24, "")</f>
        <v>43124</v>
      </c>
      <c r="G10" s="16">
        <f>IF(AND(YEAR(JanSun1+25)=TheYear,MONTH(JanSun1+25)=1),JanSun1+25, "")</f>
        <v>43125</v>
      </c>
      <c r="H10" s="16">
        <f>IF(AND(YEAR(JanSun1+26)=TheYear,MONTH(JanSun1+26)=1),JanSun1+26, "")</f>
        <v>43126</v>
      </c>
      <c r="I10" s="16">
        <f>IF(AND(YEAR(JanSun1+27)=TheYear,MONTH(JanSun1+27)=1),JanSun1+27, "")</f>
        <v>43127</v>
      </c>
      <c r="J10" s="3"/>
      <c r="K10" s="16">
        <f>IF(AND(YEAR(FebSun1+21)=TheYear,MONTH(FebSun1+21)=2),FebSun1+21, "")</f>
        <v>43149</v>
      </c>
      <c r="L10" s="16">
        <f>IF(AND(YEAR(FebSun1+22)=TheYear,MONTH(FebSun1+22)=2),FebSun1+22, "")</f>
        <v>43150</v>
      </c>
      <c r="M10" s="16">
        <f>IF(AND(YEAR(FebSun1+23)=TheYear,MONTH(FebSun1+23)=2),FebSun1+23, "")</f>
        <v>43151</v>
      </c>
      <c r="N10" s="16">
        <f>IF(AND(YEAR(FebSun1+24)=TheYear,MONTH(FebSun1+24)=2),FebSun1+24, "")</f>
        <v>43152</v>
      </c>
      <c r="O10" s="16">
        <f>IF(AND(YEAR(FebSun1+25)=TheYear,MONTH(FebSun1+25)=2),FebSun1+25, "")</f>
        <v>43153</v>
      </c>
      <c r="P10" s="16">
        <f>IF(AND(YEAR(FebSun1+26)=TheYear,MONTH(FebSun1+26)=2),FebSun1+26, "")</f>
        <v>43154</v>
      </c>
      <c r="Q10" s="16">
        <f>IF(AND(YEAR(FebSun1+27)=TheYear,MONTH(FebSun1+27)=2),FebSun1+27, "")</f>
        <v>43155</v>
      </c>
      <c r="R10" s="3"/>
      <c r="S10" s="16">
        <f>IF(AND(YEAR(MarSun1+21)=TheYear,MONTH(MarSun1+21)=3),MarSun1+21, "")</f>
        <v>43177</v>
      </c>
      <c r="T10" s="16">
        <f>IF(AND(YEAR(MarSun1+22)=TheYear,MONTH(MarSun1+22)=3),MarSun1+22, "")</f>
        <v>43178</v>
      </c>
      <c r="U10" s="16">
        <f>IF(AND(YEAR(MarSun1+23)=TheYear,MONTH(MarSun1+23)=3),MarSun1+23, "")</f>
        <v>43179</v>
      </c>
      <c r="V10" s="16">
        <f>IF(AND(YEAR(MarSun1+24)=TheYear,MONTH(MarSun1+24)=3),MarSun1+24, "")</f>
        <v>43180</v>
      </c>
      <c r="W10" s="16">
        <f>IF(AND(YEAR(MarSun1+25)=TheYear,MONTH(MarSun1+25)=3),MarSun1+25, "")</f>
        <v>43181</v>
      </c>
      <c r="X10" s="16">
        <f>IF(AND(YEAR(MarSun1+26)=TheYear,MONTH(MarSun1+26)=3),MarSun1+26, "")</f>
        <v>43182</v>
      </c>
      <c r="Y10" s="16">
        <f>IF(AND(YEAR(MarSun1+27)=TheYear,MONTH(MarSun1+27)=3),MarSun1+27, "")</f>
        <v>43183</v>
      </c>
      <c r="Z10" s="3"/>
      <c r="AA10" s="16">
        <f>IF(AND(YEAR(AprSun1+21)=TheYear,MONTH(AprSun1+21)=4),AprSun1+21, "")</f>
        <v>43212</v>
      </c>
      <c r="AB10" s="16">
        <f>IF(AND(YEAR(AprSun1+22)=TheYear,MONTH(AprSun1+22)=4),AprSun1+22, "")</f>
        <v>43213</v>
      </c>
      <c r="AC10" s="16">
        <f>IF(AND(YEAR(AprSun1+23)=TheYear,MONTH(AprSun1+23)=4),AprSun1+23, "")</f>
        <v>43214</v>
      </c>
      <c r="AD10" s="16">
        <f>IF(AND(YEAR(AprSun1+24)=TheYear,MONTH(AprSun1+24)=4),AprSun1+24, "")</f>
        <v>43215</v>
      </c>
      <c r="AE10" s="16">
        <f>IF(AND(YEAR(AprSun1+25)=TheYear,MONTH(AprSun1+25)=4),AprSun1+25, "")</f>
        <v>43216</v>
      </c>
      <c r="AF10" s="16">
        <f>IF(AND(YEAR(AprSun1+26)=TheYear,MONTH(AprSun1+26)=4),AprSun1+26, "")</f>
        <v>43217</v>
      </c>
      <c r="AG10" s="16">
        <f>IF(AND(YEAR(AprSun1+27)=TheYear,MONTH(AprSun1+27)=4),AprSun1+27, "")</f>
        <v>43218</v>
      </c>
      <c r="AH10" s="9"/>
    </row>
    <row r="11" spans="2:34" x14ac:dyDescent="0.25">
      <c r="B11" s="8"/>
      <c r="C11" s="16">
        <f>IF(AND(YEAR(JanSun1+28)=TheYear,MONTH(JanSun1+28)=1),JanSun1+28, "")</f>
        <v>43128</v>
      </c>
      <c r="D11" s="16">
        <f>IF(AND(YEAR(JanSun1+29)=TheYear,MONTH(JanSun1+29)=1),JanSun1+29, "")</f>
        <v>43129</v>
      </c>
      <c r="E11" s="16">
        <f>IF(AND(YEAR(JanSun1+30)=TheYear,MONTH(JanSun1+30)=1),JanSun1+30, "")</f>
        <v>43130</v>
      </c>
      <c r="F11" s="16">
        <f>IF(AND(YEAR(JanSun1+31)=TheYear,MONTH(JanSun1+31)=1),JanSun1+31, "")</f>
        <v>43131</v>
      </c>
      <c r="G11" s="16" t="str">
        <f>IF(AND(YEAR(JanSun1+32)=TheYear,MONTH(JanSun1+32)=1),JanSun1+32, "")</f>
        <v/>
      </c>
      <c r="H11" s="16" t="str">
        <f>IF(AND(YEAR(JanSun1+33)=TheYear,MONTH(JanSun1+33)=1),JanSun1+33, "")</f>
        <v/>
      </c>
      <c r="I11" s="16" t="str">
        <f>IF(AND(YEAR(JanSun1+34)=TheYear,MONTH(JanSun1+34)=1),JanSun1+34, "")</f>
        <v/>
      </c>
      <c r="J11" s="3"/>
      <c r="K11" s="16">
        <f>IF(AND(YEAR(FebSun1+28)=TheYear,MONTH(FebSun1+28)=2),FebSun1+28, "")</f>
        <v>43156</v>
      </c>
      <c r="L11" s="16">
        <f>IF(AND(YEAR(FebSun1+29)=TheYear,MONTH(FebSun1+29)=2),FebSun1+29, "")</f>
        <v>43157</v>
      </c>
      <c r="M11" s="16">
        <f>IF(AND(YEAR(FebSun1+30)=TheYear,MONTH(FebSun1+30)=2),FebSun1+30, "")</f>
        <v>43158</v>
      </c>
      <c r="N11" s="16">
        <f>IF(AND(YEAR(FebSun1+31)=TheYear,MONTH(FebSun1+31)=2),FebSun1+31, "")</f>
        <v>43159</v>
      </c>
      <c r="O11" s="16" t="str">
        <f>IF(AND(YEAR(FebSun1+32)=TheYear,MONTH(FebSun1+32)=2),FebSun1+32, "")</f>
        <v/>
      </c>
      <c r="P11" s="16" t="str">
        <f>IF(AND(YEAR(FebSun1+33)=TheYear,MONTH(FebSun1+33)=2),FebSun1+33, "")</f>
        <v/>
      </c>
      <c r="Q11" s="16" t="str">
        <f>IF(AND(YEAR(FebSun1+34)=TheYear,MONTH(FebSun1+34)=2),FebSun1+34, "")</f>
        <v/>
      </c>
      <c r="R11" s="3"/>
      <c r="S11" s="16">
        <f>IF(AND(YEAR(MarSun1+28)=TheYear,MONTH(MarSun1+28)=3),MarSun1+28, "")</f>
        <v>43184</v>
      </c>
      <c r="T11" s="16">
        <f>IF(AND(YEAR(MarSun1+29)=TheYear,MONTH(MarSun1+29)=3),MarSun1+29, "")</f>
        <v>43185</v>
      </c>
      <c r="U11" s="16">
        <f>IF(AND(YEAR(MarSun1+30)=TheYear,MONTH(MarSun1+30)=3),MarSun1+30, "")</f>
        <v>43186</v>
      </c>
      <c r="V11" s="16">
        <f>IF(AND(YEAR(MarSun1+31)=TheYear,MONTH(MarSun1+31)=3),MarSun1+31, "")</f>
        <v>43187</v>
      </c>
      <c r="W11" s="16">
        <f>IF(AND(YEAR(MarSun1+32)=TheYear,MONTH(MarSun1+32)=3),MarSun1+32, "")</f>
        <v>43188</v>
      </c>
      <c r="X11" s="16">
        <f>IF(AND(YEAR(MarSun1+33)=TheYear,MONTH(MarSun1+33)=3),MarSun1+33, "")</f>
        <v>43189</v>
      </c>
      <c r="Y11" s="16">
        <f>IF(AND(YEAR(MarSun1+34)=TheYear,MONTH(MarSun1+34)=3),MarSun1+34, "")</f>
        <v>43190</v>
      </c>
      <c r="Z11" s="3"/>
      <c r="AA11" s="16">
        <f>IF(AND(YEAR(AprSun1+28)=TheYear,MONTH(AprSun1+28)=4),AprSun1+28, "")</f>
        <v>43219</v>
      </c>
      <c r="AB11" s="16">
        <f>IF(AND(YEAR(AprSun1+29)=TheYear,MONTH(AprSun1+29)=4),AprSun1+29, "")</f>
        <v>43220</v>
      </c>
      <c r="AC11" s="16" t="str">
        <f>IF(AND(YEAR(AprSun1+30)=TheYear,MONTH(AprSun1+30)=4),AprSun1+30, "")</f>
        <v/>
      </c>
      <c r="AD11" s="16" t="str">
        <f>IF(AND(YEAR(AprSun1+31)=TheYear,MONTH(AprSun1+31)=4),AprSun1+31, "")</f>
        <v/>
      </c>
      <c r="AE11" s="16" t="str">
        <f>IF(AND(YEAR(AprSun1+32)=TheYear,MONTH(AprSun1+32)=4),AprSun1+32, "")</f>
        <v/>
      </c>
      <c r="AF11" s="16" t="str">
        <f>IF(AND(YEAR(AprSun1+33)=TheYear,MONTH(AprSun1+33)=4),AprSun1+33, "")</f>
        <v/>
      </c>
      <c r="AG11" s="16" t="str">
        <f>IF(AND(YEAR(AprSun1+34)=TheYear,MONTH(AprSun1+34)=4),AprSun1+34, "")</f>
        <v/>
      </c>
      <c r="AH11" s="9"/>
    </row>
    <row r="12" spans="2:34" x14ac:dyDescent="0.25">
      <c r="B12" s="8"/>
      <c r="C12" s="16" t="str">
        <f>IF(AND(YEAR(JanSun1+35)=TheYear,MONTH(JanSun1+35)=1),JanSun1+35, "")</f>
        <v/>
      </c>
      <c r="D12" s="16" t="str">
        <f>IF(AND(YEAR(JanSun1+36)=TheYear,MONTH(JanSun1+36)=1),JanSun1+36, "")</f>
        <v/>
      </c>
      <c r="E12" s="16" t="str">
        <f>IF(AND(YEAR(JanSun1+37)=TheYear,MONTH(JanSun1+37)=1),JanSun1+37, "")</f>
        <v/>
      </c>
      <c r="F12" s="16" t="str">
        <f>IF(AND(YEAR(JanSun1+38)=TheYear,MONTH(JanSun1+38)=1),JanSun1+38, "")</f>
        <v/>
      </c>
      <c r="G12" s="16" t="str">
        <f>IF(AND(YEAR(JanSun1+39)=TheYear,MONTH(JanSun1+39)=1),JanSun1+39, "")</f>
        <v/>
      </c>
      <c r="H12" s="16" t="str">
        <f>IF(AND(YEAR(JanSun1+40)=TheYear,MONTH(JanSun1+40)=1),JanSun1+40, "")</f>
        <v/>
      </c>
      <c r="I12" s="16" t="str">
        <f>IF(AND(YEAR(JanSun1+41)=TheYear,MONTH(JanSun1+41)=1),JanSun1+41, "")</f>
        <v/>
      </c>
      <c r="J12" s="3"/>
      <c r="K12" s="17" t="str">
        <f>IF(AND(YEAR(AprSun1+35)=TheYear,MONTH(AprSun1+35)=4),AprSun1+35, "")</f>
        <v/>
      </c>
      <c r="L12" s="17" t="str">
        <f>IF(AND(YEAR(AprSun1+36)=TheYear,MONTH(AprSun1+36)=4),AprSun1+36, "")</f>
        <v/>
      </c>
      <c r="M12" s="17" t="str">
        <f>IF(AND(YEAR(AprSun1+37)=TheYear,MONTH(AprSun1+37)=4),AprSun1+37, "")</f>
        <v/>
      </c>
      <c r="N12" s="17" t="str">
        <f>IF(AND(YEAR(AprSun1+38)=TheYear,MONTH(AprSun1+38)=4),AprSun1+38, "")</f>
        <v/>
      </c>
      <c r="O12" s="17" t="str">
        <f>IF(AND(YEAR(AprSun1+39)=TheYear,MONTH(AprSun1+39)=4),AprSun1+39, "")</f>
        <v/>
      </c>
      <c r="P12" s="17" t="str">
        <f>IF(AND(YEAR(AprSun1+40)=TheYear,MONTH(AprSun1+40)=4),AprSun1+40, "")</f>
        <v/>
      </c>
      <c r="Q12" s="17" t="str">
        <f>IF(AND(YEAR(AprSun1+41)=TheYear,MONTH(AprSun1+41)=4),AprSun1+41, "")</f>
        <v/>
      </c>
      <c r="R12" s="3"/>
      <c r="S12" s="17" t="str">
        <f>IF(AND(YEAR(JulSun1+35)=TheYear,MONTH(JulSun1+35)=7),JulSun1+35, "")</f>
        <v/>
      </c>
      <c r="T12" s="17" t="str">
        <f>IF(AND(YEAR(JulSun1+36)=TheYear,MONTH(JulSun1+36)=7),JulSun1+36, "")</f>
        <v/>
      </c>
      <c r="U12" s="17" t="str">
        <f>IF(AND(YEAR(JulSun1+37)=TheYear,MONTH(JulSun1+37)=7),JulSun1+37, "")</f>
        <v/>
      </c>
      <c r="V12" s="17" t="str">
        <f>IF(AND(YEAR(JulSun1+38)=TheYear,MONTH(JulSun1+38)=7),JulSun1+38, "")</f>
        <v/>
      </c>
      <c r="W12" s="17" t="str">
        <f>IF(AND(YEAR(JulSun1+39)=TheYear,MONTH(JulSun1+39)=7),JulSun1+39, "")</f>
        <v/>
      </c>
      <c r="X12" s="17" t="str">
        <f>IF(AND(YEAR(JulSun1+40)=TheYear,MONTH(JulSun1+40)=7),JulSun1+40, "")</f>
        <v/>
      </c>
      <c r="Y12" s="17" t="str">
        <f>IF(AND(YEAR(JulSun1+41)=TheYear,MONTH(JulSun1+41)=7),JulSun1+41, "")</f>
        <v/>
      </c>
      <c r="Z12" s="3"/>
      <c r="AA12" s="16" t="str">
        <f>IF(AND(YEAR(OctSun1+35)=TheYear,MONTH(OctSun1+35)=10),OctSun1+35, "")</f>
        <v/>
      </c>
      <c r="AB12" s="16" t="str">
        <f>IF(AND(YEAR(OctSun1+36)=TheYear,MONTH(OctSun1+36)=10),OctSun1+36, "")</f>
        <v/>
      </c>
      <c r="AC12" s="16" t="str">
        <f>IF(AND(YEAR(OctSun1+37)=TheYear,MONTH(OctSun1+37)=10),OctSun1+37, "")</f>
        <v/>
      </c>
      <c r="AD12" s="16" t="str">
        <f>IF(AND(YEAR(OctSun1+38)=TheYear,MONTH(OctSun1+38)=10),OctSun1+38, "")</f>
        <v/>
      </c>
      <c r="AE12" s="16" t="str">
        <f>IF(AND(YEAR(OctSun1+39)=TheYear,MONTH(OctSun1+39)=10),OctSun1+39, "")</f>
        <v/>
      </c>
      <c r="AF12" s="16" t="str">
        <f>IF(AND(YEAR(OctSun1+40)=TheYear,MONTH(OctSun1+40)=10),OctSun1+40, "")</f>
        <v/>
      </c>
      <c r="AG12" s="16" t="str">
        <f>IF(AND(YEAR(OctSun1+41)=TheYear,MONTH(OctSun1+41)=10),OctSun1+41, "")</f>
        <v/>
      </c>
      <c r="AH12" s="9"/>
    </row>
    <row r="13" spans="2:34" ht="3.75" customHeight="1" x14ac:dyDescent="0.25">
      <c r="B13" s="8"/>
      <c r="C13" s="4"/>
      <c r="D13" s="4"/>
      <c r="E13" s="4"/>
      <c r="F13" s="4"/>
      <c r="G13" s="4"/>
      <c r="H13" s="4"/>
      <c r="I13" s="4"/>
      <c r="J13" s="3"/>
      <c r="K13" s="4"/>
      <c r="L13" s="4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  <c r="X13" s="4"/>
      <c r="Y13" s="4"/>
      <c r="Z13" s="3"/>
      <c r="AA13" s="4"/>
      <c r="AB13" s="4"/>
      <c r="AC13" s="4"/>
      <c r="AD13" s="4"/>
      <c r="AE13" s="4"/>
      <c r="AF13" s="4"/>
      <c r="AG13" s="4"/>
      <c r="AH13" s="9"/>
    </row>
    <row r="14" spans="2:34" x14ac:dyDescent="0.25">
      <c r="B14" s="8"/>
      <c r="C14" s="31" t="s">
        <v>10</v>
      </c>
      <c r="D14" s="31"/>
      <c r="E14" s="31"/>
      <c r="F14" s="31"/>
      <c r="G14" s="31"/>
      <c r="H14" s="31"/>
      <c r="I14" s="31"/>
      <c r="J14" s="3"/>
      <c r="K14" s="30" t="s">
        <v>14</v>
      </c>
      <c r="L14" s="30"/>
      <c r="M14" s="30"/>
      <c r="N14" s="30"/>
      <c r="O14" s="30"/>
      <c r="P14" s="30"/>
      <c r="Q14" s="30"/>
      <c r="R14" s="3"/>
      <c r="S14" s="30" t="s">
        <v>2</v>
      </c>
      <c r="T14" s="30"/>
      <c r="U14" s="30"/>
      <c r="V14" s="30"/>
      <c r="W14" s="30"/>
      <c r="X14" s="30"/>
      <c r="Y14" s="30"/>
      <c r="Z14" s="3"/>
      <c r="AA14" s="30" t="s">
        <v>11</v>
      </c>
      <c r="AB14" s="30"/>
      <c r="AC14" s="30"/>
      <c r="AD14" s="30"/>
      <c r="AE14" s="30"/>
      <c r="AF14" s="30"/>
      <c r="AG14" s="30"/>
      <c r="AH14" s="9"/>
    </row>
    <row r="15" spans="2:34" x14ac:dyDescent="0.25">
      <c r="B15" s="8"/>
      <c r="C15" s="13" t="s">
        <v>4</v>
      </c>
      <c r="D15" s="14" t="s">
        <v>5</v>
      </c>
      <c r="E15" s="14" t="s">
        <v>6</v>
      </c>
      <c r="F15" s="14" t="s">
        <v>7</v>
      </c>
      <c r="G15" s="14" t="s">
        <v>6</v>
      </c>
      <c r="H15" s="14" t="s">
        <v>8</v>
      </c>
      <c r="I15" s="15" t="s">
        <v>4</v>
      </c>
      <c r="J15" s="3"/>
      <c r="K15" s="13" t="s">
        <v>4</v>
      </c>
      <c r="L15" s="14" t="s">
        <v>5</v>
      </c>
      <c r="M15" s="14" t="s">
        <v>6</v>
      </c>
      <c r="N15" s="14" t="s">
        <v>7</v>
      </c>
      <c r="O15" s="14" t="s">
        <v>6</v>
      </c>
      <c r="P15" s="14" t="s">
        <v>8</v>
      </c>
      <c r="Q15" s="15" t="s">
        <v>4</v>
      </c>
      <c r="R15" s="3"/>
      <c r="S15" s="13" t="s">
        <v>4</v>
      </c>
      <c r="T15" s="14" t="s">
        <v>5</v>
      </c>
      <c r="U15" s="14" t="s">
        <v>6</v>
      </c>
      <c r="V15" s="14" t="s">
        <v>7</v>
      </c>
      <c r="W15" s="14" t="s">
        <v>6</v>
      </c>
      <c r="X15" s="14" t="s">
        <v>8</v>
      </c>
      <c r="Y15" s="15" t="s">
        <v>4</v>
      </c>
      <c r="Z15" s="3"/>
      <c r="AA15" s="13" t="s">
        <v>4</v>
      </c>
      <c r="AB15" s="14" t="s">
        <v>5</v>
      </c>
      <c r="AC15" s="14" t="s">
        <v>6</v>
      </c>
      <c r="AD15" s="14" t="s">
        <v>7</v>
      </c>
      <c r="AE15" s="14" t="s">
        <v>6</v>
      </c>
      <c r="AF15" s="14" t="s">
        <v>8</v>
      </c>
      <c r="AG15" s="15" t="s">
        <v>4</v>
      </c>
      <c r="AH15" s="9"/>
    </row>
    <row r="16" spans="2:34" x14ac:dyDescent="0.25">
      <c r="B16" s="8"/>
      <c r="C16" s="16" t="str">
        <f>IF(AND(YEAR(MaySun1)=TheYear,MONTH(MaySun1)=5),MaySun1, "")</f>
        <v/>
      </c>
      <c r="D16" s="16" t="str">
        <f>IF(AND(YEAR(MaySun1+1)=TheYear,MONTH(MaySun1+1)=5),MaySun1+1, "")</f>
        <v/>
      </c>
      <c r="E16" s="16">
        <f>IF(AND(YEAR(MaySun1+2)=TheYear,MONTH(MaySun1+2)=5),MaySun1+2, "")</f>
        <v>43221</v>
      </c>
      <c r="F16" s="16">
        <f>IF(AND(YEAR(MaySun1+3)=TheYear,MONTH(MaySun1+3)=5),MaySun1+3, "")</f>
        <v>43222</v>
      </c>
      <c r="G16" s="16">
        <f>IF(AND(YEAR(MaySun1+4)=TheYear,MONTH(MaySun1+4)=5),MaySun1+4, "")</f>
        <v>43223</v>
      </c>
      <c r="H16" s="16">
        <f>IF(AND(YEAR(MaySun1+5)=TheYear,MONTH(MaySun1+5)=5),MaySun1+5, "")</f>
        <v>43224</v>
      </c>
      <c r="I16" s="16">
        <f>IF(AND(YEAR(MaySun1+6)=TheYear,MONTH(MaySun1+6)=5),MaySun1+6, "")</f>
        <v>43225</v>
      </c>
      <c r="J16" s="3"/>
      <c r="K16" s="16" t="str">
        <f>IF(AND(YEAR(JunSun1)=TheYear,MONTH(JunSun1)=6),JunSun1, "")</f>
        <v/>
      </c>
      <c r="L16" s="16" t="str">
        <f>IF(AND(YEAR(JunSun1+1)=TheYear,MONTH(JunSun1+1)=6),JunSun1+1, "")</f>
        <v/>
      </c>
      <c r="M16" s="16" t="str">
        <f>IF(AND(YEAR(JunSun1+2)=TheYear,MONTH(JunSun1+2)=6),JunSun1+2, "")</f>
        <v/>
      </c>
      <c r="N16" s="16" t="str">
        <f>IF(AND(YEAR(JunSun1+3)=TheYear,MONTH(JunSun1+3)=6),JunSun1+3, "")</f>
        <v/>
      </c>
      <c r="O16" s="16" t="str">
        <f>IF(AND(YEAR(JunSun1+4)=TheYear,MONTH(JunSun1+4)=6),JunSun1+4, "")</f>
        <v/>
      </c>
      <c r="P16" s="16">
        <f>IF(AND(YEAR(JunSun1+5)=TheYear,MONTH(JunSun1+5)=6),JunSun1+5, "")</f>
        <v>43252</v>
      </c>
      <c r="Q16" s="16">
        <f>IF(AND(YEAR(JunSun1+6)=TheYear,MONTH(JunSun1+6)=6),JunSun1+6, "")</f>
        <v>43253</v>
      </c>
      <c r="R16" s="3"/>
      <c r="S16" s="16">
        <f>IF(AND(YEAR(JulSun1)=TheYear,MONTH(JulSun1)=7),JulSun1, "")</f>
        <v>43282</v>
      </c>
      <c r="T16" s="16">
        <f>IF(AND(YEAR(JulSun1+1)=TheYear,MONTH(JulSun1+1)=7),JulSun1+1, "")</f>
        <v>43283</v>
      </c>
      <c r="U16" s="16">
        <f>IF(AND(YEAR(JulSun1+2)=TheYear,MONTH(JulSun1+2)=7),JulSun1+2, "")</f>
        <v>43284</v>
      </c>
      <c r="V16" s="16">
        <f>IF(AND(YEAR(JulSun1+3)=TheYear,MONTH(JulSun1+3)=7),JulSun1+3, "")</f>
        <v>43285</v>
      </c>
      <c r="W16" s="16">
        <f>IF(AND(YEAR(JulSun1+4)=TheYear,MONTH(JulSun1+4)=7),JulSun1+4, "")</f>
        <v>43286</v>
      </c>
      <c r="X16" s="16">
        <f>IF(AND(YEAR(JulSun1+5)=TheYear,MONTH(JulSun1+5)=7),JulSun1+5, "")</f>
        <v>43287</v>
      </c>
      <c r="Y16" s="16">
        <f>IF(AND(YEAR(JulSun1+6)=TheYear,MONTH(JulSun1+6)=7),JulSun1+6, "")</f>
        <v>43288</v>
      </c>
      <c r="Z16" s="3"/>
      <c r="AA16" s="16" t="str">
        <f>IF(AND(YEAR(AugSun1)=TheYear,MONTH(AugSun1)=8),AugSun1, "")</f>
        <v/>
      </c>
      <c r="AB16" s="16" t="str">
        <f>IF(AND(YEAR(AugSun1+1)=TheYear,MONTH(AugSun1+1)=8),AugSun1+1, "")</f>
        <v/>
      </c>
      <c r="AC16" s="16" t="str">
        <f>IF(AND(YEAR(AugSun1+2)=TheYear,MONTH(AugSun1+2)=8),AugSun1+2, "")</f>
        <v/>
      </c>
      <c r="AD16" s="16">
        <f>IF(AND(YEAR(AugSun1+3)=TheYear,MONTH(AugSun1+3)=8),AugSun1+3, "")</f>
        <v>43313</v>
      </c>
      <c r="AE16" s="16">
        <f>IF(AND(YEAR(AugSun1+4)=TheYear,MONTH(AugSun1+4)=8),AugSun1+4, "")</f>
        <v>43314</v>
      </c>
      <c r="AF16" s="16">
        <f>IF(AND(YEAR(AugSun1+5)=TheYear,MONTH(AugSun1+5)=8),AugSun1+5, "")</f>
        <v>43315</v>
      </c>
      <c r="AG16" s="16">
        <f>IF(AND(YEAR(AugSun1+6)=TheYear,MONTH(AugSun1+6)=8),AugSun1+6, "")</f>
        <v>43316</v>
      </c>
      <c r="AH16" s="9"/>
    </row>
    <row r="17" spans="2:34" x14ac:dyDescent="0.25">
      <c r="B17" s="8"/>
      <c r="C17" s="16">
        <f>IF(AND(YEAR(MaySun1+7)=TheYear,MONTH(MaySun1+7)=5),MaySun1+7, "")</f>
        <v>43226</v>
      </c>
      <c r="D17" s="16">
        <f>IF(AND(YEAR(MaySun1+8)=TheYear,MONTH(MaySun1+8)=5),MaySun1+8, "")</f>
        <v>43227</v>
      </c>
      <c r="E17" s="16">
        <f>IF(AND(YEAR(MaySun1+9)=TheYear,MONTH(MaySun1+9)=5),MaySun1+9, "")</f>
        <v>43228</v>
      </c>
      <c r="F17" s="16">
        <f>IF(AND(YEAR(MaySun1+10)=TheYear,MONTH(MaySun1+10)=5),MaySun1+10, "")</f>
        <v>43229</v>
      </c>
      <c r="G17" s="16">
        <f>IF(AND(YEAR(MaySun1+11)=TheYear,MONTH(MaySun1+11)=5),MaySun1+11, "")</f>
        <v>43230</v>
      </c>
      <c r="H17" s="16">
        <f>IF(AND(YEAR(MaySun1+12)=TheYear,MONTH(MaySun1+12)=5),MaySun1+12, "")</f>
        <v>43231</v>
      </c>
      <c r="I17" s="16">
        <f>IF(AND(YEAR(MaySun1+13)=TheYear,MONTH(MaySun1+13)=5),MaySun1+13, "")</f>
        <v>43232</v>
      </c>
      <c r="J17" s="3"/>
      <c r="K17" s="16">
        <f>IF(AND(YEAR(JunSun1+7)=TheYear,MONTH(JunSun1+7)=6),JunSun1+7, "")</f>
        <v>43254</v>
      </c>
      <c r="L17" s="16">
        <f>IF(AND(YEAR(JunSun1+8)=TheYear,MONTH(JunSun1+8)=6),JunSun1+8, "")</f>
        <v>43255</v>
      </c>
      <c r="M17" s="16">
        <f>IF(AND(YEAR(JunSun1+9)=TheYear,MONTH(JunSun1+9)=6),JunSun1+9, "")</f>
        <v>43256</v>
      </c>
      <c r="N17" s="16">
        <f>IF(AND(YEAR(JunSun1+10)=TheYear,MONTH(JunSun1+10)=6),JunSun1+10, "")</f>
        <v>43257</v>
      </c>
      <c r="O17" s="16">
        <f>IF(AND(YEAR(JunSun1+11)=TheYear,MONTH(JunSun1+11)=6),JunSun1+11, "")</f>
        <v>43258</v>
      </c>
      <c r="P17" s="16">
        <f>IF(AND(YEAR(JunSun1+12)=TheYear,MONTH(JunSun1+12)=6),JunSun1+12, "")</f>
        <v>43259</v>
      </c>
      <c r="Q17" s="16">
        <f>IF(AND(YEAR(JunSun1+13)=TheYear,MONTH(JunSun1+13)=6),JunSun1+13, "")</f>
        <v>43260</v>
      </c>
      <c r="R17" s="3"/>
      <c r="S17" s="16">
        <f>IF(AND(YEAR(JulSun1+7)=TheYear,MONTH(JulSun1+7)=7),JulSun1+7, "")</f>
        <v>43289</v>
      </c>
      <c r="T17" s="16">
        <f>IF(AND(YEAR(JulSun1+8)=TheYear,MONTH(JulSun1+8)=7),JulSun1+8, "")</f>
        <v>43290</v>
      </c>
      <c r="U17" s="16">
        <f>IF(AND(YEAR(JulSun1+9)=TheYear,MONTH(JulSun1+9)=7),JulSun1+9, "")</f>
        <v>43291</v>
      </c>
      <c r="V17" s="16">
        <f>IF(AND(YEAR(JulSun1+10)=TheYear,MONTH(JulSun1+10)=7),JulSun1+10, "")</f>
        <v>43292</v>
      </c>
      <c r="W17" s="16">
        <f>IF(AND(YEAR(JulSun1+11)=TheYear,MONTH(JulSun1+11)=7),JulSun1+11, "")</f>
        <v>43293</v>
      </c>
      <c r="X17" s="16">
        <f>IF(AND(YEAR(JulSun1+12)=TheYear,MONTH(JulSun1+12)=7),JulSun1+12, "")</f>
        <v>43294</v>
      </c>
      <c r="Y17" s="16">
        <f>IF(AND(YEAR(JulSun1+13)=TheYear,MONTH(JulSun1+13)=7),JulSun1+13, "")</f>
        <v>43295</v>
      </c>
      <c r="Z17" s="3"/>
      <c r="AA17" s="16">
        <f>IF(AND(YEAR(AugSun1+7)=TheYear,MONTH(AugSun1+7)=8),AugSun1+7, "")</f>
        <v>43317</v>
      </c>
      <c r="AB17" s="16">
        <f>IF(AND(YEAR(AugSun1+8)=TheYear,MONTH(AugSun1+8)=8),AugSun1+8, "")</f>
        <v>43318</v>
      </c>
      <c r="AC17" s="16">
        <f>IF(AND(YEAR(AugSun1+9)=TheYear,MONTH(AugSun1+9)=8),AugSun1+9, "")</f>
        <v>43319</v>
      </c>
      <c r="AD17" s="16">
        <f>IF(AND(YEAR(AugSun1+10)=TheYear,MONTH(AugSun1+10)=8),AugSun1+10, "")</f>
        <v>43320</v>
      </c>
      <c r="AE17" s="16">
        <f>IF(AND(YEAR(AugSun1+11)=TheYear,MONTH(AugSun1+11)=8),AugSun1+11, "")</f>
        <v>43321</v>
      </c>
      <c r="AF17" s="16">
        <f>IF(AND(YEAR(AugSun1+12)=TheYear,MONTH(AugSun1+12)=8),AugSun1+12, "")</f>
        <v>43322</v>
      </c>
      <c r="AG17" s="16">
        <f>IF(AND(YEAR(AugSun1+13)=TheYear,MONTH(AugSun1+13)=8),AugSun1+13, "")</f>
        <v>43323</v>
      </c>
      <c r="AH17" s="9"/>
    </row>
    <row r="18" spans="2:34" x14ac:dyDescent="0.25">
      <c r="B18" s="8"/>
      <c r="C18" s="16">
        <f>IF(AND(YEAR(MaySun1+14)=TheYear,MONTH(MaySun1+14)=5),MaySun1+14, "")</f>
        <v>43233</v>
      </c>
      <c r="D18" s="16">
        <f>IF(AND(YEAR(MaySun1+15)=TheYear,MONTH(MaySun1+15)=5),MaySun1+15, "")</f>
        <v>43234</v>
      </c>
      <c r="E18" s="16">
        <f>IF(AND(YEAR(MaySun1+16)=TheYear,MONTH(MaySun1+16)=5),MaySun1+16, "")</f>
        <v>43235</v>
      </c>
      <c r="F18" s="16">
        <f>IF(AND(YEAR(MaySun1+17)=TheYear,MONTH(MaySun1+17)=5),MaySun1+17, "")</f>
        <v>43236</v>
      </c>
      <c r="G18" s="16">
        <f>IF(AND(YEAR(MaySun1+18)=TheYear,MONTH(MaySun1+18)=5),MaySun1+18, "")</f>
        <v>43237</v>
      </c>
      <c r="H18" s="16">
        <f>IF(AND(YEAR(MaySun1+19)=TheYear,MONTH(MaySun1+19)=5),MaySun1+19, "")</f>
        <v>43238</v>
      </c>
      <c r="I18" s="16">
        <f>IF(AND(YEAR(MaySun1+20)=TheYear,MONTH(MaySun1+20)=5),MaySun1+20, "")</f>
        <v>43239</v>
      </c>
      <c r="J18" s="3"/>
      <c r="K18" s="16">
        <f>IF(AND(YEAR(JunSun1+14)=TheYear,MONTH(JunSun1+14)=6),JunSun1+14, "")</f>
        <v>43261</v>
      </c>
      <c r="L18" s="16">
        <f>IF(AND(YEAR(JunSun1+15)=TheYear,MONTH(JunSun1+15)=6),JunSun1+15, "")</f>
        <v>43262</v>
      </c>
      <c r="M18" s="16">
        <f>IF(AND(YEAR(JunSun1+16)=TheYear,MONTH(JunSun1+16)=6),JunSun1+16, "")</f>
        <v>43263</v>
      </c>
      <c r="N18" s="16">
        <f>IF(AND(YEAR(JunSun1+17)=TheYear,MONTH(JunSun1+17)=6),JunSun1+17, "")</f>
        <v>43264</v>
      </c>
      <c r="O18" s="16">
        <f>IF(AND(YEAR(JunSun1+18)=TheYear,MONTH(JunSun1+18)=6),JunSun1+18, "")</f>
        <v>43265</v>
      </c>
      <c r="P18" s="16">
        <f>IF(AND(YEAR(JunSun1+19)=TheYear,MONTH(JunSun1+19)=6),JunSun1+19, "")</f>
        <v>43266</v>
      </c>
      <c r="Q18" s="16">
        <f>IF(AND(YEAR(JunSun1+20)=TheYear,MONTH(JunSun1+20)=6),JunSun1+20, "")</f>
        <v>43267</v>
      </c>
      <c r="R18" s="3"/>
      <c r="S18" s="16">
        <f>IF(AND(YEAR(JulSun1+14)=TheYear,MONTH(JulSun1+14)=7),JulSun1+14, "")</f>
        <v>43296</v>
      </c>
      <c r="T18" s="16">
        <f>IF(AND(YEAR(JulSun1+15)=TheYear,MONTH(JulSun1+15)=7),JulSun1+15, "")</f>
        <v>43297</v>
      </c>
      <c r="U18" s="16">
        <f>IF(AND(YEAR(JulSun1+16)=TheYear,MONTH(JulSun1+16)=7),JulSun1+16, "")</f>
        <v>43298</v>
      </c>
      <c r="V18" s="16">
        <f>IF(AND(YEAR(JulSun1+17)=TheYear,MONTH(JulSun1+17)=7),JulSun1+17, "")</f>
        <v>43299</v>
      </c>
      <c r="W18" s="16">
        <f>IF(AND(YEAR(JulSun1+18)=TheYear,MONTH(JulSun1+18)=7),JulSun1+18, "")</f>
        <v>43300</v>
      </c>
      <c r="X18" s="16">
        <f>IF(AND(YEAR(JulSun1+19)=TheYear,MONTH(JulSun1+19)=7),JulSun1+19, "")</f>
        <v>43301</v>
      </c>
      <c r="Y18" s="16">
        <f>IF(AND(YEAR(JulSun1+20)=TheYear,MONTH(JulSun1+20)=7),JulSun1+20, "")</f>
        <v>43302</v>
      </c>
      <c r="Z18" s="3"/>
      <c r="AA18" s="16">
        <f>IF(AND(YEAR(AugSun1+14)=TheYear,MONTH(AugSun1+14)=8),AugSun1+14, "")</f>
        <v>43324</v>
      </c>
      <c r="AB18" s="16">
        <f>IF(AND(YEAR(AugSun1+15)=TheYear,MONTH(AugSun1+15)=8),AugSun1+15, "")</f>
        <v>43325</v>
      </c>
      <c r="AC18" s="19">
        <f>IF(AND(YEAR(AugSun1+16)=TheYear,MONTH(AugSun1+16)=8),AugSun1+16, "")</f>
        <v>43326</v>
      </c>
      <c r="AD18" s="16">
        <f>IF(AND(YEAR(AugSun1+17)=TheYear,MONTH(AugSun1+17)=8),AugSun1+17, "")</f>
        <v>43327</v>
      </c>
      <c r="AE18" s="16">
        <f>IF(AND(YEAR(AugSun1+18)=TheYear,MONTH(AugSun1+18)=8),AugSun1+18, "")</f>
        <v>43328</v>
      </c>
      <c r="AF18" s="16">
        <f>IF(AND(YEAR(AugSun1+19)=TheYear,MONTH(AugSun1+19)=8),AugSun1+19, "")</f>
        <v>43329</v>
      </c>
      <c r="AG18" s="16">
        <f>IF(AND(YEAR(AugSun1+20)=TheYear,MONTH(AugSun1+20)=8),AugSun1+20, "")</f>
        <v>43330</v>
      </c>
      <c r="AH18" s="9"/>
    </row>
    <row r="19" spans="2:34" x14ac:dyDescent="0.25">
      <c r="B19" s="8"/>
      <c r="C19" s="16">
        <f>IF(AND(YEAR(MaySun1+21)=TheYear,MONTH(MaySun1+21)=5),MaySun1+21, "")</f>
        <v>43240</v>
      </c>
      <c r="D19" s="16">
        <f>IF(AND(YEAR(MaySun1+22)=TheYear,MONTH(MaySun1+22)=5),MaySun1+22, "")</f>
        <v>43241</v>
      </c>
      <c r="E19" s="16">
        <f>IF(AND(YEAR(MaySun1+23)=TheYear,MONTH(MaySun1+23)=5),MaySun1+23, "")</f>
        <v>43242</v>
      </c>
      <c r="F19" s="16">
        <f>IF(AND(YEAR(MaySun1+24)=TheYear,MONTH(MaySun1+24)=5),MaySun1+24, "")</f>
        <v>43243</v>
      </c>
      <c r="G19" s="16">
        <f>IF(AND(YEAR(MaySun1+25)=TheYear,MONTH(MaySun1+25)=5),MaySun1+25, "")</f>
        <v>43244</v>
      </c>
      <c r="H19" s="16">
        <f>IF(AND(YEAR(MaySun1+26)=TheYear,MONTH(MaySun1+26)=5),MaySun1+26, "")</f>
        <v>43245</v>
      </c>
      <c r="I19" s="16">
        <f>IF(AND(YEAR(MaySun1+27)=TheYear,MONTH(MaySun1+27)=5),MaySun1+27, "")</f>
        <v>43246</v>
      </c>
      <c r="J19" s="3"/>
      <c r="K19" s="16">
        <f>IF(AND(YEAR(JunSun1+21)=TheYear,MONTH(JunSun1+21)=6),JunSun1+21, "")</f>
        <v>43268</v>
      </c>
      <c r="L19" s="16">
        <f>IF(AND(YEAR(JunSun1+22)=TheYear,MONTH(JunSun1+22)=6),JunSun1+22, "")</f>
        <v>43269</v>
      </c>
      <c r="M19" s="16">
        <f>IF(AND(YEAR(JunSun1+23)=TheYear,MONTH(JunSun1+23)=6),JunSun1+23, "")</f>
        <v>43270</v>
      </c>
      <c r="N19" s="16">
        <f>IF(AND(YEAR(JunSun1+24)=TheYear,MONTH(JunSun1+24)=6),JunSun1+24, "")</f>
        <v>43271</v>
      </c>
      <c r="O19" s="16">
        <f>IF(AND(YEAR(JunSun1+25)=TheYear,MONTH(JunSun1+25)=6),JunSun1+25, "")</f>
        <v>43272</v>
      </c>
      <c r="P19" s="16">
        <f>IF(AND(YEAR(JunSun1+26)=TheYear,MONTH(JunSun1+26)=6),JunSun1+26, "")</f>
        <v>43273</v>
      </c>
      <c r="Q19" s="16">
        <f>IF(AND(YEAR(JunSun1+27)=TheYear,MONTH(JunSun1+27)=6),JunSun1+27, "")</f>
        <v>43274</v>
      </c>
      <c r="R19" s="3"/>
      <c r="S19" s="16">
        <f>IF(AND(YEAR(JulSun1+21)=TheYear,MONTH(JulSun1+21)=7),JulSun1+21, "")</f>
        <v>43303</v>
      </c>
      <c r="T19" s="16">
        <f>IF(AND(YEAR(JulSun1+22)=TheYear,MONTH(JulSun1+22)=7),JulSun1+22, "")</f>
        <v>43304</v>
      </c>
      <c r="U19" s="16">
        <f>IF(AND(YEAR(JulSun1+23)=TheYear,MONTH(JulSun1+23)=7),JulSun1+23, "")</f>
        <v>43305</v>
      </c>
      <c r="V19" s="16">
        <f>IF(AND(YEAR(JulSun1+24)=TheYear,MONTH(JulSun1+24)=7),JulSun1+24, "")</f>
        <v>43306</v>
      </c>
      <c r="W19" s="16">
        <f>IF(AND(YEAR(JulSun1+25)=TheYear,MONTH(JulSun1+25)=7),JulSun1+25, "")</f>
        <v>43307</v>
      </c>
      <c r="X19" s="16">
        <f>IF(AND(YEAR(JulSun1+26)=TheYear,MONTH(JulSun1+26)=7),JulSun1+26, "")</f>
        <v>43308</v>
      </c>
      <c r="Y19" s="16">
        <f>IF(AND(YEAR(JulSun1+27)=TheYear,MONTH(JulSun1+27)=7),JulSun1+27, "")</f>
        <v>43309</v>
      </c>
      <c r="Z19" s="3"/>
      <c r="AA19" s="16">
        <f>IF(AND(YEAR(AugSun1+21)=TheYear,MONTH(AugSun1+21)=8),AugSun1+21, "")</f>
        <v>43331</v>
      </c>
      <c r="AB19" s="16">
        <f>IF(AND(YEAR(AugSun1+22)=TheYear,MONTH(AugSun1+22)=8),AugSun1+22, "")</f>
        <v>43332</v>
      </c>
      <c r="AC19" s="16">
        <f>IF(AND(YEAR(AugSun1+23)=TheYear,MONTH(AugSun1+23)=8),AugSun1+23, "")</f>
        <v>43333</v>
      </c>
      <c r="AD19" s="16">
        <f>IF(AND(YEAR(AugSun1+24)=TheYear,MONTH(AugSun1+24)=8),AugSun1+24, "")</f>
        <v>43334</v>
      </c>
      <c r="AE19" s="16">
        <f>IF(AND(YEAR(AugSun1+25)=TheYear,MONTH(AugSun1+25)=8),AugSun1+25, "")</f>
        <v>43335</v>
      </c>
      <c r="AF19" s="16">
        <f>IF(AND(YEAR(AugSun1+26)=TheYear,MONTH(AugSun1+26)=8),AugSun1+26, "")</f>
        <v>43336</v>
      </c>
      <c r="AG19" s="16">
        <f>IF(AND(YEAR(AugSun1+27)=TheYear,MONTH(AugSun1+27)=8),AugSun1+27, "")</f>
        <v>43337</v>
      </c>
      <c r="AH19" s="9"/>
    </row>
    <row r="20" spans="2:34" x14ac:dyDescent="0.25">
      <c r="B20" s="8"/>
      <c r="C20" s="16">
        <f>IF(AND(YEAR(MaySun1+28)=TheYear,MONTH(MaySun1+28)=5),MaySun1+28, "")</f>
        <v>43247</v>
      </c>
      <c r="D20" s="16">
        <f>IF(AND(YEAR(MaySun1+29)=TheYear,MONTH(MaySun1+29)=5),MaySun1+29, "")</f>
        <v>43248</v>
      </c>
      <c r="E20" s="16">
        <f>IF(AND(YEAR(MaySun1+30)=TheYear,MONTH(MaySun1+30)=5),MaySun1+30, "")</f>
        <v>43249</v>
      </c>
      <c r="F20" s="16">
        <f>IF(AND(YEAR(MaySun1+31)=TheYear,MONTH(MaySun1+31)=5),MaySun1+31, "")</f>
        <v>43250</v>
      </c>
      <c r="G20" s="16">
        <f>IF(AND(YEAR(MaySun1+32)=TheYear,MONTH(MaySun1+32)=5),MaySun1+32, "")</f>
        <v>43251</v>
      </c>
      <c r="H20" s="16" t="str">
        <f>IF(AND(YEAR(MaySun1+33)=TheYear,MONTH(MaySun1+33)=5),MaySun1+33, "")</f>
        <v/>
      </c>
      <c r="I20" s="16" t="str">
        <f>IF(AND(YEAR(MaySun1+34)=TheYear,MONTH(MaySun1+34)=5),MaySun1+34, "")</f>
        <v/>
      </c>
      <c r="J20" s="3"/>
      <c r="K20" s="16">
        <f>IF(AND(YEAR(JunSun1+28)=TheYear,MONTH(JunSun1+28)=6),JunSun1+28, "")</f>
        <v>43275</v>
      </c>
      <c r="L20" s="16">
        <f>IF(AND(YEAR(JunSun1+29)=TheYear,MONTH(JunSun1+29)=6),JunSun1+29, "")</f>
        <v>43276</v>
      </c>
      <c r="M20" s="16">
        <f>IF(AND(YEAR(JunSun1+30)=TheYear,MONTH(JunSun1+30)=6),JunSun1+30, "")</f>
        <v>43277</v>
      </c>
      <c r="N20" s="16">
        <f>IF(AND(YEAR(JunSun1+31)=TheYear,MONTH(JunSun1+31)=6),JunSun1+31, "")</f>
        <v>43278</v>
      </c>
      <c r="O20" s="16">
        <f>IF(AND(YEAR(JunSun1+32)=TheYear,MONTH(JunSun1+32)=6),JunSun1+32, "")</f>
        <v>43279</v>
      </c>
      <c r="P20" s="16">
        <f>IF(AND(YEAR(JunSun1+33)=TheYear,MONTH(JunSun1+33)=6),JunSun1+33, "")</f>
        <v>43280</v>
      </c>
      <c r="Q20" s="16">
        <f>IF(AND(YEAR(JunSun1+34)=TheYear,MONTH(JunSun1+34)=6),JunSun1+34, "")</f>
        <v>43281</v>
      </c>
      <c r="R20" s="3"/>
      <c r="S20" s="16">
        <f>IF(AND(YEAR(JulSun1+28)=TheYear,MONTH(JulSun1+28)=7),JulSun1+28, "")</f>
        <v>43310</v>
      </c>
      <c r="T20" s="16">
        <f>IF(AND(YEAR(JulSun1+29)=TheYear,MONTH(JulSun1+29)=7),JulSun1+29, "")</f>
        <v>43311</v>
      </c>
      <c r="U20" s="16">
        <f>IF(AND(YEAR(JulSun1+30)=TheYear,MONTH(JulSun1+30)=7),JulSun1+30, "")</f>
        <v>43312</v>
      </c>
      <c r="V20" s="16" t="str">
        <f>IF(AND(YEAR(JulSun1+31)=TheYear,MONTH(JulSun1+31)=7),JulSun1+31, "")</f>
        <v/>
      </c>
      <c r="W20" s="16" t="str">
        <f>IF(AND(YEAR(JulSun1+32)=TheYear,MONTH(JulSun1+32)=7),JulSun1+32, "")</f>
        <v/>
      </c>
      <c r="X20" s="16" t="str">
        <f>IF(AND(YEAR(JulSun1+33)=TheYear,MONTH(JulSun1+33)=7),JulSun1+33, "")</f>
        <v/>
      </c>
      <c r="Y20" s="16" t="str">
        <f>IF(AND(YEAR(JulSun1+34)=TheYear,MONTH(JulSun1+34)=7),JulSun1+34, "")</f>
        <v/>
      </c>
      <c r="Z20" s="3"/>
      <c r="AA20" s="16">
        <f>IF(AND(YEAR(AugSun1+28)=TheYear,MONTH(AugSun1+28)=8),AugSun1+28, "")</f>
        <v>43338</v>
      </c>
      <c r="AB20" s="16">
        <f>IF(AND(YEAR(AugSun1+29)=TheYear,MONTH(AugSun1+29)=8),AugSun1+29, "")</f>
        <v>43339</v>
      </c>
      <c r="AC20" s="22">
        <f>IF(AND(YEAR(AugSun1+30)=TheYear,MONTH(AugSun1+30)=8),AugSun1+30, "")</f>
        <v>43340</v>
      </c>
      <c r="AD20" s="16">
        <f>IF(AND(YEAR(AugSun1+31)=TheYear,MONTH(AugSun1+31)=8),AugSun1+31, "")</f>
        <v>43341</v>
      </c>
      <c r="AE20" s="16">
        <f>IF(AND(YEAR(AugSun1+32)=TheYear,MONTH(AugSun1+32)=8),AugSun1+32, "")</f>
        <v>43342</v>
      </c>
      <c r="AF20" s="16">
        <f>IF(AND(YEAR(AugSun1+33)=TheYear,MONTH(AugSun1+33)=8),AugSun1+33, "")</f>
        <v>43343</v>
      </c>
      <c r="AG20" s="16" t="str">
        <f>IF(AND(YEAR(AugSun1+34)=TheYear,MONTH(AugSun1+34)=8),AugSun1+34, "")</f>
        <v/>
      </c>
      <c r="AH20" s="9"/>
    </row>
    <row r="21" spans="2:34" x14ac:dyDescent="0.25">
      <c r="B21" s="8"/>
      <c r="C21" s="16" t="str">
        <f>IF(AND(YEAR(FebSun1+35)=TheYear,MONTH(FebSun1+35)=2),FebSun1+35, "")</f>
        <v/>
      </c>
      <c r="D21" s="16" t="str">
        <f>IF(AND(YEAR(FebSun1+36)=TheYear,MONTH(FebSun1+36)=2),FebSun1+36, "")</f>
        <v/>
      </c>
      <c r="E21" s="16" t="str">
        <f>IF(AND(YEAR(FebSun1+37)=TheYear,MONTH(FebSun1+37)=2),FebSun1+37, "")</f>
        <v/>
      </c>
      <c r="F21" s="16" t="str">
        <f>IF(AND(YEAR(FebSun1+38)=TheYear,MONTH(FebSun1+38)=2),FebSun1+38, "")</f>
        <v/>
      </c>
      <c r="G21" s="16" t="str">
        <f>IF(AND(YEAR(FebSun1+39)=TheYear,MONTH(FebSun1+39)=2),FebSun1+39, "")</f>
        <v/>
      </c>
      <c r="H21" s="16" t="str">
        <f>IF(AND(YEAR(FebSun1+40)=TheYear,MONTH(FebSun1+40)=2),FebSun1+40, "")</f>
        <v/>
      </c>
      <c r="I21" s="16" t="str">
        <f>IF(AND(YEAR(FebSun1+41)=TheYear,MONTH(FebSun1+41)=2),FebSun1+41, "")</f>
        <v/>
      </c>
      <c r="J21" s="3"/>
      <c r="K21" s="16" t="str">
        <f>IF(AND(YEAR(MaySun1+35)=TheYear,MONTH(MaySun1+35)=5),MaySun1+35, "")</f>
        <v/>
      </c>
      <c r="L21" s="16" t="str">
        <f>IF(AND(YEAR(MaySun1+36)=TheYear,MONTH(MaySun1+36)=5),MaySun1+36, "")</f>
        <v/>
      </c>
      <c r="M21" s="16" t="str">
        <f>IF(AND(YEAR(MaySun1+37)=TheYear,MONTH(MaySun1+37)=5),MaySun1+37, "")</f>
        <v/>
      </c>
      <c r="N21" s="16" t="str">
        <f>IF(AND(YEAR(MaySun1+38)=TheYear,MONTH(MaySun1+38)=5),MaySun1+38, "")</f>
        <v/>
      </c>
      <c r="O21" s="16" t="str">
        <f>IF(AND(YEAR(MaySun1+39)=TheYear,MONTH(MaySun1+39)=5),MaySun1+39, "")</f>
        <v/>
      </c>
      <c r="P21" s="16" t="str">
        <f>IF(AND(YEAR(MaySun1+40)=TheYear,MONTH(MaySun1+40)=5),MaySun1+40, "")</f>
        <v/>
      </c>
      <c r="Q21" s="16" t="str">
        <f>IF(AND(YEAR(MaySun1+41)=TheYear,MONTH(MaySun1+41)=5),MaySun1+41, "")</f>
        <v/>
      </c>
      <c r="R21" s="3"/>
      <c r="S21" s="16" t="str">
        <f>IF(AND(YEAR(AugSun1+35)=TheYear,MONTH(AugSun1+35)=8),AugSun1+35, "")</f>
        <v/>
      </c>
      <c r="T21" s="16" t="str">
        <f>IF(AND(YEAR(AugSun1+36)=TheYear,MONTH(AugSun1+36)=8),AugSun1+36, "")</f>
        <v/>
      </c>
      <c r="U21" s="16" t="str">
        <f>IF(AND(YEAR(AugSun1+37)=TheYear,MONTH(AugSun1+37)=8),AugSun1+37, "")</f>
        <v/>
      </c>
      <c r="V21" s="16" t="str">
        <f>IF(AND(YEAR(AugSun1+38)=TheYear,MONTH(AugSun1+38)=8),AugSun1+38, "")</f>
        <v/>
      </c>
      <c r="W21" s="16" t="str">
        <f>IF(AND(YEAR(AugSun1+39)=TheYear,MONTH(AugSun1+39)=8),AugSun1+39, "")</f>
        <v/>
      </c>
      <c r="X21" s="16" t="str">
        <f>IF(AND(YEAR(AugSun1+40)=TheYear,MONTH(AugSun1+40)=8),AugSun1+40, "")</f>
        <v/>
      </c>
      <c r="Y21" s="16" t="str">
        <f>IF(AND(YEAR(AugSun1+41)=TheYear,MONTH(AugSun1+41)=8),AugSun1+41, "")</f>
        <v/>
      </c>
      <c r="Z21" s="3"/>
      <c r="AA21" s="16" t="str">
        <f>IF(AND(YEAR(NovSun1+35)=TheYear,MONTH(NovSun1+35)=11),NovSun1+35, "")</f>
        <v/>
      </c>
      <c r="AB21" s="16" t="str">
        <f>IF(AND(YEAR(NovSun1+36)=TheYear,MONTH(NovSun1+36)=11),NovSun1+36, "")</f>
        <v/>
      </c>
      <c r="AC21" s="16" t="str">
        <f>IF(AND(YEAR(NovSun1+37)=TheYear,MONTH(NovSun1+37)=11),NovSun1+37, "")</f>
        <v/>
      </c>
      <c r="AD21" s="16" t="str">
        <f>IF(AND(YEAR(NovSun1+38)=TheYear,MONTH(NovSun1+38)=11),NovSun1+38, "")</f>
        <v/>
      </c>
      <c r="AE21" s="16" t="str">
        <f>IF(AND(YEAR(NovSun1+39)=TheYear,MONTH(NovSun1+39)=11),NovSun1+39, "")</f>
        <v/>
      </c>
      <c r="AF21" s="16" t="str">
        <f>IF(AND(YEAR(NovSun1+40)=TheYear,MONTH(NovSun1+40)=11),NovSun1+40, "")</f>
        <v/>
      </c>
      <c r="AG21" s="16" t="str">
        <f>IF(AND(YEAR(NovSun1+41)=TheYear,MONTH(NovSun1+41)=11),NovSun1+41, "")</f>
        <v/>
      </c>
      <c r="AH21" s="9"/>
    </row>
    <row r="22" spans="2:34" ht="4.5" customHeight="1" x14ac:dyDescent="0.25">
      <c r="B22" s="8"/>
      <c r="C22" s="4"/>
      <c r="D22" s="4"/>
      <c r="E22" s="4"/>
      <c r="F22" s="4"/>
      <c r="G22" s="4"/>
      <c r="H22" s="4"/>
      <c r="I22" s="4"/>
      <c r="J22" s="3"/>
      <c r="K22" s="4"/>
      <c r="L22" s="4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  <c r="X22" s="4"/>
      <c r="Y22" s="4"/>
      <c r="Z22" s="3"/>
      <c r="AA22" s="4"/>
      <c r="AB22" s="4"/>
      <c r="AC22" s="4"/>
      <c r="AD22" s="4"/>
      <c r="AE22" s="4"/>
      <c r="AF22" s="4"/>
      <c r="AG22" s="4"/>
      <c r="AH22" s="9"/>
    </row>
    <row r="23" spans="2:34" x14ac:dyDescent="0.25">
      <c r="B23" s="8"/>
      <c r="C23" s="30" t="s">
        <v>15</v>
      </c>
      <c r="D23" s="30"/>
      <c r="E23" s="30"/>
      <c r="F23" s="30"/>
      <c r="G23" s="30"/>
      <c r="H23" s="30"/>
      <c r="I23" s="30"/>
      <c r="J23" s="3"/>
      <c r="K23" s="30" t="s">
        <v>3</v>
      </c>
      <c r="L23" s="30"/>
      <c r="M23" s="30"/>
      <c r="N23" s="30"/>
      <c r="O23" s="30"/>
      <c r="P23" s="30"/>
      <c r="Q23" s="30"/>
      <c r="R23" s="3"/>
      <c r="S23" s="30" t="s">
        <v>12</v>
      </c>
      <c r="T23" s="30"/>
      <c r="U23" s="30"/>
      <c r="V23" s="30"/>
      <c r="W23" s="30"/>
      <c r="X23" s="30"/>
      <c r="Y23" s="30"/>
      <c r="Z23" s="3"/>
      <c r="AA23" s="30" t="s">
        <v>16</v>
      </c>
      <c r="AB23" s="30"/>
      <c r="AC23" s="30"/>
      <c r="AD23" s="30"/>
      <c r="AE23" s="30"/>
      <c r="AF23" s="30"/>
      <c r="AG23" s="30"/>
      <c r="AH23" s="9"/>
    </row>
    <row r="24" spans="2:34" x14ac:dyDescent="0.25">
      <c r="B24" s="8"/>
      <c r="C24" s="13" t="s">
        <v>4</v>
      </c>
      <c r="D24" s="14" t="s">
        <v>5</v>
      </c>
      <c r="E24" s="14" t="s">
        <v>6</v>
      </c>
      <c r="F24" s="14" t="s">
        <v>7</v>
      </c>
      <c r="G24" s="14" t="s">
        <v>6</v>
      </c>
      <c r="H24" s="14" t="s">
        <v>8</v>
      </c>
      <c r="I24" s="15" t="s">
        <v>4</v>
      </c>
      <c r="J24" s="3"/>
      <c r="K24" s="13" t="s">
        <v>4</v>
      </c>
      <c r="L24" s="14" t="s">
        <v>5</v>
      </c>
      <c r="M24" s="14" t="s">
        <v>6</v>
      </c>
      <c r="N24" s="14" t="s">
        <v>7</v>
      </c>
      <c r="O24" s="14" t="s">
        <v>6</v>
      </c>
      <c r="P24" s="14" t="s">
        <v>8</v>
      </c>
      <c r="Q24" s="15" t="s">
        <v>4</v>
      </c>
      <c r="R24" s="3"/>
      <c r="S24" s="13" t="s">
        <v>4</v>
      </c>
      <c r="T24" s="14" t="s">
        <v>5</v>
      </c>
      <c r="U24" s="14" t="s">
        <v>6</v>
      </c>
      <c r="V24" s="14" t="s">
        <v>7</v>
      </c>
      <c r="W24" s="14" t="s">
        <v>6</v>
      </c>
      <c r="X24" s="14" t="s">
        <v>8</v>
      </c>
      <c r="Y24" s="15" t="s">
        <v>4</v>
      </c>
      <c r="Z24" s="3"/>
      <c r="AA24" s="13" t="s">
        <v>4</v>
      </c>
      <c r="AB24" s="14" t="s">
        <v>5</v>
      </c>
      <c r="AC24" s="14" t="s">
        <v>6</v>
      </c>
      <c r="AD24" s="14" t="s">
        <v>7</v>
      </c>
      <c r="AE24" s="14" t="s">
        <v>6</v>
      </c>
      <c r="AF24" s="14" t="s">
        <v>8</v>
      </c>
      <c r="AG24" s="15" t="s">
        <v>4</v>
      </c>
      <c r="AH24" s="9"/>
    </row>
    <row r="25" spans="2:34" x14ac:dyDescent="0.25">
      <c r="B25" s="8"/>
      <c r="C25" s="16" t="str">
        <f>IF(AND(YEAR(SepSun1)=TheYear,MONTH(SepSun1)=9),SepSun1, "")</f>
        <v/>
      </c>
      <c r="D25" s="16" t="str">
        <f>IF(AND(YEAR(SepSun1+1)=TheYear,MONTH(SepSun1+1)=9),SepSun1+1, "")</f>
        <v/>
      </c>
      <c r="E25" s="16" t="str">
        <f>IF(AND(YEAR(SepSun1+2)=TheYear,MONTH(SepSun1+2)=9),SepSun1+2, "")</f>
        <v/>
      </c>
      <c r="F25" s="16" t="str">
        <f>IF(AND(YEAR(SepSun1+3)=TheYear,MONTH(SepSun1+3)=9),SepSun1+3, "")</f>
        <v/>
      </c>
      <c r="G25" s="16" t="str">
        <f>IF(AND(YEAR(SepSun1+4)=TheYear,MONTH(SepSun1+4)=9),SepSun1+4, "")</f>
        <v/>
      </c>
      <c r="H25" s="16" t="str">
        <f>IF(AND(YEAR(SepSun1+5)=TheYear,MONTH(SepSun1+5)=9),SepSun1+5, "")</f>
        <v/>
      </c>
      <c r="I25" s="16">
        <f>IF(AND(YEAR(SepSun1+6)=TheYear,MONTH(SepSun1+6)=9),SepSun1+6, "")</f>
        <v>43344</v>
      </c>
      <c r="J25" s="3"/>
      <c r="K25" s="16" t="str">
        <f>IF(AND(YEAR(OctSun1)=TheYear,MONTH(OctSun1)=10),OctSun1, "")</f>
        <v/>
      </c>
      <c r="L25" s="16">
        <f>IF(AND(YEAR(OctSun1+1)=TheYear,MONTH(OctSun1+1)=10),OctSun1+1, "")</f>
        <v>43374</v>
      </c>
      <c r="M25" s="16">
        <f>IF(AND(YEAR(OctSun1+2)=TheYear,MONTH(OctSun1+2)=10),OctSun1+2, "")</f>
        <v>43375</v>
      </c>
      <c r="N25" s="16">
        <f>IF(AND(YEAR(OctSun1+3)=TheYear,MONTH(OctSun1+3)=10),OctSun1+3, "")</f>
        <v>43376</v>
      </c>
      <c r="O25" s="16">
        <f>IF(AND(YEAR(OctSun1+4)=TheYear,MONTH(OctSun1+4)=10),OctSun1+4, "")</f>
        <v>43377</v>
      </c>
      <c r="P25" s="16">
        <f>IF(AND(YEAR(OctSun1+5)=TheYear,MONTH(OctSun1+5)=10),OctSun1+5, "")</f>
        <v>43378</v>
      </c>
      <c r="Q25" s="16">
        <f>IF(AND(YEAR(OctSun1+6)=TheYear,MONTH(OctSun1+6)=10),OctSun1+6, "")</f>
        <v>43379</v>
      </c>
      <c r="R25" s="3"/>
      <c r="S25" s="16" t="str">
        <f>IF(AND(YEAR(NovSun1)=TheYear,MONTH(NovSun1)=11),NovSun1, "")</f>
        <v/>
      </c>
      <c r="T25" s="16" t="str">
        <f>IF(AND(YEAR(NovSun1+1)=TheYear,MONTH(NovSun1+1)=11),NovSun1+1, "")</f>
        <v/>
      </c>
      <c r="U25" s="16" t="str">
        <f>IF(AND(YEAR(NovSun1+2)=TheYear,MONTH(NovSun1+2)=11),NovSun1+2, "")</f>
        <v/>
      </c>
      <c r="V25" s="16" t="str">
        <f>IF(AND(YEAR(NovSun1+3)=TheYear,MONTH(NovSun1+3)=11),NovSun1+3, "")</f>
        <v/>
      </c>
      <c r="W25" s="16">
        <f>IF(AND(YEAR(NovSun1+4)=TheYear,MONTH(NovSun1+4)=11),NovSun1+4, "")</f>
        <v>43405</v>
      </c>
      <c r="X25" s="16">
        <f>IF(AND(YEAR(NovSun1+5)=TheYear,MONTH(NovSun1+5)=11),NovSun1+5, "")</f>
        <v>43406</v>
      </c>
      <c r="Y25" s="16">
        <f>IF(AND(YEAR(NovSun1+6)=TheYear,MONTH(NovSun1+6)=11),NovSun1+6, "")</f>
        <v>43407</v>
      </c>
      <c r="Z25" s="3"/>
      <c r="AA25" s="16" t="str">
        <f>IF(AND(YEAR(DecSun1)=TheYear,MONTH(DecSun1)=12),DecSun1, "")</f>
        <v/>
      </c>
      <c r="AB25" s="16" t="str">
        <f>IF(AND(YEAR(DecSun1+1)=TheYear,MONTH(DecSun1+1)=12),DecSun1+1, "")</f>
        <v/>
      </c>
      <c r="AC25" s="16" t="str">
        <f>IF(AND(YEAR(DecSun1+2)=TheYear,MONTH(DecSun1+2)=12),DecSun1+2, "")</f>
        <v/>
      </c>
      <c r="AD25" s="16" t="str">
        <f>IF(AND(YEAR(DecSun1+3)=TheYear,MONTH(DecSun1+3)=12),DecSun1+3, "")</f>
        <v/>
      </c>
      <c r="AE25" s="16" t="str">
        <f>IF(AND(YEAR(DecSun1+4)=TheYear,MONTH(DecSun1+4)=12),DecSun1+4, "")</f>
        <v/>
      </c>
      <c r="AF25" s="16" t="str">
        <f>IF(AND(YEAR(DecSun1+5)=TheYear,MONTH(DecSun1+5)=12),DecSun1+5, "")</f>
        <v/>
      </c>
      <c r="AG25" s="16">
        <f>IF(AND(YEAR(DecSun1+6)=TheYear,MONTH(DecSun1+6)=12),DecSun1+6, "")</f>
        <v>43435</v>
      </c>
      <c r="AH25" s="9"/>
    </row>
    <row r="26" spans="2:34" x14ac:dyDescent="0.25">
      <c r="B26" s="8"/>
      <c r="C26" s="16">
        <f>IF(AND(YEAR(SepSun1+7)=TheYear,MONTH(SepSun1+7)=9),SepSun1+7, "")</f>
        <v>43345</v>
      </c>
      <c r="D26" s="16">
        <f>IF(AND(YEAR(SepSun1+8)=TheYear,MONTH(SepSun1+8)=9),SepSun1+8, "")</f>
        <v>43346</v>
      </c>
      <c r="E26" s="16">
        <f>IF(AND(YEAR(SepSun1+9)=TheYear,MONTH(SepSun1+9)=9),SepSun1+9, "")</f>
        <v>43347</v>
      </c>
      <c r="F26" s="16">
        <f>IF(AND(YEAR(SepSun1+10)=TheYear,MONTH(SepSun1+10)=9),SepSun1+10, "")</f>
        <v>43348</v>
      </c>
      <c r="G26" s="16">
        <f>IF(AND(YEAR(SepSun1+11)=TheYear,MONTH(SepSun1+11)=9),SepSun1+11, "")</f>
        <v>43349</v>
      </c>
      <c r="H26" s="16">
        <f>IF(AND(YEAR(SepSun1+12)=TheYear,MONTH(SepSun1+12)=9),SepSun1+12, "")</f>
        <v>43350</v>
      </c>
      <c r="I26" s="16">
        <f>IF(AND(YEAR(SepSun1+13)=TheYear,MONTH(SepSun1+13)=9),SepSun1+13, "")</f>
        <v>43351</v>
      </c>
      <c r="J26" s="3"/>
      <c r="K26" s="16">
        <f>IF(AND(YEAR(OctSun1+7)=TheYear,MONTH(OctSun1+7)=10),OctSun1+7, "")</f>
        <v>43380</v>
      </c>
      <c r="L26" s="16">
        <f>IF(AND(YEAR(OctSun1+8)=TheYear,MONTH(OctSun1+8)=10),OctSun1+8, "")</f>
        <v>43381</v>
      </c>
      <c r="M26" s="19">
        <f>IF(AND(YEAR(OctSun1+9)=TheYear,MONTH(OctSun1+9)=10),OctSun1+9, "")</f>
        <v>43382</v>
      </c>
      <c r="N26" s="16">
        <f>IF(AND(YEAR(OctSun1+10)=TheYear,MONTH(OctSun1+10)=10),OctSun1+10, "")</f>
        <v>43383</v>
      </c>
      <c r="O26" s="16">
        <f>IF(AND(YEAR(OctSun1+11)=TheYear,MONTH(OctSun1+11)=10),OctSun1+11, "")</f>
        <v>43384</v>
      </c>
      <c r="P26" s="16">
        <f>IF(AND(YEAR(OctSun1+12)=TheYear,MONTH(OctSun1+12)=10),OctSun1+12, "")</f>
        <v>43385</v>
      </c>
      <c r="Q26" s="16">
        <f>IF(AND(YEAR(OctSun1+13)=TheYear,MONTH(OctSun1+13)=10),OctSun1+13, "")</f>
        <v>43386</v>
      </c>
      <c r="R26" s="3"/>
      <c r="S26" s="16">
        <f>IF(AND(YEAR(NovSun1+7)=TheYear,MONTH(NovSun1+7)=11),NovSun1+7, "")</f>
        <v>43408</v>
      </c>
      <c r="T26" s="16">
        <f>IF(AND(YEAR(NovSun1+8)=TheYear,MONTH(NovSun1+8)=11),NovSun1+8, "")</f>
        <v>43409</v>
      </c>
      <c r="U26" s="16">
        <f>IF(AND(YEAR(NovSun1+9)=TheYear,MONTH(NovSun1+9)=11),NovSun1+9, "")</f>
        <v>43410</v>
      </c>
      <c r="V26" s="16">
        <f>IF(AND(YEAR(NovSun1+10)=TheYear,MONTH(NovSun1+10)=11),NovSun1+10, "")</f>
        <v>43411</v>
      </c>
      <c r="W26" s="16">
        <f>IF(AND(YEAR(NovSun1+11)=TheYear,MONTH(NovSun1+11)=11),NovSun1+11, "")</f>
        <v>43412</v>
      </c>
      <c r="X26" s="16">
        <f>IF(AND(YEAR(NovSun1+12)=TheYear,MONTH(NovSun1+12)=11),NovSun1+12, "")</f>
        <v>43413</v>
      </c>
      <c r="Y26" s="16">
        <f>IF(AND(YEAR(NovSun1+13)=TheYear,MONTH(NovSun1+13)=11),NovSun1+13, "")</f>
        <v>43414</v>
      </c>
      <c r="Z26" s="3"/>
      <c r="AA26" s="16">
        <f>IF(AND(YEAR(DecSun1+7)=TheYear,MONTH(DecSun1+7)=12),DecSun1+7, "")</f>
        <v>43436</v>
      </c>
      <c r="AB26" s="16">
        <f>IF(AND(YEAR(DecSun1+8)=TheYear,MONTH(DecSun1+8)=12),DecSun1+8, "")</f>
        <v>43437</v>
      </c>
      <c r="AC26" s="16">
        <f>IF(AND(YEAR(DecSun1+9)=TheYear,MONTH(DecSun1+9)=12),DecSun1+9, "")</f>
        <v>43438</v>
      </c>
      <c r="AD26" s="16">
        <f>IF(AND(YEAR(DecSun1+10)=TheYear,MONTH(DecSun1+10)=12),DecSun1+10, "")</f>
        <v>43439</v>
      </c>
      <c r="AE26" s="16">
        <f>IF(AND(YEAR(DecSun1+11)=TheYear,MONTH(DecSun1+11)=12),DecSun1+11, "")</f>
        <v>43440</v>
      </c>
      <c r="AF26" s="16">
        <f>IF(AND(YEAR(DecSun1+12)=TheYear,MONTH(DecSun1+12)=12),DecSun1+12, "")</f>
        <v>43441</v>
      </c>
      <c r="AG26" s="16">
        <f>IF(AND(YEAR(DecSun1+13)=TheYear,MONTH(DecSun1+13)=12),DecSun1+13, "")</f>
        <v>43442</v>
      </c>
      <c r="AH26" s="9"/>
    </row>
    <row r="27" spans="2:34" x14ac:dyDescent="0.25">
      <c r="B27" s="8"/>
      <c r="C27" s="16">
        <f>IF(AND(YEAR(SepSun1+14)=TheYear,MONTH(SepSun1+14)=9),SepSun1+14, "")</f>
        <v>43352</v>
      </c>
      <c r="D27" s="16">
        <f>IF(AND(YEAR(SepSun1+15)=TheYear,MONTH(SepSun1+15)=9),SepSun1+15, "")</f>
        <v>43353</v>
      </c>
      <c r="E27" s="22">
        <f>IF(AND(YEAR(SepSun1+16)=TheYear,MONTH(SepSun1+16)=9),SepSun1+16, "")</f>
        <v>43354</v>
      </c>
      <c r="F27" s="16">
        <f>IF(AND(YEAR(SepSun1+17)=TheYear,MONTH(SepSun1+17)=9),SepSun1+17, "")</f>
        <v>43355</v>
      </c>
      <c r="G27" s="16">
        <f>IF(AND(YEAR(SepSun1+18)=TheYear,MONTH(SepSun1+18)=9),SepSun1+18, "")</f>
        <v>43356</v>
      </c>
      <c r="H27" s="16">
        <f>IF(AND(YEAR(SepSun1+19)=TheYear,MONTH(SepSun1+19)=9),SepSun1+19, "")</f>
        <v>43357</v>
      </c>
      <c r="I27" s="16">
        <f>IF(AND(YEAR(SepSun1+20)=TheYear,MONTH(SepSun1+20)=9),SepSun1+20, "")</f>
        <v>43358</v>
      </c>
      <c r="J27" s="3"/>
      <c r="K27" s="16">
        <f>IF(AND(YEAR(OctSun1+14)=TheYear,MONTH(OctSun1+14)=10),OctSun1+14, "")</f>
        <v>43387</v>
      </c>
      <c r="L27" s="16">
        <f>IF(AND(YEAR(OctSun1+15)=TheYear,MONTH(OctSun1+15)=10),OctSun1+15, "")</f>
        <v>43388</v>
      </c>
      <c r="M27" s="16">
        <f>IF(AND(YEAR(OctSun1+16)=TheYear,MONTH(OctSun1+16)=10),OctSun1+16, "")</f>
        <v>43389</v>
      </c>
      <c r="N27" s="16">
        <f>IF(AND(YEAR(OctSun1+17)=TheYear,MONTH(OctSun1+17)=10),OctSun1+17, "")</f>
        <v>43390</v>
      </c>
      <c r="O27" s="16">
        <f>IF(AND(YEAR(OctSun1+18)=TheYear,MONTH(OctSun1+18)=10),OctSun1+18, "")</f>
        <v>43391</v>
      </c>
      <c r="P27" s="16">
        <f>IF(AND(YEAR(OctSun1+19)=TheYear,MONTH(OctSun1+19)=10),OctSun1+19, "")</f>
        <v>43392</v>
      </c>
      <c r="Q27" s="16">
        <f>IF(AND(YEAR(OctSun1+20)=TheYear,MONTH(OctSun1+20)=10),OctSun1+20, "")</f>
        <v>43393</v>
      </c>
      <c r="R27" s="3"/>
      <c r="S27" s="16">
        <f>IF(AND(YEAR(NovSun1+14)=TheYear,MONTH(NovSun1+14)=11),NovSun1+14, "")</f>
        <v>43415</v>
      </c>
      <c r="T27" s="16">
        <f>IF(AND(YEAR(NovSun1+15)=TheYear,MONTH(NovSun1+15)=11),NovSun1+15, "")</f>
        <v>43416</v>
      </c>
      <c r="U27" s="22">
        <f>IF(AND(YEAR(NovSun1+16)=TheYear,MONTH(NovSun1+16)=11),NovSun1+16, "")</f>
        <v>43417</v>
      </c>
      <c r="V27" s="16">
        <f>IF(AND(YEAR(NovSun1+17)=TheYear,MONTH(NovSun1+17)=11),NovSun1+17, "")</f>
        <v>43418</v>
      </c>
      <c r="W27" s="16">
        <f>IF(AND(YEAR(NovSun1+18)=TheYear,MONTH(NovSun1+18)=11),NovSun1+18, "")</f>
        <v>43419</v>
      </c>
      <c r="X27" s="16">
        <f>IF(AND(YEAR(NovSun1+19)=TheYear,MONTH(NovSun1+19)=11),NovSun1+19, "")</f>
        <v>43420</v>
      </c>
      <c r="Y27" s="16">
        <f>IF(AND(YEAR(NovSun1+20)=TheYear,MONTH(NovSun1+20)=11),NovSun1+20, "")</f>
        <v>43421</v>
      </c>
      <c r="Z27" s="3"/>
      <c r="AA27" s="16">
        <f>IF(AND(YEAR(DecSun1+14)=TheYear,MONTH(DecSun1+14)=12),DecSun1+14, "")</f>
        <v>43443</v>
      </c>
      <c r="AB27" s="16">
        <f>IF(AND(YEAR(DecSun1+15)=TheYear,MONTH(DecSun1+15)=12),DecSun1+15, "")</f>
        <v>43444</v>
      </c>
      <c r="AC27" s="19">
        <f>IF(AND(YEAR(DecSun1+16)=TheYear,MONTH(DecSun1+16)=12),DecSun1+16, "")</f>
        <v>43445</v>
      </c>
      <c r="AD27" s="16">
        <f>IF(AND(YEAR(DecSun1+17)=TheYear,MONTH(DecSun1+17)=12),DecSun1+17, "")</f>
        <v>43446</v>
      </c>
      <c r="AE27" s="16">
        <f>IF(AND(YEAR(DecSun1+18)=TheYear,MONTH(DecSun1+18)=12),DecSun1+18, "")</f>
        <v>43447</v>
      </c>
      <c r="AF27" s="16">
        <f>IF(AND(YEAR(DecSun1+19)=TheYear,MONTH(DecSun1+19)=12),DecSun1+19, "")</f>
        <v>43448</v>
      </c>
      <c r="AG27" s="16">
        <f>IF(AND(YEAR(DecSun1+20)=TheYear,MONTH(DecSun1+20)=12),DecSun1+20, "")</f>
        <v>43449</v>
      </c>
      <c r="AH27" s="9"/>
    </row>
    <row r="28" spans="2:34" x14ac:dyDescent="0.25">
      <c r="B28" s="8"/>
      <c r="C28" s="16">
        <f>IF(AND(YEAR(SepSun1+21)=TheYear,MONTH(SepSun1+21)=9),SepSun1+21, "")</f>
        <v>43359</v>
      </c>
      <c r="D28" s="16">
        <f>IF(AND(YEAR(SepSun1+22)=TheYear,MONTH(SepSun1+22)=9),SepSun1+22, "")</f>
        <v>43360</v>
      </c>
      <c r="E28" s="16">
        <f>IF(AND(YEAR(SepSun1+23)=TheYear,MONTH(SepSun1+23)=9),SepSun1+23, "")</f>
        <v>43361</v>
      </c>
      <c r="F28" s="16">
        <f>IF(AND(YEAR(SepSun1+24)=TheYear,MONTH(SepSun1+24)=9),SepSun1+24, "")</f>
        <v>43362</v>
      </c>
      <c r="G28" s="16">
        <f>IF(AND(YEAR(SepSun1+25)=TheYear,MONTH(SepSun1+25)=9),SepSun1+25, "")</f>
        <v>43363</v>
      </c>
      <c r="H28" s="16">
        <f>IF(AND(YEAR(SepSun1+26)=TheYear,MONTH(SepSun1+26)=9),SepSun1+26, "")</f>
        <v>43364</v>
      </c>
      <c r="I28" s="16">
        <f>IF(AND(YEAR(SepSun1+27)=TheYear,MONTH(SepSun1+27)=9),SepSun1+27, "")</f>
        <v>43365</v>
      </c>
      <c r="J28" s="3"/>
      <c r="K28" s="16">
        <f>IF(AND(YEAR(OctSun1+21)=TheYear,MONTH(OctSun1+21)=10),OctSun1+21, "")</f>
        <v>43394</v>
      </c>
      <c r="L28" s="16">
        <f>IF(AND(YEAR(OctSun1+22)=TheYear,MONTH(OctSun1+22)=10),OctSun1+22, "")</f>
        <v>43395</v>
      </c>
      <c r="M28" s="22">
        <f>IF(AND(YEAR(OctSun1+23)=TheYear,MONTH(OctSun1+23)=10),OctSun1+23, "")</f>
        <v>43396</v>
      </c>
      <c r="N28" s="16">
        <f>IF(AND(YEAR(OctSun1+24)=TheYear,MONTH(OctSun1+24)=10),OctSun1+24, "")</f>
        <v>43397</v>
      </c>
      <c r="O28" s="16">
        <f>IF(AND(YEAR(OctSun1+25)=TheYear,MONTH(OctSun1+25)=10),OctSun1+25, "")</f>
        <v>43398</v>
      </c>
      <c r="P28" s="16">
        <f>IF(AND(YEAR(OctSun1+26)=TheYear,MONTH(OctSun1+26)=10),OctSun1+26, "")</f>
        <v>43399</v>
      </c>
      <c r="Q28" s="16">
        <f>IF(AND(YEAR(OctSun1+27)=TheYear,MONTH(OctSun1+27)=10),OctSun1+27, "")</f>
        <v>43400</v>
      </c>
      <c r="R28" s="3"/>
      <c r="S28" s="16">
        <f>IF(AND(YEAR(NovSun1+21)=TheYear,MONTH(NovSun1+21)=11),NovSun1+21, "")</f>
        <v>43422</v>
      </c>
      <c r="T28" s="16">
        <f>IF(AND(YEAR(NovSun1+22)=TheYear,MONTH(NovSun1+22)=11),NovSun1+22, "")</f>
        <v>43423</v>
      </c>
      <c r="U28" s="16">
        <f>IF(AND(YEAR(NovSun1+23)=TheYear,MONTH(NovSun1+23)=11),NovSun1+23, "")</f>
        <v>43424</v>
      </c>
      <c r="V28" s="16">
        <f>IF(AND(YEAR(NovSun1+24)=TheYear,MONTH(NovSun1+24)=11),NovSun1+24, "")</f>
        <v>43425</v>
      </c>
      <c r="W28" s="16">
        <f>IF(AND(YEAR(NovSun1+25)=TheYear,MONTH(NovSun1+25)=11),NovSun1+25, "")</f>
        <v>43426</v>
      </c>
      <c r="X28" s="16">
        <f>IF(AND(YEAR(NovSun1+26)=TheYear,MONTH(NovSun1+26)=11),NovSun1+26, "")</f>
        <v>43427</v>
      </c>
      <c r="Y28" s="16">
        <f>IF(AND(YEAR(NovSun1+27)=TheYear,MONTH(NovSun1+27)=11),NovSun1+27, "")</f>
        <v>43428</v>
      </c>
      <c r="Z28" s="3"/>
      <c r="AA28" s="16">
        <f>IF(AND(YEAR(DecSun1+21)=TheYear,MONTH(DecSun1+21)=12),DecSun1+21, "")</f>
        <v>43450</v>
      </c>
      <c r="AB28" s="16">
        <f>IF(AND(YEAR(DecSun1+22)=TheYear,MONTH(DecSun1+22)=12),DecSun1+22, "")</f>
        <v>43451</v>
      </c>
      <c r="AC28" s="16">
        <f>IF(AND(YEAR(DecSun1+23)=TheYear,MONTH(DecSun1+23)=12),DecSun1+23, "")</f>
        <v>43452</v>
      </c>
      <c r="AD28" s="16">
        <f>IF(AND(YEAR(DecSun1+24)=TheYear,MONTH(DecSun1+24)=12),DecSun1+24, "")</f>
        <v>43453</v>
      </c>
      <c r="AE28" s="16">
        <f>IF(AND(YEAR(DecSun1+25)=TheYear,MONTH(DecSun1+25)=12),DecSun1+25, "")</f>
        <v>43454</v>
      </c>
      <c r="AF28" s="16">
        <f>IF(AND(YEAR(DecSun1+26)=TheYear,MONTH(DecSun1+26)=12),DecSun1+26, "")</f>
        <v>43455</v>
      </c>
      <c r="AG28" s="16">
        <f>IF(AND(YEAR(DecSun1+27)=TheYear,MONTH(DecSun1+27)=12),DecSun1+27, "")</f>
        <v>43456</v>
      </c>
      <c r="AH28" s="9"/>
    </row>
    <row r="29" spans="2:34" x14ac:dyDescent="0.25">
      <c r="B29" s="8"/>
      <c r="C29" s="16">
        <f>IF(AND(YEAR(SepSun1+28)=TheYear,MONTH(SepSun1+28)=9),SepSun1+28, "")</f>
        <v>43366</v>
      </c>
      <c r="D29" s="16">
        <f>IF(AND(YEAR(SepSun1+29)=TheYear,MONTH(SepSun1+29)=9),SepSun1+29, "")</f>
        <v>43367</v>
      </c>
      <c r="E29" s="20">
        <f>IF(AND(YEAR(SepSun1+30)=TheYear,MONTH(SepSun1+30)=9),SepSun1+30, "")</f>
        <v>43368</v>
      </c>
      <c r="F29" s="16">
        <f>IF(AND(YEAR(SepSun1+31)=TheYear,MONTH(SepSun1+31)=9),SepSun1+31, "")</f>
        <v>43369</v>
      </c>
      <c r="G29" s="16">
        <f>IF(AND(YEAR(SepSun1+32)=TheYear,MONTH(SepSun1+32)=9),SepSun1+32, "")</f>
        <v>43370</v>
      </c>
      <c r="H29" s="16">
        <f>IF(AND(YEAR(SepSun1+33)=TheYear,MONTH(SepSun1+33)=9),SepSun1+33, "")</f>
        <v>43371</v>
      </c>
      <c r="I29" s="16">
        <f>IF(AND(YEAR(SepSun1+34)=TheYear,MONTH(SepSun1+34)=9),SepSun1+34, "")</f>
        <v>43372</v>
      </c>
      <c r="J29" s="3"/>
      <c r="K29" s="16">
        <f>IF(AND(YEAR(OctSun1+28)=TheYear,MONTH(OctSun1+28)=10),OctSun1+28, "")</f>
        <v>43401</v>
      </c>
      <c r="L29" s="16">
        <f>IF(AND(YEAR(OctSun1+29)=TheYear,MONTH(OctSun1+29)=10),OctSun1+29, "")</f>
        <v>43402</v>
      </c>
      <c r="M29" s="16">
        <f>IF(AND(YEAR(OctSun1+30)=TheYear,MONTH(OctSun1+30)=10),OctSun1+30, "")</f>
        <v>43403</v>
      </c>
      <c r="N29" s="16">
        <f>IF(AND(YEAR(OctSun1+31)=TheYear,MONTH(OctSun1+31)=10),OctSun1+31, "")</f>
        <v>43404</v>
      </c>
      <c r="O29" s="16" t="str">
        <f>IF(AND(YEAR(OctSun1+32)=TheYear,MONTH(OctSun1+32)=10),OctSun1+32, "")</f>
        <v/>
      </c>
      <c r="P29" s="16" t="str">
        <f>IF(AND(YEAR(OctSun1+33)=TheYear,MONTH(OctSun1+33)=10),OctSun1+33, "")</f>
        <v/>
      </c>
      <c r="Q29" s="16" t="str">
        <f>IF(AND(YEAR(OctSun1+34)=TheYear,MONTH(OctSun1+34)=10),OctSun1+34, "")</f>
        <v/>
      </c>
      <c r="R29" s="3"/>
      <c r="S29" s="16">
        <f>IF(AND(YEAR(NovSun1+28)=TheYear,MONTH(NovSun1+28)=11),NovSun1+28, "")</f>
        <v>43429</v>
      </c>
      <c r="T29" s="16">
        <f>IF(AND(YEAR(NovSun1+29)=TheYear,MONTH(NovSun1+29)=11),NovSun1+29, "")</f>
        <v>43430</v>
      </c>
      <c r="U29" s="20">
        <f>IF(AND(YEAR(NovSun1+30)=TheYear,MONTH(NovSun1+30)=11),NovSun1+30, "")</f>
        <v>43431</v>
      </c>
      <c r="V29" s="16">
        <f>IF(AND(YEAR(NovSun1+31)=TheYear,MONTH(NovSun1+31)=11),NovSun1+31, "")</f>
        <v>43432</v>
      </c>
      <c r="W29" s="16">
        <f>IF(AND(YEAR(NovSun1+32)=TheYear,MONTH(NovSun1+32)=11),NovSun1+32, "")</f>
        <v>43433</v>
      </c>
      <c r="X29" s="16">
        <f>IF(AND(YEAR(NovSun1+33)=TheYear,MONTH(NovSun1+33)=11),NovSun1+33, "")</f>
        <v>43434</v>
      </c>
      <c r="Y29" s="16" t="str">
        <f>IF(AND(YEAR(NovSun1+34)=TheYear,MONTH(NovSun1+34)=11),NovSun1+34, "")</f>
        <v/>
      </c>
      <c r="Z29" s="3"/>
      <c r="AA29" s="16">
        <f>IF(AND(YEAR(DecSun1+28)=TheYear,MONTH(DecSun1+28)=12),DecSun1+28, "")</f>
        <v>43457</v>
      </c>
      <c r="AB29" s="16">
        <f>IF(AND(YEAR(DecSun1+29)=TheYear,MONTH(DecSun1+29)=12),DecSun1+29, "")</f>
        <v>43458</v>
      </c>
      <c r="AC29" s="16">
        <f>IF(AND(YEAR(DecSun1+30)=TheYear,MONTH(DecSun1+30)=12),DecSun1+30, "")</f>
        <v>43459</v>
      </c>
      <c r="AD29" s="16">
        <f>IF(AND(YEAR(DecSun1+31)=TheYear,MONTH(DecSun1+31)=12),DecSun1+31, "")</f>
        <v>43460</v>
      </c>
      <c r="AE29" s="16">
        <f>IF(AND(YEAR(DecSun1+32)=TheYear,MONTH(DecSun1+32)=12),DecSun1+32, "")</f>
        <v>43461</v>
      </c>
      <c r="AF29" s="16">
        <f>IF(AND(YEAR(DecSun1+33)=TheYear,MONTH(DecSun1+33)=12),DecSun1+33, "")</f>
        <v>43462</v>
      </c>
      <c r="AG29" s="16">
        <f>IF(AND(YEAR(DecSun1+34)=TheYear,MONTH(DecSun1+34)=12),DecSun1+34, "")</f>
        <v>43463</v>
      </c>
      <c r="AH29" s="9"/>
    </row>
    <row r="30" spans="2:34" x14ac:dyDescent="0.25">
      <c r="B30" s="8"/>
      <c r="C30" s="16">
        <f>IF(AND(YEAR(SepSun1+35)=TheYear,MONTH(SepSun1+35)=9),SepSun1+35, "")</f>
        <v>43373</v>
      </c>
      <c r="D30" s="16" t="str">
        <f>IF(AND(YEAR(SepSun1+36)=TheYear,MONTH(SepSun1+36)=9),SepSun1+36, "")</f>
        <v/>
      </c>
      <c r="E30" s="16" t="str">
        <f>IF(AND(YEAR(SepSun1+37)=TheYear,MONTH(SepSun1+37)=9),SepSun1+37, "")</f>
        <v/>
      </c>
      <c r="F30" s="16" t="str">
        <f>IF(AND(YEAR(SepSun1+38)=TheYear,MONTH(SepSun1+38)=9),SepSun1+38, "")</f>
        <v/>
      </c>
      <c r="G30" s="16" t="str">
        <f>IF(AND(YEAR(SepSun1+39)=TheYear,MONTH(SepSun1+39)=9),SepSun1+39, "")</f>
        <v/>
      </c>
      <c r="H30" s="16" t="str">
        <f>IF(AND(YEAR(SepSun1+40)=TheYear,MONTH(SepSun1+40)=9),SepSun1+40, "")</f>
        <v/>
      </c>
      <c r="I30" s="16" t="str">
        <f>IF(AND(YEAR(SepSun1+41)=TheYear,MONTH(SepSun1+41)=9),SepSun1+41, "")</f>
        <v/>
      </c>
      <c r="J30" s="3"/>
      <c r="K30" s="16" t="str">
        <f>IF(AND(YEAR(JunSun1+35)=TheYear,MONTH(JunSun1+35)=6),JunSun1+35, "")</f>
        <v/>
      </c>
      <c r="L30" s="16" t="str">
        <f>IF(AND(YEAR(JunSun1+36)=TheYear,MONTH(JunSun1+36)=6),JunSun1+36, "")</f>
        <v/>
      </c>
      <c r="M30" s="16" t="str">
        <f>IF(AND(YEAR(JunSun1+37)=TheYear,MONTH(JunSun1+37)=6),JunSun1+37, "")</f>
        <v/>
      </c>
      <c r="N30" s="16" t="str">
        <f>IF(AND(YEAR(JunSun1+38)=TheYear,MONTH(JunSun1+38)=6),JunSun1+38, "")</f>
        <v/>
      </c>
      <c r="O30" s="16" t="str">
        <f>IF(AND(YEAR(JunSun1+39)=TheYear,MONTH(JunSun1+39)=6),JunSun1+39, "")</f>
        <v/>
      </c>
      <c r="P30" s="16" t="str">
        <f>IF(AND(YEAR(JunSun1+40)=TheYear,MONTH(JunSun1+40)=6),JunSun1+40, "")</f>
        <v/>
      </c>
      <c r="Q30" s="16" t="str">
        <f>IF(AND(YEAR(JunSun1+41)=TheYear,MONTH(JunSun1+41)=6),JunSun1+41, "")</f>
        <v/>
      </c>
      <c r="R30" s="3"/>
      <c r="S30" s="16"/>
      <c r="T30" s="16" t="str">
        <f>IF(AND(YEAR(SepSun1+36)=TheYear,MONTH(SepSun1+36)=9),SepSun1+36, "")</f>
        <v/>
      </c>
      <c r="U30" s="16" t="str">
        <f>IF(AND(YEAR(SepSun1+37)=TheYear,MONTH(SepSun1+37)=9),SepSun1+37, "")</f>
        <v/>
      </c>
      <c r="V30" s="16" t="str">
        <f>IF(AND(YEAR(SepSun1+38)=TheYear,MONTH(SepSun1+38)=9),SepSun1+38, "")</f>
        <v/>
      </c>
      <c r="W30" s="16" t="str">
        <f>IF(AND(YEAR(SepSun1+39)=TheYear,MONTH(SepSun1+39)=9),SepSun1+39, "")</f>
        <v/>
      </c>
      <c r="X30" s="16" t="str">
        <f>IF(AND(YEAR(SepSun1+40)=TheYear,MONTH(SepSun1+40)=9),SepSun1+40, "")</f>
        <v/>
      </c>
      <c r="Y30" s="16" t="str">
        <f>IF(AND(YEAR(SepSun1+41)=TheYear,MONTH(SepSun1+41)=9),SepSun1+41, "")</f>
        <v/>
      </c>
      <c r="Z30" s="3"/>
      <c r="AA30" s="16">
        <f>IF(AND(YEAR(DecSun1+35)=TheYear,MONTH(DecSun1+35)=12),DecSun1+35, "")</f>
        <v>43464</v>
      </c>
      <c r="AB30" s="16">
        <f>IF(AND(YEAR(DecSun1+36)=TheYear,MONTH(DecSun1+36)=12),DecSun1+36, "")</f>
        <v>43465</v>
      </c>
      <c r="AC30" s="16" t="str">
        <f>IF(AND(YEAR(DecSun1+37)=TheYear,MONTH(DecSun1+37)=12),DecSun1+37, "")</f>
        <v/>
      </c>
      <c r="AD30" s="16" t="str">
        <f>IF(AND(YEAR(DecSun1+38)=TheYear,MONTH(DecSun1+38)=12),DecSun1+38, "")</f>
        <v/>
      </c>
      <c r="AE30" s="16" t="str">
        <f>IF(AND(YEAR(DecSun1+39)=TheYear,MONTH(DecSun1+39)=12),DecSun1+39, "")</f>
        <v/>
      </c>
      <c r="AF30" s="16" t="str">
        <f>IF(AND(YEAR(DecSun1+40)=TheYear,MONTH(DecSun1+40)=12),DecSun1+40, "")</f>
        <v/>
      </c>
      <c r="AG30" s="16" t="str">
        <f>IF(AND(YEAR(DecSun1+41)=TheYear,MONTH(DecSun1+41)=12),DecSun1+41, "")</f>
        <v/>
      </c>
      <c r="AH30" s="9"/>
    </row>
    <row r="31" spans="2:34" ht="13.5" customHeight="1" thickBot="1" x14ac:dyDescent="0.3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2"/>
    </row>
    <row r="32" spans="2:34" ht="19" thickTop="1" x14ac:dyDescent="0.25"/>
    <row r="33" spans="3:22" x14ac:dyDescent="0.25">
      <c r="C33" s="23"/>
      <c r="D33" s="23"/>
      <c r="E33" s="23"/>
      <c r="F33" s="2" t="s">
        <v>37</v>
      </c>
      <c r="H33"/>
      <c r="I33"/>
      <c r="J33"/>
      <c r="K33" s="27"/>
      <c r="L33" s="27"/>
      <c r="M33" s="27"/>
      <c r="N33" s="28" t="s">
        <v>38</v>
      </c>
      <c r="O33" s="26"/>
      <c r="P33"/>
      <c r="Q33"/>
      <c r="S33" s="24"/>
      <c r="T33" s="24"/>
      <c r="U33" s="24"/>
      <c r="V33" s="25" t="s">
        <v>39</v>
      </c>
    </row>
    <row r="34" spans="3:22" x14ac:dyDescent="0.25">
      <c r="N34"/>
      <c r="O34"/>
      <c r="P34"/>
      <c r="Q34"/>
      <c r="R34"/>
      <c r="S34"/>
    </row>
    <row r="36" spans="3:22" x14ac:dyDescent="0.25">
      <c r="C36" s="29" t="s">
        <v>18</v>
      </c>
      <c r="D36" s="29"/>
      <c r="E36" s="29"/>
      <c r="F36" s="29"/>
      <c r="G36" s="29"/>
      <c r="H36" s="29"/>
      <c r="I36" s="29"/>
      <c r="J36" s="29"/>
      <c r="K36" s="29"/>
      <c r="L36" s="21" t="s">
        <v>19</v>
      </c>
    </row>
    <row r="37" spans="3:22" x14ac:dyDescent="0.25">
      <c r="C37" s="2" t="s">
        <v>20</v>
      </c>
      <c r="L37" s="2" t="s">
        <v>21</v>
      </c>
    </row>
    <row r="38" spans="3:22" x14ac:dyDescent="0.25">
      <c r="C38" s="2" t="s">
        <v>22</v>
      </c>
      <c r="L38" s="2" t="s">
        <v>35</v>
      </c>
    </row>
    <row r="39" spans="3:22" x14ac:dyDescent="0.25">
      <c r="C39" s="2" t="s">
        <v>23</v>
      </c>
      <c r="L39" s="2" t="s">
        <v>34</v>
      </c>
    </row>
    <row r="40" spans="3:22" x14ac:dyDescent="0.25">
      <c r="C40" s="2" t="s">
        <v>24</v>
      </c>
      <c r="L40" s="2" t="s">
        <v>32</v>
      </c>
    </row>
    <row r="41" spans="3:22" x14ac:dyDescent="0.25">
      <c r="C41" s="2" t="s">
        <v>25</v>
      </c>
      <c r="L41" s="2" t="s">
        <v>36</v>
      </c>
    </row>
    <row r="42" spans="3:22" x14ac:dyDescent="0.25">
      <c r="C42" s="2" t="s">
        <v>26</v>
      </c>
      <c r="L42" s="2" t="s">
        <v>30</v>
      </c>
    </row>
    <row r="43" spans="3:22" x14ac:dyDescent="0.25">
      <c r="C43" s="2" t="s">
        <v>27</v>
      </c>
      <c r="L43" s="2" t="s">
        <v>31</v>
      </c>
    </row>
    <row r="44" spans="3:22" x14ac:dyDescent="0.25">
      <c r="C44" s="2" t="s">
        <v>28</v>
      </c>
      <c r="L44" s="2" t="s">
        <v>33</v>
      </c>
    </row>
    <row r="45" spans="3:22" x14ac:dyDescent="0.25">
      <c r="C45" s="2" t="s">
        <v>29</v>
      </c>
      <c r="L45" s="2" t="s">
        <v>34</v>
      </c>
    </row>
  </sheetData>
  <mergeCells count="14">
    <mergeCell ref="C14:I14"/>
    <mergeCell ref="K14:Q14"/>
    <mergeCell ref="S14:Y14"/>
    <mergeCell ref="AA14:AG14"/>
    <mergeCell ref="B2:AH3"/>
    <mergeCell ref="C5:I5"/>
    <mergeCell ref="K5:Q5"/>
    <mergeCell ref="S5:Y5"/>
    <mergeCell ref="AA5:AG5"/>
    <mergeCell ref="C36:K36"/>
    <mergeCell ref="C23:I23"/>
    <mergeCell ref="K23:Q23"/>
    <mergeCell ref="S23:Y23"/>
    <mergeCell ref="AA23:AG23"/>
  </mergeCells>
  <phoneticPr fontId="6" type="noConversion"/>
  <conditionalFormatting sqref="C5:AG13 C21:AG22 J14:AG20 J23:AG30">
    <cfRule type="containsErrors" dxfId="6" priority="9">
      <formula>ISERROR(C5)</formula>
    </cfRule>
    <cfRule type="containsBlanks" dxfId="5" priority="10">
      <formula>LEN(TRIM(C5))=0</formula>
    </cfRule>
  </conditionalFormatting>
  <conditionalFormatting sqref="C14:I20">
    <cfRule type="containsErrors" dxfId="4" priority="3">
      <formula>ISERROR(C14)</formula>
    </cfRule>
    <cfRule type="containsBlanks" dxfId="3" priority="4">
      <formula>LEN(TRIM(C14))=0</formula>
    </cfRule>
  </conditionalFormatting>
  <conditionalFormatting sqref="C23:I30">
    <cfRule type="containsErrors" dxfId="2" priority="1">
      <formula>ISERROR(C23)</formula>
    </cfRule>
    <cfRule type="containsBlanks" dxfId="1" priority="2">
      <formula>LEN(TRIM(C23))=0</formula>
    </cfRule>
  </conditionalFormatting>
  <dataValidations count="1">
    <dataValidation type="list" allowBlank="1" showInputMessage="1" showErrorMessage="1" errorTitle="Invalid Year" error="Enter a year from 1900 to 9999, or use the scroll bar to find a year." sqref="B2:AH3" xr:uid="{00000000-0002-0000-0000-000000000000}">
      <formula1>YearLookup</formula1>
    </dataValidation>
  </dataValidations>
  <printOptions horizontalCentered="1" verticalCentered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2" sqref="A2:A10"/>
    </sheetView>
  </sheetViews>
  <sheetFormatPr baseColWidth="10" defaultColWidth="8.7109375" defaultRowHeight="18" x14ac:dyDescent="0.25"/>
  <sheetData>
    <row r="1" spans="1:3" x14ac:dyDescent="0.25">
      <c r="A1" s="1" t="s">
        <v>17</v>
      </c>
    </row>
    <row r="2" spans="1:3" x14ac:dyDescent="0.25">
      <c r="A2">
        <v>2010</v>
      </c>
    </row>
    <row r="3" spans="1:3" x14ac:dyDescent="0.25">
      <c r="A3">
        <v>2011</v>
      </c>
    </row>
    <row r="4" spans="1:3" x14ac:dyDescent="0.25">
      <c r="A4">
        <v>2012</v>
      </c>
    </row>
    <row r="5" spans="1:3" x14ac:dyDescent="0.25">
      <c r="A5">
        <v>2013</v>
      </c>
    </row>
    <row r="6" spans="1:3" x14ac:dyDescent="0.25">
      <c r="A6">
        <v>2014</v>
      </c>
    </row>
    <row r="7" spans="1:3" x14ac:dyDescent="0.25">
      <c r="A7">
        <v>2015</v>
      </c>
    </row>
    <row r="8" spans="1:3" x14ac:dyDescent="0.25">
      <c r="A8">
        <v>2016</v>
      </c>
    </row>
    <row r="9" spans="1:3" x14ac:dyDescent="0.25">
      <c r="A9">
        <v>2017</v>
      </c>
    </row>
    <row r="10" spans="1:3" x14ac:dyDescent="0.25">
      <c r="A10" s="18">
        <v>2018</v>
      </c>
    </row>
  </sheetData>
  <pageMargins left="0.7" right="0.7" top="0.75" bottom="0.75" header="0.3" footer="0.3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Calendar</vt:lpstr>
      <vt:lpstr>Lookup List</vt:lpstr>
      <vt:lpstr>TheYear</vt:lpstr>
      <vt:lpstr>YearLookup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2010-04-17T01:19:24Z</cp:lastPrinted>
  <dcterms:created xsi:type="dcterms:W3CDTF">2010-04-07T20:16:53Z</dcterms:created>
  <dcterms:modified xsi:type="dcterms:W3CDTF">2018-12-04T03:53:51Z</dcterms:modified>
  <cp:category/>
</cp:coreProperties>
</file>