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65B8C7A-D2D2-4CEB-9D07-B00C0A04B1C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EDL_Business_Indicator" sheetId="1" r:id="rId1"/>
    <sheet name="NEDL_Internal_Loss_Multipli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B18" i="3"/>
  <c r="B16" i="3"/>
  <c r="B15" i="3"/>
  <c r="E9" i="3"/>
  <c r="B9" i="3"/>
  <c r="N3" i="3"/>
  <c r="M4" i="3"/>
  <c r="O8" i="3"/>
  <c r="O7" i="3"/>
  <c r="C7" i="3"/>
  <c r="F7" i="3" s="1"/>
  <c r="B13" i="3"/>
  <c r="B12" i="3"/>
  <c r="G4" i="3"/>
  <c r="H4" i="3" s="1"/>
  <c r="N4" i="3" s="1"/>
  <c r="G5" i="3"/>
  <c r="H5" i="3" s="1"/>
  <c r="M5" i="3" s="1"/>
  <c r="G6" i="3"/>
  <c r="H6" i="3" s="1"/>
  <c r="N6" i="3" s="1"/>
  <c r="G3" i="3"/>
  <c r="H3" i="3" s="1"/>
  <c r="M3" i="3" s="1"/>
  <c r="F4" i="3"/>
  <c r="F5" i="3"/>
  <c r="F6" i="3"/>
  <c r="F3" i="3"/>
  <c r="O4" i="3"/>
  <c r="O5" i="3"/>
  <c r="O6" i="3"/>
  <c r="O3" i="3"/>
  <c r="B17" i="3"/>
  <c r="C9" i="3" l="1"/>
  <c r="G9" i="3" s="1"/>
  <c r="H9" i="3" s="1"/>
  <c r="D9" i="3"/>
  <c r="O9" i="3"/>
  <c r="O11" i="3" s="1"/>
  <c r="M6" i="3"/>
  <c r="N5" i="3"/>
  <c r="C8" i="3"/>
  <c r="G7" i="3"/>
  <c r="H7" i="3" s="1"/>
  <c r="J5" i="3"/>
  <c r="L5" i="3" s="1"/>
  <c r="I5" i="3"/>
  <c r="K5" i="3" s="1"/>
  <c r="P5" i="3" s="1"/>
  <c r="K3" i="3"/>
  <c r="P3" i="3" s="1"/>
  <c r="I6" i="3"/>
  <c r="K6" i="3" s="1"/>
  <c r="I4" i="3"/>
  <c r="K4" i="3" s="1"/>
  <c r="P4" i="3" s="1"/>
  <c r="J3" i="3"/>
  <c r="L3" i="3" s="1"/>
  <c r="Q3" i="3" s="1"/>
  <c r="J6" i="3"/>
  <c r="L6" i="3" s="1"/>
  <c r="Q6" i="3" s="1"/>
  <c r="J4" i="3"/>
  <c r="L4" i="3" s="1"/>
  <c r="Q4" i="3" s="1"/>
  <c r="B16" i="1"/>
  <c r="M9" i="3" l="1"/>
  <c r="N9" i="3"/>
  <c r="F9" i="3"/>
  <c r="I7" i="3"/>
  <c r="K7" i="3" s="1"/>
  <c r="M7" i="3"/>
  <c r="P7" i="3" s="1"/>
  <c r="N7" i="3"/>
  <c r="Q7" i="3" s="1"/>
  <c r="Q5" i="3"/>
  <c r="J9" i="3"/>
  <c r="L9" i="3" s="1"/>
  <c r="I9" i="3"/>
  <c r="K9" i="3" s="1"/>
  <c r="P9" i="3" s="1"/>
  <c r="P11" i="3" s="1"/>
  <c r="P6" i="3"/>
  <c r="J7" i="3"/>
  <c r="L7" i="3" s="1"/>
  <c r="G8" i="3"/>
  <c r="H8" i="3" s="1"/>
  <c r="F8" i="3"/>
  <c r="C10" i="1"/>
  <c r="D10" i="1"/>
  <c r="E10" i="1"/>
  <c r="F10" i="1"/>
  <c r="G10" i="1"/>
  <c r="H10" i="1"/>
  <c r="I10" i="1"/>
  <c r="K10" i="1"/>
  <c r="B10" i="1"/>
  <c r="J8" i="1"/>
  <c r="J9" i="1"/>
  <c r="J7" i="1"/>
  <c r="J10" i="1" s="1"/>
  <c r="B14" i="1" s="1"/>
  <c r="M8" i="3" l="1"/>
  <c r="N8" i="3"/>
  <c r="Q9" i="3"/>
  <c r="Q11" i="3" s="1"/>
  <c r="I8" i="3"/>
  <c r="K8" i="3" s="1"/>
  <c r="J8" i="3"/>
  <c r="L8" i="3" s="1"/>
  <c r="B13" i="1"/>
  <c r="B15" i="1" s="1"/>
  <c r="Q8" i="3" l="1"/>
  <c r="P8" i="3"/>
  <c r="B24" i="3" s="1"/>
  <c r="B25" i="3" s="1"/>
  <c r="B26" i="3" s="1"/>
  <c r="B18" i="1"/>
  <c r="B20" i="1" s="1"/>
  <c r="B19" i="3" l="1"/>
  <c r="B20" i="3" s="1"/>
  <c r="D27" i="1"/>
  <c r="B21" i="1"/>
  <c r="D31" i="1"/>
  <c r="D28" i="1"/>
  <c r="D30" i="1"/>
  <c r="D29" i="1"/>
  <c r="B22" i="1" l="1"/>
  <c r="B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7" authorId="0" shapeId="0" xr:uid="{A5E2840C-01EE-4384-BB97-BF52862AFAF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 some banks, IEA are disclosed at the start of the report; Barclays provides them in "margins analysis" section</t>
        </r>
      </text>
    </comment>
    <comment ref="C7" authorId="0" shapeId="0" xr:uid="{77B7B3FE-829E-4D2D-9AC4-77EA53EF3FA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figures retrieved from Consolidated Income Statement</t>
        </r>
      </text>
    </comment>
    <comment ref="E7" authorId="0" shapeId="0" xr:uid="{A834DF23-064F-46EC-88E6-3E8A8761D9A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Figure retrieved from Cash Flow Statement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3" authorId="0" shapeId="0" xr:uid="{2BEED15D-E211-4B34-A1BB-64F8961E19EC}">
      <text>
        <r>
          <rPr>
            <b/>
            <sz val="9"/>
            <color indexed="81"/>
            <rFont val="Tahoma"/>
            <family val="2"/>
          </rPr>
          <t xml:space="preserve">HP:
</t>
        </r>
        <r>
          <rPr>
            <sz val="9"/>
            <color indexed="81"/>
            <rFont val="Tahoma"/>
            <family val="2"/>
          </rPr>
          <t>These are provided in annual reports under Risk Review: Operational Risk and in Pillar 3 report under the Operational Risk section</t>
        </r>
      </text>
    </comment>
    <comment ref="C7" authorId="0" shapeId="0" xr:uid="{3573DD51-734F-4D5F-8F12-6C490B3016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 2015 and earlier, Barclays was not reporting the event number and only reported the increase/decrease with regards to previous year</t>
        </r>
      </text>
    </comment>
    <comment ref="B21" authorId="0" shapeId="0" xr:uid="{6F08A0FE-B71E-42F5-9153-3BC19E0D07E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Barclays Pillar 3 report (2019) p. 27</t>
        </r>
      </text>
    </comment>
  </commentList>
</comments>
</file>

<file path=xl/sharedStrings.xml><?xml version="1.0" encoding="utf-8"?>
<sst xmlns="http://schemas.openxmlformats.org/spreadsheetml/2006/main" count="92" uniqueCount="75">
  <si>
    <t>Dividends received</t>
  </si>
  <si>
    <t>Interest earning assets</t>
  </si>
  <si>
    <t>Interest income</t>
  </si>
  <si>
    <t>Interest expense</t>
  </si>
  <si>
    <t>Fee income</t>
  </si>
  <si>
    <t>Fee expense</t>
  </si>
  <si>
    <t>Other operating income</t>
  </si>
  <si>
    <t>Net trading profit</t>
  </si>
  <si>
    <t>Net profit</t>
  </si>
  <si>
    <t>Net non-trading profit</t>
  </si>
  <si>
    <t>ILDC</t>
  </si>
  <si>
    <t>FC</t>
  </si>
  <si>
    <t>https://www.bis.org/bcbs/publ/d355.pdf</t>
  </si>
  <si>
    <t>uBI</t>
  </si>
  <si>
    <t>SC</t>
  </si>
  <si>
    <t>inf</t>
  </si>
  <si>
    <t>from</t>
  </si>
  <si>
    <t>to</t>
  </si>
  <si>
    <t>Bucket</t>
  </si>
  <si>
    <t>BI range</t>
  </si>
  <si>
    <t>BI component</t>
  </si>
  <si>
    <t>BI (in bln EUR)</t>
  </si>
  <si>
    <t>BI component, mln EUR</t>
  </si>
  <si>
    <t>Source: Barclays (2019)</t>
  </si>
  <si>
    <t>Methodology: BCBS (2019)</t>
  </si>
  <si>
    <t>https://home.barclays/content/dam/home-barclays/documents/investor-relations/reports-and-events/annual-reports/2019/Barclays%20PLC%20Annual%20Report%202019.pdf</t>
  </si>
  <si>
    <t>Barclays Pillar 3 disclosure (2019)</t>
  </si>
  <si>
    <t>https://home.barclays/content/dam/home-barclays/documents/investor-relations/ResultAnnouncements/2019FYResults/20200213-Barclays-PLC-Pillar-3-Report.pdf</t>
  </si>
  <si>
    <t>Average</t>
  </si>
  <si>
    <t>Interest, lease, and dividend component</t>
  </si>
  <si>
    <t>Services component</t>
  </si>
  <si>
    <t>Financial component</t>
  </si>
  <si>
    <t>Unadjusted Business Indicator</t>
  </si>
  <si>
    <t>BI (in mln GBP)</t>
  </si>
  <si>
    <t>GBPEUR</t>
  </si>
  <si>
    <t>page 241</t>
  </si>
  <si>
    <t>page 247</t>
  </si>
  <si>
    <t>page 227</t>
  </si>
  <si>
    <t>BI component, mln GBP</t>
  </si>
  <si>
    <t>Year</t>
  </si>
  <si>
    <t>Events below £50,000</t>
  </si>
  <si>
    <t>Exposure below £50,000</t>
  </si>
  <si>
    <t>Total losses, mln £</t>
  </si>
  <si>
    <t>Distribution shape</t>
  </si>
  <si>
    <t>All events</t>
  </si>
  <si>
    <t>Events above £50,000</t>
  </si>
  <si>
    <t>Assuming Paretian tails</t>
  </si>
  <si>
    <t>Above 10 mln EUR</t>
  </si>
  <si>
    <t>Above 100 mln EUR</t>
  </si>
  <si>
    <t>Overall</t>
  </si>
  <si>
    <t>10 mln EUR in GBP</t>
  </si>
  <si>
    <t>100 mln EUR in GBP</t>
  </si>
  <si>
    <t>Risk performance: Operational risk section (page 200 in 2019 report)</t>
  </si>
  <si>
    <t>Recorded events, number</t>
  </si>
  <si>
    <t>Internal loss multiplier</t>
  </si>
  <si>
    <t>Pareto distribution:</t>
  </si>
  <si>
    <t>Probability of event</t>
  </si>
  <si>
    <t>SMA capital charge in EUR</t>
  </si>
  <si>
    <t>SMA capital charge in GBP</t>
  </si>
  <si>
    <t>Reported by Barclays</t>
  </si>
  <si>
    <t>New ILM formula is being considered:</t>
  </si>
  <si>
    <t>Average loss per event, £ ,mln</t>
  </si>
  <si>
    <t>m is a parameter that will be calibrated</t>
  </si>
  <si>
    <t>Hypothetical m parameter</t>
  </si>
  <si>
    <t>New ILM value</t>
  </si>
  <si>
    <t>Lease income reported as interest income</t>
  </si>
  <si>
    <t>Number of events</t>
  </si>
  <si>
    <t>Average loss per event</t>
  </si>
  <si>
    <t>Average annual loss</t>
  </si>
  <si>
    <t>80/20 - Pareto distribution?</t>
  </si>
  <si>
    <t>Total</t>
  </si>
  <si>
    <t>Average 2014-2019</t>
  </si>
  <si>
    <t>Loss component in GBP</t>
  </si>
  <si>
    <t>Loss component in EUR</t>
  </si>
  <si>
    <t>BI component in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</si>
</sst>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2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0" borderId="0" xfId="2" applyAlignment="1">
      <alignment horizontal="left"/>
    </xf>
    <xf numFmtId="14" fontId="2" fillId="0" borderId="0" xfId="2" applyNumberFormat="1" applyAlignment="1">
      <alignment horizontal="left"/>
    </xf>
    <xf numFmtId="2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</xdr:colOff>
      <xdr:row>12</xdr:row>
      <xdr:rowOff>4762</xdr:rowOff>
    </xdr:from>
    <xdr:ext cx="65316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FE0DF1D-ECCD-434F-8B9E-1E21839AD31C}"/>
                </a:ext>
              </a:extLst>
            </xdr:cNvPr>
            <xdr:cNvSpPr txBox="1"/>
          </xdr:nvSpPr>
          <xdr:spPr>
            <a:xfrm>
              <a:off x="6505575" y="2290762"/>
              <a:ext cx="65316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𝐼𝐿𝐷𝐶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𝐼𝑛𝑡𝑒𝑟𝑒𝑠𝑡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𝑖𝑛𝑐𝑜𝑚𝑒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𝐼𝑛𝑡𝑒𝑟𝑒𝑠𝑡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𝑒𝑥𝑝𝑒𝑛𝑠𝑒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 3.5%∗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𝐼𝑛𝑡𝑒𝑟𝑒𝑠𝑡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𝑒𝑎𝑟𝑛𝑖𝑛𝑔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𝑎𝑠𝑠𝑒𝑡𝑠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𝐷𝑖𝑣𝑖𝑑𝑒𝑛𝑑𝑠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𝑟𝑒𝑐𝑒𝑖𝑣𝑒𝑑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FE0DF1D-ECCD-434F-8B9E-1E21839AD31C}"/>
                </a:ext>
              </a:extLst>
            </xdr:cNvPr>
            <xdr:cNvSpPr txBox="1"/>
          </xdr:nvSpPr>
          <xdr:spPr>
            <a:xfrm>
              <a:off x="6505575" y="2290762"/>
              <a:ext cx="65316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𝐼𝐿𝐷𝐶=min⁡(𝐼𝑛𝑡𝑒𝑟𝑒𝑠𝑡 𝑖𝑛𝑐𝑜𝑚𝑒−𝐼𝑛𝑡𝑒𝑟𝑒𝑠𝑡 𝑒𝑥𝑝𝑒𝑛𝑠𝑒, 3.5%∗𝐼𝑛𝑡𝑒𝑟𝑒𝑠𝑡 𝑒𝑎𝑟𝑛𝑖𝑛𝑔 𝑎𝑠𝑠𝑒𝑡𝑠)+𝐷𝑖𝑣𝑖𝑑𝑒𝑛𝑑𝑠 𝑟𝑒𝑐𝑒𝑖𝑣𝑒𝑑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13</xdr:row>
      <xdr:rowOff>9525</xdr:rowOff>
    </xdr:from>
    <xdr:ext cx="3058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FD9923-3759-4020-AE0F-772F65D4CC68}"/>
                </a:ext>
              </a:extLst>
            </xdr:cNvPr>
            <xdr:cNvSpPr txBox="1"/>
          </xdr:nvSpPr>
          <xdr:spPr>
            <a:xfrm>
              <a:off x="6505575" y="2486025"/>
              <a:ext cx="3058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𝐹𝐶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𝑇𝑟𝑎𝑑𝑖𝑛𝑔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𝑝𝑟𝑜𝑓𝑖𝑡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𝑡𝑟𝑎𝑑𝑖𝑛𝑔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𝑝𝑟𝑜𝑓𝑖𝑡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FD9923-3759-4020-AE0F-772F65D4CC68}"/>
                </a:ext>
              </a:extLst>
            </xdr:cNvPr>
            <xdr:cNvSpPr txBox="1"/>
          </xdr:nvSpPr>
          <xdr:spPr>
            <a:xfrm>
              <a:off x="6505575" y="2486025"/>
              <a:ext cx="3058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𝐹𝐶=|𝑇𝑟𝑎𝑑𝑖𝑛𝑔 𝑝𝑟𝑜𝑓𝑖𝑡|+|𝑁𝑜𝑛−𝑡𝑟𝑎𝑑𝑖𝑛𝑔 𝑝𝑟𝑜𝑓𝑖𝑡|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14</xdr:row>
      <xdr:rowOff>19050</xdr:rowOff>
    </xdr:from>
    <xdr:ext cx="48864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564095A-1249-459E-AF9F-D11E259DDEF8}"/>
                </a:ext>
              </a:extLst>
            </xdr:cNvPr>
            <xdr:cNvSpPr txBox="1"/>
          </xdr:nvSpPr>
          <xdr:spPr>
            <a:xfrm>
              <a:off x="6496050" y="2686050"/>
              <a:ext cx="48864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𝑢𝐵𝐼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𝐼𝐿𝐷𝐶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𝐹𝐶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max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𝐹𝑒𝑒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𝑖𝑛𝑐𝑜𝑚𝑒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𝐹𝑒𝑒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𝑒𝑥𝑝𝑒𝑛𝑠𝑒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𝑂𝑡h𝑒𝑟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𝑜𝑝𝑒𝑟𝑎𝑡𝑖𝑛𝑔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𝑖𝑛𝑐𝑜𝑚𝑒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564095A-1249-459E-AF9F-D11E259DDEF8}"/>
                </a:ext>
              </a:extLst>
            </xdr:cNvPr>
            <xdr:cNvSpPr txBox="1"/>
          </xdr:nvSpPr>
          <xdr:spPr>
            <a:xfrm>
              <a:off x="6496050" y="2686050"/>
              <a:ext cx="48864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𝑢𝐵𝐼=𝐼𝐿𝐷𝐶+𝐹𝐶+max⁡(𝐹𝑒𝑒 𝑖𝑛𝑐𝑜𝑚𝑒,𝐹𝑒𝑒 𝑒𝑥𝑝𝑒𝑛𝑠𝑒)+𝑂𝑡ℎ𝑒𝑟 𝑜𝑝𝑒𝑟𝑎𝑡𝑖𝑛𝑔 𝑖𝑛𝑐𝑜𝑚𝑒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15</xdr:row>
      <xdr:rowOff>9525</xdr:rowOff>
    </xdr:from>
    <xdr:ext cx="1031699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A22373C-01BF-49F3-B7D8-00EF2959781A}"/>
                </a:ext>
              </a:extLst>
            </xdr:cNvPr>
            <xdr:cNvSpPr txBox="1"/>
          </xdr:nvSpPr>
          <xdr:spPr>
            <a:xfrm>
              <a:off x="6496050" y="2867025"/>
              <a:ext cx="1031699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𝑂𝑡h𝑒𝑟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𝑜𝑝𝑒𝑟𝑎𝑡𝑖𝑛𝑔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𝑖𝑛𝑐𝑜𝑚𝑒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max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𝐹𝑒𝑒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𝑖𝑛𝑐𝑜𝑚𝑒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𝐹𝑒𝑒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𝑒𝑥𝑝𝑒𝑛𝑠𝑒</m:t>
                                </m:r>
                              </m:e>
                            </m:d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min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unc>
                                      <m:func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n-GB" sz="1100" b="0" i="0">
                                            <a:latin typeface="Cambria Math" panose="02040503050406030204" pitchFamily="18" charset="0"/>
                                          </a:rPr>
                                          <m:t>max</m:t>
                                        </m:r>
                                      </m:fName>
                                      <m:e>
                                        <m:d>
                                          <m:dPr>
                                            <m:ctrlP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  <m:t>𝐹𝑒𝑒</m:t>
                                            </m:r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  <m:t> </m:t>
                                            </m:r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  <m:t>𝑖𝑛𝑐𝑜𝑚𝑒</m:t>
                                            </m:r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  <m:t>,</m:t>
                                            </m:r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  <m:t>𝐹𝑒𝑒</m:t>
                                            </m:r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  <m:t> </m:t>
                                            </m:r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  <m:t>𝑒𝑥𝑝𝑒𝑛𝑠𝑒</m:t>
                                            </m:r>
                                          </m:e>
                                        </m:d>
                                      </m:e>
                                    </m:func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.0.5∗</m:t>
                                    </m:r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𝑢𝐵𝐼</m:t>
                                    </m:r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+0.1∗</m:t>
                                    </m:r>
                                    <m:d>
                                      <m:d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unc>
                                          <m:funcPr>
                                            <m:ctrlP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uncPr>
                                          <m:fNam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n-GB" sz="1100" b="0" i="0">
                                                <a:latin typeface="Cambria Math" panose="02040503050406030204" pitchFamily="18" charset="0"/>
                                              </a:rPr>
                                              <m:t>max</m:t>
                                            </m:r>
                                          </m:fName>
                                          <m:e>
                                            <m:d>
                                              <m:dPr>
                                                <m:ctrlP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𝐹𝑒𝑒</m:t>
                                                </m:r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 </m:t>
                                                </m:r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𝑖𝑛𝑐𝑜𝑚𝑒</m:t>
                                                </m:r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𝐹𝑒𝑒</m:t>
                                                </m:r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 </m:t>
                                                </m:r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𝑒𝑥𝑝𝑒𝑛𝑠𝑒</m:t>
                                                </m:r>
                                              </m:e>
                                            </m:d>
                                          </m:e>
                                        </m:func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−0.5∗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𝑢𝐵𝐼</m:t>
                                        </m:r>
                                      </m:e>
                                    </m:d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A22373C-01BF-49F3-B7D8-00EF2959781A}"/>
                </a:ext>
              </a:extLst>
            </xdr:cNvPr>
            <xdr:cNvSpPr txBox="1"/>
          </xdr:nvSpPr>
          <xdr:spPr>
            <a:xfrm>
              <a:off x="6496050" y="2867025"/>
              <a:ext cx="1031699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𝑆𝐶=𝑂𝑡ℎ𝑒𝑟 𝑜𝑝𝑒𝑟𝑎𝑡𝑖𝑛𝑔 𝑖𝑛𝑐𝑜𝑚𝑒+max⁡(|𝐹𝑒𝑒 𝑖𝑛𝑐𝑜𝑚𝑒−𝐹𝑒𝑒 𝑒𝑥𝑝𝑒𝑛𝑠𝑒|,min⁡(max⁡(𝐹𝑒𝑒 𝑖𝑛𝑐𝑜𝑚𝑒,𝐹𝑒𝑒 𝑒𝑥𝑝𝑒𝑛𝑠𝑒).0.5∗𝑢𝐵𝐼+0.1∗(max⁡(𝐹𝑒𝑒 𝑖𝑛𝑐𝑜𝑚𝑒,𝐹𝑒𝑒 𝑒𝑥𝑝𝑒𝑛𝑠𝑒)−0.5∗𝑢𝐵𝐼))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104775</xdr:colOff>
      <xdr:row>17</xdr:row>
      <xdr:rowOff>19050</xdr:rowOff>
    </xdr:from>
    <xdr:ext cx="13606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E715AE7-E868-4944-8446-8B56FFBEBDD4}"/>
                </a:ext>
              </a:extLst>
            </xdr:cNvPr>
            <xdr:cNvSpPr txBox="1"/>
          </xdr:nvSpPr>
          <xdr:spPr>
            <a:xfrm>
              <a:off x="6486525" y="3257550"/>
              <a:ext cx="1360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𝐵𝐼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𝐼𝐿𝐷𝐶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𝐹𝐶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𝑆𝐶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E715AE7-E868-4944-8446-8B56FFBEBDD4}"/>
                </a:ext>
              </a:extLst>
            </xdr:cNvPr>
            <xdr:cNvSpPr txBox="1"/>
          </xdr:nvSpPr>
          <xdr:spPr>
            <a:xfrm>
              <a:off x="6486525" y="3257550"/>
              <a:ext cx="1360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𝐵𝐼=𝐼𝐿𝐷𝐶+𝐹𝐶+𝑆𝐶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11</xdr:row>
      <xdr:rowOff>128587</xdr:rowOff>
    </xdr:from>
    <xdr:ext cx="1246431" cy="309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98683D-F83B-4DDA-9692-625353F369C1}"/>
                </a:ext>
              </a:extLst>
            </xdr:cNvPr>
            <xdr:cNvSpPr txBox="1"/>
          </xdr:nvSpPr>
          <xdr:spPr>
            <a:xfrm>
              <a:off x="11515725" y="1652587"/>
              <a:ext cx="1246431" cy="309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𝑚𝑖𝑛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98683D-F83B-4DDA-9692-625353F369C1}"/>
                </a:ext>
              </a:extLst>
            </xdr:cNvPr>
            <xdr:cNvSpPr txBox="1"/>
          </xdr:nvSpPr>
          <xdr:spPr>
            <a:xfrm>
              <a:off x="11515725" y="1652587"/>
              <a:ext cx="1246431" cy="309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𝐹(𝑥)=1−(𝑥_𝑚𝑖𝑛/𝑥)^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123825</xdr:colOff>
      <xdr:row>13</xdr:row>
      <xdr:rowOff>119062</xdr:rowOff>
    </xdr:from>
    <xdr:ext cx="666208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47E931-D16D-4D93-894E-C1340C109F7F}"/>
                </a:ext>
              </a:extLst>
            </xdr:cNvPr>
            <xdr:cNvSpPr txBox="1"/>
          </xdr:nvSpPr>
          <xdr:spPr>
            <a:xfrm>
              <a:off x="11544300" y="2024062"/>
              <a:ext cx="666208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47E931-D16D-4D93-894E-C1340C109F7F}"/>
                </a:ext>
              </a:extLst>
            </xdr:cNvPr>
            <xdr:cNvSpPr txBox="1"/>
          </xdr:nvSpPr>
          <xdr:spPr>
            <a:xfrm>
              <a:off x="11544300" y="2024062"/>
              <a:ext cx="666208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=(𝛼𝑥_𝑚𝑖𝑛)/(𝛼−1)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180975</xdr:colOff>
      <xdr:row>13</xdr:row>
      <xdr:rowOff>185737</xdr:rowOff>
    </xdr:from>
    <xdr:ext cx="76638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E714C94-01AE-4967-A113-256EBABB3531}"/>
                </a:ext>
              </a:extLst>
            </xdr:cNvPr>
            <xdr:cNvSpPr txBox="1"/>
          </xdr:nvSpPr>
          <xdr:spPr>
            <a:xfrm>
              <a:off x="3457575" y="2662237"/>
              <a:ext cx="76638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Loss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component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=7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Annual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loss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+7∗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Annual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loss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events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above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EUR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 10 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mln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+5∗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Annual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loss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events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above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EUR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100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mln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E714C94-01AE-4967-A113-256EBABB3531}"/>
                </a:ext>
              </a:extLst>
            </xdr:cNvPr>
            <xdr:cNvSpPr txBox="1"/>
          </xdr:nvSpPr>
          <xdr:spPr>
            <a:xfrm>
              <a:off x="3457575" y="2662237"/>
              <a:ext cx="76638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Loss component=7∗Annual loss+7∗Annual loss (events above EUR 10 mln)+5∗Annual loss (events above EUR 100 mln)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152400</xdr:colOff>
      <xdr:row>19</xdr:row>
      <xdr:rowOff>166687</xdr:rowOff>
    </xdr:from>
    <xdr:ext cx="38833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6C91E16-F952-45C8-9762-B742B8305204}"/>
                </a:ext>
              </a:extLst>
            </xdr:cNvPr>
            <xdr:cNvSpPr txBox="1"/>
          </xdr:nvSpPr>
          <xdr:spPr>
            <a:xfrm>
              <a:off x="3429000" y="3024187"/>
              <a:ext cx="38833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Capital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110 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EUR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mln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BI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component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−110 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EUR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mln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ILM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6C91E16-F952-45C8-9762-B742B8305204}"/>
                </a:ext>
              </a:extLst>
            </xdr:cNvPr>
            <xdr:cNvSpPr txBox="1"/>
          </xdr:nvSpPr>
          <xdr:spPr>
            <a:xfrm>
              <a:off x="3429000" y="3024187"/>
              <a:ext cx="38833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Capital=110 EUR mln+(BI component−110 EUR mln)∗ILM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2</xdr:col>
      <xdr:colOff>209550</xdr:colOff>
      <xdr:row>16</xdr:row>
      <xdr:rowOff>119062</xdr:rowOff>
    </xdr:from>
    <xdr:ext cx="224202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832D7FE-3125-44A6-BB87-1314EB390356}"/>
                </a:ext>
              </a:extLst>
            </xdr:cNvPr>
            <xdr:cNvSpPr txBox="1"/>
          </xdr:nvSpPr>
          <xdr:spPr>
            <a:xfrm>
              <a:off x="3486150" y="3167062"/>
              <a:ext cx="224202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ILM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  <m:r>
                              <a:rPr lang="en-GB" sz="1100" b="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Loss</m:t>
                                </m:r>
                                <m: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component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BI</m:t>
                                </m:r>
                                <m: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component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832D7FE-3125-44A6-BB87-1314EB390356}"/>
                </a:ext>
              </a:extLst>
            </xdr:cNvPr>
            <xdr:cNvSpPr txBox="1"/>
          </xdr:nvSpPr>
          <xdr:spPr>
            <a:xfrm>
              <a:off x="3486150" y="3167062"/>
              <a:ext cx="224202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ILM=ln⁡(𝑒−1+(Loss component)/(BI component))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2</xdr:col>
      <xdr:colOff>66675</xdr:colOff>
      <xdr:row>25</xdr:row>
      <xdr:rowOff>85725</xdr:rowOff>
    </xdr:from>
    <xdr:ext cx="155395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1B62409-1369-4174-9BDD-1E5C32C15F9C}"/>
                </a:ext>
              </a:extLst>
            </xdr:cNvPr>
            <xdr:cNvSpPr txBox="1"/>
          </xdr:nvSpPr>
          <xdr:spPr>
            <a:xfrm>
              <a:off x="3343275" y="4657725"/>
              <a:ext cx="155395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𝐼𝐿𝑀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𝑚𝐿𝐶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𝐵𝐼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𝐿𝐶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𝐵𝐼</m:t>
                        </m:r>
                      </m:den>
                    </m:f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1B62409-1369-4174-9BDD-1E5C32C15F9C}"/>
                </a:ext>
              </a:extLst>
            </xdr:cNvPr>
            <xdr:cNvSpPr txBox="1"/>
          </xdr:nvSpPr>
          <xdr:spPr>
            <a:xfrm>
              <a:off x="3343275" y="4657725"/>
              <a:ext cx="155395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𝐼𝐿𝑀=(𝑚𝐿𝐶+(𝑚−1)𝐵𝐼)/(𝐿𝐶+(2𝑚−2)𝐵𝐼)</a:t>
              </a:r>
              <a:endParaRPr lang="en-GB" sz="11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s.org/bcbs/publ/d355.pdf" TargetMode="External"/><Relationship Id="rId2" Type="http://schemas.openxmlformats.org/officeDocument/2006/relationships/hyperlink" Target="https://home.barclays/content/dam/home-barclays/documents/investor-relations/ResultAnnouncements/2019FYResults/20200213-Barclays-PLC-Pillar-3-Report.pdf" TargetMode="External"/><Relationship Id="rId1" Type="http://schemas.openxmlformats.org/officeDocument/2006/relationships/hyperlink" Target="https://home.barclays/content/dam/home-barclays/documents/investor-relations/reports-and-events/annual-reports/2019/Barclays%20PLC%20Annual%20Report%202019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Normal="100" workbookViewId="0">
      <selection activeCell="D12" sqref="D12"/>
    </sheetView>
  </sheetViews>
  <sheetFormatPr defaultRowHeight="15" x14ac:dyDescent="0.25"/>
  <cols>
    <col min="1" max="1" width="30.5703125" bestFit="1" customWidth="1"/>
    <col min="2" max="11" width="21.7109375" style="1" customWidth="1"/>
  </cols>
  <sheetData>
    <row r="1" spans="1:11" x14ac:dyDescent="0.25">
      <c r="A1" t="s">
        <v>23</v>
      </c>
      <c r="B1" s="14" t="s">
        <v>25</v>
      </c>
    </row>
    <row r="2" spans="1:11" x14ac:dyDescent="0.25">
      <c r="A2" t="s">
        <v>26</v>
      </c>
      <c r="B2" s="14" t="s">
        <v>27</v>
      </c>
    </row>
    <row r="3" spans="1:11" x14ac:dyDescent="0.25">
      <c r="A3" t="s">
        <v>24</v>
      </c>
      <c r="B3" s="15" t="s">
        <v>12</v>
      </c>
    </row>
    <row r="5" spans="1:11" x14ac:dyDescent="0.25">
      <c r="B5" s="1" t="s">
        <v>37</v>
      </c>
      <c r="C5" s="1" t="s">
        <v>35</v>
      </c>
      <c r="D5" s="1" t="s">
        <v>35</v>
      </c>
      <c r="E5" s="1" t="s">
        <v>36</v>
      </c>
      <c r="F5" s="1" t="s">
        <v>35</v>
      </c>
      <c r="G5" s="1" t="s">
        <v>35</v>
      </c>
      <c r="H5" s="1" t="s">
        <v>35</v>
      </c>
      <c r="I5" s="1" t="s">
        <v>35</v>
      </c>
      <c r="J5" s="11" t="s">
        <v>35</v>
      </c>
      <c r="K5" s="11" t="s">
        <v>35</v>
      </c>
    </row>
    <row r="6" spans="1:11" x14ac:dyDescent="0.25">
      <c r="B6" s="1" t="s">
        <v>1</v>
      </c>
      <c r="C6" s="1" t="s">
        <v>2</v>
      </c>
      <c r="D6" s="1" t="s">
        <v>3</v>
      </c>
      <c r="E6" s="1" t="s">
        <v>0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9</v>
      </c>
      <c r="K6" s="1" t="s">
        <v>8</v>
      </c>
    </row>
    <row r="7" spans="1:11" x14ac:dyDescent="0.25">
      <c r="A7" s="1">
        <v>2019</v>
      </c>
      <c r="B7" s="1">
        <v>286973</v>
      </c>
      <c r="C7" s="1">
        <v>15456</v>
      </c>
      <c r="D7" s="1">
        <v>6049</v>
      </c>
      <c r="E7" s="1">
        <v>1560</v>
      </c>
      <c r="F7" s="1">
        <v>9122</v>
      </c>
      <c r="G7" s="1">
        <v>2362</v>
      </c>
      <c r="H7" s="1">
        <v>99</v>
      </c>
      <c r="I7" s="1">
        <v>4235</v>
      </c>
      <c r="J7" s="1">
        <f>K7-I7</f>
        <v>122</v>
      </c>
      <c r="K7" s="1">
        <v>4357</v>
      </c>
    </row>
    <row r="8" spans="1:11" x14ac:dyDescent="0.25">
      <c r="A8" s="1">
        <v>2018</v>
      </c>
      <c r="B8" s="1">
        <v>283315</v>
      </c>
      <c r="C8" s="1">
        <v>14541</v>
      </c>
      <c r="D8" s="1">
        <v>5479</v>
      </c>
      <c r="E8" s="1">
        <v>1066</v>
      </c>
      <c r="F8" s="1">
        <v>8893</v>
      </c>
      <c r="G8" s="1">
        <v>2084</v>
      </c>
      <c r="H8" s="1">
        <v>114</v>
      </c>
      <c r="I8" s="1">
        <v>4566</v>
      </c>
      <c r="J8" s="1">
        <f t="shared" ref="J8:J9" si="0">K8-I8</f>
        <v>-1072</v>
      </c>
      <c r="K8" s="1">
        <v>3494</v>
      </c>
    </row>
    <row r="9" spans="1:11" x14ac:dyDescent="0.25">
      <c r="A9" s="1">
        <v>2017</v>
      </c>
      <c r="B9" s="1">
        <v>278523</v>
      </c>
      <c r="C9" s="1">
        <v>13631</v>
      </c>
      <c r="D9" s="1">
        <v>3786</v>
      </c>
      <c r="E9" s="1">
        <v>674</v>
      </c>
      <c r="F9" s="1">
        <v>8751</v>
      </c>
      <c r="G9" s="1">
        <v>1937</v>
      </c>
      <c r="H9" s="1">
        <v>56</v>
      </c>
      <c r="I9" s="1">
        <v>3500</v>
      </c>
      <c r="J9" s="1">
        <f t="shared" si="0"/>
        <v>41</v>
      </c>
      <c r="K9" s="1">
        <v>3541</v>
      </c>
    </row>
    <row r="10" spans="1:11" x14ac:dyDescent="0.25">
      <c r="A10" s="1" t="s">
        <v>28</v>
      </c>
      <c r="B10" s="3">
        <f>AVERAGE(B7:B9)</f>
        <v>282937</v>
      </c>
      <c r="C10" s="3">
        <f t="shared" ref="C10:K10" si="1">AVERAGE(C7:C9)</f>
        <v>14542.666666666666</v>
      </c>
      <c r="D10" s="3">
        <f t="shared" si="1"/>
        <v>5104.666666666667</v>
      </c>
      <c r="E10" s="3">
        <f t="shared" si="1"/>
        <v>1100</v>
      </c>
      <c r="F10" s="3">
        <f t="shared" si="1"/>
        <v>8922</v>
      </c>
      <c r="G10" s="3">
        <f t="shared" si="1"/>
        <v>2127.6666666666665</v>
      </c>
      <c r="H10" s="3">
        <f t="shared" si="1"/>
        <v>89.666666666666671</v>
      </c>
      <c r="I10" s="3">
        <f t="shared" si="1"/>
        <v>4100.333333333333</v>
      </c>
      <c r="J10" s="3">
        <f t="shared" si="1"/>
        <v>-303</v>
      </c>
      <c r="K10" s="3">
        <f t="shared" si="1"/>
        <v>3797.3333333333335</v>
      </c>
    </row>
    <row r="11" spans="1:11" x14ac:dyDescent="0.25">
      <c r="B11" s="4"/>
      <c r="C11" s="6"/>
      <c r="D11" s="4"/>
      <c r="F11" s="4"/>
      <c r="G11" s="4"/>
    </row>
    <row r="12" spans="1:11" x14ac:dyDescent="0.25">
      <c r="B12" s="4"/>
      <c r="C12" s="7" t="s">
        <v>65</v>
      </c>
      <c r="D12" s="4"/>
      <c r="F12" s="4"/>
      <c r="G12" s="4"/>
    </row>
    <row r="13" spans="1:11" x14ac:dyDescent="0.25">
      <c r="A13" t="s">
        <v>10</v>
      </c>
      <c r="B13" s="3">
        <f>MIN(ABS(C10-D10),0.035*B10)+E10</f>
        <v>10538</v>
      </c>
      <c r="C13" s="7" t="s">
        <v>29</v>
      </c>
      <c r="D13" s="4"/>
      <c r="F13" s="4"/>
      <c r="G13" s="4"/>
    </row>
    <row r="14" spans="1:11" x14ac:dyDescent="0.25">
      <c r="A14" t="s">
        <v>11</v>
      </c>
      <c r="B14" s="3">
        <f>ABS(J10)+ABS(I10)</f>
        <v>4403.333333333333</v>
      </c>
      <c r="C14" s="8" t="s">
        <v>31</v>
      </c>
      <c r="D14" s="5"/>
      <c r="F14" s="4"/>
      <c r="G14" s="4"/>
    </row>
    <row r="15" spans="1:11" x14ac:dyDescent="0.25">
      <c r="A15" t="s">
        <v>13</v>
      </c>
      <c r="B15" s="3">
        <f>B13+H10+MAX(F10:G10)+B14</f>
        <v>23952.999999999996</v>
      </c>
      <c r="C15" s="8" t="s">
        <v>32</v>
      </c>
      <c r="D15" s="4"/>
      <c r="F15" s="4"/>
      <c r="G15" s="4"/>
    </row>
    <row r="16" spans="1:11" x14ac:dyDescent="0.25">
      <c r="A16" t="s">
        <v>14</v>
      </c>
      <c r="B16" s="3">
        <f>H10+MAX(ABS(F10-G10),MIN(MAX(F10:G10), 0.5*B15 + 0.1*(MAX(F10:G10) - 0.5*B15)))</f>
        <v>9011.6666666666661</v>
      </c>
      <c r="C16" s="8" t="s">
        <v>30</v>
      </c>
      <c r="D16" s="4"/>
      <c r="F16" s="4"/>
      <c r="G16" s="4"/>
    </row>
    <row r="17" spans="1:7" x14ac:dyDescent="0.25">
      <c r="B17" s="4"/>
      <c r="C17" s="4"/>
      <c r="D17" s="4"/>
      <c r="F17" s="4"/>
      <c r="G17" s="4"/>
    </row>
    <row r="18" spans="1:7" x14ac:dyDescent="0.25">
      <c r="A18" t="s">
        <v>33</v>
      </c>
      <c r="B18" s="3">
        <f>B13+B14+B16</f>
        <v>23953</v>
      </c>
      <c r="C18" s="4"/>
      <c r="D18" s="4"/>
      <c r="F18" s="4"/>
      <c r="G18" s="4"/>
    </row>
    <row r="19" spans="1:7" x14ac:dyDescent="0.25">
      <c r="A19" t="s">
        <v>34</v>
      </c>
      <c r="B19" s="2">
        <v>1.1499999999999999</v>
      </c>
      <c r="C19" s="4"/>
      <c r="D19" s="4"/>
      <c r="F19" s="4"/>
      <c r="G19" s="4"/>
    </row>
    <row r="20" spans="1:7" x14ac:dyDescent="0.25">
      <c r="A20" t="s">
        <v>21</v>
      </c>
      <c r="B20" s="3">
        <f>B18*B19/1000</f>
        <v>27.545949999999998</v>
      </c>
      <c r="C20" s="4"/>
      <c r="D20" s="4"/>
      <c r="F20" s="4"/>
      <c r="G20" s="4"/>
    </row>
    <row r="21" spans="1:7" x14ac:dyDescent="0.25">
      <c r="A21" t="s">
        <v>18</v>
      </c>
      <c r="B21" s="3">
        <f>IF(B20&gt;30,5,IF(B20&gt;10,4,IF(B20&gt;3,3,IF(B20&gt;1,2,1))))</f>
        <v>4</v>
      </c>
      <c r="C21" s="4"/>
      <c r="D21" s="4"/>
      <c r="F21" s="4"/>
      <c r="G21" s="4"/>
    </row>
    <row r="22" spans="1:7" x14ac:dyDescent="0.25">
      <c r="A22" t="s">
        <v>22</v>
      </c>
      <c r="B22" s="3">
        <f>VLOOKUP(B21,A27:D31,4,0)</f>
        <v>5775.5684999999994</v>
      </c>
      <c r="C22" s="4"/>
      <c r="D22" s="4"/>
      <c r="F22" s="4"/>
      <c r="G22" s="4"/>
    </row>
    <row r="23" spans="1:7" x14ac:dyDescent="0.25">
      <c r="A23" t="s">
        <v>38</v>
      </c>
      <c r="B23" s="3">
        <f>B22/B19</f>
        <v>5022.2334782608696</v>
      </c>
      <c r="C23" s="4"/>
      <c r="D23" s="4"/>
      <c r="F23" s="4"/>
      <c r="G23" s="4"/>
    </row>
    <row r="24" spans="1:7" x14ac:dyDescent="0.25">
      <c r="B24" s="4"/>
      <c r="C24" s="4"/>
      <c r="D24" s="4"/>
      <c r="F24" s="4"/>
      <c r="G24" s="4"/>
    </row>
    <row r="25" spans="1:7" x14ac:dyDescent="0.25">
      <c r="A25" s="18" t="s">
        <v>18</v>
      </c>
      <c r="B25" s="19" t="s">
        <v>19</v>
      </c>
      <c r="C25" s="19"/>
      <c r="D25" s="20" t="s">
        <v>20</v>
      </c>
      <c r="F25" s="4"/>
      <c r="G25" s="4"/>
    </row>
    <row r="26" spans="1:7" x14ac:dyDescent="0.25">
      <c r="A26" s="18"/>
      <c r="B26" s="4" t="s">
        <v>16</v>
      </c>
      <c r="C26" s="4" t="s">
        <v>17</v>
      </c>
      <c r="D26" s="20"/>
      <c r="F26" s="4"/>
      <c r="G26" s="4"/>
    </row>
    <row r="27" spans="1:7" x14ac:dyDescent="0.25">
      <c r="A27" s="1">
        <v>1</v>
      </c>
      <c r="B27" s="1">
        <v>0</v>
      </c>
      <c r="C27" s="1">
        <v>1</v>
      </c>
      <c r="D27" s="3">
        <f>110*B20</f>
        <v>3030.0544999999997</v>
      </c>
    </row>
    <row r="28" spans="1:7" x14ac:dyDescent="0.25">
      <c r="A28" s="1">
        <v>2</v>
      </c>
      <c r="B28" s="1">
        <v>1</v>
      </c>
      <c r="C28" s="1">
        <v>3</v>
      </c>
      <c r="D28" s="3">
        <f>110 + 150*(B20-1)</f>
        <v>4091.8924999999995</v>
      </c>
    </row>
    <row r="29" spans="1:7" x14ac:dyDescent="0.25">
      <c r="A29" s="1">
        <v>3</v>
      </c>
      <c r="B29" s="1">
        <v>3</v>
      </c>
      <c r="C29" s="1">
        <v>10</v>
      </c>
      <c r="D29" s="3">
        <f>410 + 190*(B20-3)</f>
        <v>5073.7304999999997</v>
      </c>
    </row>
    <row r="30" spans="1:7" x14ac:dyDescent="0.25">
      <c r="A30" s="1">
        <v>4</v>
      </c>
      <c r="B30" s="1">
        <v>10</v>
      </c>
      <c r="C30" s="1">
        <v>30</v>
      </c>
      <c r="D30" s="3">
        <f>1740 + 230*(B20-10)</f>
        <v>5775.5684999999994</v>
      </c>
    </row>
    <row r="31" spans="1:7" x14ac:dyDescent="0.25">
      <c r="A31" s="1">
        <v>5</v>
      </c>
      <c r="B31" s="1">
        <v>30</v>
      </c>
      <c r="C31" s="1" t="s">
        <v>15</v>
      </c>
      <c r="D31" s="3">
        <f>6340 + 290*(B20-30)</f>
        <v>5628.325499999999</v>
      </c>
    </row>
    <row r="32" spans="1:7" x14ac:dyDescent="0.25">
      <c r="D32" s="2"/>
    </row>
  </sheetData>
  <mergeCells count="3">
    <mergeCell ref="A25:A26"/>
    <mergeCell ref="B25:C25"/>
    <mergeCell ref="D25:D26"/>
  </mergeCells>
  <hyperlinks>
    <hyperlink ref="B1" r:id="rId1" xr:uid="{614D581C-6FB4-4554-B66A-FD4BB380E5BD}"/>
    <hyperlink ref="B2" r:id="rId2" xr:uid="{44E375A8-FED6-4650-B608-8C006DB8A308}"/>
    <hyperlink ref="B3" r:id="rId3" xr:uid="{C260B8DC-6B21-4C05-AE53-DB306041D615}"/>
  </hyperlinks>
  <pageMargins left="0.7" right="0.7" top="0.75" bottom="0.75" header="0.3" footer="0.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EC68-E193-45E0-8CDB-B9BE66C3CD4C}">
  <dimension ref="A1:Q29"/>
  <sheetViews>
    <sheetView workbookViewId="0">
      <selection activeCell="A6" sqref="A6"/>
    </sheetView>
  </sheetViews>
  <sheetFormatPr defaultRowHeight="15" x14ac:dyDescent="0.25"/>
  <cols>
    <col min="1" max="1" width="24" bestFit="1" customWidth="1"/>
    <col min="2" max="5" width="25.140625" customWidth="1"/>
    <col min="6" max="6" width="21.5703125" bestFit="1" customWidth="1"/>
    <col min="7" max="7" width="27.5703125" bestFit="1" customWidth="1"/>
    <col min="8" max="8" width="22" bestFit="1" customWidth="1"/>
    <col min="9" max="9" width="17.42578125" customWidth="1"/>
    <col min="10" max="14" width="20.140625" customWidth="1"/>
    <col min="15" max="17" width="17.7109375" customWidth="1"/>
  </cols>
  <sheetData>
    <row r="1" spans="1:17" x14ac:dyDescent="0.25">
      <c r="A1" s="18" t="s">
        <v>39</v>
      </c>
      <c r="B1" s="21" t="s">
        <v>52</v>
      </c>
      <c r="C1" s="21"/>
      <c r="D1" s="21"/>
      <c r="E1" s="21"/>
      <c r="F1" s="21" t="s">
        <v>61</v>
      </c>
      <c r="G1" s="21"/>
      <c r="H1" s="10" t="s">
        <v>46</v>
      </c>
      <c r="I1" s="21" t="s">
        <v>56</v>
      </c>
      <c r="J1" s="21"/>
      <c r="K1" s="21" t="s">
        <v>66</v>
      </c>
      <c r="L1" s="21"/>
      <c r="M1" s="21" t="s">
        <v>67</v>
      </c>
      <c r="N1" s="21"/>
      <c r="O1" s="21" t="s">
        <v>68</v>
      </c>
      <c r="P1" s="21"/>
      <c r="Q1" s="21"/>
    </row>
    <row r="2" spans="1:17" x14ac:dyDescent="0.25">
      <c r="A2" s="18"/>
      <c r="B2" s="1" t="s">
        <v>42</v>
      </c>
      <c r="C2" s="1" t="s">
        <v>53</v>
      </c>
      <c r="D2" s="1" t="s">
        <v>40</v>
      </c>
      <c r="E2" s="1" t="s">
        <v>41</v>
      </c>
      <c r="F2" s="1" t="s">
        <v>44</v>
      </c>
      <c r="G2" s="1" t="s">
        <v>45</v>
      </c>
      <c r="H2" s="1" t="s">
        <v>43</v>
      </c>
      <c r="I2" s="10" t="s">
        <v>47</v>
      </c>
      <c r="J2" s="10" t="s">
        <v>48</v>
      </c>
      <c r="K2" s="10" t="s">
        <v>47</v>
      </c>
      <c r="L2" s="10" t="s">
        <v>48</v>
      </c>
      <c r="M2" s="10" t="s">
        <v>47</v>
      </c>
      <c r="N2" s="10" t="s">
        <v>48</v>
      </c>
      <c r="O2" s="10" t="s">
        <v>49</v>
      </c>
      <c r="P2" s="10" t="s">
        <v>47</v>
      </c>
      <c r="Q2" s="10" t="s">
        <v>48</v>
      </c>
    </row>
    <row r="3" spans="1:17" x14ac:dyDescent="0.25">
      <c r="A3" s="1">
        <v>2019</v>
      </c>
      <c r="B3" s="3">
        <v>169</v>
      </c>
      <c r="C3" s="1">
        <v>2098</v>
      </c>
      <c r="D3" s="12">
        <v>0.84</v>
      </c>
      <c r="E3" s="12">
        <v>0.19</v>
      </c>
      <c r="F3" s="2">
        <f>B3/C3</f>
        <v>8.055290753098189E-2</v>
      </c>
      <c r="G3" s="2">
        <f>B3*(1-E3)/(C3*(1-D3))</f>
        <v>0.40779909437559575</v>
      </c>
      <c r="H3" s="9">
        <f>G3/(G3-0.05)</f>
        <v>1.1397432268163123</v>
      </c>
      <c r="I3" s="13">
        <f>(1-D3)*(0.05/B$12)^H3</f>
        <v>4.5630056285863837E-4</v>
      </c>
      <c r="J3" s="13">
        <f t="shared" ref="J3:J8" si="0">(1-D3)*(0.05/B$13)^H3</f>
        <v>3.3075603543255633E-5</v>
      </c>
      <c r="K3" s="17">
        <f>I3*C3</f>
        <v>0.95731858087742328</v>
      </c>
      <c r="L3" s="17">
        <f>J3*C3</f>
        <v>6.9392616233750315E-2</v>
      </c>
      <c r="M3" s="16">
        <f>H3/(H3-1)*B$12</f>
        <v>69.709246901811213</v>
      </c>
      <c r="N3" s="16">
        <f>H3/(H3-1)*B$13</f>
        <v>697.09246901811218</v>
      </c>
      <c r="O3" s="3">
        <f>B3</f>
        <v>169</v>
      </c>
      <c r="P3" s="2">
        <f>M3*K3</f>
        <v>66.733957318075824</v>
      </c>
      <c r="Q3" s="2">
        <f>N3*L3</f>
        <v>48.37307018201134</v>
      </c>
    </row>
    <row r="4" spans="1:17" x14ac:dyDescent="0.25">
      <c r="A4" s="1">
        <v>2018</v>
      </c>
      <c r="B4" s="3">
        <v>228</v>
      </c>
      <c r="C4" s="1">
        <v>2068</v>
      </c>
      <c r="D4" s="12">
        <v>0.84</v>
      </c>
      <c r="E4" s="12">
        <v>0.14000000000000001</v>
      </c>
      <c r="F4" s="2">
        <f t="shared" ref="F4:F6" si="1">B4/C4</f>
        <v>0.1102514506769826</v>
      </c>
      <c r="G4" s="2">
        <f t="shared" ref="G4:G6" si="2">B4*(1-E4)/(C4*(1-D4))</f>
        <v>0.59260154738878124</v>
      </c>
      <c r="H4" s="9">
        <f t="shared" ref="H4:H9" si="3">G4/(G4-0.05)</f>
        <v>1.0921486498529545</v>
      </c>
      <c r="I4" s="13">
        <f t="shared" ref="I4:I8" si="4">(1-D4)*(0.05/B$12)^H4</f>
        <v>5.8280366804479365E-4</v>
      </c>
      <c r="J4" s="13">
        <f t="shared" si="0"/>
        <v>4.7138268586169793E-5</v>
      </c>
      <c r="K4" s="17">
        <f t="shared" ref="K4:K8" si="5">I4*C4</f>
        <v>1.2052379855166333</v>
      </c>
      <c r="L4" s="17">
        <f t="shared" ref="L4:L8" si="6">J4*C4</f>
        <v>9.7481939436199136E-2</v>
      </c>
      <c r="M4" s="16">
        <f t="shared" ref="M4:M8" si="7">H4/(H4-1)*B$12</f>
        <v>101.29940981004793</v>
      </c>
      <c r="N4" s="16">
        <f t="shared" ref="N4:N8" si="8">H4/(H4-1)*B$13</f>
        <v>1012.9940981004794</v>
      </c>
      <c r="O4" s="3">
        <f>B4</f>
        <v>228</v>
      </c>
      <c r="P4" s="2">
        <f t="shared" ref="P4:P8" si="9">M4*K4</f>
        <v>122.08989661348605</v>
      </c>
      <c r="Q4" s="2">
        <f t="shared" ref="Q4:Q8" si="10">N4*L4</f>
        <v>98.748629320258104</v>
      </c>
    </row>
    <row r="5" spans="1:17" x14ac:dyDescent="0.25">
      <c r="A5" s="1">
        <v>2017</v>
      </c>
      <c r="B5" s="3">
        <v>309</v>
      </c>
      <c r="C5" s="3">
        <v>2949</v>
      </c>
      <c r="D5" s="12">
        <v>0.87</v>
      </c>
      <c r="E5" s="12">
        <v>0.16</v>
      </c>
      <c r="F5" s="2">
        <f t="shared" si="1"/>
        <v>0.10478128179043744</v>
      </c>
      <c r="G5" s="2">
        <f t="shared" si="2"/>
        <v>0.67704828233821113</v>
      </c>
      <c r="H5" s="9">
        <f t="shared" si="3"/>
        <v>1.0797386762843113</v>
      </c>
      <c r="I5" s="13">
        <f t="shared" si="4"/>
        <v>5.0472542546422465E-4</v>
      </c>
      <c r="J5" s="13">
        <f t="shared" si="0"/>
        <v>4.200650087807299E-5</v>
      </c>
      <c r="K5" s="17">
        <f t="shared" si="5"/>
        <v>1.4884352796939986</v>
      </c>
      <c r="L5" s="17">
        <f t="shared" si="6"/>
        <v>0.12387717108943724</v>
      </c>
      <c r="M5" s="16">
        <f t="shared" si="7"/>
        <v>115.73474911764281</v>
      </c>
      <c r="N5" s="16">
        <f t="shared" si="8"/>
        <v>1157.3474911764281</v>
      </c>
      <c r="O5" s="3">
        <f>B5</f>
        <v>309</v>
      </c>
      <c r="P5" s="2">
        <f t="shared" si="9"/>
        <v>172.26368367323343</v>
      </c>
      <c r="Q5" s="2">
        <f t="shared" si="10"/>
        <v>143.36893317439333</v>
      </c>
    </row>
    <row r="6" spans="1:17" x14ac:dyDescent="0.25">
      <c r="A6" s="10">
        <v>2016</v>
      </c>
      <c r="B6" s="3">
        <v>209</v>
      </c>
      <c r="C6" s="3">
        <v>3414</v>
      </c>
      <c r="D6" s="12">
        <v>0.86</v>
      </c>
      <c r="E6" s="12">
        <v>0.22</v>
      </c>
      <c r="F6" s="2">
        <f t="shared" si="1"/>
        <v>6.1218512009373172E-2</v>
      </c>
      <c r="G6" s="2">
        <f t="shared" si="2"/>
        <v>0.34107456690936477</v>
      </c>
      <c r="H6" s="9">
        <f t="shared" si="3"/>
        <v>1.1717772889981455</v>
      </c>
      <c r="I6" s="13">
        <f t="shared" si="4"/>
        <v>3.3863511430530871E-4</v>
      </c>
      <c r="J6" s="13">
        <f t="shared" si="0"/>
        <v>2.2801042321087245E-5</v>
      </c>
      <c r="K6" s="17">
        <f t="shared" si="5"/>
        <v>1.156100280238324</v>
      </c>
      <c r="L6" s="17">
        <f t="shared" si="6"/>
        <v>7.7842758484191851E-2</v>
      </c>
      <c r="M6" s="16">
        <f t="shared" si="7"/>
        <v>58.303344770831593</v>
      </c>
      <c r="N6" s="16">
        <f t="shared" si="8"/>
        <v>583.03344770831598</v>
      </c>
      <c r="O6" s="3">
        <f>B6</f>
        <v>209</v>
      </c>
      <c r="P6" s="2">
        <f t="shared" si="9"/>
        <v>67.40451322839003</v>
      </c>
      <c r="Q6" s="2">
        <f t="shared" si="10"/>
        <v>45.384931858164137</v>
      </c>
    </row>
    <row r="7" spans="1:17" x14ac:dyDescent="0.25">
      <c r="A7" s="10">
        <v>2015</v>
      </c>
      <c r="B7" s="3">
        <v>324.3</v>
      </c>
      <c r="C7" s="3">
        <f>C6/0.94</f>
        <v>3631.9148936170213</v>
      </c>
      <c r="D7" s="12">
        <v>0.879</v>
      </c>
      <c r="E7" s="12">
        <v>0.14099999999999999</v>
      </c>
      <c r="F7" s="2">
        <f t="shared" ref="F7:F8" si="11">B7/C7</f>
        <v>8.9291739894551844E-2</v>
      </c>
      <c r="G7" s="2">
        <f t="shared" ref="G7:G8" si="12">B7*(1-E7)/(C7*(1-D7))</f>
        <v>0.63389755842495898</v>
      </c>
      <c r="H7" s="9">
        <f t="shared" si="3"/>
        <v>1.0856314592834968</v>
      </c>
      <c r="I7" s="13">
        <f t="shared" si="4"/>
        <v>4.5576349293401314E-4</v>
      </c>
      <c r="J7" s="13">
        <f t="shared" si="0"/>
        <v>3.7420369847709828E-5</v>
      </c>
      <c r="K7" s="17">
        <f t="shared" si="5"/>
        <v>1.6552942179539585</v>
      </c>
      <c r="L7" s="17">
        <f t="shared" si="6"/>
        <v>0.13590759857455464</v>
      </c>
      <c r="M7" s="16">
        <f t="shared" si="7"/>
        <v>108.35855699571934</v>
      </c>
      <c r="N7" s="16">
        <f t="shared" si="8"/>
        <v>1083.5855699571935</v>
      </c>
      <c r="O7" s="3">
        <f t="shared" ref="O7:O8" si="13">B7</f>
        <v>324.3</v>
      </c>
      <c r="P7" s="2">
        <f t="shared" si="9"/>
        <v>179.36529286084868</v>
      </c>
      <c r="Q7" s="2">
        <f t="shared" si="10"/>
        <v>147.26751266292226</v>
      </c>
    </row>
    <row r="8" spans="1:17" x14ac:dyDescent="0.25">
      <c r="A8" s="10">
        <v>2014</v>
      </c>
      <c r="B8" s="3">
        <v>143.9</v>
      </c>
      <c r="C8" s="3">
        <f>C7/0.97</f>
        <v>3744.2421583680634</v>
      </c>
      <c r="D8" s="12">
        <v>0.78</v>
      </c>
      <c r="E8" s="12">
        <v>0.111</v>
      </c>
      <c r="F8" s="2">
        <f t="shared" si="11"/>
        <v>3.843234329232572E-2</v>
      </c>
      <c r="G8" s="2">
        <f t="shared" si="12"/>
        <v>0.15530160539489804</v>
      </c>
      <c r="H8" s="9">
        <f t="shared" si="3"/>
        <v>1.474826569001412</v>
      </c>
      <c r="I8" s="13">
        <f t="shared" si="4"/>
        <v>1.1203786587492918E-4</v>
      </c>
      <c r="J8" s="13">
        <f t="shared" si="0"/>
        <v>3.7543802680251272E-6</v>
      </c>
      <c r="K8" s="17">
        <f t="shared" si="5"/>
        <v>0.41949690074249646</v>
      </c>
      <c r="L8" s="17">
        <f t="shared" si="6"/>
        <v>1.4057308878084871E-2</v>
      </c>
      <c r="M8" s="16">
        <f t="shared" si="7"/>
        <v>26.547282973486841</v>
      </c>
      <c r="N8" s="16">
        <f t="shared" si="8"/>
        <v>265.47282973486841</v>
      </c>
      <c r="O8" s="3">
        <f t="shared" si="13"/>
        <v>143.9</v>
      </c>
      <c r="P8" s="2">
        <f t="shared" si="9"/>
        <v>11.136502930511776</v>
      </c>
      <c r="Q8" s="2">
        <f t="shared" si="10"/>
        <v>3.7318335663222792</v>
      </c>
    </row>
    <row r="9" spans="1:17" x14ac:dyDescent="0.25">
      <c r="A9" s="10" t="s">
        <v>70</v>
      </c>
      <c r="B9" s="3">
        <f>SUM(B3:B8)</f>
        <v>1383.2</v>
      </c>
      <c r="C9" s="3">
        <f>SUM(C3:C8)</f>
        <v>17905.157051985083</v>
      </c>
      <c r="D9" s="12">
        <f>SUMPRODUCT(C3:C8,D3:D8)/C9</f>
        <v>0.84411837500977438</v>
      </c>
      <c r="E9" s="12">
        <f>SUMPRODUCT(E3:E8,B3:B8)/B9</f>
        <v>0.15988230190861769</v>
      </c>
      <c r="F9" s="2">
        <f t="shared" ref="F9" si="14">B9/C9</f>
        <v>7.7251486595960886E-2</v>
      </c>
      <c r="G9" s="2">
        <f t="shared" ref="G9" si="15">B9*(1-E9)/(C9*(1-D9))</f>
        <v>0.41634375505904192</v>
      </c>
      <c r="H9" s="9">
        <f t="shared" si="3"/>
        <v>1.1364838333109888</v>
      </c>
      <c r="I9" s="13">
        <f t="shared" ref="I9" si="16">(1-D9)*(0.05/B$12)^H9</f>
        <v>4.5206789353130592E-4</v>
      </c>
      <c r="J9" s="13">
        <f t="shared" ref="J9" si="17">(1-D9)*(0.05/B$13)^H9</f>
        <v>3.3015648382102113E-5</v>
      </c>
      <c r="K9" s="17">
        <f>I9*C9</f>
        <v>8.0943466318381034</v>
      </c>
      <c r="L9" s="17">
        <f>J9*C9</f>
        <v>0.59115036945465549</v>
      </c>
      <c r="M9" s="16">
        <f t="shared" ref="M9" si="18">H9/(H9-1)*B$12</f>
        <v>71.169872659665302</v>
      </c>
      <c r="N9" s="16">
        <f t="shared" ref="N9" si="19">H9/(H9-1)*B$13</f>
        <v>711.69872659665316</v>
      </c>
      <c r="O9" s="3">
        <f t="shared" ref="O9" si="20">B9</f>
        <v>1383.2</v>
      </c>
      <c r="P9" s="2">
        <f t="shared" ref="P9" si="21">M9*K9</f>
        <v>576.07361905110861</v>
      </c>
      <c r="Q9" s="2">
        <f t="shared" ref="Q9" si="22">N9*L9</f>
        <v>420.72096516801935</v>
      </c>
    </row>
    <row r="10" spans="1:17" x14ac:dyDescent="0.25">
      <c r="M10" s="16"/>
      <c r="N10" s="16"/>
    </row>
    <row r="11" spans="1:17" x14ac:dyDescent="0.25">
      <c r="A11" s="10" t="s">
        <v>34</v>
      </c>
      <c r="B11" s="2">
        <v>1.17</v>
      </c>
      <c r="D11" s="11" t="s">
        <v>69</v>
      </c>
      <c r="H11" t="s">
        <v>55</v>
      </c>
      <c r="N11" s="11" t="s">
        <v>71</v>
      </c>
      <c r="O11" s="3">
        <f>O9/6</f>
        <v>230.53333333333333</v>
      </c>
      <c r="P11" s="2">
        <f>P9/6</f>
        <v>96.012269841851435</v>
      </c>
      <c r="Q11" s="2">
        <f>Q9/6</f>
        <v>70.120160861336558</v>
      </c>
    </row>
    <row r="12" spans="1:17" x14ac:dyDescent="0.25">
      <c r="A12" s="10" t="s">
        <v>50</v>
      </c>
      <c r="B12" s="2">
        <f>10/B11</f>
        <v>8.5470085470085468</v>
      </c>
    </row>
    <row r="13" spans="1:17" x14ac:dyDescent="0.25">
      <c r="A13" s="10" t="s">
        <v>51</v>
      </c>
      <c r="B13" s="2">
        <f>100/B11</f>
        <v>85.470085470085479</v>
      </c>
    </row>
    <row r="15" spans="1:17" x14ac:dyDescent="0.25">
      <c r="A15" s="10" t="s">
        <v>72</v>
      </c>
      <c r="B15" s="2">
        <f>7*O11+7*P11+5*Q11</f>
        <v>2636.420026532976</v>
      </c>
    </row>
    <row r="16" spans="1:17" x14ac:dyDescent="0.25">
      <c r="A16" s="11" t="s">
        <v>73</v>
      </c>
      <c r="B16" s="2">
        <f>B15*B11</f>
        <v>3084.6114310435819</v>
      </c>
    </row>
    <row r="17" spans="1:3" x14ac:dyDescent="0.25">
      <c r="A17" s="10" t="s">
        <v>74</v>
      </c>
      <c r="B17" s="2">
        <f>NEDL_Business_Indicator!B22</f>
        <v>5775.5684999999994</v>
      </c>
    </row>
    <row r="18" spans="1:3" x14ac:dyDescent="0.25">
      <c r="A18" s="10" t="s">
        <v>54</v>
      </c>
      <c r="B18" s="6">
        <f>LN(EXP(1) - 1 + B16/B17)</f>
        <v>0.81197904484517003</v>
      </c>
    </row>
    <row r="19" spans="1:3" x14ac:dyDescent="0.25">
      <c r="A19" s="10" t="s">
        <v>57</v>
      </c>
      <c r="B19" s="2">
        <f>110 + (B17 - 110)*B18</f>
        <v>4710.3228991348824</v>
      </c>
    </row>
    <row r="20" spans="1:3" x14ac:dyDescent="0.25">
      <c r="A20" s="10" t="s">
        <v>58</v>
      </c>
      <c r="B20" s="2">
        <f>B19/1.15</f>
        <v>4095.9329557694632</v>
      </c>
    </row>
    <row r="21" spans="1:3" x14ac:dyDescent="0.25">
      <c r="A21" s="10" t="s">
        <v>59</v>
      </c>
      <c r="B21" s="10">
        <v>3277</v>
      </c>
    </row>
    <row r="23" spans="1:3" x14ac:dyDescent="0.25">
      <c r="A23" s="10" t="s">
        <v>63</v>
      </c>
      <c r="B23" s="2">
        <v>2</v>
      </c>
    </row>
    <row r="24" spans="1:3" x14ac:dyDescent="0.25">
      <c r="A24" s="10" t="s">
        <v>64</v>
      </c>
      <c r="B24" s="6">
        <f>(B23*B15 + (B23-1)*B17)/(B15 + (2*B23 - 2)*B17)</f>
        <v>0.77873932294359627</v>
      </c>
      <c r="C24" t="s">
        <v>60</v>
      </c>
    </row>
    <row r="25" spans="1:3" x14ac:dyDescent="0.25">
      <c r="A25" s="10" t="s">
        <v>57</v>
      </c>
      <c r="B25" s="2">
        <f>110 + (B17 - 110)*B24</f>
        <v>4522.0009777805662</v>
      </c>
    </row>
    <row r="26" spans="1:3" x14ac:dyDescent="0.25">
      <c r="A26" s="10" t="s">
        <v>58</v>
      </c>
      <c r="B26" s="2">
        <f>B25/B11</f>
        <v>3864.958100667151</v>
      </c>
    </row>
    <row r="29" spans="1:3" x14ac:dyDescent="0.25">
      <c r="C29" t="s">
        <v>62</v>
      </c>
    </row>
  </sheetData>
  <mergeCells count="7">
    <mergeCell ref="A1:A2"/>
    <mergeCell ref="K1:L1"/>
    <mergeCell ref="M1:N1"/>
    <mergeCell ref="F1:G1"/>
    <mergeCell ref="O1:Q1"/>
    <mergeCell ref="B1:E1"/>
    <mergeCell ref="I1:J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NEDL_Business_Indicator</vt:lpstr>
      <vt:lpstr>NEDL_Internal_Loss_Multiplier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 Shanaev</dc:creator>
  <cp:lastModifiedBy>HP</cp:lastModifiedBy>
  <dcterms:created xsi:type="dcterms:W3CDTF">2020-03-06T14:01:24Z</dcterms:created>
  <dcterms:modified xsi:type="dcterms:W3CDTF">2021-04-22T15:39:24Z</dcterms:modified>
</cp:coreProperties>
</file>