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tt/Dropbox/My Mac (WLA-MBP.local)/Documents/repos/StageLP-WSOP/data/"/>
    </mc:Choice>
  </mc:AlternateContent>
  <xr:revisionPtr revIDLastSave="0" documentId="13_ncr:1_{E76EF2CB-83FC-0548-8DD1-5BF739D8C450}" xr6:coauthVersionLast="46" xr6:coauthVersionMax="46" xr10:uidLastSave="{00000000-0000-0000-0000-000000000000}"/>
  <bookViews>
    <workbookView xWindow="8000" yWindow="540" windowWidth="30400" windowHeight="23500" xr2:uid="{2EE1E68C-00F5-244C-9F08-38694E87EB54}"/>
  </bookViews>
  <sheets>
    <sheet name="Shortage Distributions" sheetId="4" r:id="rId1"/>
    <sheet name="Results_Raw" sheetId="9" r:id="rId2"/>
    <sheet name="Results_Volume" sheetId="11" r:id="rId3"/>
    <sheet name="Results_Cost" sheetId="10" r:id="rId4"/>
    <sheet name="Low" sheetId="8" r:id="rId5"/>
    <sheet name="Mid" sheetId="1" r:id="rId6"/>
    <sheet name="High" sheetId="7" r:id="rId7"/>
    <sheet name="Actions" sheetId="2" r:id="rId8"/>
    <sheet name="Shortage WTP" sheetId="13" r:id="rId9"/>
  </sheets>
  <definedNames>
    <definedName name="_xlchart.v1.0" hidden="1">Results_Volume!#REF!</definedName>
    <definedName name="_xlchart.v1.1" hidden="1">Results_Volume!$B$16:$C$18</definedName>
    <definedName name="_xlchart.v1.10" hidden="1">Results_Volume!$D$4</definedName>
    <definedName name="_xlchart.v1.11" hidden="1">Results_Volume!$E$16:$E$18</definedName>
    <definedName name="_xlchart.v1.12" hidden="1">Results_Volume!$E$4</definedName>
    <definedName name="_xlchart.v1.13" hidden="1">Results_Volume!$F$4</definedName>
    <definedName name="_xlchart.v1.14" hidden="1">'Shortage WTP'!$A$2:$A$7</definedName>
    <definedName name="_xlchart.v1.15" hidden="1">'Shortage WTP'!$B$1</definedName>
    <definedName name="_xlchart.v1.16" hidden="1">'Shortage WTP'!$B$2:$B$7</definedName>
    <definedName name="_xlchart.v1.17" hidden="1">'Shortage WTP'!$A$2:$A$7</definedName>
    <definedName name="_xlchart.v1.18" hidden="1">'Shortage WTP'!$B$1</definedName>
    <definedName name="_xlchart.v1.19" hidden="1">'Shortage WTP'!$B$2:$B$7</definedName>
    <definedName name="_xlchart.v1.2" hidden="1">Results_Volume!$D$16:$D$18</definedName>
    <definedName name="_xlchart.v1.20" hidden="1">'Shortage WTP'!$A$2:$A$7</definedName>
    <definedName name="_xlchart.v1.21" hidden="1">'Shortage WTP'!$B$1</definedName>
    <definedName name="_xlchart.v1.22" hidden="1">'Shortage WTP'!$B$2:$B$7</definedName>
    <definedName name="_xlchart.v1.23" hidden="1">'Shortage WTP'!$A$2:$A$7</definedName>
    <definedName name="_xlchart.v1.24" hidden="1">'Shortage WTP'!$B$1</definedName>
    <definedName name="_xlchart.v1.25" hidden="1">'Shortage WTP'!$B$2:$B$7</definedName>
    <definedName name="_xlchart.v1.3" hidden="1">Results_Volume!$D$4</definedName>
    <definedName name="_xlchart.v1.4" hidden="1">Results_Volume!$E$16:$E$18</definedName>
    <definedName name="_xlchart.v1.5" hidden="1">Results_Volume!$E$4</definedName>
    <definedName name="_xlchart.v1.6" hidden="1">Results_Volume!$F$4</definedName>
    <definedName name="_xlchart.v1.7" hidden="1">Results_Volume!#REF!</definedName>
    <definedName name="_xlchart.v1.8" hidden="1">Results_Volume!$B$16:$C$18</definedName>
    <definedName name="_xlchart.v1.9" hidden="1">Results_Volume!$D$16:$D$18</definedName>
    <definedName name="EX_OPTION_ci">Actions!$B$25</definedName>
    <definedName name="EX_OPTION_qf">Actions!#REF!</definedName>
    <definedName name="L_DESAL_ci">Actions!$C$7</definedName>
    <definedName name="L_DESAL_exp_ci">Actions!$C$18</definedName>
    <definedName name="L_DESAL_qf">Actions!$D$7</definedName>
    <definedName name="L_GW_ci">Actions!$C$9</definedName>
    <definedName name="L_GW_qf">Actions!$D$9</definedName>
    <definedName name="L_GWR_ci">Actions!$C$9</definedName>
    <definedName name="L_GWR_exp_ci">Actions!$C$20</definedName>
    <definedName name="L_REC_ci">Actions!$C$5</definedName>
    <definedName name="L_REC_exp_ci">Actions!$C$16</definedName>
    <definedName name="L_REC_qf">Actions!$D$5</definedName>
    <definedName name="LS_RESTRICT_ci">Actions!$B$24</definedName>
    <definedName name="LS_RESTRICT_qf">Actions!#REF!</definedName>
    <definedName name="LS_RETRO_ci">Actions!$C$2</definedName>
    <definedName name="LS_RETRO_exp_ci">Actions!$C$13</definedName>
    <definedName name="LS_RETRO_qf">Actions!$D$2</definedName>
    <definedName name="OPTION_ci">Actions!$C$3</definedName>
    <definedName name="OPTION_exp_ci">Actions!$C$14</definedName>
    <definedName name="OPTION_qf">Actions!$D$3</definedName>
    <definedName name="S_DESAL_ci">Actions!$C$6</definedName>
    <definedName name="S_DESAL_exp_ci">Actions!$C$17</definedName>
    <definedName name="S_DESAL_qf">Actions!$D$6</definedName>
    <definedName name="S_GWR_ci">Actions!$C$8</definedName>
    <definedName name="S_GWR_exp_ci">Actions!$C$19</definedName>
    <definedName name="S_GWR_qf">Actions!$D$8</definedName>
    <definedName name="S_REC_ci">Actions!$C$4</definedName>
    <definedName name="S_REC_exp_ci">Actions!$C$15</definedName>
    <definedName name="S_REC_qf">Actions!$D$4</definedName>
    <definedName name="SPOT_ci">Actions!$B$27</definedName>
    <definedName name="SPOT_qf">Actions!#REF!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4" i="10" l="1"/>
  <c r="K103" i="10"/>
  <c r="K102" i="10"/>
  <c r="K101" i="10"/>
  <c r="K100" i="10"/>
  <c r="K99" i="10"/>
  <c r="K98" i="10"/>
  <c r="K97" i="10"/>
  <c r="K36" i="10"/>
  <c r="K35" i="10"/>
  <c r="K34" i="10"/>
  <c r="K33" i="10"/>
  <c r="K32" i="10"/>
  <c r="K31" i="10"/>
  <c r="R5" i="10" s="1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L9" i="11"/>
  <c r="L10" i="11"/>
  <c r="L11" i="11"/>
  <c r="L12" i="11"/>
  <c r="L13" i="11"/>
  <c r="L30" i="11"/>
  <c r="K7" i="10"/>
  <c r="K6" i="10"/>
  <c r="K5" i="10"/>
  <c r="Q5" i="10" s="1"/>
  <c r="P5" i="10" l="1"/>
  <c r="S5" i="10"/>
  <c r="AJ25" i="11" l="1"/>
  <c r="AI25" i="11"/>
  <c r="AG25" i="11"/>
  <c r="AG24" i="11"/>
  <c r="Y20" i="11"/>
  <c r="Z20" i="11"/>
  <c r="AA20" i="11"/>
  <c r="AB20" i="11"/>
  <c r="AD20" i="11"/>
  <c r="AE20" i="11"/>
  <c r="Y21" i="11"/>
  <c r="Z21" i="11"/>
  <c r="AA21" i="11"/>
  <c r="AB21" i="11"/>
  <c r="Y22" i="11"/>
  <c r="Z22" i="11"/>
  <c r="AA22" i="11"/>
  <c r="AB22" i="11"/>
  <c r="AE22" i="11"/>
  <c r="Y23" i="11"/>
  <c r="Z23" i="11"/>
  <c r="AA23" i="11"/>
  <c r="AB23" i="11"/>
  <c r="AE23" i="11"/>
  <c r="Y24" i="11"/>
  <c r="Z24" i="11"/>
  <c r="AA24" i="11"/>
  <c r="AB24" i="11"/>
  <c r="AD24" i="11"/>
  <c r="Y25" i="11"/>
  <c r="Z25" i="11"/>
  <c r="AA25" i="11"/>
  <c r="AB25" i="11"/>
  <c r="AE25" i="11"/>
  <c r="AB19" i="11"/>
  <c r="AA19" i="11"/>
  <c r="Y19" i="11"/>
  <c r="Z19" i="11"/>
  <c r="L29" i="11"/>
  <c r="Q6" i="11"/>
  <c r="R6" i="11"/>
  <c r="S6" i="11"/>
  <c r="T6" i="11"/>
  <c r="U6" i="11"/>
  <c r="V6" i="11"/>
  <c r="W6" i="11"/>
  <c r="X6" i="11"/>
  <c r="Q7" i="11"/>
  <c r="R7" i="11"/>
  <c r="S7" i="11"/>
  <c r="T7" i="11"/>
  <c r="U7" i="11"/>
  <c r="V7" i="11"/>
  <c r="W7" i="11"/>
  <c r="X7" i="11"/>
  <c r="Q8" i="11"/>
  <c r="R8" i="11"/>
  <c r="S8" i="11"/>
  <c r="T8" i="11"/>
  <c r="U8" i="11"/>
  <c r="V8" i="11"/>
  <c r="W8" i="11"/>
  <c r="X8" i="11"/>
  <c r="Q9" i="11"/>
  <c r="R9" i="11"/>
  <c r="S9" i="11"/>
  <c r="T9" i="11"/>
  <c r="U9" i="11"/>
  <c r="V9" i="11"/>
  <c r="W9" i="11"/>
  <c r="X9" i="11"/>
  <c r="Q10" i="11"/>
  <c r="R10" i="11"/>
  <c r="S10" i="11"/>
  <c r="T10" i="11"/>
  <c r="U10" i="11"/>
  <c r="V10" i="11"/>
  <c r="W10" i="11"/>
  <c r="X10" i="11"/>
  <c r="Q11" i="11"/>
  <c r="R11" i="11"/>
  <c r="S11" i="11"/>
  <c r="T11" i="11"/>
  <c r="U11" i="11"/>
  <c r="V11" i="11"/>
  <c r="W11" i="11"/>
  <c r="X11" i="11"/>
  <c r="Q12" i="11"/>
  <c r="R12" i="11"/>
  <c r="S12" i="11"/>
  <c r="T12" i="11"/>
  <c r="U12" i="11"/>
  <c r="V12" i="11"/>
  <c r="W12" i="11"/>
  <c r="X12" i="11"/>
  <c r="Q13" i="11"/>
  <c r="R13" i="11"/>
  <c r="S13" i="11"/>
  <c r="T13" i="11"/>
  <c r="U13" i="11"/>
  <c r="V13" i="11"/>
  <c r="W13" i="11"/>
  <c r="X13" i="11"/>
  <c r="Q14" i="11"/>
  <c r="R14" i="11"/>
  <c r="S14" i="11"/>
  <c r="T14" i="11"/>
  <c r="U14" i="11"/>
  <c r="V14" i="11"/>
  <c r="W14" i="11"/>
  <c r="X14" i="11"/>
  <c r="Q15" i="11"/>
  <c r="R15" i="11"/>
  <c r="S15" i="11"/>
  <c r="T15" i="11"/>
  <c r="U15" i="11"/>
  <c r="V15" i="11"/>
  <c r="W15" i="11"/>
  <c r="X15" i="11"/>
  <c r="Q16" i="11"/>
  <c r="R16" i="11"/>
  <c r="S16" i="11"/>
  <c r="T16" i="11"/>
  <c r="U16" i="11"/>
  <c r="V16" i="11"/>
  <c r="W16" i="11"/>
  <c r="X16" i="11"/>
  <c r="Q17" i="11"/>
  <c r="R17" i="11"/>
  <c r="S17" i="11"/>
  <c r="T17" i="11"/>
  <c r="U17" i="11"/>
  <c r="V17" i="11"/>
  <c r="W17" i="11"/>
  <c r="X17" i="11"/>
  <c r="Q18" i="11"/>
  <c r="R18" i="11"/>
  <c r="S18" i="11"/>
  <c r="T18" i="11"/>
  <c r="U18" i="11"/>
  <c r="V18" i="11"/>
  <c r="W18" i="11"/>
  <c r="X18" i="11"/>
  <c r="Q19" i="11"/>
  <c r="R19" i="11"/>
  <c r="S19" i="11"/>
  <c r="T19" i="11"/>
  <c r="U19" i="11"/>
  <c r="V19" i="11"/>
  <c r="W19" i="11"/>
  <c r="X19" i="11"/>
  <c r="Q20" i="11"/>
  <c r="R20" i="11"/>
  <c r="S20" i="11"/>
  <c r="T20" i="11"/>
  <c r="U20" i="11"/>
  <c r="V20" i="11"/>
  <c r="W20" i="11"/>
  <c r="X20" i="11"/>
  <c r="Q21" i="11"/>
  <c r="R21" i="11"/>
  <c r="S21" i="11"/>
  <c r="T21" i="11"/>
  <c r="U21" i="11"/>
  <c r="V21" i="11"/>
  <c r="W21" i="11"/>
  <c r="X21" i="11"/>
  <c r="Q22" i="11"/>
  <c r="R22" i="11"/>
  <c r="S22" i="11"/>
  <c r="T22" i="11"/>
  <c r="U22" i="11"/>
  <c r="V22" i="11"/>
  <c r="W22" i="11"/>
  <c r="X22" i="11"/>
  <c r="Q23" i="11"/>
  <c r="R23" i="11"/>
  <c r="S23" i="11"/>
  <c r="T23" i="11"/>
  <c r="U23" i="11"/>
  <c r="V23" i="11"/>
  <c r="W23" i="11"/>
  <c r="X23" i="11"/>
  <c r="Q24" i="11"/>
  <c r="R24" i="11"/>
  <c r="S24" i="11"/>
  <c r="T24" i="11"/>
  <c r="U24" i="11"/>
  <c r="V24" i="11"/>
  <c r="W24" i="11"/>
  <c r="X24" i="11"/>
  <c r="Q25" i="11"/>
  <c r="R25" i="11"/>
  <c r="S25" i="11"/>
  <c r="T25" i="11"/>
  <c r="U25" i="11"/>
  <c r="V25" i="11"/>
  <c r="W25" i="11"/>
  <c r="X25" i="11"/>
  <c r="X5" i="11"/>
  <c r="W5" i="11"/>
  <c r="V5" i="11"/>
  <c r="U5" i="11"/>
  <c r="T5" i="11"/>
  <c r="S5" i="11"/>
  <c r="R5" i="11"/>
  <c r="Q5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36" i="11"/>
  <c r="AF23" i="11" s="1"/>
  <c r="L35" i="11"/>
  <c r="AE19" i="11" s="1"/>
  <c r="L34" i="11"/>
  <c r="AD23" i="11" s="1"/>
  <c r="L33" i="11"/>
  <c r="AC23" i="11" s="1"/>
  <c r="L32" i="11"/>
  <c r="L31" i="11"/>
  <c r="L8" i="11"/>
  <c r="L7" i="11"/>
  <c r="L6" i="11"/>
  <c r="L5" i="11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C42" i="10" s="1"/>
  <c r="E22" i="10"/>
  <c r="E21" i="10"/>
  <c r="E20" i="10"/>
  <c r="E19" i="10"/>
  <c r="E16" i="10"/>
  <c r="E17" i="10"/>
  <c r="E18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6" i="11"/>
  <c r="E6" i="11"/>
  <c r="D6" i="11"/>
  <c r="F12" i="10"/>
  <c r="F11" i="10"/>
  <c r="F10" i="10"/>
  <c r="F9" i="10"/>
  <c r="F8" i="10"/>
  <c r="F7" i="10"/>
  <c r="F6" i="10"/>
  <c r="F5" i="10"/>
  <c r="D40" i="10" s="1"/>
  <c r="E12" i="10"/>
  <c r="E11" i="10"/>
  <c r="E10" i="10"/>
  <c r="E9" i="10"/>
  <c r="E8" i="10"/>
  <c r="E7" i="10"/>
  <c r="E6" i="10"/>
  <c r="E5" i="10"/>
  <c r="D12" i="10"/>
  <c r="D11" i="10"/>
  <c r="D10" i="10"/>
  <c r="D9" i="10"/>
  <c r="D8" i="10"/>
  <c r="D7" i="10"/>
  <c r="D6" i="10"/>
  <c r="D5" i="10"/>
  <c r="B40" i="10" s="1"/>
  <c r="F8" i="11"/>
  <c r="F12" i="11"/>
  <c r="F10" i="11"/>
  <c r="F7" i="11"/>
  <c r="F11" i="11"/>
  <c r="F9" i="11"/>
  <c r="F5" i="11"/>
  <c r="E16" i="11"/>
  <c r="E18" i="11"/>
  <c r="E20" i="11"/>
  <c r="E19" i="11"/>
  <c r="E21" i="11"/>
  <c r="E23" i="11"/>
  <c r="E22" i="11"/>
  <c r="E24" i="11"/>
  <c r="E26" i="11"/>
  <c r="E25" i="11"/>
  <c r="E27" i="11"/>
  <c r="E29" i="11"/>
  <c r="E28" i="11"/>
  <c r="E30" i="11"/>
  <c r="E32" i="11"/>
  <c r="E31" i="11"/>
  <c r="E33" i="11"/>
  <c r="E35" i="11"/>
  <c r="E34" i="11"/>
  <c r="E36" i="11"/>
  <c r="E17" i="11"/>
  <c r="D16" i="11"/>
  <c r="D18" i="11"/>
  <c r="D20" i="11"/>
  <c r="D19" i="11"/>
  <c r="D21" i="11"/>
  <c r="D23" i="11"/>
  <c r="D22" i="11"/>
  <c r="D24" i="11"/>
  <c r="D26" i="11"/>
  <c r="D25" i="11"/>
  <c r="D27" i="11"/>
  <c r="D29" i="11"/>
  <c r="D28" i="11"/>
  <c r="D30" i="11"/>
  <c r="D32" i="11"/>
  <c r="D31" i="11"/>
  <c r="D33" i="11"/>
  <c r="D35" i="11"/>
  <c r="D34" i="11"/>
  <c r="D36" i="11"/>
  <c r="D17" i="11"/>
  <c r="D12" i="11"/>
  <c r="D8" i="11"/>
  <c r="D10" i="11"/>
  <c r="D7" i="11"/>
  <c r="D11" i="11"/>
  <c r="D9" i="11"/>
  <c r="D5" i="11"/>
  <c r="C2" i="2"/>
  <c r="F2" i="2"/>
  <c r="F3" i="2"/>
  <c r="F10" i="2" s="1"/>
  <c r="C4" i="2"/>
  <c r="F4" i="2"/>
  <c r="E15" i="2" s="1"/>
  <c r="C5" i="2"/>
  <c r="F5" i="2"/>
  <c r="E16" i="2" s="1"/>
  <c r="C6" i="2"/>
  <c r="F6" i="2"/>
  <c r="E17" i="2" s="1"/>
  <c r="C7" i="2"/>
  <c r="F7" i="2"/>
  <c r="E18" i="2" s="1"/>
  <c r="C8" i="2"/>
  <c r="F8" i="2"/>
  <c r="E19" i="2" s="1"/>
  <c r="C9" i="2"/>
  <c r="F9" i="2"/>
  <c r="E20" i="2" s="1"/>
  <c r="E14" i="2"/>
  <c r="C20" i="2"/>
  <c r="C13" i="2"/>
  <c r="C14" i="2"/>
  <c r="C16" i="2"/>
  <c r="C17" i="2"/>
  <c r="C18" i="2"/>
  <c r="C19" i="2"/>
  <c r="C15" i="2"/>
  <c r="E9" i="11"/>
  <c r="E8" i="11"/>
  <c r="E12" i="11"/>
  <c r="E10" i="11"/>
  <c r="E7" i="11"/>
  <c r="E11" i="11"/>
  <c r="E5" i="11"/>
  <c r="H10" i="4"/>
  <c r="I3" i="4" a="1"/>
  <c r="I3" i="4" s="1"/>
  <c r="J3" i="4" s="1"/>
  <c r="I4" i="4" a="1"/>
  <c r="I4" i="4" s="1"/>
  <c r="J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J10" i="4" s="1"/>
  <c r="H6" i="4"/>
  <c r="H5" i="4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F4" i="7"/>
  <c r="B76" i="7" s="1"/>
  <c r="B75" i="7" s="1"/>
  <c r="B74" i="7" s="1"/>
  <c r="B73" i="7" s="1"/>
  <c r="B72" i="7" s="1"/>
  <c r="B71" i="7" s="1"/>
  <c r="B70" i="7" s="1"/>
  <c r="B69" i="7" s="1"/>
  <c r="B68" i="7" s="1"/>
  <c r="B67" i="7" s="1"/>
  <c r="B66" i="7" s="1"/>
  <c r="B65" i="7" s="1"/>
  <c r="B64" i="7" s="1"/>
  <c r="B63" i="7" s="1"/>
  <c r="B62" i="7" s="1"/>
  <c r="B61" i="7" s="1"/>
  <c r="B60" i="7" s="1"/>
  <c r="B59" i="7" s="1"/>
  <c r="B58" i="7" s="1"/>
  <c r="B57" i="7" s="1"/>
  <c r="B56" i="7" s="1"/>
  <c r="B55" i="7" s="1"/>
  <c r="B54" i="7" s="1"/>
  <c r="B53" i="7" s="1"/>
  <c r="B52" i="7" s="1"/>
  <c r="B51" i="7" s="1"/>
  <c r="B50" i="7" s="1"/>
  <c r="B49" i="7" s="1"/>
  <c r="B48" i="7" s="1"/>
  <c r="B47" i="7" s="1"/>
  <c r="B46" i="7" s="1"/>
  <c r="B45" i="7" s="1"/>
  <c r="B44" i="7" s="1"/>
  <c r="B43" i="7" s="1"/>
  <c r="B42" i="7" s="1"/>
  <c r="B41" i="7" s="1"/>
  <c r="B40" i="7" s="1"/>
  <c r="B39" i="7" s="1"/>
  <c r="B38" i="7" s="1"/>
  <c r="B37" i="7" s="1"/>
  <c r="B36" i="7" s="1"/>
  <c r="B35" i="7" s="1"/>
  <c r="B34" i="7" s="1"/>
  <c r="B33" i="7" s="1"/>
  <c r="B32" i="7" s="1"/>
  <c r="B31" i="7" s="1"/>
  <c r="B30" i="7" s="1"/>
  <c r="B29" i="7" s="1"/>
  <c r="B28" i="7" s="1"/>
  <c r="B27" i="7" s="1"/>
  <c r="B26" i="7" s="1"/>
  <c r="B25" i="7" s="1"/>
  <c r="B24" i="7" s="1"/>
  <c r="B23" i="7" s="1"/>
  <c r="B22" i="7" s="1"/>
  <c r="B21" i="7" s="1"/>
  <c r="B20" i="7" s="1"/>
  <c r="B19" i="7" s="1"/>
  <c r="B18" i="7" s="1"/>
  <c r="B17" i="7" s="1"/>
  <c r="B16" i="7" s="1"/>
  <c r="B15" i="7" s="1"/>
  <c r="B14" i="7" s="1"/>
  <c r="B13" i="7" s="1"/>
  <c r="B12" i="7" s="1"/>
  <c r="B11" i="7" s="1"/>
  <c r="B10" i="7" s="1"/>
  <c r="B9" i="7" s="1"/>
  <c r="B8" i="7" s="1"/>
  <c r="B7" i="7" s="1"/>
  <c r="B6" i="7" s="1"/>
  <c r="B5" i="7" s="1"/>
  <c r="B4" i="7" s="1"/>
  <c r="B3" i="7" s="1"/>
  <c r="F5" i="7"/>
  <c r="F2" i="7"/>
  <c r="F3" i="7"/>
  <c r="B100" i="7"/>
  <c r="B99" i="7" s="1"/>
  <c r="B98" i="7" s="1"/>
  <c r="B97" i="7" s="1"/>
  <c r="B96" i="7" s="1"/>
  <c r="B95" i="7" s="1"/>
  <c r="B94" i="7" s="1"/>
  <c r="B93" i="7" s="1"/>
  <c r="B92" i="7" s="1"/>
  <c r="B91" i="7" s="1"/>
  <c r="B90" i="7" s="1"/>
  <c r="B89" i="7" s="1"/>
  <c r="B88" i="7" s="1"/>
  <c r="B87" i="7" s="1"/>
  <c r="B86" i="7" s="1"/>
  <c r="B85" i="7" s="1"/>
  <c r="B84" i="7" s="1"/>
  <c r="B83" i="7" s="1"/>
  <c r="B82" i="7" s="1"/>
  <c r="B81" i="7" s="1"/>
  <c r="B80" i="7" s="1"/>
  <c r="B79" i="7" s="1"/>
  <c r="B78" i="7" s="1"/>
  <c r="B77" i="7" s="1"/>
  <c r="E4" i="4" a="1"/>
  <c r="E4" i="4"/>
  <c r="E5" i="4" a="1"/>
  <c r="E5" i="4" s="1"/>
  <c r="E6" i="4" a="1"/>
  <c r="E6" i="4" s="1"/>
  <c r="E7" i="4" a="1"/>
  <c r="E7" i="4" s="1"/>
  <c r="E8" i="4" a="1"/>
  <c r="E8" i="4" s="1"/>
  <c r="E9" i="4" a="1"/>
  <c r="E9" i="4" s="1"/>
  <c r="E3" i="4" a="1"/>
  <c r="E3" i="4" s="1"/>
  <c r="C86" i="8"/>
  <c r="C3" i="8"/>
  <c r="C45" i="8"/>
  <c r="C61" i="8"/>
  <c r="B17" i="8"/>
  <c r="B16" i="8" s="1"/>
  <c r="B15" i="8" s="1"/>
  <c r="B14" i="8" s="1"/>
  <c r="B13" i="8" s="1"/>
  <c r="B12" i="8" s="1"/>
  <c r="B11" i="8" s="1"/>
  <c r="B10" i="8" s="1"/>
  <c r="B9" i="8" s="1"/>
  <c r="B8" i="8" s="1"/>
  <c r="B7" i="8" s="1"/>
  <c r="B6" i="8" s="1"/>
  <c r="B5" i="8" s="1"/>
  <c r="B4" i="8" s="1"/>
  <c r="B3" i="8" s="1"/>
  <c r="E2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E4" i="7"/>
  <c r="C4" i="7"/>
  <c r="E3" i="7"/>
  <c r="C3" i="7"/>
  <c r="E2" i="7"/>
  <c r="C9" i="4"/>
  <c r="C8" i="4" s="1"/>
  <c r="C3" i="1"/>
  <c r="Q6" i="10" l="1"/>
  <c r="Q8" i="10"/>
  <c r="C41" i="10"/>
  <c r="D41" i="10"/>
  <c r="C40" i="10"/>
  <c r="D43" i="10"/>
  <c r="B41" i="10"/>
  <c r="AC21" i="11"/>
  <c r="AD25" i="11"/>
  <c r="AE24" i="11"/>
  <c r="AE21" i="11"/>
  <c r="AF19" i="11"/>
  <c r="AF25" i="11"/>
  <c r="AF20" i="11"/>
  <c r="AF22" i="11"/>
  <c r="AF24" i="11"/>
  <c r="AF21" i="11"/>
  <c r="AD22" i="11"/>
  <c r="AD19" i="11"/>
  <c r="AD21" i="11"/>
  <c r="AC24" i="11"/>
  <c r="AC20" i="11"/>
  <c r="AC19" i="11"/>
  <c r="AC25" i="11"/>
  <c r="AC22" i="11"/>
  <c r="B42" i="10"/>
  <c r="C43" i="10"/>
  <c r="B43" i="10"/>
  <c r="D42" i="10"/>
  <c r="F3" i="11"/>
  <c r="D3" i="11"/>
  <c r="E3" i="11"/>
  <c r="D2" i="11"/>
  <c r="F2" i="11"/>
  <c r="E2" i="11"/>
  <c r="C28" i="2"/>
  <c r="J5" i="4"/>
  <c r="J8" i="4"/>
  <c r="J9" i="4"/>
  <c r="J6" i="4"/>
  <c r="J7" i="4"/>
  <c r="D8" i="4"/>
  <c r="C7" i="4"/>
  <c r="D9" i="4"/>
  <c r="E13" i="2"/>
  <c r="E2" i="1"/>
  <c r="E3" i="1"/>
  <c r="B58" i="1"/>
  <c r="B57" i="1" s="1"/>
  <c r="B56" i="1" s="1"/>
  <c r="B55" i="1" s="1"/>
  <c r="B54" i="1" s="1"/>
  <c r="B53" i="1" s="1"/>
  <c r="B52" i="1" s="1"/>
  <c r="B51" i="1" s="1"/>
  <c r="B50" i="1" s="1"/>
  <c r="B49" i="1" s="1"/>
  <c r="B48" i="1" s="1"/>
  <c r="B47" i="1" s="1"/>
  <c r="B46" i="1" s="1"/>
  <c r="B45" i="1" s="1"/>
  <c r="B44" i="1" s="1"/>
  <c r="B43" i="1" s="1"/>
  <c r="B42" i="1" s="1"/>
  <c r="B41" i="1" s="1"/>
  <c r="B40" i="1" s="1"/>
  <c r="B39" i="1" s="1"/>
  <c r="B38" i="1" s="1"/>
  <c r="B37" i="1" s="1"/>
  <c r="B36" i="1" s="1"/>
  <c r="B35" i="1" s="1"/>
  <c r="B34" i="1" s="1"/>
  <c r="B33" i="1" s="1"/>
  <c r="B32" i="1" s="1"/>
  <c r="B31" i="1" s="1"/>
  <c r="B30" i="1" s="1"/>
  <c r="B29" i="1" s="1"/>
  <c r="B28" i="1" s="1"/>
  <c r="B27" i="1" s="1"/>
  <c r="B26" i="1" s="1"/>
  <c r="B25" i="1" s="1"/>
  <c r="B24" i="1" s="1"/>
  <c r="B23" i="1" s="1"/>
  <c r="B22" i="1" s="1"/>
  <c r="B21" i="1" s="1"/>
  <c r="B20" i="1" s="1"/>
  <c r="B19" i="1" s="1"/>
  <c r="B18" i="1" s="1"/>
  <c r="B17" i="1" s="1"/>
  <c r="E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B39" i="10" l="1"/>
  <c r="P8" i="10" s="1"/>
  <c r="S7" i="10"/>
  <c r="Q7" i="10"/>
  <c r="C39" i="10"/>
  <c r="P7" i="10" s="1"/>
  <c r="S6" i="10"/>
  <c r="S8" i="10"/>
  <c r="D39" i="10"/>
  <c r="P6" i="10" s="1"/>
  <c r="E21" i="2"/>
  <c r="D1" i="11"/>
  <c r="F1" i="11"/>
  <c r="E1" i="11"/>
  <c r="C6" i="4"/>
  <c r="D7" i="4"/>
  <c r="B16" i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4" i="1" s="1"/>
  <c r="B3" i="1" s="1"/>
  <c r="H9" i="4" l="1"/>
  <c r="F10" i="4"/>
  <c r="H8" i="4"/>
  <c r="D6" i="4"/>
  <c r="C5" i="4"/>
  <c r="F9" i="4" l="1"/>
  <c r="C4" i="4"/>
  <c r="D5" i="4"/>
  <c r="H7" i="4"/>
  <c r="F8" i="4"/>
  <c r="F7" i="4" l="1"/>
  <c r="D4" i="4"/>
  <c r="C3" i="4"/>
  <c r="D3" i="4" s="1"/>
  <c r="H3" i="4" l="1"/>
  <c r="F3" i="4"/>
  <c r="F4" i="4"/>
  <c r="H4" i="4"/>
  <c r="F6" i="4"/>
  <c r="F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<sst xmlns="http://schemas.openxmlformats.org/spreadsheetml/2006/main" count="1461" uniqueCount="151">
  <si>
    <t>Sh</t>
  </si>
  <si>
    <t>Rank</t>
  </si>
  <si>
    <t>P (r+1/n+2)</t>
  </si>
  <si>
    <t>&lt;=0</t>
  </si>
  <si>
    <t>f(p)</t>
  </si>
  <si>
    <t>F(p)</t>
  </si>
  <si>
    <t>No Shortage</t>
  </si>
  <si>
    <t>Shortage Level</t>
  </si>
  <si>
    <t>Mid-Point</t>
  </si>
  <si>
    <t>Shortage Discretization</t>
  </si>
  <si>
    <t>Mid</t>
  </si>
  <si>
    <t>High</t>
  </si>
  <si>
    <t>Low</t>
  </si>
  <si>
    <t>Bound (&lt;=)</t>
  </si>
  <si>
    <t>Stage1</t>
  </si>
  <si>
    <t xml:space="preserve"> Root</t>
  </si>
  <si>
    <t xml:space="preserve"> LT_ACTION</t>
  </si>
  <si>
    <t xml:space="preserve"> LS_RETRO</t>
  </si>
  <si>
    <t xml:space="preserve"> L_DESAL</t>
  </si>
  <si>
    <t xml:space="preserve"> L_GWR</t>
  </si>
  <si>
    <t xml:space="preserve"> L_REC</t>
  </si>
  <si>
    <t xml:space="preserve"> OPTION</t>
  </si>
  <si>
    <t xml:space="preserve"> S_DESAL</t>
  </si>
  <si>
    <t xml:space="preserve"> S_GWR</t>
  </si>
  <si>
    <t xml:space="preserve"> S_REC</t>
  </si>
  <si>
    <t>Stage2</t>
  </si>
  <si>
    <t xml:space="preserve"> P1</t>
  </si>
  <si>
    <t xml:space="preserve"> P2</t>
  </si>
  <si>
    <t xml:space="preserve"> P3</t>
  </si>
  <si>
    <t>Stage3</t>
  </si>
  <si>
    <t xml:space="preserve"> NoShortage_P1</t>
  </si>
  <si>
    <t xml:space="preserve"> ST_Q</t>
  </si>
  <si>
    <t xml:space="preserve"> LS_RESTRICT</t>
  </si>
  <si>
    <t xml:space="preserve"> SPOT</t>
  </si>
  <si>
    <t xml:space="preserve"> NoShortage_P2</t>
  </si>
  <si>
    <t xml:space="preserve"> NoShortage_P3</t>
  </si>
  <si>
    <t xml:space="preserve"> S1_P1</t>
  </si>
  <si>
    <t xml:space="preserve"> S1_P2</t>
  </si>
  <si>
    <t xml:space="preserve"> S1_P3</t>
  </si>
  <si>
    <t xml:space="preserve"> S2_P1</t>
  </si>
  <si>
    <t xml:space="preserve"> S2_P2</t>
  </si>
  <si>
    <t xml:space="preserve"> S2_P3</t>
  </si>
  <si>
    <t xml:space="preserve"> S3_P1</t>
  </si>
  <si>
    <t xml:space="preserve"> S3_P2</t>
  </si>
  <si>
    <t xml:space="preserve"> S3_P3</t>
  </si>
  <si>
    <t xml:space="preserve"> S4_P2</t>
  </si>
  <si>
    <t xml:space="preserve"> S4_P3</t>
  </si>
  <si>
    <t xml:space="preserve"> S5_P3</t>
  </si>
  <si>
    <t xml:space="preserve"> S6_P3</t>
  </si>
  <si>
    <t xml:space="preserve"> S7_P3</t>
  </si>
  <si>
    <t>Recycling (S)</t>
  </si>
  <si>
    <t>Recycling (L)</t>
  </si>
  <si>
    <t>Desalination (S)</t>
  </si>
  <si>
    <t>Desalination (L)</t>
  </si>
  <si>
    <t>GW Recovery (S)</t>
  </si>
  <si>
    <t>GW Recovery (L)</t>
  </si>
  <si>
    <t>Landscape Retrofitting</t>
  </si>
  <si>
    <t>Dry Year Option Contracts</t>
  </si>
  <si>
    <t>Landscape Restrictions</t>
  </si>
  <si>
    <t>Spot Market Purchase</t>
  </si>
  <si>
    <t>equal</t>
  </si>
  <si>
    <t>capacity</t>
  </si>
  <si>
    <t>cost</t>
  </si>
  <si>
    <t>Total</t>
  </si>
  <si>
    <t>max(L_i)</t>
  </si>
  <si>
    <t>Cost
($/af)</t>
  </si>
  <si>
    <t>QF_i (AF/L_i)</t>
  </si>
  <si>
    <t>max(AF)</t>
  </si>
  <si>
    <t>Cost Change</t>
  </si>
  <si>
    <t>max(AF)+</t>
  </si>
  <si>
    <t>max(EX_j)</t>
  </si>
  <si>
    <t>C_j ($/AF)</t>
  </si>
  <si>
    <t>C_i ($/L_i)</t>
  </si>
  <si>
    <t>C_k ($/AF)</t>
  </si>
  <si>
    <t>*</t>
  </si>
  <si>
    <t>max(ST_k)</t>
  </si>
  <si>
    <t>Long-Term Measure, L_i</t>
  </si>
  <si>
    <t>Mid-Term Expansion, EX_j</t>
  </si>
  <si>
    <t>Short-Term Measure, ST_k</t>
  </si>
  <si>
    <t>Exercise Early Dry Year Option</t>
  </si>
  <si>
    <t>Exercise Late Dry Year Option</t>
  </si>
  <si>
    <t xml:space="preserve"> MT_EXP</t>
  </si>
  <si>
    <t xml:space="preserve"> EX_LT_OPTION</t>
  </si>
  <si>
    <t xml:space="preserve"> EX_MT_OPTION</t>
  </si>
  <si>
    <t>Stage</t>
  </si>
  <si>
    <t>Node</t>
  </si>
  <si>
    <t>Decision</t>
  </si>
  <si>
    <t>Probability</t>
  </si>
  <si>
    <t> Root</t>
  </si>
  <si>
    <t> LT_ACTION</t>
  </si>
  <si>
    <t> LS_RETRO</t>
  </si>
  <si>
    <t> L_DESAL</t>
  </si>
  <si>
    <t> L_GWR</t>
  </si>
  <si>
    <t> L_REC</t>
  </si>
  <si>
    <t> OPTION</t>
  </si>
  <si>
    <t> S_DESAL</t>
  </si>
  <si>
    <t> S_GWR</t>
  </si>
  <si>
    <t> S_REC</t>
  </si>
  <si>
    <t> NoShortage_P3</t>
  </si>
  <si>
    <t> ST_Q</t>
  </si>
  <si>
    <t> EX_OPTION</t>
  </si>
  <si>
    <t> LS_RESTRICT</t>
  </si>
  <si>
    <t> SPOT</t>
  </si>
  <si>
    <t> S1_P3</t>
  </si>
  <si>
    <t> S2_P3</t>
  </si>
  <si>
    <t> S3_P3</t>
  </si>
  <si>
    <t> S4_P3</t>
  </si>
  <si>
    <t> S5_P3</t>
  </si>
  <si>
    <t> S6_P3</t>
  </si>
  <si>
    <t> S7_P3</t>
  </si>
  <si>
    <t>v-h</t>
  </si>
  <si>
    <t>v-p</t>
  </si>
  <si>
    <t>p-h</t>
  </si>
  <si>
    <t>v-m</t>
  </si>
  <si>
    <t>v-l</t>
  </si>
  <si>
    <t>Med</t>
  </si>
  <si>
    <t>S1</t>
  </si>
  <si>
    <t>S2</t>
  </si>
  <si>
    <t>S3</t>
  </si>
  <si>
    <t>S4</t>
  </si>
  <si>
    <t>S5</t>
  </si>
  <si>
    <t>S6</t>
  </si>
  <si>
    <t>S7</t>
  </si>
  <si>
    <t>MAF</t>
  </si>
  <si>
    <t>EVC</t>
  </si>
  <si>
    <t>First Stage</t>
  </si>
  <si>
    <t>p</t>
  </si>
  <si>
    <t>low-wegihted</t>
  </si>
  <si>
    <t xml:space="preserve"> LS_RETRO_Exp</t>
  </si>
  <si>
    <t xml:space="preserve"> L_DESAL_Exp</t>
  </si>
  <si>
    <t xml:space="preserve"> L_GWR_Exp</t>
  </si>
  <si>
    <t xml:space="preserve"> L_REC_Exp</t>
  </si>
  <si>
    <t xml:space="preserve"> OPTION_Exp</t>
  </si>
  <si>
    <t xml:space="preserve"> S_DESAL_Exp</t>
  </si>
  <si>
    <t xml:space="preserve"> S_GWR_Exp</t>
  </si>
  <si>
    <t xml:space="preserve"> S_REC_Exp</t>
  </si>
  <si>
    <t>3-Stage</t>
  </si>
  <si>
    <t>2-Stage</t>
  </si>
  <si>
    <t>-</t>
  </si>
  <si>
    <t>p(e|k)</t>
  </si>
  <si>
    <t xml:space="preserve"> S3</t>
  </si>
  <si>
    <t xml:space="preserve"> S4</t>
  </si>
  <si>
    <t xml:space="preserve"> S5</t>
  </si>
  <si>
    <t xml:space="preserve"> S6</t>
  </si>
  <si>
    <t xml:space="preserve"> S7</t>
  </si>
  <si>
    <t xml:space="preserve"> No Shortage</t>
  </si>
  <si>
    <t>k</t>
  </si>
  <si>
    <t>e</t>
  </si>
  <si>
    <t>Long-Term</t>
  </si>
  <si>
    <t>Mid-Term Expansion</t>
  </si>
  <si>
    <t>Short-Term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</si>
</sst>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_(&quot;$&quot;* #,##0_);_(&quot;$&quot;* \(#,##0\);_(&quot;$&quot;* &quot;-&quot;??_);_(@_)"/>
    <numFmt numFmtId="167" formatCode="#,##0.000"/>
    <numFmt numFmtId="168" formatCode="#,##0.0"/>
    <numFmt numFmtId="169" formatCode="0.0"/>
    <numFmt numFmtId="178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Menlo"/>
      <family val="2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44" fontId="0" fillId="0" borderId="0" xfId="1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/>
    <xf numFmtId="3" fontId="0" fillId="0" borderId="0" xfId="0" applyNumberFormat="1" applyAlignment="1"/>
    <xf numFmtId="3" fontId="0" fillId="0" borderId="2" xfId="0" applyNumberFormat="1" applyBorder="1" applyAlignment="1"/>
    <xf numFmtId="2" fontId="0" fillId="0" borderId="0" xfId="0" applyNumberFormat="1"/>
    <xf numFmtId="44" fontId="0" fillId="0" borderId="0" xfId="0" applyNumberFormat="1"/>
    <xf numFmtId="2" fontId="0" fillId="0" borderId="0" xfId="1" applyNumberFormat="1" applyFont="1"/>
    <xf numFmtId="166" fontId="0" fillId="0" borderId="0" xfId="1" applyNumberFormat="1" applyFont="1"/>
    <xf numFmtId="3" fontId="0" fillId="0" borderId="0" xfId="0" applyNumberFormat="1"/>
    <xf numFmtId="3" fontId="2" fillId="0" borderId="0" xfId="0" applyNumberFormat="1" applyFont="1"/>
    <xf numFmtId="167" fontId="0" fillId="0" borderId="0" xfId="0" applyNumberFormat="1"/>
    <xf numFmtId="168" fontId="0" fillId="0" borderId="0" xfId="0" applyNumberFormat="1" applyAlignment="1"/>
    <xf numFmtId="168" fontId="0" fillId="0" borderId="2" xfId="0" applyNumberFormat="1" applyBorder="1" applyAlignment="1"/>
    <xf numFmtId="9" fontId="0" fillId="0" borderId="0" xfId="3" applyFont="1" applyAlignment="1"/>
    <xf numFmtId="9" fontId="0" fillId="0" borderId="2" xfId="3" applyFont="1" applyBorder="1" applyAlignment="1"/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9" fontId="0" fillId="0" borderId="0" xfId="2" applyNumberFormat="1" applyFont="1" applyAlignment="1"/>
    <xf numFmtId="0" fontId="5" fillId="0" borderId="0" xfId="0" applyFont="1"/>
    <xf numFmtId="11" fontId="0" fillId="0" borderId="0" xfId="0" applyNumberFormat="1"/>
    <xf numFmtId="0" fontId="6" fillId="0" borderId="0" xfId="0" applyFont="1"/>
    <xf numFmtId="166" fontId="0" fillId="0" borderId="0" xfId="0" applyNumberFormat="1"/>
    <xf numFmtId="1" fontId="0" fillId="0" borderId="0" xfId="0" applyNumberFormat="1"/>
    <xf numFmtId="178" fontId="0" fillId="0" borderId="0" xfId="2" applyNumberFormat="1" applyFont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6699"/>
      <color rgb="FFFF9900"/>
      <color rgb="FF009999"/>
      <color rgb="FFCC0000"/>
      <color rgb="FF000000"/>
      <color rgb="FFED7D31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40944881889764"/>
          <c:y val="0.10910617221234442"/>
          <c:w val="0.75802614093893173"/>
          <c:h val="0.7401046482092964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High!$B$1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High!$B$3:$B$102</c:f>
              <c:numCache>
                <c:formatCode>0.000</c:formatCode>
                <c:ptCount val="100"/>
                <c:pt idx="0">
                  <c:v>2.4652801120448191</c:v>
                </c:pt>
                <c:pt idx="1">
                  <c:v>2.4319467787114859</c:v>
                </c:pt>
                <c:pt idx="2">
                  <c:v>2.3986134453781527</c:v>
                </c:pt>
                <c:pt idx="3">
                  <c:v>2.3652801120448195</c:v>
                </c:pt>
                <c:pt idx="4">
                  <c:v>2.3319467787114863</c:v>
                </c:pt>
                <c:pt idx="5">
                  <c:v>2.298613445378153</c:v>
                </c:pt>
                <c:pt idx="6">
                  <c:v>2.2652801120448198</c:v>
                </c:pt>
                <c:pt idx="7">
                  <c:v>2.2319467787114866</c:v>
                </c:pt>
                <c:pt idx="8">
                  <c:v>2.1986134453781534</c:v>
                </c:pt>
                <c:pt idx="9">
                  <c:v>2.1652801120448202</c:v>
                </c:pt>
                <c:pt idx="10">
                  <c:v>2.131946778711487</c:v>
                </c:pt>
                <c:pt idx="11">
                  <c:v>2.0986134453781538</c:v>
                </c:pt>
                <c:pt idx="12">
                  <c:v>2.0652801120448205</c:v>
                </c:pt>
                <c:pt idx="13">
                  <c:v>2.0319467787114873</c:v>
                </c:pt>
                <c:pt idx="14">
                  <c:v>1.9986134453781539</c:v>
                </c:pt>
                <c:pt idx="15">
                  <c:v>1.9652801120448204</c:v>
                </c:pt>
                <c:pt idx="16">
                  <c:v>1.931946778711487</c:v>
                </c:pt>
                <c:pt idx="17">
                  <c:v>1.8986134453781536</c:v>
                </c:pt>
                <c:pt idx="18">
                  <c:v>1.8869467787114869</c:v>
                </c:pt>
                <c:pt idx="19">
                  <c:v>1.8752801120448201</c:v>
                </c:pt>
                <c:pt idx="20">
                  <c:v>1.8636134453781534</c:v>
                </c:pt>
                <c:pt idx="21">
                  <c:v>1.8519467787114867</c:v>
                </c:pt>
                <c:pt idx="22">
                  <c:v>1.84028011204482</c:v>
                </c:pt>
                <c:pt idx="23">
                  <c:v>1.8286134453781533</c:v>
                </c:pt>
                <c:pt idx="24">
                  <c:v>1.8169467787114866</c:v>
                </c:pt>
                <c:pt idx="25">
                  <c:v>1.8052801120448199</c:v>
                </c:pt>
                <c:pt idx="26">
                  <c:v>1.7936134453781531</c:v>
                </c:pt>
                <c:pt idx="27">
                  <c:v>1.7819467787114864</c:v>
                </c:pt>
                <c:pt idx="28">
                  <c:v>1.7702801120448197</c:v>
                </c:pt>
                <c:pt idx="29">
                  <c:v>1.758613445378153</c:v>
                </c:pt>
                <c:pt idx="30">
                  <c:v>1.7469467787114863</c:v>
                </c:pt>
                <c:pt idx="31">
                  <c:v>1.7352801120448196</c:v>
                </c:pt>
                <c:pt idx="32">
                  <c:v>1.7236134453781529</c:v>
                </c:pt>
                <c:pt idx="33">
                  <c:v>1.7119467787114862</c:v>
                </c:pt>
                <c:pt idx="34">
                  <c:v>1.7002801120448194</c:v>
                </c:pt>
                <c:pt idx="35">
                  <c:v>1.6886134453781527</c:v>
                </c:pt>
                <c:pt idx="36">
                  <c:v>1.676946778711486</c:v>
                </c:pt>
                <c:pt idx="37">
                  <c:v>1.6652801120448193</c:v>
                </c:pt>
                <c:pt idx="38">
                  <c:v>1.6536134453781526</c:v>
                </c:pt>
                <c:pt idx="39">
                  <c:v>1.6419467787114859</c:v>
                </c:pt>
                <c:pt idx="40">
                  <c:v>1.6302801120448192</c:v>
                </c:pt>
                <c:pt idx="41">
                  <c:v>1.6186134453781524</c:v>
                </c:pt>
                <c:pt idx="42">
                  <c:v>1.6069467787114857</c:v>
                </c:pt>
                <c:pt idx="43">
                  <c:v>1.595280112044819</c:v>
                </c:pt>
                <c:pt idx="44">
                  <c:v>1.5836134453781523</c:v>
                </c:pt>
                <c:pt idx="45">
                  <c:v>1.5719467787114856</c:v>
                </c:pt>
                <c:pt idx="46">
                  <c:v>1.5602801120448189</c:v>
                </c:pt>
                <c:pt idx="47">
                  <c:v>1.5486134453781522</c:v>
                </c:pt>
                <c:pt idx="48">
                  <c:v>1.5369467787114854</c:v>
                </c:pt>
                <c:pt idx="49">
                  <c:v>1.5252801120448187</c:v>
                </c:pt>
                <c:pt idx="50">
                  <c:v>1.513613445378152</c:v>
                </c:pt>
                <c:pt idx="51">
                  <c:v>1.5019467787114853</c:v>
                </c:pt>
                <c:pt idx="52">
                  <c:v>1.4902801120448186</c:v>
                </c:pt>
                <c:pt idx="53">
                  <c:v>1.4786134453781519</c:v>
                </c:pt>
                <c:pt idx="54">
                  <c:v>1.4669467787114852</c:v>
                </c:pt>
                <c:pt idx="55">
                  <c:v>1.4552801120448184</c:v>
                </c:pt>
                <c:pt idx="56">
                  <c:v>1.4436134453781517</c:v>
                </c:pt>
                <c:pt idx="57">
                  <c:v>1.431946778711485</c:v>
                </c:pt>
                <c:pt idx="58">
                  <c:v>1.4202801120448183</c:v>
                </c:pt>
                <c:pt idx="59">
                  <c:v>1.4086134453781516</c:v>
                </c:pt>
                <c:pt idx="60">
                  <c:v>1.3969467787114849</c:v>
                </c:pt>
                <c:pt idx="61">
                  <c:v>1.3852801120448182</c:v>
                </c:pt>
                <c:pt idx="62">
                  <c:v>1.3736134453781514</c:v>
                </c:pt>
                <c:pt idx="63">
                  <c:v>1.3619467787114847</c:v>
                </c:pt>
                <c:pt idx="64">
                  <c:v>1.350280112044818</c:v>
                </c:pt>
                <c:pt idx="65">
                  <c:v>1.3386134453781513</c:v>
                </c:pt>
                <c:pt idx="66">
                  <c:v>1.3269467787114846</c:v>
                </c:pt>
                <c:pt idx="67">
                  <c:v>1.3152801120448179</c:v>
                </c:pt>
                <c:pt idx="68">
                  <c:v>1.3036134453781512</c:v>
                </c:pt>
                <c:pt idx="69">
                  <c:v>1.2919467787114844</c:v>
                </c:pt>
                <c:pt idx="70">
                  <c:v>1.2802801120448177</c:v>
                </c:pt>
                <c:pt idx="71">
                  <c:v>1.268613445378151</c:v>
                </c:pt>
                <c:pt idx="72">
                  <c:v>1.2569467787114843</c:v>
                </c:pt>
                <c:pt idx="73">
                  <c:v>1.2452801120448176</c:v>
                </c:pt>
                <c:pt idx="74">
                  <c:v>1.2336134453781509</c:v>
                </c:pt>
                <c:pt idx="75">
                  <c:v>1.2100840336134451</c:v>
                </c:pt>
                <c:pt idx="76">
                  <c:v>1.1865546218487393</c:v>
                </c:pt>
                <c:pt idx="77">
                  <c:v>1.1630252100840335</c:v>
                </c:pt>
                <c:pt idx="78">
                  <c:v>1.1394957983193277</c:v>
                </c:pt>
                <c:pt idx="79">
                  <c:v>1.1159663865546219</c:v>
                </c:pt>
                <c:pt idx="80">
                  <c:v>1.0924369747899161</c:v>
                </c:pt>
                <c:pt idx="81">
                  <c:v>1.0689075630252103</c:v>
                </c:pt>
                <c:pt idx="82">
                  <c:v>1.0453781512605045</c:v>
                </c:pt>
                <c:pt idx="83">
                  <c:v>1.0218487394957987</c:v>
                </c:pt>
                <c:pt idx="84">
                  <c:v>0.99831932773109278</c:v>
                </c:pt>
                <c:pt idx="85">
                  <c:v>0.97478991596638687</c:v>
                </c:pt>
                <c:pt idx="86">
                  <c:v>0.95126050420168096</c:v>
                </c:pt>
                <c:pt idx="87">
                  <c:v>0.92773109243697505</c:v>
                </c:pt>
                <c:pt idx="88">
                  <c:v>0.90420168067226914</c:v>
                </c:pt>
                <c:pt idx="89">
                  <c:v>0.88067226890756323</c:v>
                </c:pt>
                <c:pt idx="90">
                  <c:v>0.85714285714285732</c:v>
                </c:pt>
                <c:pt idx="91">
                  <c:v>0.80000000000000016</c:v>
                </c:pt>
                <c:pt idx="92">
                  <c:v>0.74285714285714299</c:v>
                </c:pt>
                <c:pt idx="93">
                  <c:v>0.68571428571428583</c:v>
                </c:pt>
                <c:pt idx="94">
                  <c:v>0.62857142857142867</c:v>
                </c:pt>
                <c:pt idx="95">
                  <c:v>0.57142857142857151</c:v>
                </c:pt>
                <c:pt idx="96">
                  <c:v>0.51428571428571435</c:v>
                </c:pt>
                <c:pt idx="97">
                  <c:v>0.45714285714285718</c:v>
                </c:pt>
                <c:pt idx="98">
                  <c:v>0.4</c:v>
                </c:pt>
                <c:pt idx="99">
                  <c:v>0</c:v>
                </c:pt>
              </c:numCache>
            </c:numRef>
          </c:xVal>
          <c:yVal>
            <c:numRef>
              <c:f>High!$C$3:$C$102</c:f>
              <c:numCache>
                <c:formatCode>0.000</c:formatCode>
                <c:ptCount val="100"/>
                <c:pt idx="0">
                  <c:v>1.9607843137254902E-2</c:v>
                </c:pt>
                <c:pt idx="1">
                  <c:v>2.9411764705882353E-2</c:v>
                </c:pt>
                <c:pt idx="2">
                  <c:v>3.9215686274509803E-2</c:v>
                </c:pt>
                <c:pt idx="3">
                  <c:v>4.9019607843137254E-2</c:v>
                </c:pt>
                <c:pt idx="4">
                  <c:v>5.8823529411764705E-2</c:v>
                </c:pt>
                <c:pt idx="5">
                  <c:v>6.8627450980392163E-2</c:v>
                </c:pt>
                <c:pt idx="6">
                  <c:v>7.8431372549019607E-2</c:v>
                </c:pt>
                <c:pt idx="7">
                  <c:v>8.8235294117647065E-2</c:v>
                </c:pt>
                <c:pt idx="8">
                  <c:v>9.8039215686274508E-2</c:v>
                </c:pt>
                <c:pt idx="9">
                  <c:v>0.10784313725490197</c:v>
                </c:pt>
                <c:pt idx="10">
                  <c:v>0.11764705882352941</c:v>
                </c:pt>
                <c:pt idx="11">
                  <c:v>0.12745098039215685</c:v>
                </c:pt>
                <c:pt idx="12">
                  <c:v>0.13725490196078433</c:v>
                </c:pt>
                <c:pt idx="13">
                  <c:v>0.14705882352941177</c:v>
                </c:pt>
                <c:pt idx="14">
                  <c:v>0.15686274509803921</c:v>
                </c:pt>
                <c:pt idx="15">
                  <c:v>0.16666666666666666</c:v>
                </c:pt>
                <c:pt idx="16">
                  <c:v>0.17647058823529413</c:v>
                </c:pt>
                <c:pt idx="17">
                  <c:v>0.18627450980392157</c:v>
                </c:pt>
                <c:pt idx="18">
                  <c:v>0.19607843137254902</c:v>
                </c:pt>
                <c:pt idx="19">
                  <c:v>0.20588235294117646</c:v>
                </c:pt>
                <c:pt idx="20">
                  <c:v>0.21568627450980393</c:v>
                </c:pt>
                <c:pt idx="21">
                  <c:v>0.22549019607843138</c:v>
                </c:pt>
                <c:pt idx="22">
                  <c:v>0.23529411764705882</c:v>
                </c:pt>
                <c:pt idx="23">
                  <c:v>0.24509803921568626</c:v>
                </c:pt>
                <c:pt idx="24">
                  <c:v>0.25490196078431371</c:v>
                </c:pt>
                <c:pt idx="25">
                  <c:v>0.26470588235294118</c:v>
                </c:pt>
                <c:pt idx="26">
                  <c:v>0.27450980392156865</c:v>
                </c:pt>
                <c:pt idx="27">
                  <c:v>0.28431372549019607</c:v>
                </c:pt>
                <c:pt idx="28">
                  <c:v>0.29411764705882354</c:v>
                </c:pt>
                <c:pt idx="29">
                  <c:v>0.30392156862745096</c:v>
                </c:pt>
                <c:pt idx="30">
                  <c:v>0.31372549019607843</c:v>
                </c:pt>
                <c:pt idx="31">
                  <c:v>0.3235294117647059</c:v>
                </c:pt>
                <c:pt idx="32">
                  <c:v>0.33333333333333331</c:v>
                </c:pt>
                <c:pt idx="33">
                  <c:v>0.34313725490196079</c:v>
                </c:pt>
                <c:pt idx="34">
                  <c:v>0.35294117647058826</c:v>
                </c:pt>
                <c:pt idx="35">
                  <c:v>0.36274509803921567</c:v>
                </c:pt>
                <c:pt idx="36">
                  <c:v>0.37254901960784315</c:v>
                </c:pt>
                <c:pt idx="37">
                  <c:v>0.38235294117647056</c:v>
                </c:pt>
                <c:pt idx="38">
                  <c:v>0.39215686274509803</c:v>
                </c:pt>
                <c:pt idx="39">
                  <c:v>0.40196078431372551</c:v>
                </c:pt>
                <c:pt idx="40">
                  <c:v>0.41176470588235292</c:v>
                </c:pt>
                <c:pt idx="41">
                  <c:v>0.42156862745098039</c:v>
                </c:pt>
                <c:pt idx="42">
                  <c:v>0.43137254901960786</c:v>
                </c:pt>
                <c:pt idx="43">
                  <c:v>0.44117647058823528</c:v>
                </c:pt>
                <c:pt idx="44">
                  <c:v>0.45098039215686275</c:v>
                </c:pt>
                <c:pt idx="45">
                  <c:v>0.46078431372549017</c:v>
                </c:pt>
                <c:pt idx="46">
                  <c:v>0.47058823529411764</c:v>
                </c:pt>
                <c:pt idx="47">
                  <c:v>0.48039215686274511</c:v>
                </c:pt>
                <c:pt idx="48">
                  <c:v>0.49019607843137253</c:v>
                </c:pt>
                <c:pt idx="49">
                  <c:v>0.5</c:v>
                </c:pt>
                <c:pt idx="50">
                  <c:v>0.50980392156862742</c:v>
                </c:pt>
                <c:pt idx="51">
                  <c:v>0.51960784313725494</c:v>
                </c:pt>
                <c:pt idx="52">
                  <c:v>0.52941176470588236</c:v>
                </c:pt>
                <c:pt idx="53">
                  <c:v>0.53921568627450978</c:v>
                </c:pt>
                <c:pt idx="54">
                  <c:v>0.5490196078431373</c:v>
                </c:pt>
                <c:pt idx="55">
                  <c:v>0.55882352941176472</c:v>
                </c:pt>
                <c:pt idx="56">
                  <c:v>0.56862745098039214</c:v>
                </c:pt>
                <c:pt idx="57">
                  <c:v>0.57843137254901966</c:v>
                </c:pt>
                <c:pt idx="58">
                  <c:v>0.58823529411764708</c:v>
                </c:pt>
                <c:pt idx="59">
                  <c:v>0.59803921568627449</c:v>
                </c:pt>
                <c:pt idx="60">
                  <c:v>0.60784313725490191</c:v>
                </c:pt>
                <c:pt idx="61">
                  <c:v>0.61764705882352944</c:v>
                </c:pt>
                <c:pt idx="62">
                  <c:v>0.62745098039215685</c:v>
                </c:pt>
                <c:pt idx="63">
                  <c:v>0.63725490196078427</c:v>
                </c:pt>
                <c:pt idx="64">
                  <c:v>0.6470588235294118</c:v>
                </c:pt>
                <c:pt idx="65">
                  <c:v>0.65686274509803921</c:v>
                </c:pt>
                <c:pt idx="66">
                  <c:v>0.66666666666666663</c:v>
                </c:pt>
                <c:pt idx="67">
                  <c:v>0.67647058823529416</c:v>
                </c:pt>
                <c:pt idx="68">
                  <c:v>0.68627450980392157</c:v>
                </c:pt>
                <c:pt idx="69">
                  <c:v>0.69607843137254899</c:v>
                </c:pt>
                <c:pt idx="70">
                  <c:v>0.70588235294117652</c:v>
                </c:pt>
                <c:pt idx="71">
                  <c:v>0.71568627450980393</c:v>
                </c:pt>
                <c:pt idx="72">
                  <c:v>0.72549019607843135</c:v>
                </c:pt>
                <c:pt idx="73">
                  <c:v>0.73529411764705888</c:v>
                </c:pt>
                <c:pt idx="74">
                  <c:v>0.74509803921568629</c:v>
                </c:pt>
                <c:pt idx="75">
                  <c:v>0.75490196078431371</c:v>
                </c:pt>
                <c:pt idx="76">
                  <c:v>0.76470588235294112</c:v>
                </c:pt>
                <c:pt idx="77">
                  <c:v>0.77450980392156865</c:v>
                </c:pt>
                <c:pt idx="78">
                  <c:v>0.78431372549019607</c:v>
                </c:pt>
                <c:pt idx="79">
                  <c:v>0.79411764705882348</c:v>
                </c:pt>
                <c:pt idx="80">
                  <c:v>0.80392156862745101</c:v>
                </c:pt>
                <c:pt idx="81">
                  <c:v>0.81372549019607843</c:v>
                </c:pt>
                <c:pt idx="82">
                  <c:v>0.82352941176470584</c:v>
                </c:pt>
                <c:pt idx="83">
                  <c:v>0.83333333333333337</c:v>
                </c:pt>
                <c:pt idx="84">
                  <c:v>0.84313725490196079</c:v>
                </c:pt>
                <c:pt idx="85">
                  <c:v>0.8529411764705882</c:v>
                </c:pt>
                <c:pt idx="86">
                  <c:v>0.86274509803921573</c:v>
                </c:pt>
                <c:pt idx="87">
                  <c:v>0.87254901960784315</c:v>
                </c:pt>
                <c:pt idx="88">
                  <c:v>0.88235294117647056</c:v>
                </c:pt>
                <c:pt idx="89">
                  <c:v>0.89215686274509809</c:v>
                </c:pt>
                <c:pt idx="90">
                  <c:v>0.90196078431372551</c:v>
                </c:pt>
                <c:pt idx="91">
                  <c:v>0.91176470588235292</c:v>
                </c:pt>
                <c:pt idx="92">
                  <c:v>0.92156862745098034</c:v>
                </c:pt>
                <c:pt idx="93">
                  <c:v>0.93137254901960786</c:v>
                </c:pt>
                <c:pt idx="94">
                  <c:v>0.94117647058823528</c:v>
                </c:pt>
                <c:pt idx="95">
                  <c:v>0.9509803921568627</c:v>
                </c:pt>
                <c:pt idx="96">
                  <c:v>0.96078431372549022</c:v>
                </c:pt>
                <c:pt idx="97">
                  <c:v>0.97058823529411764</c:v>
                </c:pt>
                <c:pt idx="98">
                  <c:v>0.98039215686274506</c:v>
                </c:pt>
                <c:pt idx="99">
                  <c:v>0.99019607843137258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1B-4F57-AAAF-170F15F24723}"/>
            </c:ext>
          </c:extLst>
        </c:ser>
        <c:ser>
          <c:idx val="0"/>
          <c:order val="1"/>
          <c:tx>
            <c:strRef>
              <c:f>Mid!$B$1</c:f>
              <c:strCache>
                <c:ptCount val="1"/>
                <c:pt idx="0">
                  <c:v>Mid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Mid!$B$3:$B$102</c:f>
              <c:numCache>
                <c:formatCode>0.000</c:formatCode>
                <c:ptCount val="100"/>
                <c:pt idx="0">
                  <c:v>1.5116666666666683</c:v>
                </c:pt>
                <c:pt idx="1">
                  <c:v>1.4783333333333348</c:v>
                </c:pt>
                <c:pt idx="2">
                  <c:v>1.4450000000000014</c:v>
                </c:pt>
                <c:pt idx="3">
                  <c:v>1.411666666666668</c:v>
                </c:pt>
                <c:pt idx="4">
                  <c:v>1.3783333333333345</c:v>
                </c:pt>
                <c:pt idx="5">
                  <c:v>1.3450000000000011</c:v>
                </c:pt>
                <c:pt idx="6">
                  <c:v>1.3116666666666676</c:v>
                </c:pt>
                <c:pt idx="7">
                  <c:v>1.2783333333333342</c:v>
                </c:pt>
                <c:pt idx="8">
                  <c:v>1.2450000000000008</c:v>
                </c:pt>
                <c:pt idx="9">
                  <c:v>1.2116666666666673</c:v>
                </c:pt>
                <c:pt idx="10">
                  <c:v>1.1783333333333339</c:v>
                </c:pt>
                <c:pt idx="11">
                  <c:v>1.1450000000000005</c:v>
                </c:pt>
                <c:pt idx="12">
                  <c:v>1.111666666666667</c:v>
                </c:pt>
                <c:pt idx="13">
                  <c:v>1.0783333333333336</c:v>
                </c:pt>
                <c:pt idx="14">
                  <c:v>1.0450000000000002</c:v>
                </c:pt>
                <c:pt idx="15">
                  <c:v>1.0300000000000002</c:v>
                </c:pt>
                <c:pt idx="16">
                  <c:v>1.0150000000000003</c:v>
                </c:pt>
                <c:pt idx="17">
                  <c:v>1.0000000000000004</c:v>
                </c:pt>
                <c:pt idx="18">
                  <c:v>0.98500000000000043</c:v>
                </c:pt>
                <c:pt idx="19">
                  <c:v>0.97000000000000042</c:v>
                </c:pt>
                <c:pt idx="20">
                  <c:v>0.9550000000000004</c:v>
                </c:pt>
                <c:pt idx="21">
                  <c:v>0.94000000000000039</c:v>
                </c:pt>
                <c:pt idx="22">
                  <c:v>0.92500000000000038</c:v>
                </c:pt>
                <c:pt idx="23">
                  <c:v>0.91000000000000036</c:v>
                </c:pt>
                <c:pt idx="24">
                  <c:v>0.89500000000000035</c:v>
                </c:pt>
                <c:pt idx="25">
                  <c:v>0.88000000000000034</c:v>
                </c:pt>
                <c:pt idx="26">
                  <c:v>0.86500000000000032</c:v>
                </c:pt>
                <c:pt idx="27">
                  <c:v>0.85000000000000031</c:v>
                </c:pt>
                <c:pt idx="28">
                  <c:v>0.8350000000000003</c:v>
                </c:pt>
                <c:pt idx="29">
                  <c:v>0.82000000000000028</c:v>
                </c:pt>
                <c:pt idx="30">
                  <c:v>0.80500000000000027</c:v>
                </c:pt>
                <c:pt idx="31">
                  <c:v>0.79000000000000026</c:v>
                </c:pt>
                <c:pt idx="32">
                  <c:v>0.77500000000000024</c:v>
                </c:pt>
                <c:pt idx="33">
                  <c:v>0.76000000000000023</c:v>
                </c:pt>
                <c:pt idx="34">
                  <c:v>0.74500000000000022</c:v>
                </c:pt>
                <c:pt idx="35">
                  <c:v>0.7300000000000002</c:v>
                </c:pt>
                <c:pt idx="36">
                  <c:v>0.71500000000000019</c:v>
                </c:pt>
                <c:pt idx="37">
                  <c:v>0.70000000000000018</c:v>
                </c:pt>
                <c:pt idx="38">
                  <c:v>0.68500000000000016</c:v>
                </c:pt>
                <c:pt idx="39">
                  <c:v>0.67000000000000015</c:v>
                </c:pt>
                <c:pt idx="40">
                  <c:v>0.65500000000000014</c:v>
                </c:pt>
                <c:pt idx="41">
                  <c:v>0.64000000000000012</c:v>
                </c:pt>
                <c:pt idx="42">
                  <c:v>0.62500000000000011</c:v>
                </c:pt>
                <c:pt idx="43">
                  <c:v>0.6100000000000001</c:v>
                </c:pt>
                <c:pt idx="44">
                  <c:v>0.59500000000000008</c:v>
                </c:pt>
                <c:pt idx="45">
                  <c:v>0.58000000000000007</c:v>
                </c:pt>
                <c:pt idx="46">
                  <c:v>0.56500000000000006</c:v>
                </c:pt>
                <c:pt idx="47">
                  <c:v>0.55000000000000004</c:v>
                </c:pt>
                <c:pt idx="48">
                  <c:v>0.53500000000000003</c:v>
                </c:pt>
                <c:pt idx="49">
                  <c:v>0.52</c:v>
                </c:pt>
                <c:pt idx="50">
                  <c:v>0.45500000000000002</c:v>
                </c:pt>
                <c:pt idx="51">
                  <c:v>0.39</c:v>
                </c:pt>
                <c:pt idx="52">
                  <c:v>0.32500000000000001</c:v>
                </c:pt>
                <c:pt idx="53">
                  <c:v>0.26</c:v>
                </c:pt>
                <c:pt idx="54">
                  <c:v>0.19500000000000001</c:v>
                </c:pt>
                <c:pt idx="55">
                  <c:v>0.13</c:v>
                </c:pt>
                <c:pt idx="56">
                  <c:v>6.5000000000000002E-2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Mid!$C$3:$C$102</c:f>
              <c:numCache>
                <c:formatCode>0.000</c:formatCode>
                <c:ptCount val="100"/>
                <c:pt idx="0">
                  <c:v>1.9607843137254902E-2</c:v>
                </c:pt>
                <c:pt idx="1">
                  <c:v>2.9411764705882353E-2</c:v>
                </c:pt>
                <c:pt idx="2">
                  <c:v>3.9215686274509803E-2</c:v>
                </c:pt>
                <c:pt idx="3">
                  <c:v>4.9019607843137254E-2</c:v>
                </c:pt>
                <c:pt idx="4">
                  <c:v>5.8823529411764705E-2</c:v>
                </c:pt>
                <c:pt idx="5">
                  <c:v>6.8627450980392163E-2</c:v>
                </c:pt>
                <c:pt idx="6">
                  <c:v>7.8431372549019607E-2</c:v>
                </c:pt>
                <c:pt idx="7">
                  <c:v>8.8235294117647065E-2</c:v>
                </c:pt>
                <c:pt idx="8">
                  <c:v>9.8039215686274508E-2</c:v>
                </c:pt>
                <c:pt idx="9">
                  <c:v>0.10784313725490197</c:v>
                </c:pt>
                <c:pt idx="10">
                  <c:v>0.11764705882352941</c:v>
                </c:pt>
                <c:pt idx="11">
                  <c:v>0.12745098039215685</c:v>
                </c:pt>
                <c:pt idx="12">
                  <c:v>0.13725490196078433</c:v>
                </c:pt>
                <c:pt idx="13">
                  <c:v>0.14705882352941177</c:v>
                </c:pt>
                <c:pt idx="14">
                  <c:v>0.15686274509803921</c:v>
                </c:pt>
                <c:pt idx="15">
                  <c:v>0.16666666666666666</c:v>
                </c:pt>
                <c:pt idx="16">
                  <c:v>0.17647058823529413</c:v>
                </c:pt>
                <c:pt idx="17">
                  <c:v>0.18627450980392157</c:v>
                </c:pt>
                <c:pt idx="18">
                  <c:v>0.19607843137254902</c:v>
                </c:pt>
                <c:pt idx="19">
                  <c:v>0.20588235294117646</c:v>
                </c:pt>
                <c:pt idx="20">
                  <c:v>0.21568627450980393</c:v>
                </c:pt>
                <c:pt idx="21">
                  <c:v>0.22549019607843138</c:v>
                </c:pt>
                <c:pt idx="22">
                  <c:v>0.23529411764705882</c:v>
                </c:pt>
                <c:pt idx="23">
                  <c:v>0.24509803921568626</c:v>
                </c:pt>
                <c:pt idx="24">
                  <c:v>0.25490196078431371</c:v>
                </c:pt>
                <c:pt idx="25">
                  <c:v>0.26470588235294118</c:v>
                </c:pt>
                <c:pt idx="26">
                  <c:v>0.27450980392156865</c:v>
                </c:pt>
                <c:pt idx="27">
                  <c:v>0.28431372549019607</c:v>
                </c:pt>
                <c:pt idx="28">
                  <c:v>0.29411764705882354</c:v>
                </c:pt>
                <c:pt idx="29">
                  <c:v>0.30392156862745096</c:v>
                </c:pt>
                <c:pt idx="30">
                  <c:v>0.31372549019607843</c:v>
                </c:pt>
                <c:pt idx="31">
                  <c:v>0.3235294117647059</c:v>
                </c:pt>
                <c:pt idx="32">
                  <c:v>0.33333333333333331</c:v>
                </c:pt>
                <c:pt idx="33">
                  <c:v>0.34313725490196079</c:v>
                </c:pt>
                <c:pt idx="34">
                  <c:v>0.35294117647058826</c:v>
                </c:pt>
                <c:pt idx="35">
                  <c:v>0.36274509803921567</c:v>
                </c:pt>
                <c:pt idx="36">
                  <c:v>0.37254901960784315</c:v>
                </c:pt>
                <c:pt idx="37">
                  <c:v>0.38235294117647056</c:v>
                </c:pt>
                <c:pt idx="38">
                  <c:v>0.39215686274509803</c:v>
                </c:pt>
                <c:pt idx="39">
                  <c:v>0.40196078431372551</c:v>
                </c:pt>
                <c:pt idx="40">
                  <c:v>0.41176470588235292</c:v>
                </c:pt>
                <c:pt idx="41">
                  <c:v>0.42156862745098039</c:v>
                </c:pt>
                <c:pt idx="42">
                  <c:v>0.43137254901960786</c:v>
                </c:pt>
                <c:pt idx="43">
                  <c:v>0.44117647058823528</c:v>
                </c:pt>
                <c:pt idx="44">
                  <c:v>0.45098039215686275</c:v>
                </c:pt>
                <c:pt idx="45">
                  <c:v>0.46078431372549017</c:v>
                </c:pt>
                <c:pt idx="46">
                  <c:v>0.47058823529411764</c:v>
                </c:pt>
                <c:pt idx="47">
                  <c:v>0.48039215686274511</c:v>
                </c:pt>
                <c:pt idx="48">
                  <c:v>0.49019607843137253</c:v>
                </c:pt>
                <c:pt idx="49">
                  <c:v>0.5</c:v>
                </c:pt>
                <c:pt idx="50">
                  <c:v>0.50980392156862742</c:v>
                </c:pt>
                <c:pt idx="51">
                  <c:v>0.51960784313725494</c:v>
                </c:pt>
                <c:pt idx="52">
                  <c:v>0.52941176470588236</c:v>
                </c:pt>
                <c:pt idx="53">
                  <c:v>0.53921568627450978</c:v>
                </c:pt>
                <c:pt idx="54">
                  <c:v>0.5490196078431373</c:v>
                </c:pt>
                <c:pt idx="55">
                  <c:v>0.55882352941176472</c:v>
                </c:pt>
                <c:pt idx="56">
                  <c:v>0.56862745098039214</c:v>
                </c:pt>
                <c:pt idx="57">
                  <c:v>0.57843137254901966</c:v>
                </c:pt>
                <c:pt idx="58">
                  <c:v>0.57843137254901966</c:v>
                </c:pt>
                <c:pt idx="59">
                  <c:v>0.57843137254901966</c:v>
                </c:pt>
                <c:pt idx="60">
                  <c:v>0.57843137254901966</c:v>
                </c:pt>
                <c:pt idx="61">
                  <c:v>0.57843137254901966</c:v>
                </c:pt>
                <c:pt idx="62">
                  <c:v>0.57843137254901966</c:v>
                </c:pt>
                <c:pt idx="63">
                  <c:v>0.57843137254901966</c:v>
                </c:pt>
                <c:pt idx="64">
                  <c:v>0.57843137254901966</c:v>
                </c:pt>
                <c:pt idx="65">
                  <c:v>0.57843137254901966</c:v>
                </c:pt>
                <c:pt idx="66">
                  <c:v>0.57843137254901966</c:v>
                </c:pt>
                <c:pt idx="67">
                  <c:v>0.57843137254901966</c:v>
                </c:pt>
                <c:pt idx="68">
                  <c:v>0.57843137254901966</c:v>
                </c:pt>
                <c:pt idx="69">
                  <c:v>0.57843137254901966</c:v>
                </c:pt>
                <c:pt idx="70">
                  <c:v>0.57843137254901966</c:v>
                </c:pt>
                <c:pt idx="71">
                  <c:v>0.57843137254901966</c:v>
                </c:pt>
                <c:pt idx="72">
                  <c:v>0.57843137254901966</c:v>
                </c:pt>
                <c:pt idx="73">
                  <c:v>0.57843137254901966</c:v>
                </c:pt>
                <c:pt idx="74">
                  <c:v>0.57843137254901966</c:v>
                </c:pt>
                <c:pt idx="75">
                  <c:v>0.57843137254901966</c:v>
                </c:pt>
                <c:pt idx="76">
                  <c:v>0.57843137254901966</c:v>
                </c:pt>
                <c:pt idx="77">
                  <c:v>0.57843137254901966</c:v>
                </c:pt>
                <c:pt idx="78">
                  <c:v>0.57843137254901966</c:v>
                </c:pt>
                <c:pt idx="79">
                  <c:v>0.57843137254901966</c:v>
                </c:pt>
                <c:pt idx="80">
                  <c:v>0.57843137254901966</c:v>
                </c:pt>
                <c:pt idx="81">
                  <c:v>0.57843137254901966</c:v>
                </c:pt>
                <c:pt idx="82">
                  <c:v>0.57843137254901966</c:v>
                </c:pt>
                <c:pt idx="83">
                  <c:v>0.57843137254901966</c:v>
                </c:pt>
                <c:pt idx="84">
                  <c:v>0.57843137254901966</c:v>
                </c:pt>
                <c:pt idx="85">
                  <c:v>0.57843137254901966</c:v>
                </c:pt>
                <c:pt idx="86">
                  <c:v>0.57843137254901966</c:v>
                </c:pt>
                <c:pt idx="87">
                  <c:v>0.57843137254901966</c:v>
                </c:pt>
                <c:pt idx="88">
                  <c:v>0.57843137254901966</c:v>
                </c:pt>
                <c:pt idx="89">
                  <c:v>0.57843137254901966</c:v>
                </c:pt>
                <c:pt idx="90">
                  <c:v>0.57843137254901966</c:v>
                </c:pt>
                <c:pt idx="91">
                  <c:v>0.57843137254901966</c:v>
                </c:pt>
                <c:pt idx="92">
                  <c:v>0.57843137254901966</c:v>
                </c:pt>
                <c:pt idx="93">
                  <c:v>0.57843137254901966</c:v>
                </c:pt>
                <c:pt idx="94">
                  <c:v>0.57843137254901966</c:v>
                </c:pt>
                <c:pt idx="95">
                  <c:v>0.57843137254901966</c:v>
                </c:pt>
                <c:pt idx="96">
                  <c:v>0.57843137254901966</c:v>
                </c:pt>
                <c:pt idx="97">
                  <c:v>0.57843137254901966</c:v>
                </c:pt>
                <c:pt idx="98">
                  <c:v>0.57843137254901966</c:v>
                </c:pt>
                <c:pt idx="99">
                  <c:v>0.57843137254901966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1B-4F57-AAAF-170F15F24723}"/>
            </c:ext>
          </c:extLst>
        </c:ser>
        <c:ser>
          <c:idx val="1"/>
          <c:order val="2"/>
          <c:tx>
            <c:strRef>
              <c:f>Low!$B$1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Low!$B$3:$B$102</c:f>
              <c:numCache>
                <c:formatCode>0.000</c:formatCode>
                <c:ptCount val="100"/>
                <c:pt idx="0">
                  <c:v>0.99999999999999989</c:v>
                </c:pt>
                <c:pt idx="1">
                  <c:v>0.93333333333333324</c:v>
                </c:pt>
                <c:pt idx="2">
                  <c:v>0.86666666666666659</c:v>
                </c:pt>
                <c:pt idx="3">
                  <c:v>0.79999999999999993</c:v>
                </c:pt>
                <c:pt idx="4">
                  <c:v>0.73333333333333328</c:v>
                </c:pt>
                <c:pt idx="5">
                  <c:v>0.66666666666666663</c:v>
                </c:pt>
                <c:pt idx="6">
                  <c:v>0.6</c:v>
                </c:pt>
                <c:pt idx="7">
                  <c:v>0.53333333333333333</c:v>
                </c:pt>
                <c:pt idx="8">
                  <c:v>0.46666666666666662</c:v>
                </c:pt>
                <c:pt idx="9">
                  <c:v>0.39999999999999997</c:v>
                </c:pt>
                <c:pt idx="10">
                  <c:v>0.33333333333333331</c:v>
                </c:pt>
                <c:pt idx="11">
                  <c:v>0.26666666666666666</c:v>
                </c:pt>
                <c:pt idx="12">
                  <c:v>0.2</c:v>
                </c:pt>
                <c:pt idx="13">
                  <c:v>0.13333333333333333</c:v>
                </c:pt>
                <c:pt idx="14">
                  <c:v>6.6666666666666666E-2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Low!$C$3:$C$102</c:f>
              <c:numCache>
                <c:formatCode>0.000</c:formatCode>
                <c:ptCount val="100"/>
                <c:pt idx="0">
                  <c:v>1.9607843137254902E-2</c:v>
                </c:pt>
                <c:pt idx="1">
                  <c:v>2.9411764705882353E-2</c:v>
                </c:pt>
                <c:pt idx="2">
                  <c:v>3.9215686274509803E-2</c:v>
                </c:pt>
                <c:pt idx="3">
                  <c:v>4.9019607843137254E-2</c:v>
                </c:pt>
                <c:pt idx="4">
                  <c:v>5.8823529411764705E-2</c:v>
                </c:pt>
                <c:pt idx="5">
                  <c:v>6.8627450980392163E-2</c:v>
                </c:pt>
                <c:pt idx="6">
                  <c:v>7.8431372549019607E-2</c:v>
                </c:pt>
                <c:pt idx="7">
                  <c:v>8.8235294117647065E-2</c:v>
                </c:pt>
                <c:pt idx="8">
                  <c:v>9.8039215686274508E-2</c:v>
                </c:pt>
                <c:pt idx="9">
                  <c:v>0.10784313725490197</c:v>
                </c:pt>
                <c:pt idx="10">
                  <c:v>0.11764705882352941</c:v>
                </c:pt>
                <c:pt idx="11">
                  <c:v>0.12745098039215685</c:v>
                </c:pt>
                <c:pt idx="12">
                  <c:v>0.13725490196078433</c:v>
                </c:pt>
                <c:pt idx="13">
                  <c:v>0.14705882352941177</c:v>
                </c:pt>
                <c:pt idx="14">
                  <c:v>0.15686274509803921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  <c:pt idx="58">
                  <c:v>0.16666666666666666</c:v>
                </c:pt>
                <c:pt idx="59">
                  <c:v>0.16666666666666666</c:v>
                </c:pt>
                <c:pt idx="60">
                  <c:v>0.16666666666666666</c:v>
                </c:pt>
                <c:pt idx="61">
                  <c:v>0.16666666666666666</c:v>
                </c:pt>
                <c:pt idx="62">
                  <c:v>0.16666666666666666</c:v>
                </c:pt>
                <c:pt idx="63">
                  <c:v>0.16666666666666666</c:v>
                </c:pt>
                <c:pt idx="64">
                  <c:v>0.16666666666666666</c:v>
                </c:pt>
                <c:pt idx="65">
                  <c:v>0.16666666666666666</c:v>
                </c:pt>
                <c:pt idx="66">
                  <c:v>0.16666666666666666</c:v>
                </c:pt>
                <c:pt idx="67">
                  <c:v>0.16666666666666666</c:v>
                </c:pt>
                <c:pt idx="68">
                  <c:v>0.16666666666666666</c:v>
                </c:pt>
                <c:pt idx="69">
                  <c:v>0.16666666666666666</c:v>
                </c:pt>
                <c:pt idx="70">
                  <c:v>0.16666666666666666</c:v>
                </c:pt>
                <c:pt idx="71">
                  <c:v>0.16666666666666666</c:v>
                </c:pt>
                <c:pt idx="72">
                  <c:v>0.16666666666666666</c:v>
                </c:pt>
                <c:pt idx="73">
                  <c:v>0.16666666666666666</c:v>
                </c:pt>
                <c:pt idx="74">
                  <c:v>0.16666666666666666</c:v>
                </c:pt>
                <c:pt idx="75">
                  <c:v>0.16666666666666666</c:v>
                </c:pt>
                <c:pt idx="76">
                  <c:v>0.16666666666666666</c:v>
                </c:pt>
                <c:pt idx="77">
                  <c:v>0.16666666666666666</c:v>
                </c:pt>
                <c:pt idx="78">
                  <c:v>0.16666666666666666</c:v>
                </c:pt>
                <c:pt idx="79">
                  <c:v>0.16666666666666666</c:v>
                </c:pt>
                <c:pt idx="80">
                  <c:v>0.16666666666666666</c:v>
                </c:pt>
                <c:pt idx="81">
                  <c:v>0.16666666666666666</c:v>
                </c:pt>
                <c:pt idx="82">
                  <c:v>0.16666666666666666</c:v>
                </c:pt>
                <c:pt idx="83">
                  <c:v>0.16666666666666666</c:v>
                </c:pt>
                <c:pt idx="84">
                  <c:v>0.16666666666666666</c:v>
                </c:pt>
                <c:pt idx="85">
                  <c:v>0.16666666666666666</c:v>
                </c:pt>
                <c:pt idx="86">
                  <c:v>0.16666666666666666</c:v>
                </c:pt>
                <c:pt idx="87">
                  <c:v>0.16666666666666666</c:v>
                </c:pt>
                <c:pt idx="88">
                  <c:v>0.16666666666666666</c:v>
                </c:pt>
                <c:pt idx="89">
                  <c:v>0.16666666666666666</c:v>
                </c:pt>
                <c:pt idx="90">
                  <c:v>0.16666666666666666</c:v>
                </c:pt>
                <c:pt idx="91">
                  <c:v>0.16666666666666666</c:v>
                </c:pt>
                <c:pt idx="92">
                  <c:v>0.16666666666666666</c:v>
                </c:pt>
                <c:pt idx="93">
                  <c:v>0.16666666666666666</c:v>
                </c:pt>
                <c:pt idx="94">
                  <c:v>0.16666666666666666</c:v>
                </c:pt>
                <c:pt idx="95">
                  <c:v>0.16666666666666666</c:v>
                </c:pt>
                <c:pt idx="96">
                  <c:v>0.16666666666666666</c:v>
                </c:pt>
                <c:pt idx="97">
                  <c:v>0.16666666666666666</c:v>
                </c:pt>
                <c:pt idx="98">
                  <c:v>0.16666666666666666</c:v>
                </c:pt>
                <c:pt idx="99">
                  <c:v>0.16666666666666666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1B-4F57-AAAF-170F15F24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804864"/>
        <c:axId val="1413946752"/>
      </c:scatterChart>
      <c:valAx>
        <c:axId val="881804864"/>
        <c:scaling>
          <c:orientation val="minMax"/>
          <c:max val="2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Shortage Event (MAF)</a:t>
                </a:r>
              </a:p>
            </c:rich>
          </c:tx>
          <c:layout>
            <c:manualLayout>
              <c:xMode val="edge"/>
              <c:yMode val="edge"/>
              <c:x val="0.4348928883889514"/>
              <c:y val="0.925877825755651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46752"/>
        <c:crosses val="autoZero"/>
        <c:crossBetween val="midCat"/>
      </c:valAx>
      <c:valAx>
        <c:axId val="1413946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F(e)</a:t>
                </a:r>
              </a:p>
            </c:rich>
          </c:tx>
          <c:layout>
            <c:manualLayout>
              <c:xMode val="edge"/>
              <c:yMode val="edge"/>
              <c:x val="2.6475535016561216E-2"/>
              <c:y val="0.379772145669291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04864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1346819452446497"/>
          <c:y val="0.16448598130841122"/>
          <c:w val="0.18531293344429509"/>
          <c:h val="0.160188214376428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53066580963096"/>
          <c:y val="5.5169658620822966E-2"/>
          <c:w val="0.82126905565375752"/>
          <c:h val="0.64826655669677968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'Shortage Distributions'!$I$1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val>
            <c:numRef>
              <c:f>'Shortage Distributions'!$J$3:$J$10</c:f>
              <c:numCache>
                <c:formatCode>0.00</c:formatCode>
                <c:ptCount val="8"/>
                <c:pt idx="0">
                  <c:v>2.9411764705882353E-2</c:v>
                </c:pt>
                <c:pt idx="1">
                  <c:v>0.14705882352941177</c:v>
                </c:pt>
                <c:pt idx="2">
                  <c:v>0.22549019607843138</c:v>
                </c:pt>
                <c:pt idx="3">
                  <c:v>0.31372549019607843</c:v>
                </c:pt>
                <c:pt idx="4">
                  <c:v>0.18627450980392157</c:v>
                </c:pt>
                <c:pt idx="5">
                  <c:v>8.8235294117647078E-2</c:v>
                </c:pt>
                <c:pt idx="6">
                  <c:v>2.9411764705882359E-2</c:v>
                </c:pt>
                <c:pt idx="7">
                  <c:v>9.8039215686274161E-3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4C-4237-82A2-13979027E8D1}"/>
            </c:ext>
          </c:extLst>
        </c:ser>
        <c:ser>
          <c:idx val="1"/>
          <c:order val="1"/>
          <c:tx>
            <c:strRef>
              <c:f>'Shortage Distributions'!$G$1</c:f>
              <c:strCache>
                <c:ptCount val="1"/>
                <c:pt idx="0">
                  <c:v>Mid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'Shortage Distributions'!$D$3:$D$10</c:f>
              <c:strCache>
                <c:ptCount val="8"/>
                <c:pt idx="0">
                  <c:v>2.438</c:v>
                </c:pt>
                <c:pt idx="1">
                  <c:v>2.06</c:v>
                </c:pt>
                <c:pt idx="2">
                  <c:v>1.69</c:v>
                </c:pt>
                <c:pt idx="3">
                  <c:v>1.31</c:v>
                </c:pt>
                <c:pt idx="4">
                  <c:v>0.94</c:v>
                </c:pt>
                <c:pt idx="5">
                  <c:v>0.56</c:v>
                </c:pt>
                <c:pt idx="6">
                  <c:v>0.19</c:v>
                </c:pt>
                <c:pt idx="7">
                  <c:v>&lt;=0</c:v>
                </c:pt>
              </c:strCache>
            </c:strRef>
          </c:cat>
          <c:val>
            <c:numRef>
              <c:f>'Shortage Distributions'!$H$3:$H$10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7.8431372549019607E-2</c:v>
                </c:pt>
                <c:pt idx="4">
                  <c:v>0.15686274509803921</c:v>
                </c:pt>
                <c:pt idx="5">
                  <c:v>0.24509803921568629</c:v>
                </c:pt>
                <c:pt idx="6">
                  <c:v>7.8431372549019607E-2</c:v>
                </c:pt>
                <c:pt idx="7">
                  <c:v>0.44117647058823528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C-4237-82A2-13979027E8D1}"/>
            </c:ext>
          </c:extLst>
        </c:ser>
        <c:ser>
          <c:idx val="0"/>
          <c:order val="2"/>
          <c:tx>
            <c:strRef>
              <c:f>'Shortage Distributions'!$E$1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'Shortage Distributions'!$D$3:$D$10</c:f>
              <c:strCache>
                <c:ptCount val="8"/>
                <c:pt idx="0">
                  <c:v>2.438</c:v>
                </c:pt>
                <c:pt idx="1">
                  <c:v>2.06</c:v>
                </c:pt>
                <c:pt idx="2">
                  <c:v>1.69</c:v>
                </c:pt>
                <c:pt idx="3">
                  <c:v>1.31</c:v>
                </c:pt>
                <c:pt idx="4">
                  <c:v>0.94</c:v>
                </c:pt>
                <c:pt idx="5">
                  <c:v>0.56</c:v>
                </c:pt>
                <c:pt idx="6">
                  <c:v>0.19</c:v>
                </c:pt>
                <c:pt idx="7">
                  <c:v>&lt;=0</c:v>
                </c:pt>
              </c:strCache>
            </c:strRef>
          </c:cat>
          <c:val>
            <c:numRef>
              <c:f>'Shortage Distributions'!$F$3:$F$10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2.9411764705882353E-2</c:v>
                </c:pt>
                <c:pt idx="5">
                  <c:v>5.8823529411764712E-2</c:v>
                </c:pt>
                <c:pt idx="6">
                  <c:v>5.8823529411764705E-2</c:v>
                </c:pt>
                <c:pt idx="7">
                  <c:v>0.8529411764705882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4C-4237-82A2-13979027E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4258912"/>
        <c:axId val="904319232"/>
      </c:barChart>
      <c:catAx>
        <c:axId val="904258912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Shortage Event</a:t>
                </a:r>
                <a:r>
                  <a:rPr lang="en-US" baseline="0"/>
                  <a:t> (MAF)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210210210210208"/>
              <c:y val="0.93442413347849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19232"/>
        <c:crosses val="autoZero"/>
        <c:auto val="1"/>
        <c:lblAlgn val="ctr"/>
        <c:lblOffset val="100"/>
        <c:noMultiLvlLbl val="0"/>
      </c:catAx>
      <c:valAx>
        <c:axId val="904319232"/>
        <c:scaling>
          <c:orientation val="minMax"/>
          <c:max val="1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1"/>
              <a:lstStyle/>
              <a:p>
                <a:pPr>
                  <a:defRPr sz="12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f(e)</a:t>
                </a:r>
              </a:p>
            </c:rich>
          </c:tx>
          <c:layout>
            <c:manualLayout>
              <c:xMode val="edge"/>
              <c:yMode val="edge"/>
              <c:x val="6.8182355583930408E-3"/>
              <c:y val="0.303983087323087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1"/>
            <a:lstStyle/>
            <a:p>
              <a:pPr>
                <a:defRPr sz="12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258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Long-term 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Results_Volume!$D$4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Results_Volume!$C$5:$C$12</c:f>
              <c:strCache>
                <c:ptCount val="8"/>
                <c:pt idx="0">
                  <c:v> LS_RETRO</c:v>
                </c:pt>
                <c:pt idx="1">
                  <c:v> OPTION</c:v>
                </c:pt>
                <c:pt idx="2">
                  <c:v> L_REC</c:v>
                </c:pt>
                <c:pt idx="3">
                  <c:v> S_REC</c:v>
                </c:pt>
                <c:pt idx="4">
                  <c:v> L_DESAL</c:v>
                </c:pt>
                <c:pt idx="5">
                  <c:v> S_DESAL</c:v>
                </c:pt>
                <c:pt idx="6">
                  <c:v> L_GWR</c:v>
                </c:pt>
                <c:pt idx="7">
                  <c:v> S_GWR</c:v>
                </c:pt>
              </c:strCache>
            </c:strRef>
          </c:cat>
          <c:val>
            <c:numRef>
              <c:f>Results_Volume!$D$5:$D$12</c:f>
              <c:numCache>
                <c:formatCode>#,##0</c:formatCode>
                <c:ptCount val="8"/>
                <c:pt idx="0">
                  <c:v>0</c:v>
                </c:pt>
                <c:pt idx="1">
                  <c:v>200000</c:v>
                </c:pt>
                <c:pt idx="2">
                  <c:v>1000000</c:v>
                </c:pt>
                <c:pt idx="3">
                  <c:v>0</c:v>
                </c:pt>
                <c:pt idx="4">
                  <c:v>940000</c:v>
                </c:pt>
                <c:pt idx="5">
                  <c:v>0</c:v>
                </c:pt>
                <c:pt idx="6">
                  <c:v>50000</c:v>
                </c:pt>
                <c:pt idx="7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C-284B-AD16-30262481DED8}"/>
            </c:ext>
          </c:extLst>
        </c:ser>
        <c:ser>
          <c:idx val="1"/>
          <c:order val="1"/>
          <c:tx>
            <c:strRef>
              <c:f>Results_Volume!$E$4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Results_Volume!$C$5:$C$12</c:f>
              <c:strCache>
                <c:ptCount val="8"/>
                <c:pt idx="0">
                  <c:v> LS_RETRO</c:v>
                </c:pt>
                <c:pt idx="1">
                  <c:v> OPTION</c:v>
                </c:pt>
                <c:pt idx="2">
                  <c:v> L_REC</c:v>
                </c:pt>
                <c:pt idx="3">
                  <c:v> S_REC</c:v>
                </c:pt>
                <c:pt idx="4">
                  <c:v> L_DESAL</c:v>
                </c:pt>
                <c:pt idx="5">
                  <c:v> S_DESAL</c:v>
                </c:pt>
                <c:pt idx="6">
                  <c:v> L_GWR</c:v>
                </c:pt>
                <c:pt idx="7">
                  <c:v> S_GWR</c:v>
                </c:pt>
              </c:strCache>
            </c:strRef>
          </c:cat>
          <c:val>
            <c:numRef>
              <c:f>Results_Volume!$E$5:$E$12</c:f>
              <c:numCache>
                <c:formatCode>#,##0</c:formatCode>
                <c:ptCount val="8"/>
                <c:pt idx="0">
                  <c:v>0</c:v>
                </c:pt>
                <c:pt idx="1">
                  <c:v>200000</c:v>
                </c:pt>
                <c:pt idx="2">
                  <c:v>810000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50000</c:v>
                </c:pt>
                <c:pt idx="7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BC-284B-AD16-30262481DED8}"/>
            </c:ext>
          </c:extLst>
        </c:ser>
        <c:ser>
          <c:idx val="2"/>
          <c:order val="2"/>
          <c:tx>
            <c:strRef>
              <c:f>Results_Volume!$F$4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Results_Volume!$C$5:$C$12</c:f>
              <c:strCache>
                <c:ptCount val="8"/>
                <c:pt idx="0">
                  <c:v> LS_RETRO</c:v>
                </c:pt>
                <c:pt idx="1">
                  <c:v> OPTION</c:v>
                </c:pt>
                <c:pt idx="2">
                  <c:v> L_REC</c:v>
                </c:pt>
                <c:pt idx="3">
                  <c:v> S_REC</c:v>
                </c:pt>
                <c:pt idx="4">
                  <c:v> L_DESAL</c:v>
                </c:pt>
                <c:pt idx="5">
                  <c:v> S_DESAL</c:v>
                </c:pt>
                <c:pt idx="6">
                  <c:v> L_GWR</c:v>
                </c:pt>
                <c:pt idx="7">
                  <c:v> S_GWR</c:v>
                </c:pt>
              </c:strCache>
            </c:strRef>
          </c:cat>
          <c:val>
            <c:numRef>
              <c:f>Results_Volume!$F$5:$F$12</c:f>
              <c:numCache>
                <c:formatCode>#,##0</c:formatCode>
                <c:ptCount val="8"/>
                <c:pt idx="0">
                  <c:v>0</c:v>
                </c:pt>
                <c:pt idx="1">
                  <c:v>200000</c:v>
                </c:pt>
                <c:pt idx="2">
                  <c:v>440000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50000</c:v>
                </c:pt>
                <c:pt idx="7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BC-284B-AD16-30262481DED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6695056"/>
        <c:axId val="356679488"/>
      </c:barChart>
      <c:catAx>
        <c:axId val="3566950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79488"/>
        <c:crosses val="autoZero"/>
        <c:auto val="1"/>
        <c:lblAlgn val="ctr"/>
        <c:lblOffset val="100"/>
        <c:noMultiLvlLbl val="0"/>
      </c:catAx>
      <c:valAx>
        <c:axId val="356679488"/>
        <c:scaling>
          <c:orientation val="minMax"/>
          <c:max val="1100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[MAF]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9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Short-Term</a:t>
            </a:r>
            <a:r>
              <a:rPr lang="en-US" baseline="0"/>
              <a:t> Measures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Results_Volume!$D$4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Results_Volume!$B$16:$C$36</c:f>
              <c:multiLvlStrCache>
                <c:ptCount val="21"/>
                <c:lvl>
                  <c:pt idx="0">
                    <c:v> LS_RESTRICT</c:v>
                  </c:pt>
                  <c:pt idx="1">
                    <c:v> EX_OPTION</c:v>
                  </c:pt>
                  <c:pt idx="2">
                    <c:v> SPOT</c:v>
                  </c:pt>
                  <c:pt idx="3">
                    <c:v> LS_RESTRICT</c:v>
                  </c:pt>
                  <c:pt idx="4">
                    <c:v> EX_OPTION</c:v>
                  </c:pt>
                  <c:pt idx="5">
                    <c:v> SPOT</c:v>
                  </c:pt>
                  <c:pt idx="6">
                    <c:v> LS_RESTRICT</c:v>
                  </c:pt>
                  <c:pt idx="7">
                    <c:v> EX_OPTION</c:v>
                  </c:pt>
                  <c:pt idx="8">
                    <c:v> SPOT</c:v>
                  </c:pt>
                  <c:pt idx="9">
                    <c:v> LS_RESTRICT</c:v>
                  </c:pt>
                  <c:pt idx="10">
                    <c:v> EX_OPTION</c:v>
                  </c:pt>
                  <c:pt idx="11">
                    <c:v> SPOT</c:v>
                  </c:pt>
                  <c:pt idx="12">
                    <c:v> LS_RESTRICT</c:v>
                  </c:pt>
                  <c:pt idx="13">
                    <c:v> EX_OPTION</c:v>
                  </c:pt>
                  <c:pt idx="14">
                    <c:v> SPOT</c:v>
                  </c:pt>
                  <c:pt idx="15">
                    <c:v> LS_RESTRICT</c:v>
                  </c:pt>
                  <c:pt idx="16">
                    <c:v> EX_OPTION</c:v>
                  </c:pt>
                  <c:pt idx="17">
                    <c:v> SPOT</c:v>
                  </c:pt>
                  <c:pt idx="18">
                    <c:v> LS_RESTRICT</c:v>
                  </c:pt>
                  <c:pt idx="19">
                    <c:v> EX_OPTION</c:v>
                  </c:pt>
                  <c:pt idx="20">
                    <c:v> SPOT</c:v>
                  </c:pt>
                </c:lvl>
                <c:lvl>
                  <c:pt idx="0">
                    <c:v>S1</c:v>
                  </c:pt>
                  <c:pt idx="3">
                    <c:v>S2</c:v>
                  </c:pt>
                  <c:pt idx="6">
                    <c:v>S3</c:v>
                  </c:pt>
                  <c:pt idx="9">
                    <c:v>S4</c:v>
                  </c:pt>
                  <c:pt idx="12">
                    <c:v>S5</c:v>
                  </c:pt>
                  <c:pt idx="15">
                    <c:v>S6</c:v>
                  </c:pt>
                  <c:pt idx="18">
                    <c:v>S7</c:v>
                  </c:pt>
                </c:lvl>
              </c:multiLvlStrCache>
            </c:multiLvlStrRef>
          </c:cat>
          <c:val>
            <c:numRef>
              <c:f>Results_Volume!$D$16:$D$36</c:f>
              <c:numCache>
                <c:formatCode>#,##0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50000</c:v>
                </c:pt>
                <c:pt idx="17">
                  <c:v>0</c:v>
                </c:pt>
                <c:pt idx="18">
                  <c:v>180000</c:v>
                </c:pt>
                <c:pt idx="19">
                  <c:v>200000</c:v>
                </c:pt>
                <c:pt idx="20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0-0D48-B56D-64FC93A1CF1E}"/>
            </c:ext>
          </c:extLst>
        </c:ser>
        <c:ser>
          <c:idx val="1"/>
          <c:order val="1"/>
          <c:tx>
            <c:strRef>
              <c:f>Results_Volume!$E$4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Results_Volume!$B$16:$C$36</c:f>
              <c:multiLvlStrCache>
                <c:ptCount val="21"/>
                <c:lvl>
                  <c:pt idx="0">
                    <c:v> LS_RESTRICT</c:v>
                  </c:pt>
                  <c:pt idx="1">
                    <c:v> EX_OPTION</c:v>
                  </c:pt>
                  <c:pt idx="2">
                    <c:v> SPOT</c:v>
                  </c:pt>
                  <c:pt idx="3">
                    <c:v> LS_RESTRICT</c:v>
                  </c:pt>
                  <c:pt idx="4">
                    <c:v> EX_OPTION</c:v>
                  </c:pt>
                  <c:pt idx="5">
                    <c:v> SPOT</c:v>
                  </c:pt>
                  <c:pt idx="6">
                    <c:v> LS_RESTRICT</c:v>
                  </c:pt>
                  <c:pt idx="7">
                    <c:v> EX_OPTION</c:v>
                  </c:pt>
                  <c:pt idx="8">
                    <c:v> SPOT</c:v>
                  </c:pt>
                  <c:pt idx="9">
                    <c:v> LS_RESTRICT</c:v>
                  </c:pt>
                  <c:pt idx="10">
                    <c:v> EX_OPTION</c:v>
                  </c:pt>
                  <c:pt idx="11">
                    <c:v> SPOT</c:v>
                  </c:pt>
                  <c:pt idx="12">
                    <c:v> LS_RESTRICT</c:v>
                  </c:pt>
                  <c:pt idx="13">
                    <c:v> EX_OPTION</c:v>
                  </c:pt>
                  <c:pt idx="14">
                    <c:v> SPOT</c:v>
                  </c:pt>
                  <c:pt idx="15">
                    <c:v> LS_RESTRICT</c:v>
                  </c:pt>
                  <c:pt idx="16">
                    <c:v> EX_OPTION</c:v>
                  </c:pt>
                  <c:pt idx="17">
                    <c:v> SPOT</c:v>
                  </c:pt>
                  <c:pt idx="18">
                    <c:v> LS_RESTRICT</c:v>
                  </c:pt>
                  <c:pt idx="19">
                    <c:v> EX_OPTION</c:v>
                  </c:pt>
                  <c:pt idx="20">
                    <c:v> SPOT</c:v>
                  </c:pt>
                </c:lvl>
                <c:lvl>
                  <c:pt idx="0">
                    <c:v>S1</c:v>
                  </c:pt>
                  <c:pt idx="3">
                    <c:v>S2</c:v>
                  </c:pt>
                  <c:pt idx="6">
                    <c:v>S3</c:v>
                  </c:pt>
                  <c:pt idx="9">
                    <c:v>S4</c:v>
                  </c:pt>
                  <c:pt idx="12">
                    <c:v>S5</c:v>
                  </c:pt>
                  <c:pt idx="15">
                    <c:v>S6</c:v>
                  </c:pt>
                  <c:pt idx="18">
                    <c:v>S7</c:v>
                  </c:pt>
                </c:lvl>
              </c:multiLvlStrCache>
            </c:multiLvlStrRef>
          </c:cat>
          <c:val>
            <c:numRef>
              <c:f>Results_Volume!$E$16:$E$36</c:f>
              <c:numCache>
                <c:formatCode>#,##0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60000</c:v>
                </c:pt>
                <c:pt idx="8">
                  <c:v>0</c:v>
                </c:pt>
                <c:pt idx="9">
                  <c:v>180000</c:v>
                </c:pt>
                <c:pt idx="10">
                  <c:v>200000</c:v>
                </c:pt>
                <c:pt idx="11">
                  <c:v>50000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0-0D48-B56D-64FC93A1CF1E}"/>
            </c:ext>
          </c:extLst>
        </c:ser>
        <c:ser>
          <c:idx val="2"/>
          <c:order val="2"/>
          <c:tx>
            <c:strRef>
              <c:f>Results_Volume!$F$4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Results_Volume!$B$16:$C$36</c:f>
              <c:multiLvlStrCache>
                <c:ptCount val="21"/>
                <c:lvl>
                  <c:pt idx="0">
                    <c:v> LS_RESTRICT</c:v>
                  </c:pt>
                  <c:pt idx="1">
                    <c:v> EX_OPTION</c:v>
                  </c:pt>
                  <c:pt idx="2">
                    <c:v> SPOT</c:v>
                  </c:pt>
                  <c:pt idx="3">
                    <c:v> LS_RESTRICT</c:v>
                  </c:pt>
                  <c:pt idx="4">
                    <c:v> EX_OPTION</c:v>
                  </c:pt>
                  <c:pt idx="5">
                    <c:v> SPOT</c:v>
                  </c:pt>
                  <c:pt idx="6">
                    <c:v> LS_RESTRICT</c:v>
                  </c:pt>
                  <c:pt idx="7">
                    <c:v> EX_OPTION</c:v>
                  </c:pt>
                  <c:pt idx="8">
                    <c:v> SPOT</c:v>
                  </c:pt>
                  <c:pt idx="9">
                    <c:v> LS_RESTRICT</c:v>
                  </c:pt>
                  <c:pt idx="10">
                    <c:v> EX_OPTION</c:v>
                  </c:pt>
                  <c:pt idx="11">
                    <c:v> SPOT</c:v>
                  </c:pt>
                  <c:pt idx="12">
                    <c:v> LS_RESTRICT</c:v>
                  </c:pt>
                  <c:pt idx="13">
                    <c:v> EX_OPTION</c:v>
                  </c:pt>
                  <c:pt idx="14">
                    <c:v> SPOT</c:v>
                  </c:pt>
                  <c:pt idx="15">
                    <c:v> LS_RESTRICT</c:v>
                  </c:pt>
                  <c:pt idx="16">
                    <c:v> EX_OPTION</c:v>
                  </c:pt>
                  <c:pt idx="17">
                    <c:v> SPOT</c:v>
                  </c:pt>
                  <c:pt idx="18">
                    <c:v> LS_RESTRICT</c:v>
                  </c:pt>
                  <c:pt idx="19">
                    <c:v> EX_OPTION</c:v>
                  </c:pt>
                  <c:pt idx="20">
                    <c:v> SPOT</c:v>
                  </c:pt>
                </c:lvl>
                <c:lvl>
                  <c:pt idx="0">
                    <c:v>S1</c:v>
                  </c:pt>
                  <c:pt idx="3">
                    <c:v>S2</c:v>
                  </c:pt>
                  <c:pt idx="6">
                    <c:v>S3</c:v>
                  </c:pt>
                  <c:pt idx="9">
                    <c:v>S4</c:v>
                  </c:pt>
                  <c:pt idx="12">
                    <c:v>S5</c:v>
                  </c:pt>
                  <c:pt idx="15">
                    <c:v>S6</c:v>
                  </c:pt>
                  <c:pt idx="18">
                    <c:v>S7</c:v>
                  </c:pt>
                </c:lvl>
              </c:multiLvlStrCache>
            </c:multiLvlStrRef>
          </c:cat>
          <c:val>
            <c:numRef>
              <c:f>Results_Volume!$F$16:$F$36</c:f>
              <c:numCache>
                <c:formatCode>#,##0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50000</c:v>
                </c:pt>
                <c:pt idx="5">
                  <c:v>0</c:v>
                </c:pt>
                <c:pt idx="6">
                  <c:v>180000</c:v>
                </c:pt>
                <c:pt idx="7">
                  <c:v>200000</c:v>
                </c:pt>
                <c:pt idx="8">
                  <c:v>50000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E0-0D48-B56D-64FC93A1C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7374432"/>
        <c:axId val="357003840"/>
      </c:barChart>
      <c:catAx>
        <c:axId val="3573744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03840"/>
        <c:crosses val="autoZero"/>
        <c:auto val="1"/>
        <c:lblAlgn val="ctr"/>
        <c:lblOffset val="100"/>
        <c:noMultiLvlLbl val="0"/>
      </c:catAx>
      <c:valAx>
        <c:axId val="3570038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[MAF]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37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Results_Volume!$Q$4</c:f>
              <c:strCache>
                <c:ptCount val="1"/>
                <c:pt idx="0">
                  <c:v> LS_RETRO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Results_Volume!$Q$5:$Q$25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8-7148-A398-9E3B9EC472B3}"/>
            </c:ext>
          </c:extLst>
        </c:ser>
        <c:ser>
          <c:idx val="1"/>
          <c:order val="1"/>
          <c:tx>
            <c:strRef>
              <c:f>Results_Volume!$R$4</c:f>
              <c:strCache>
                <c:ptCount val="1"/>
                <c:pt idx="0">
                  <c:v> L_DESAL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Results_Volume!$R$5:$R$25</c:f>
              <c:numCache>
                <c:formatCode>_(* #,##0_);_(* \(#,##0\);_(* "-"??_);_(@_)</c:formatCode>
                <c:ptCount val="21"/>
                <c:pt idx="0">
                  <c:v>500000</c:v>
                </c:pt>
                <c:pt idx="1">
                  <c:v>500000</c:v>
                </c:pt>
                <c:pt idx="2">
                  <c:v>500000</c:v>
                </c:pt>
                <c:pt idx="3">
                  <c:v>500000</c:v>
                </c:pt>
                <c:pt idx="4">
                  <c:v>500000</c:v>
                </c:pt>
                <c:pt idx="5">
                  <c:v>500000</c:v>
                </c:pt>
                <c:pt idx="6">
                  <c:v>500000</c:v>
                </c:pt>
                <c:pt idx="7">
                  <c:v>500000</c:v>
                </c:pt>
                <c:pt idx="8">
                  <c:v>500000</c:v>
                </c:pt>
                <c:pt idx="9">
                  <c:v>500000</c:v>
                </c:pt>
                <c:pt idx="10">
                  <c:v>500000</c:v>
                </c:pt>
                <c:pt idx="11">
                  <c:v>500000</c:v>
                </c:pt>
                <c:pt idx="12">
                  <c:v>500000</c:v>
                </c:pt>
                <c:pt idx="13">
                  <c:v>500000</c:v>
                </c:pt>
                <c:pt idx="14">
                  <c:v>500000</c:v>
                </c:pt>
                <c:pt idx="15">
                  <c:v>500000</c:v>
                </c:pt>
                <c:pt idx="16">
                  <c:v>500000</c:v>
                </c:pt>
                <c:pt idx="17">
                  <c:v>500000</c:v>
                </c:pt>
                <c:pt idx="18">
                  <c:v>500000</c:v>
                </c:pt>
                <c:pt idx="19">
                  <c:v>500000</c:v>
                </c:pt>
                <c:pt idx="20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68-7148-A398-9E3B9EC472B3}"/>
            </c:ext>
          </c:extLst>
        </c:ser>
        <c:ser>
          <c:idx val="2"/>
          <c:order val="2"/>
          <c:tx>
            <c:strRef>
              <c:f>Results_Volume!$S$4</c:f>
              <c:strCache>
                <c:ptCount val="1"/>
                <c:pt idx="0">
                  <c:v> L_GWR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Results_Volume!$S$5:$S$25</c:f>
              <c:numCache>
                <c:formatCode>_(* #,##0_);_(* \(#,##0\);_(* "-"??_);_(@_)</c:formatCode>
                <c:ptCount val="21"/>
                <c:pt idx="0">
                  <c:v>50000</c:v>
                </c:pt>
                <c:pt idx="1">
                  <c:v>50000</c:v>
                </c:pt>
                <c:pt idx="2">
                  <c:v>50000</c:v>
                </c:pt>
                <c:pt idx="3">
                  <c:v>50000</c:v>
                </c:pt>
                <c:pt idx="4">
                  <c:v>50000</c:v>
                </c:pt>
                <c:pt idx="5">
                  <c:v>50000</c:v>
                </c:pt>
                <c:pt idx="6">
                  <c:v>50000</c:v>
                </c:pt>
                <c:pt idx="7">
                  <c:v>50000</c:v>
                </c:pt>
                <c:pt idx="8">
                  <c:v>50000</c:v>
                </c:pt>
                <c:pt idx="9">
                  <c:v>50000</c:v>
                </c:pt>
                <c:pt idx="10">
                  <c:v>50000</c:v>
                </c:pt>
                <c:pt idx="11">
                  <c:v>50000</c:v>
                </c:pt>
                <c:pt idx="12">
                  <c:v>50000</c:v>
                </c:pt>
                <c:pt idx="13">
                  <c:v>50000</c:v>
                </c:pt>
                <c:pt idx="14">
                  <c:v>50000</c:v>
                </c:pt>
                <c:pt idx="15">
                  <c:v>50000</c:v>
                </c:pt>
                <c:pt idx="16">
                  <c:v>50000</c:v>
                </c:pt>
                <c:pt idx="17">
                  <c:v>50000</c:v>
                </c:pt>
                <c:pt idx="18">
                  <c:v>50000</c:v>
                </c:pt>
                <c:pt idx="19">
                  <c:v>50000</c:v>
                </c:pt>
                <c:pt idx="20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68-7148-A398-9E3B9EC472B3}"/>
            </c:ext>
          </c:extLst>
        </c:ser>
        <c:ser>
          <c:idx val="3"/>
          <c:order val="3"/>
          <c:tx>
            <c:strRef>
              <c:f>Results_Volume!$T$4</c:f>
              <c:strCache>
                <c:ptCount val="1"/>
                <c:pt idx="0">
                  <c:v> L_REC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Results_Volume!$T$5:$T$25</c:f>
              <c:numCache>
                <c:formatCode>_(* #,##0_);_(* \(#,##0\);_(* "-"??_);_(@_)</c:formatCode>
                <c:ptCount val="21"/>
                <c:pt idx="0">
                  <c:v>1000000</c:v>
                </c:pt>
                <c:pt idx="1">
                  <c:v>1000000</c:v>
                </c:pt>
                <c:pt idx="2">
                  <c:v>1000000</c:v>
                </c:pt>
                <c:pt idx="3">
                  <c:v>1000000</c:v>
                </c:pt>
                <c:pt idx="4">
                  <c:v>1000000</c:v>
                </c:pt>
                <c:pt idx="5">
                  <c:v>1000000</c:v>
                </c:pt>
                <c:pt idx="6">
                  <c:v>1000000</c:v>
                </c:pt>
                <c:pt idx="7">
                  <c:v>1000000</c:v>
                </c:pt>
                <c:pt idx="8">
                  <c:v>1000000</c:v>
                </c:pt>
                <c:pt idx="9">
                  <c:v>1000000</c:v>
                </c:pt>
                <c:pt idx="10">
                  <c:v>1000000</c:v>
                </c:pt>
                <c:pt idx="11">
                  <c:v>1000000</c:v>
                </c:pt>
                <c:pt idx="12">
                  <c:v>1000000</c:v>
                </c:pt>
                <c:pt idx="13">
                  <c:v>1000000</c:v>
                </c:pt>
                <c:pt idx="14">
                  <c:v>1000000</c:v>
                </c:pt>
                <c:pt idx="15">
                  <c:v>1000000</c:v>
                </c:pt>
                <c:pt idx="16">
                  <c:v>1000000</c:v>
                </c:pt>
                <c:pt idx="17">
                  <c:v>1000000</c:v>
                </c:pt>
                <c:pt idx="18">
                  <c:v>1000000</c:v>
                </c:pt>
                <c:pt idx="19">
                  <c:v>1000000</c:v>
                </c:pt>
                <c:pt idx="20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68-7148-A398-9E3B9EC472B3}"/>
            </c:ext>
          </c:extLst>
        </c:ser>
        <c:ser>
          <c:idx val="4"/>
          <c:order val="4"/>
          <c:tx>
            <c:strRef>
              <c:f>Results_Volume!$U$4</c:f>
              <c:strCache>
                <c:ptCount val="1"/>
                <c:pt idx="0">
                  <c:v> OPTION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Results_Volume!$U$5:$U$25</c:f>
              <c:numCache>
                <c:formatCode>_(* #,##0_);_(* \(#,##0\);_(* "-"??_);_(@_)</c:formatCode>
                <c:ptCount val="21"/>
                <c:pt idx="0">
                  <c:v>200000</c:v>
                </c:pt>
                <c:pt idx="1">
                  <c:v>200000</c:v>
                </c:pt>
                <c:pt idx="2">
                  <c:v>200000</c:v>
                </c:pt>
                <c:pt idx="3">
                  <c:v>200000</c:v>
                </c:pt>
                <c:pt idx="4">
                  <c:v>200000</c:v>
                </c:pt>
                <c:pt idx="5">
                  <c:v>200000</c:v>
                </c:pt>
                <c:pt idx="6">
                  <c:v>200000</c:v>
                </c:pt>
                <c:pt idx="7">
                  <c:v>200000</c:v>
                </c:pt>
                <c:pt idx="8">
                  <c:v>200000</c:v>
                </c:pt>
                <c:pt idx="9">
                  <c:v>200000</c:v>
                </c:pt>
                <c:pt idx="10">
                  <c:v>200000</c:v>
                </c:pt>
                <c:pt idx="11">
                  <c:v>200000</c:v>
                </c:pt>
                <c:pt idx="12">
                  <c:v>200000</c:v>
                </c:pt>
                <c:pt idx="13">
                  <c:v>200000</c:v>
                </c:pt>
                <c:pt idx="14">
                  <c:v>200000</c:v>
                </c:pt>
                <c:pt idx="15">
                  <c:v>200000</c:v>
                </c:pt>
                <c:pt idx="16">
                  <c:v>200000</c:v>
                </c:pt>
                <c:pt idx="17">
                  <c:v>200000</c:v>
                </c:pt>
                <c:pt idx="18">
                  <c:v>200000</c:v>
                </c:pt>
                <c:pt idx="19">
                  <c:v>200000</c:v>
                </c:pt>
                <c:pt idx="20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68-7148-A398-9E3B9EC472B3}"/>
            </c:ext>
          </c:extLst>
        </c:ser>
        <c:ser>
          <c:idx val="5"/>
          <c:order val="5"/>
          <c:tx>
            <c:strRef>
              <c:f>Results_Volume!$V$4</c:f>
              <c:strCache>
                <c:ptCount val="1"/>
                <c:pt idx="0">
                  <c:v> S_DESAL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Results_Volume!$V$5:$V$25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68-7148-A398-9E3B9EC472B3}"/>
            </c:ext>
          </c:extLst>
        </c:ser>
        <c:ser>
          <c:idx val="6"/>
          <c:order val="6"/>
          <c:tx>
            <c:strRef>
              <c:f>Results_Volume!$W$4</c:f>
              <c:strCache>
                <c:ptCount val="1"/>
                <c:pt idx="0">
                  <c:v> S_GWR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Results_Volume!$W$5:$W$25</c:f>
              <c:numCache>
                <c:formatCode>_(* #,##0_);_(* \(#,##0\);_(* "-"??_);_(@_)</c:formatCode>
                <c:ptCount val="21"/>
                <c:pt idx="0">
                  <c:v>10000.0000000001</c:v>
                </c:pt>
                <c:pt idx="1">
                  <c:v>10000.0000000001</c:v>
                </c:pt>
                <c:pt idx="2">
                  <c:v>10000.0000000001</c:v>
                </c:pt>
                <c:pt idx="3">
                  <c:v>10000.0000000001</c:v>
                </c:pt>
                <c:pt idx="4">
                  <c:v>10000.0000000001</c:v>
                </c:pt>
                <c:pt idx="5">
                  <c:v>10000.0000000001</c:v>
                </c:pt>
                <c:pt idx="6">
                  <c:v>10000.0000000001</c:v>
                </c:pt>
                <c:pt idx="7">
                  <c:v>10000.0000000001</c:v>
                </c:pt>
                <c:pt idx="8">
                  <c:v>10000.0000000001</c:v>
                </c:pt>
                <c:pt idx="9">
                  <c:v>10000.0000000001</c:v>
                </c:pt>
                <c:pt idx="10">
                  <c:v>10000.0000000001</c:v>
                </c:pt>
                <c:pt idx="11">
                  <c:v>10000.0000000001</c:v>
                </c:pt>
                <c:pt idx="12">
                  <c:v>10000.0000000001</c:v>
                </c:pt>
                <c:pt idx="13">
                  <c:v>10000.0000000001</c:v>
                </c:pt>
                <c:pt idx="14">
                  <c:v>10000.0000000001</c:v>
                </c:pt>
                <c:pt idx="15">
                  <c:v>10000.0000000001</c:v>
                </c:pt>
                <c:pt idx="16">
                  <c:v>10000.0000000001</c:v>
                </c:pt>
                <c:pt idx="17">
                  <c:v>10000.0000000001</c:v>
                </c:pt>
                <c:pt idx="18">
                  <c:v>10000.0000000001</c:v>
                </c:pt>
                <c:pt idx="19">
                  <c:v>10000.0000000001</c:v>
                </c:pt>
                <c:pt idx="20">
                  <c:v>10000.0000000001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68-7148-A398-9E3B9EC472B3}"/>
            </c:ext>
          </c:extLst>
        </c:ser>
        <c:ser>
          <c:idx val="7"/>
          <c:order val="7"/>
          <c:tx>
            <c:strRef>
              <c:f>Results_Volume!$X$4</c:f>
              <c:strCache>
                <c:ptCount val="1"/>
                <c:pt idx="0">
                  <c:v> S_REC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Results_Volume!$X$5:$X$25</c:f>
              <c:numCache>
                <c:formatCode>_(* #,##0_);_(* \(#,##0\);_(* "-"??_);_(@_)</c:formatCode>
                <c:ptCount val="21"/>
                <c:pt idx="0">
                  <c:v>-2.8421709430404001E-11</c:v>
                </c:pt>
                <c:pt idx="1">
                  <c:v>-2.8421709430404001E-11</c:v>
                </c:pt>
                <c:pt idx="2">
                  <c:v>-2.8421709430404001E-11</c:v>
                </c:pt>
                <c:pt idx="3">
                  <c:v>-2.8421709430404001E-11</c:v>
                </c:pt>
                <c:pt idx="4">
                  <c:v>-2.8421709430404001E-11</c:v>
                </c:pt>
                <c:pt idx="5">
                  <c:v>-2.8421709430404001E-11</c:v>
                </c:pt>
                <c:pt idx="6">
                  <c:v>-2.8421709430404001E-11</c:v>
                </c:pt>
                <c:pt idx="7">
                  <c:v>-2.8421709430404001E-11</c:v>
                </c:pt>
                <c:pt idx="8">
                  <c:v>-2.8421709430404001E-11</c:v>
                </c:pt>
                <c:pt idx="9">
                  <c:v>-2.8421709430404001E-11</c:v>
                </c:pt>
                <c:pt idx="10">
                  <c:v>-2.8421709430404001E-11</c:v>
                </c:pt>
                <c:pt idx="11">
                  <c:v>-2.8421709430404001E-11</c:v>
                </c:pt>
                <c:pt idx="12">
                  <c:v>-2.8421709430404001E-11</c:v>
                </c:pt>
                <c:pt idx="13">
                  <c:v>-2.8421709430404001E-11</c:v>
                </c:pt>
                <c:pt idx="14">
                  <c:v>-2.8421709430404001E-11</c:v>
                </c:pt>
                <c:pt idx="15">
                  <c:v>-2.8421709430404001E-11</c:v>
                </c:pt>
                <c:pt idx="16">
                  <c:v>-2.8421709430404001E-11</c:v>
                </c:pt>
                <c:pt idx="17">
                  <c:v>-2.8421709430404001E-11</c:v>
                </c:pt>
                <c:pt idx="18">
                  <c:v>-2.8421709430404001E-11</c:v>
                </c:pt>
                <c:pt idx="19">
                  <c:v>-2.8421709430404001E-11</c:v>
                </c:pt>
                <c:pt idx="20">
                  <c:v>-2.8421709430404001E-11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68-7148-A398-9E3B9EC472B3}"/>
            </c:ext>
          </c:extLst>
        </c:ser>
        <c:ser>
          <c:idx val="8"/>
          <c:order val="8"/>
          <c:tx>
            <c:strRef>
              <c:f>Results_Volume!$Y$4</c:f>
              <c:strCache>
                <c:ptCount val="1"/>
                <c:pt idx="0">
                  <c:v> LS_RETRO_Exp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Results_Volume!$Y$5:$Y$25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68-7148-A398-9E3B9EC472B3}"/>
            </c:ext>
          </c:extLst>
        </c:ser>
        <c:ser>
          <c:idx val="9"/>
          <c:order val="9"/>
          <c:tx>
            <c:strRef>
              <c:f>Results_Volume!$Z$4</c:f>
              <c:strCache>
                <c:ptCount val="1"/>
                <c:pt idx="0">
                  <c:v> L_DESAL_Exp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Results_Volume!$Z$5:$Z$25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68-7148-A398-9E3B9EC472B3}"/>
            </c:ext>
          </c:extLst>
        </c:ser>
        <c:ser>
          <c:idx val="10"/>
          <c:order val="10"/>
          <c:tx>
            <c:strRef>
              <c:f>Results_Volume!$AA$4</c:f>
              <c:strCache>
                <c:ptCount val="1"/>
                <c:pt idx="0">
                  <c:v> L_GWR_Exp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Results_Volume!$AA$5:$AA$25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68-7148-A398-9E3B9EC472B3}"/>
            </c:ext>
          </c:extLst>
        </c:ser>
        <c:ser>
          <c:idx val="11"/>
          <c:order val="11"/>
          <c:tx>
            <c:strRef>
              <c:f>Results_Volume!$AB$4</c:f>
              <c:strCache>
                <c:ptCount val="1"/>
                <c:pt idx="0">
                  <c:v> L_REC_Exp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Results_Volume!$AB$5:$AB$25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299999.99999999901</c:v>
                </c:pt>
                <c:pt idx="15">
                  <c:v>299999.99999999901</c:v>
                </c:pt>
                <c:pt idx="16">
                  <c:v>299999.99999999901</c:v>
                </c:pt>
                <c:pt idx="17">
                  <c:v>299999.99999999901</c:v>
                </c:pt>
                <c:pt idx="18">
                  <c:v>299999.99999999901</c:v>
                </c:pt>
                <c:pt idx="19">
                  <c:v>299999.99999999901</c:v>
                </c:pt>
                <c:pt idx="20">
                  <c:v>299999.99999999901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68-7148-A398-9E3B9EC472B3}"/>
            </c:ext>
          </c:extLst>
        </c:ser>
        <c:ser>
          <c:idx val="12"/>
          <c:order val="12"/>
          <c:tx>
            <c:strRef>
              <c:f>Results_Volume!$AC$4</c:f>
              <c:strCache>
                <c:ptCount val="1"/>
                <c:pt idx="0">
                  <c:v> OPTION_Exp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Results_Volume!$AC$5:$AC$25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68-7148-A398-9E3B9EC472B3}"/>
            </c:ext>
          </c:extLst>
        </c:ser>
        <c:ser>
          <c:idx val="13"/>
          <c:order val="13"/>
          <c:tx>
            <c:strRef>
              <c:f>Results_Volume!$AD$4</c:f>
              <c:strCache>
                <c:ptCount val="1"/>
                <c:pt idx="0">
                  <c:v> S_DESAL_Exp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Results_Volume!$AD$5:$AD$25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068-7148-A398-9E3B9EC472B3}"/>
            </c:ext>
          </c:extLst>
        </c:ser>
        <c:ser>
          <c:idx val="14"/>
          <c:order val="14"/>
          <c:tx>
            <c:strRef>
              <c:f>Results_Volume!$AE$4</c:f>
              <c:strCache>
                <c:ptCount val="1"/>
                <c:pt idx="0">
                  <c:v> S_GWR_Exp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Results_Volume!$AE$5:$AE$25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068-7148-A398-9E3B9EC472B3}"/>
            </c:ext>
          </c:extLst>
        </c:ser>
        <c:ser>
          <c:idx val="15"/>
          <c:order val="15"/>
          <c:tx>
            <c:strRef>
              <c:f>Results_Volume!$AF$4</c:f>
              <c:strCache>
                <c:ptCount val="1"/>
                <c:pt idx="0">
                  <c:v> S_REC_Exp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Results_Volume!$AF$5:$AF$25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068-7148-A398-9E3B9EC472B3}"/>
            </c:ext>
          </c:extLst>
        </c:ser>
        <c:ser>
          <c:idx val="16"/>
          <c:order val="16"/>
          <c:tx>
            <c:strRef>
              <c:f>Results_Volume!$AG$4</c:f>
              <c:strCache>
                <c:ptCount val="1"/>
                <c:pt idx="0">
                  <c:v> EX_LT_OPTION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Results_Volume!$AG$5:$AG$25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50000</c:v>
                </c:pt>
                <c:pt idx="20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068-7148-A398-9E3B9EC472B3}"/>
            </c:ext>
          </c:extLst>
        </c:ser>
        <c:ser>
          <c:idx val="17"/>
          <c:order val="17"/>
          <c:tx>
            <c:strRef>
              <c:f>Results_Volume!$AH$4</c:f>
              <c:strCache>
                <c:ptCount val="1"/>
                <c:pt idx="0">
                  <c:v> EX_MT_OPTION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Results_Volume!$AH$5:$AH$25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068-7148-A398-9E3B9EC472B3}"/>
            </c:ext>
          </c:extLst>
        </c:ser>
        <c:ser>
          <c:idx val="18"/>
          <c:order val="18"/>
          <c:tx>
            <c:strRef>
              <c:f>Results_Volume!$AI$4</c:f>
              <c:strCache>
                <c:ptCount val="1"/>
                <c:pt idx="0">
                  <c:v> LS_RESTRICT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Results_Volume!$AI$5:$AI$25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068-7148-A398-9E3B9EC472B3}"/>
            </c:ext>
          </c:extLst>
        </c:ser>
        <c:ser>
          <c:idx val="19"/>
          <c:order val="19"/>
          <c:tx>
            <c:strRef>
              <c:f>Results_Volume!$AJ$4</c:f>
              <c:strCache>
                <c:ptCount val="1"/>
                <c:pt idx="0">
                  <c:v> SPOT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Results_Volume!$O$5:$P$25</c:f>
              <c:multiLvlStrCache>
                <c:ptCount val="21"/>
                <c:lvl>
                  <c:pt idx="0">
                    <c:v>S1</c:v>
                  </c:pt>
                  <c:pt idx="1">
                    <c:v>S2</c:v>
                  </c:pt>
                  <c:pt idx="2">
                    <c:v>S3</c:v>
                  </c:pt>
                  <c:pt idx="3">
                    <c:v>S4</c:v>
                  </c:pt>
                  <c:pt idx="4">
                    <c:v>S5</c:v>
                  </c:pt>
                  <c:pt idx="5">
                    <c:v>S6</c:v>
                  </c:pt>
                  <c:pt idx="6">
                    <c:v>S7</c:v>
                  </c:pt>
                  <c:pt idx="7">
                    <c:v>S1</c:v>
                  </c:pt>
                  <c:pt idx="8">
                    <c:v>S2</c:v>
                  </c:pt>
                  <c:pt idx="9">
                    <c:v>S3</c:v>
                  </c:pt>
                  <c:pt idx="10">
                    <c:v>S4</c:v>
                  </c:pt>
                  <c:pt idx="11">
                    <c:v>S5</c:v>
                  </c:pt>
                  <c:pt idx="12">
                    <c:v>S6</c:v>
                  </c:pt>
                  <c:pt idx="13">
                    <c:v>S7</c:v>
                  </c:pt>
                  <c:pt idx="14">
                    <c:v>S1</c:v>
                  </c:pt>
                  <c:pt idx="15">
                    <c:v>S2</c:v>
                  </c:pt>
                  <c:pt idx="16">
                    <c:v>S3</c:v>
                  </c:pt>
                  <c:pt idx="17">
                    <c:v>S4</c:v>
                  </c:pt>
                  <c:pt idx="18">
                    <c:v>S5</c:v>
                  </c:pt>
                  <c:pt idx="19">
                    <c:v>S6</c:v>
                  </c:pt>
                  <c:pt idx="20">
                    <c:v>S7</c:v>
                  </c:pt>
                </c:lvl>
                <c:lvl>
                  <c:pt idx="0">
                    <c:v>Low</c:v>
                  </c:pt>
                  <c:pt idx="7">
                    <c:v>Mid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Results_Volume!$AJ$5:$AJ$25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068-7148-A398-9E3B9EC47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0434991"/>
        <c:axId val="860848127"/>
      </c:barChart>
      <c:catAx>
        <c:axId val="86043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48127"/>
        <c:crosses val="autoZero"/>
        <c:auto val="1"/>
        <c:lblAlgn val="ctr"/>
        <c:lblOffset val="100"/>
        <c:noMultiLvlLbl val="0"/>
      </c:catAx>
      <c:valAx>
        <c:axId val="860848127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43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Results_Cost!$D$4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Results_Cost!$C$5:$C$12</c:f>
              <c:strCache>
                <c:ptCount val="8"/>
                <c:pt idx="0">
                  <c:v> LS_RETRO</c:v>
                </c:pt>
                <c:pt idx="1">
                  <c:v> L_DESAL</c:v>
                </c:pt>
                <c:pt idx="2">
                  <c:v> L_GWR</c:v>
                </c:pt>
                <c:pt idx="3">
                  <c:v> L_REC</c:v>
                </c:pt>
                <c:pt idx="4">
                  <c:v> OPTION</c:v>
                </c:pt>
                <c:pt idx="5">
                  <c:v> S_DESAL</c:v>
                </c:pt>
                <c:pt idx="6">
                  <c:v> S_GWR</c:v>
                </c:pt>
                <c:pt idx="7">
                  <c:v> S_REC</c:v>
                </c:pt>
              </c:strCache>
            </c:strRef>
          </c:cat>
          <c:val>
            <c:numRef>
              <c:f>Results_Cost!$D$5:$D$12</c:f>
              <c:numCache>
                <c:formatCode>_("$"* #,##0_);_("$"* \(#,##0\);_("$"* "-"??_);_(@_)</c:formatCode>
                <c:ptCount val="8"/>
                <c:pt idx="0">
                  <c:v>0</c:v>
                </c:pt>
                <c:pt idx="1">
                  <c:v>1974000000</c:v>
                </c:pt>
                <c:pt idx="2">
                  <c:v>55000000</c:v>
                </c:pt>
                <c:pt idx="3">
                  <c:v>1800000000</c:v>
                </c:pt>
                <c:pt idx="4">
                  <c:v>4000000</c:v>
                </c:pt>
                <c:pt idx="5">
                  <c:v>0</c:v>
                </c:pt>
                <c:pt idx="6">
                  <c:v>32000000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E-E245-B356-E76AAB129AF0}"/>
            </c:ext>
          </c:extLst>
        </c:ser>
        <c:ser>
          <c:idx val="1"/>
          <c:order val="1"/>
          <c:tx>
            <c:strRef>
              <c:f>Results_Cost!$E$4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Results_Cost!$C$5:$C$12</c:f>
              <c:strCache>
                <c:ptCount val="8"/>
                <c:pt idx="0">
                  <c:v> LS_RETRO</c:v>
                </c:pt>
                <c:pt idx="1">
                  <c:v> L_DESAL</c:v>
                </c:pt>
                <c:pt idx="2">
                  <c:v> L_GWR</c:v>
                </c:pt>
                <c:pt idx="3">
                  <c:v> L_REC</c:v>
                </c:pt>
                <c:pt idx="4">
                  <c:v> OPTION</c:v>
                </c:pt>
                <c:pt idx="5">
                  <c:v> S_DESAL</c:v>
                </c:pt>
                <c:pt idx="6">
                  <c:v> S_GWR</c:v>
                </c:pt>
                <c:pt idx="7">
                  <c:v> S_REC</c:v>
                </c:pt>
              </c:strCache>
            </c:strRef>
          </c:cat>
          <c:val>
            <c:numRef>
              <c:f>Results_Cost!$E$5:$E$12</c:f>
              <c:numCache>
                <c:formatCode>_("$"* #,##0_);_("$"* \(#,##0\);_("$"*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55000000</c:v>
                </c:pt>
                <c:pt idx="3">
                  <c:v>1458000000</c:v>
                </c:pt>
                <c:pt idx="4">
                  <c:v>4000000</c:v>
                </c:pt>
                <c:pt idx="5">
                  <c:v>0</c:v>
                </c:pt>
                <c:pt idx="6">
                  <c:v>32000000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E-E245-B356-E76AAB129AF0}"/>
            </c:ext>
          </c:extLst>
        </c:ser>
        <c:ser>
          <c:idx val="2"/>
          <c:order val="2"/>
          <c:tx>
            <c:strRef>
              <c:f>Results_Cost!$F$4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Results_Cost!$C$5:$C$12</c:f>
              <c:strCache>
                <c:ptCount val="8"/>
                <c:pt idx="0">
                  <c:v> LS_RETRO</c:v>
                </c:pt>
                <c:pt idx="1">
                  <c:v> L_DESAL</c:v>
                </c:pt>
                <c:pt idx="2">
                  <c:v> L_GWR</c:v>
                </c:pt>
                <c:pt idx="3">
                  <c:v> L_REC</c:v>
                </c:pt>
                <c:pt idx="4">
                  <c:v> OPTION</c:v>
                </c:pt>
                <c:pt idx="5">
                  <c:v> S_DESAL</c:v>
                </c:pt>
                <c:pt idx="6">
                  <c:v> S_GWR</c:v>
                </c:pt>
                <c:pt idx="7">
                  <c:v> S_REC</c:v>
                </c:pt>
              </c:strCache>
            </c:strRef>
          </c:cat>
          <c:val>
            <c:numRef>
              <c:f>Results_Cost!$F$5:$F$12</c:f>
              <c:numCache>
                <c:formatCode>_("$"* #,##0_);_("$"* \(#,##0\);_("$"*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55000000</c:v>
                </c:pt>
                <c:pt idx="3">
                  <c:v>792000000</c:v>
                </c:pt>
                <c:pt idx="4">
                  <c:v>4000000</c:v>
                </c:pt>
                <c:pt idx="5">
                  <c:v>0</c:v>
                </c:pt>
                <c:pt idx="6">
                  <c:v>32000000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E-E245-B356-E76AAB129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564896"/>
        <c:axId val="552592976"/>
      </c:barChart>
      <c:catAx>
        <c:axId val="55256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92976"/>
        <c:crosses val="autoZero"/>
        <c:auto val="1"/>
        <c:lblAlgn val="ctr"/>
        <c:lblOffset val="100"/>
        <c:noMultiLvlLbl val="0"/>
      </c:catAx>
      <c:valAx>
        <c:axId val="5525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6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Results_Cost!$B$38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Results_Cost!$A$41:$A$43</c:f>
              <c:strCache>
                <c:ptCount val="3"/>
                <c:pt idx="0">
                  <c:v> EX_OPTION</c:v>
                </c:pt>
                <c:pt idx="1">
                  <c:v> LS_RESTRICT</c:v>
                </c:pt>
                <c:pt idx="2">
                  <c:v> SPOT</c:v>
                </c:pt>
              </c:strCache>
            </c:strRef>
          </c:cat>
          <c:val>
            <c:numRef>
              <c:f>Results_Cost!$B$41:$B$43</c:f>
              <c:numCache>
                <c:formatCode>_("$"* #,##0_);_("$"* \(#,##0\);_("$"* "-"??_);_(@_)</c:formatCode>
                <c:ptCount val="3"/>
                <c:pt idx="0">
                  <c:v>4200000.0000000009</c:v>
                </c:pt>
                <c:pt idx="1">
                  <c:v>15120000.000000002</c:v>
                </c:pt>
                <c:pt idx="2">
                  <c:v>5600000.0000000009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B1-0245-B969-3573B2B01158}"/>
            </c:ext>
          </c:extLst>
        </c:ser>
        <c:ser>
          <c:idx val="1"/>
          <c:order val="1"/>
          <c:tx>
            <c:strRef>
              <c:f>Results_Cost!$C$38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Results_Cost!$A$41:$A$43</c:f>
              <c:strCache>
                <c:ptCount val="3"/>
                <c:pt idx="0">
                  <c:v> EX_OPTION</c:v>
                </c:pt>
                <c:pt idx="1">
                  <c:v> LS_RESTRICT</c:v>
                </c:pt>
                <c:pt idx="2">
                  <c:v> SPOT</c:v>
                </c:pt>
              </c:strCache>
            </c:strRef>
          </c:cat>
          <c:val>
            <c:numRef>
              <c:f>Results_Cost!$C$41:$C$43</c:f>
              <c:numCache>
                <c:formatCode>_("$"* #,##0_);_("$"* \(#,##0\);_("$"* "-"??_);_(@_)</c:formatCode>
                <c:ptCount val="3"/>
                <c:pt idx="0">
                  <c:v>3072000</c:v>
                </c:pt>
                <c:pt idx="1">
                  <c:v>8640000</c:v>
                </c:pt>
                <c:pt idx="2">
                  <c:v>3200000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B1-0245-B969-3573B2B01158}"/>
            </c:ext>
          </c:extLst>
        </c:ser>
        <c:ser>
          <c:idx val="2"/>
          <c:order val="2"/>
          <c:tx>
            <c:strRef>
              <c:f>Results_Cost!$D$38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Results_Cost!$A$41:$A$43</c:f>
              <c:strCache>
                <c:ptCount val="3"/>
                <c:pt idx="0">
                  <c:v> EX_OPTION</c:v>
                </c:pt>
                <c:pt idx="1">
                  <c:v> LS_RESTRICT</c:v>
                </c:pt>
                <c:pt idx="2">
                  <c:v> SPOT</c:v>
                </c:pt>
              </c:strCache>
            </c:strRef>
          </c:cat>
          <c:val>
            <c:numRef>
              <c:f>Results_Cost!$D$41:$D$43</c:f>
              <c:numCache>
                <c:formatCode>_("$"* #,##0_);_("$"* \(#,##0\);_("$"* "-"??_);_(@_)</c:formatCode>
                <c:ptCount val="3"/>
                <c:pt idx="0">
                  <c:v>1080000</c:v>
                </c:pt>
                <c:pt idx="1">
                  <c:v>3240000</c:v>
                </c:pt>
                <c:pt idx="2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B1-0245-B969-3573B2B01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722448"/>
        <c:axId val="550209152"/>
      </c:barChart>
      <c:catAx>
        <c:axId val="54972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09152"/>
        <c:crosses val="autoZero"/>
        <c:auto val="1"/>
        <c:lblAlgn val="ctr"/>
        <c:lblOffset val="100"/>
        <c:noMultiLvlLbl val="0"/>
      </c:catAx>
      <c:valAx>
        <c:axId val="55020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Results_Cost!$P$4</c:f>
              <c:strCache>
                <c:ptCount val="1"/>
                <c:pt idx="0">
                  <c:v>EVC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Results_Cost!$N$5:$O$8</c:f>
              <c:multiLvlStrCache>
                <c:ptCount val="4"/>
                <c:lvl>
                  <c:pt idx="0">
                    <c:v>-</c:v>
                  </c:pt>
                  <c:pt idx="1">
                    <c:v>Low</c:v>
                  </c:pt>
                  <c:pt idx="2">
                    <c:v>Med</c:v>
                  </c:pt>
                  <c:pt idx="3">
                    <c:v>High</c:v>
                  </c:pt>
                </c:lvl>
                <c:lvl>
                  <c:pt idx="0">
                    <c:v>3-Stage</c:v>
                  </c:pt>
                  <c:pt idx="1">
                    <c:v>2-Stage</c:v>
                  </c:pt>
                </c:lvl>
              </c:multiLvlStrCache>
            </c:multiLvlStrRef>
          </c:cat>
          <c:val>
            <c:numRef>
              <c:f>Results_Cost!$P$5:$P$8</c:f>
              <c:numCache>
                <c:formatCode>_("$"* #,##0_);_("$"* \(#,##0\);_("$"* "-"??_);_(@_)</c:formatCode>
                <c:ptCount val="4"/>
                <c:pt idx="0">
                  <c:v>3152132399.9999995</c:v>
                </c:pt>
                <c:pt idx="1">
                  <c:v>888520000</c:v>
                </c:pt>
                <c:pt idx="2">
                  <c:v>1563912000</c:v>
                </c:pt>
                <c:pt idx="3">
                  <c:v>3889920000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0-8C47-B75C-6D6772AE1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027504"/>
        <c:axId val="587686848"/>
      </c:barChart>
      <c:catAx>
        <c:axId val="59002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86848"/>
        <c:crosses val="autoZero"/>
        <c:auto val="1"/>
        <c:lblAlgn val="ctr"/>
        <c:lblOffset val="100"/>
        <c:noMultiLvlLbl val="0"/>
      </c:catAx>
      <c:valAx>
        <c:axId val="5876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2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Results_Cost!$P$36</c:f>
              <c:strCache>
                <c:ptCount val="1"/>
                <c:pt idx="0">
                  <c:v>p(e|k)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Results_Cost!$N$37:$O$60</c:f>
              <c:multiLvlStrCache>
                <c:ptCount val="24"/>
                <c:lvl>
                  <c:pt idx="0">
                    <c:v>Low</c:v>
                  </c:pt>
                  <c:pt idx="1">
                    <c:v>Med</c:v>
                  </c:pt>
                  <c:pt idx="2">
                    <c:v>High</c:v>
                  </c:pt>
                  <c:pt idx="3">
                    <c:v>Low</c:v>
                  </c:pt>
                  <c:pt idx="4">
                    <c:v>Med</c:v>
                  </c:pt>
                  <c:pt idx="5">
                    <c:v>High</c:v>
                  </c:pt>
                  <c:pt idx="6">
                    <c:v>Low</c:v>
                  </c:pt>
                  <c:pt idx="7">
                    <c:v>Med</c:v>
                  </c:pt>
                  <c:pt idx="8">
                    <c:v>High</c:v>
                  </c:pt>
                  <c:pt idx="9">
                    <c:v>Low</c:v>
                  </c:pt>
                  <c:pt idx="10">
                    <c:v>Med</c:v>
                  </c:pt>
                  <c:pt idx="11">
                    <c:v>High</c:v>
                  </c:pt>
                  <c:pt idx="12">
                    <c:v>Low</c:v>
                  </c:pt>
                  <c:pt idx="13">
                    <c:v>Med</c:v>
                  </c:pt>
                  <c:pt idx="14">
                    <c:v>High</c:v>
                  </c:pt>
                  <c:pt idx="15">
                    <c:v>Low</c:v>
                  </c:pt>
                  <c:pt idx="16">
                    <c:v>Med</c:v>
                  </c:pt>
                  <c:pt idx="17">
                    <c:v>High</c:v>
                  </c:pt>
                  <c:pt idx="18">
                    <c:v>Low</c:v>
                  </c:pt>
                  <c:pt idx="19">
                    <c:v>Med</c:v>
                  </c:pt>
                  <c:pt idx="20">
                    <c:v>High</c:v>
                  </c:pt>
                  <c:pt idx="21">
                    <c:v>Low</c:v>
                  </c:pt>
                  <c:pt idx="22">
                    <c:v>Med</c:v>
                  </c:pt>
                  <c:pt idx="23">
                    <c:v>High</c:v>
                  </c:pt>
                </c:lvl>
                <c:lvl>
                  <c:pt idx="0">
                    <c:v> No Shortage</c:v>
                  </c:pt>
                  <c:pt idx="3">
                    <c:v>S1</c:v>
                  </c:pt>
                  <c:pt idx="6">
                    <c:v>S2</c:v>
                  </c:pt>
                  <c:pt idx="9">
                    <c:v> S3</c:v>
                  </c:pt>
                  <c:pt idx="12">
                    <c:v> S4</c:v>
                  </c:pt>
                  <c:pt idx="15">
                    <c:v> S5</c:v>
                  </c:pt>
                  <c:pt idx="18">
                    <c:v> S6</c:v>
                  </c:pt>
                  <c:pt idx="21">
                    <c:v> S7</c:v>
                  </c:pt>
                </c:lvl>
              </c:multiLvlStrCache>
            </c:multiLvlStrRef>
          </c:cat>
          <c:val>
            <c:numRef>
              <c:f>Results_Cost!$P$37:$P$60</c:f>
              <c:numCache>
                <c:formatCode>General</c:formatCode>
                <c:ptCount val="24"/>
                <c:pt idx="0">
                  <c:v>0.28050000000000003</c:v>
                </c:pt>
                <c:pt idx="1">
                  <c:v>0.14960000000000001</c:v>
                </c:pt>
                <c:pt idx="2">
                  <c:v>3.3E-3</c:v>
                </c:pt>
                <c:pt idx="3">
                  <c:v>1.9800000000000002E-2</c:v>
                </c:pt>
                <c:pt idx="4">
                  <c:v>2.7199999999999998E-2</c:v>
                </c:pt>
                <c:pt idx="5">
                  <c:v>9.9000000000000008E-3</c:v>
                </c:pt>
                <c:pt idx="6">
                  <c:v>1.9800000000000002E-2</c:v>
                </c:pt>
                <c:pt idx="7">
                  <c:v>8.1600000000000006E-2</c:v>
                </c:pt>
                <c:pt idx="8">
                  <c:v>2.9700000000000001E-2</c:v>
                </c:pt>
                <c:pt idx="9">
                  <c:v>9.9000000000000008E-3</c:v>
                </c:pt>
                <c:pt idx="10">
                  <c:v>5.4399999999999997E-2</c:v>
                </c:pt>
                <c:pt idx="11">
                  <c:v>6.2700000000000006E-2</c:v>
                </c:pt>
                <c:pt idx="12">
                  <c:v>0</c:v>
                </c:pt>
                <c:pt idx="13">
                  <c:v>2.7199999999999998E-2</c:v>
                </c:pt>
                <c:pt idx="14">
                  <c:v>9.9000000000000005E-2</c:v>
                </c:pt>
                <c:pt idx="15">
                  <c:v>0</c:v>
                </c:pt>
                <c:pt idx="16">
                  <c:v>0</c:v>
                </c:pt>
                <c:pt idx="17">
                  <c:v>7.2599999999999998E-2</c:v>
                </c:pt>
                <c:pt idx="18">
                  <c:v>0</c:v>
                </c:pt>
                <c:pt idx="19">
                  <c:v>0</c:v>
                </c:pt>
                <c:pt idx="20">
                  <c:v>4.6199999999999998E-2</c:v>
                </c:pt>
                <c:pt idx="21">
                  <c:v>0</c:v>
                </c:pt>
                <c:pt idx="22">
                  <c:v>0</c:v>
                </c:pt>
                <c:pt idx="23">
                  <c:v>6.6E-3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A-1343-A790-4935DE735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245408"/>
        <c:axId val="590238944"/>
      </c:barChart>
      <c:catAx>
        <c:axId val="5842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38944"/>
        <c:crosses val="autoZero"/>
        <c:auto val="1"/>
        <c:lblAlgn val="ctr"/>
        <c:lblOffset val="100"/>
        <c:noMultiLvlLbl val="0"/>
      </c:catAx>
      <c:valAx>
        <c:axId val="59023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4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'Shortage WTP'!$B$1</c:f>
              <c:strCache>
                <c:ptCount val="1"/>
                <c:pt idx="0">
                  <c:v>cost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'Shortage WTP'!$A$2:$A$7</c:f>
              <c:numCache>
                <c:formatCode>0</c:formatCode>
                <c:ptCount val="6"/>
                <c:pt idx="0" formatCode="#,##0">
                  <c:v>90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135</c:v>
                </c:pt>
                <c:pt idx="5">
                  <c:v>140</c:v>
                </c:pt>
              </c:numCache>
            </c:numRef>
          </c:xVal>
          <c:yVal>
            <c:numRef>
              <c:f>'Shortage WTP'!$B$2:$B$7</c:f>
              <c:numCache>
                <c:formatCode>#,##0</c:formatCode>
                <c:ptCount val="6"/>
                <c:pt idx="0">
                  <c:v>931138</c:v>
                </c:pt>
                <c:pt idx="1">
                  <c:v>122421.757812</c:v>
                </c:pt>
                <c:pt idx="2">
                  <c:v>47518.199219000002</c:v>
                </c:pt>
                <c:pt idx="3">
                  <c:v>15271.980469</c:v>
                </c:pt>
                <c:pt idx="4">
                  <c:v>6307.3198240000002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94-6B49-83ED-46601FFC4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621583"/>
        <c:axId val="1570141455"/>
      </c:scatterChart>
      <c:valAx>
        <c:axId val="1570621583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141455"/>
        <c:crosses val="autoZero"/>
        <c:crossBetween val="midCat"/>
      </c:valAx>
      <c:valAx>
        <c:axId val="157014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21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12</xdr:row>
      <xdr:rowOff>25400</xdr:rowOff>
    </xdr:from>
    <xdr:to>
      <xdr:col>7</xdr:col>
      <xdr:colOff>114300</xdr:colOff>
      <xdr:row>32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AF2E34-E2CB-4114-B976-CCB7CB9EE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254000</xdr:colOff>
      <xdr:row>12</xdr:row>
      <xdr:rowOff>38100</xdr:rowOff>
    </xdr:from>
    <xdr:to>
      <xdr:col>13</xdr:col>
      <xdr:colOff>520700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271022-F1B2-420C-B3E9-D181F661E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108479</xdr:colOff>
      <xdr:row>36</xdr:row>
      <xdr:rowOff>119062</xdr:rowOff>
    </xdr:from>
    <xdr:to>
      <xdr:col>3</xdr:col>
      <xdr:colOff>621771</xdr:colOff>
      <xdr:row>59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DB637-F380-C94A-9C4A-1EC136651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750094</xdr:colOff>
      <xdr:row>36</xdr:row>
      <xdr:rowOff>103451</xdr:rowOff>
    </xdr:from>
    <xdr:to>
      <xdr:col>7</xdr:col>
      <xdr:colOff>502709</xdr:colOff>
      <xdr:row>59</xdr:row>
      <xdr:rowOff>119061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C144C7-909B-1742-9793-7D7D017AC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42334</xdr:colOff>
      <xdr:row>26</xdr:row>
      <xdr:rowOff>169598</xdr:rowOff>
    </xdr:from>
    <xdr:to>
      <xdr:col>30</xdr:col>
      <xdr:colOff>211667</xdr:colOff>
      <xdr:row>53</xdr:row>
      <xdr:rowOff>92603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2C52928-5C31-F34A-B002-6A776D3CE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43</xdr:row>
      <xdr:rowOff>139700</xdr:rowOff>
    </xdr:from>
    <xdr:to>
      <xdr:col>4</xdr:col>
      <xdr:colOff>1212850</xdr:colOff>
      <xdr:row>57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86CDE6-CF0F-244E-9CCD-F5C4C1ECE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222250</xdr:colOff>
      <xdr:row>59</xdr:row>
      <xdr:rowOff>12700</xdr:rowOff>
    </xdr:from>
    <xdr:to>
      <xdr:col>4</xdr:col>
      <xdr:colOff>1289050</xdr:colOff>
      <xdr:row>72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D5960A-C0FC-FE4B-AC1F-3157FEDA2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228600</xdr:colOff>
      <xdr:row>15</xdr:row>
      <xdr:rowOff>63500</xdr:rowOff>
    </xdr:from>
    <xdr:to>
      <xdr:col>17</xdr:col>
      <xdr:colOff>457200</xdr:colOff>
      <xdr:row>28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1BD97B8-14A2-274E-8EDD-0BBF16133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965200</xdr:colOff>
      <xdr:row>61</xdr:row>
      <xdr:rowOff>177800</xdr:rowOff>
    </xdr:from>
    <xdr:to>
      <xdr:col>17</xdr:col>
      <xdr:colOff>165100</xdr:colOff>
      <xdr:row>75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9F1D255-F864-C441-B795-283277D84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E7C97E5-D2C6-4E21-BF19-7370F6C6A41F}"/>
            </a:ext>
          </a:extLst>
        </xdr:cNvPr>
        <xdr:cNvSpPr>
          <a:spLocks noChangeAspect="1" noChangeArrowheads="1"/>
        </xdr:cNvSpPr>
      </xdr:nvSpPr>
      <xdr:spPr bwMode="auto">
        <a:xfrm>
          <a:off x="812800" y="15748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12700</xdr:colOff>
      <xdr:row>7</xdr:row>
      <xdr:rowOff>31750</xdr:rowOff>
    </xdr:from>
    <xdr:to>
      <xdr:col>12</xdr:col>
      <xdr:colOff>80162</xdr:colOff>
      <xdr:row>29</xdr:row>
      <xdr:rowOff>101600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1F1925EC-53D2-44AC-A69E-74C3D140ACB0}"/>
            </a:ext>
          </a:extLst>
        </xdr:cNvPr>
        <xdr:cNvGrpSpPr/>
      </xdr:nvGrpSpPr>
      <xdr:grpSpPr>
        <a:xfrm>
          <a:off x="3263900" y="1454150"/>
          <a:ext cx="6569862" cy="4540250"/>
          <a:chOff x="2984500" y="863600"/>
          <a:chExt cx="6569862" cy="44005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926A9ACB-E151-4A48-87A3-1DE35B2E7586}"/>
              </a:ext>
            </a:extLst>
          </xdr:cNvPr>
          <xdr:cNvGrpSpPr/>
        </xdr:nvGrpSpPr>
        <xdr:grpSpPr>
          <a:xfrm>
            <a:off x="2984500" y="863600"/>
            <a:ext cx="6569862" cy="4400550"/>
            <a:chOff x="63500" y="0"/>
            <a:chExt cx="6582459" cy="4400550"/>
          </a:xfrm>
        </xdr:grpSpPr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61A5BA52-081B-4FFC-86F6-A42C07EE5532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3500" y="0"/>
              <a:ext cx="6582459" cy="44005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xnSp macro="">
          <xdr:nvCxnSpPr>
            <xdr:cNvPr id="8" name="Straight Connector 7">
              <a:extLst>
                <a:ext uri="{FF2B5EF4-FFF2-40B4-BE49-F238E27FC236}">
                  <a16:creationId xmlns:a16="http://schemas.microsoft.com/office/drawing/2014/main" id="{A5C05C09-2492-466D-8A17-8F9DC902A258}"/>
                </a:ext>
              </a:extLst>
            </xdr:cNvPr>
            <xdr:cNvCxnSpPr/>
          </xdr:nvCxnSpPr>
          <xdr:spPr>
            <a:xfrm>
              <a:off x="711225" y="1873250"/>
              <a:ext cx="5848056" cy="0"/>
            </a:xfrm>
            <a:prstGeom prst="line">
              <a:avLst/>
            </a:prstGeom>
            <a:ln w="28575">
              <a:solidFill>
                <a:srgbClr val="00B050"/>
              </a:solidFill>
              <a:prstDash val="lg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" name="Freeform: Shape 5">
              <a:extLst>
                <a:ext uri="{FF2B5EF4-FFF2-40B4-BE49-F238E27FC236}">
                  <a16:creationId xmlns:a16="http://schemas.microsoft.com/office/drawing/2014/main" id="{361CC855-A650-436C-B1ED-5ACCCE28B46A}"/>
                </a:ext>
              </a:extLst>
            </xdr:cNvPr>
            <xdr:cNvSpPr/>
          </xdr:nvSpPr>
          <xdr:spPr>
            <a:xfrm>
              <a:off x="793739" y="1873250"/>
              <a:ext cx="898477" cy="901700"/>
            </a:xfrm>
            <a:custGeom>
              <a:avLst/>
              <a:gdLst>
                <a:gd name="connsiteX0" fmla="*/ 3340100 w 3340100"/>
                <a:gd name="connsiteY0" fmla="*/ 12700 h 1333500"/>
                <a:gd name="connsiteX1" fmla="*/ 3016250 w 3340100"/>
                <a:gd name="connsiteY1" fmla="*/ 501650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2083049 w 3340100"/>
                <a:gd name="connsiteY1" fmla="*/ 822858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2083049 w 3340100"/>
                <a:gd name="connsiteY1" fmla="*/ 822858 h 1333500"/>
                <a:gd name="connsiteX2" fmla="*/ 1101864 w 3340100"/>
                <a:gd name="connsiteY2" fmla="*/ 1054888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1546955 w 3340100"/>
                <a:gd name="connsiteY1" fmla="*/ 842325 h 1333500"/>
                <a:gd name="connsiteX2" fmla="*/ 1101864 w 3340100"/>
                <a:gd name="connsiteY2" fmla="*/ 1054888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1546955 w 3340100"/>
                <a:gd name="connsiteY1" fmla="*/ 842325 h 1333500"/>
                <a:gd name="connsiteX2" fmla="*/ 744468 w 3340100"/>
                <a:gd name="connsiteY2" fmla="*/ 1103556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59955 w 3359955"/>
                <a:gd name="connsiteY0" fmla="*/ 12700 h 1382168"/>
                <a:gd name="connsiteX1" fmla="*/ 1566810 w 3359955"/>
                <a:gd name="connsiteY1" fmla="*/ 842325 h 1382168"/>
                <a:gd name="connsiteX2" fmla="*/ 764323 w 3359955"/>
                <a:gd name="connsiteY2" fmla="*/ 1103556 h 1382168"/>
                <a:gd name="connsiteX3" fmla="*/ 0 w 3359955"/>
                <a:gd name="connsiteY3" fmla="*/ 1382168 h 1382168"/>
                <a:gd name="connsiteX4" fmla="*/ 26205 w 3359955"/>
                <a:gd name="connsiteY4" fmla="*/ 0 h 1382168"/>
                <a:gd name="connsiteX5" fmla="*/ 3359955 w 3359955"/>
                <a:gd name="connsiteY5" fmla="*/ 12700 h 1382168"/>
                <a:gd name="connsiteX0" fmla="*/ 3359955 w 3359955"/>
                <a:gd name="connsiteY0" fmla="*/ 12700 h 1382168"/>
                <a:gd name="connsiteX1" fmla="*/ 1805074 w 3359955"/>
                <a:gd name="connsiteY1" fmla="*/ 744990 h 1382168"/>
                <a:gd name="connsiteX2" fmla="*/ 764323 w 3359955"/>
                <a:gd name="connsiteY2" fmla="*/ 1103556 h 1382168"/>
                <a:gd name="connsiteX3" fmla="*/ 0 w 3359955"/>
                <a:gd name="connsiteY3" fmla="*/ 1382168 h 1382168"/>
                <a:gd name="connsiteX4" fmla="*/ 26205 w 3359955"/>
                <a:gd name="connsiteY4" fmla="*/ 0 h 1382168"/>
                <a:gd name="connsiteX5" fmla="*/ 3359955 w 3359955"/>
                <a:gd name="connsiteY5" fmla="*/ 12700 h 1382168"/>
                <a:gd name="connsiteX0" fmla="*/ 3359955 w 3359955"/>
                <a:gd name="connsiteY0" fmla="*/ 12700 h 1382168"/>
                <a:gd name="connsiteX1" fmla="*/ 764323 w 3359955"/>
                <a:gd name="connsiteY1" fmla="*/ 1103556 h 1382168"/>
                <a:gd name="connsiteX2" fmla="*/ 0 w 3359955"/>
                <a:gd name="connsiteY2" fmla="*/ 1382168 h 1382168"/>
                <a:gd name="connsiteX3" fmla="*/ 26205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1558536 w 3359955"/>
                <a:gd name="connsiteY1" fmla="*/ 850483 h 1382168"/>
                <a:gd name="connsiteX2" fmla="*/ 0 w 3359955"/>
                <a:gd name="connsiteY2" fmla="*/ 1382168 h 1382168"/>
                <a:gd name="connsiteX3" fmla="*/ 26205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1558536 w 3359955"/>
                <a:gd name="connsiteY1" fmla="*/ 850483 h 1382168"/>
                <a:gd name="connsiteX2" fmla="*/ 0 w 3359955"/>
                <a:gd name="connsiteY2" fmla="*/ 1382168 h 1382168"/>
                <a:gd name="connsiteX3" fmla="*/ 26206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725615 w 3359955"/>
                <a:gd name="connsiteY1" fmla="*/ 1084089 h 1382168"/>
                <a:gd name="connsiteX2" fmla="*/ 0 w 3359955"/>
                <a:gd name="connsiteY2" fmla="*/ 1382168 h 1382168"/>
                <a:gd name="connsiteX3" fmla="*/ 26206 w 3359955"/>
                <a:gd name="connsiteY3" fmla="*/ 0 h 1382168"/>
                <a:gd name="connsiteX4" fmla="*/ 3359955 w 3359955"/>
                <a:gd name="connsiteY4" fmla="*/ 12700 h 138216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3359955" h="1382168">
                  <a:moveTo>
                    <a:pt x="3359955" y="12700"/>
                  </a:moveTo>
                  <a:lnTo>
                    <a:pt x="725615" y="1084089"/>
                  </a:lnTo>
                  <a:lnTo>
                    <a:pt x="0" y="1382168"/>
                  </a:lnTo>
                  <a:cubicBezTo>
                    <a:pt x="2117" y="937668"/>
                    <a:pt x="24089" y="444500"/>
                    <a:pt x="26206" y="0"/>
                  </a:cubicBezTo>
                  <a:lnTo>
                    <a:pt x="3359955" y="12700"/>
                  </a:lnTo>
                  <a:close/>
                </a:path>
              </a:pathLst>
            </a:custGeom>
            <a:solidFill>
              <a:srgbClr val="C00000">
                <a:alpha val="49020"/>
              </a:srgbClr>
            </a:solidFill>
            <a:ln>
              <a:noFill/>
            </a:ln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New Shortages</a:t>
              </a:r>
              <a:r>
                <a:rPr lang="en-US" sz="1100" baseline="0"/>
                <a:t> </a:t>
              </a:r>
              <a:endParaRPr lang="en-US" sz="1100"/>
            </a:p>
          </xdr:txBody>
        </xdr:sp>
        <xdr:cxnSp macro="">
          <xdr:nvCxnSpPr>
            <xdr:cNvPr id="7" name="Straight Connector 6">
              <a:extLst>
                <a:ext uri="{FF2B5EF4-FFF2-40B4-BE49-F238E27FC236}">
                  <a16:creationId xmlns:a16="http://schemas.microsoft.com/office/drawing/2014/main" id="{D90E47D0-C361-4750-AA24-2C0D34DC4F46}"/>
                </a:ext>
              </a:extLst>
            </xdr:cNvPr>
            <xdr:cNvCxnSpPr/>
          </xdr:nvCxnSpPr>
          <xdr:spPr>
            <a:xfrm flipH="1">
              <a:off x="1671664" y="1708150"/>
              <a:ext cx="14191" cy="1631950"/>
            </a:xfrm>
            <a:prstGeom prst="line">
              <a:avLst/>
            </a:prstGeom>
            <a:ln w="28575">
              <a:solidFill>
                <a:srgbClr val="00B050"/>
              </a:solidFill>
              <a:prstDash val="lg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1" name="Freeform: Shape 10">
            <a:extLst>
              <a:ext uri="{FF2B5EF4-FFF2-40B4-BE49-F238E27FC236}">
                <a16:creationId xmlns:a16="http://schemas.microsoft.com/office/drawing/2014/main" id="{3FEE851A-E853-4C4B-ACDA-CC980C3EE029}"/>
              </a:ext>
            </a:extLst>
          </xdr:cNvPr>
          <xdr:cNvSpPr/>
        </xdr:nvSpPr>
        <xdr:spPr>
          <a:xfrm>
            <a:off x="3898900" y="1638300"/>
            <a:ext cx="5441950" cy="1873250"/>
          </a:xfrm>
          <a:custGeom>
            <a:avLst/>
            <a:gdLst>
              <a:gd name="connsiteX0" fmla="*/ 5435600 w 5441950"/>
              <a:gd name="connsiteY0" fmla="*/ 0 h 1873250"/>
              <a:gd name="connsiteX1" fmla="*/ 5289550 w 5441950"/>
              <a:gd name="connsiteY1" fmla="*/ 393700 h 1873250"/>
              <a:gd name="connsiteX2" fmla="*/ 5010150 w 5441950"/>
              <a:gd name="connsiteY2" fmla="*/ 673100 h 1873250"/>
              <a:gd name="connsiteX3" fmla="*/ 4070350 w 5441950"/>
              <a:gd name="connsiteY3" fmla="*/ 977900 h 1873250"/>
              <a:gd name="connsiteX4" fmla="*/ 3181350 w 5441950"/>
              <a:gd name="connsiteY4" fmla="*/ 1098550 h 1873250"/>
              <a:gd name="connsiteX5" fmla="*/ 1695450 w 5441950"/>
              <a:gd name="connsiteY5" fmla="*/ 1339850 h 1873250"/>
              <a:gd name="connsiteX6" fmla="*/ 393700 w 5441950"/>
              <a:gd name="connsiteY6" fmla="*/ 1663700 h 1873250"/>
              <a:gd name="connsiteX7" fmla="*/ 0 w 5441950"/>
              <a:gd name="connsiteY7" fmla="*/ 1873250 h 1873250"/>
              <a:gd name="connsiteX8" fmla="*/ 742950 w 5441950"/>
              <a:gd name="connsiteY8" fmla="*/ 1111250 h 1873250"/>
              <a:gd name="connsiteX9" fmla="*/ 3149600 w 5441950"/>
              <a:gd name="connsiteY9" fmla="*/ 1092200 h 1873250"/>
              <a:gd name="connsiteX10" fmla="*/ 5441950 w 5441950"/>
              <a:gd name="connsiteY10" fmla="*/ 1104900 h 1873250"/>
              <a:gd name="connsiteX11" fmla="*/ 5435600 w 5441950"/>
              <a:gd name="connsiteY11" fmla="*/ 0 h 1873250"/>
              <a:gd name="connsiteX0" fmla="*/ 5435600 w 5441950"/>
              <a:gd name="connsiteY0" fmla="*/ 0 h 1873250"/>
              <a:gd name="connsiteX1" fmla="*/ 5289550 w 5441950"/>
              <a:gd name="connsiteY1" fmla="*/ 393700 h 1873250"/>
              <a:gd name="connsiteX2" fmla="*/ 5010150 w 5441950"/>
              <a:gd name="connsiteY2" fmla="*/ 673100 h 1873250"/>
              <a:gd name="connsiteX3" fmla="*/ 4070350 w 5441950"/>
              <a:gd name="connsiteY3" fmla="*/ 977900 h 1873250"/>
              <a:gd name="connsiteX4" fmla="*/ 3181350 w 5441950"/>
              <a:gd name="connsiteY4" fmla="*/ 1098550 h 1873250"/>
              <a:gd name="connsiteX5" fmla="*/ 1695450 w 5441950"/>
              <a:gd name="connsiteY5" fmla="*/ 1339850 h 1873250"/>
              <a:gd name="connsiteX6" fmla="*/ 393700 w 5441950"/>
              <a:gd name="connsiteY6" fmla="*/ 1663700 h 1873250"/>
              <a:gd name="connsiteX7" fmla="*/ 0 w 5441950"/>
              <a:gd name="connsiteY7" fmla="*/ 1873250 h 1873250"/>
              <a:gd name="connsiteX8" fmla="*/ 698500 w 5441950"/>
              <a:gd name="connsiteY8" fmla="*/ 1111250 h 1873250"/>
              <a:gd name="connsiteX9" fmla="*/ 3149600 w 5441950"/>
              <a:gd name="connsiteY9" fmla="*/ 1092200 h 1873250"/>
              <a:gd name="connsiteX10" fmla="*/ 5441950 w 5441950"/>
              <a:gd name="connsiteY10" fmla="*/ 1104900 h 1873250"/>
              <a:gd name="connsiteX11" fmla="*/ 5435600 w 5441950"/>
              <a:gd name="connsiteY11" fmla="*/ 0 h 1873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5441950" h="1873250">
                <a:moveTo>
                  <a:pt x="5435600" y="0"/>
                </a:moveTo>
                <a:lnTo>
                  <a:pt x="5289550" y="393700"/>
                </a:lnTo>
                <a:lnTo>
                  <a:pt x="5010150" y="673100"/>
                </a:lnTo>
                <a:lnTo>
                  <a:pt x="4070350" y="977900"/>
                </a:lnTo>
                <a:lnTo>
                  <a:pt x="3181350" y="1098550"/>
                </a:lnTo>
                <a:lnTo>
                  <a:pt x="1695450" y="1339850"/>
                </a:lnTo>
                <a:lnTo>
                  <a:pt x="393700" y="1663700"/>
                </a:lnTo>
                <a:lnTo>
                  <a:pt x="0" y="1873250"/>
                </a:lnTo>
                <a:lnTo>
                  <a:pt x="698500" y="1111250"/>
                </a:lnTo>
                <a:lnTo>
                  <a:pt x="3149600" y="1092200"/>
                </a:lnTo>
                <a:lnTo>
                  <a:pt x="5441950" y="1104900"/>
                </a:lnTo>
                <a:cubicBezTo>
                  <a:pt x="5439833" y="738717"/>
                  <a:pt x="5437717" y="372533"/>
                  <a:pt x="5435600" y="0"/>
                </a:cubicBezTo>
                <a:close/>
              </a:path>
            </a:pathLst>
          </a:custGeom>
          <a:solidFill>
            <a:srgbClr val="006699">
              <a:alpha val="4902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				</a:t>
            </a:r>
            <a:r>
              <a:rPr lang="en-US" sz="1100" baseline="0"/>
              <a:t>            </a:t>
            </a:r>
            <a:r>
              <a:rPr lang="en-US" sz="1100"/>
              <a:t>New</a:t>
            </a:r>
            <a:r>
              <a:rPr lang="en-US" sz="1100" baseline="0"/>
              <a:t> Storage Balance</a:t>
            </a:r>
            <a:endParaRPr lang="en-US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B27E6D90-95F8-4E2B-B007-7EDBE1F0ED99}"/>
              </a:ext>
            </a:extLst>
          </xdr:cNvPr>
          <xdr:cNvSpPr txBox="1"/>
        </xdr:nvSpPr>
        <xdr:spPr>
          <a:xfrm>
            <a:off x="7600950" y="863600"/>
            <a:ext cx="1730987" cy="264560"/>
          </a:xfrm>
          <a:prstGeom prst="rect">
            <a:avLst/>
          </a:prstGeom>
          <a:noFill/>
          <a:ln w="28575">
            <a:solidFill>
              <a:srgbClr val="00B050"/>
            </a:solidFill>
            <a:prstDash val="lg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Low</a:t>
            </a:r>
            <a:r>
              <a:rPr lang="en-US" sz="1100" baseline="0"/>
              <a:t> Demand / High Supply</a:t>
            </a:r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AA6531E-5E9D-8D4F-A449-B4B0E1D66B2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12700</xdr:colOff>
      <xdr:row>7</xdr:row>
      <xdr:rowOff>31750</xdr:rowOff>
    </xdr:from>
    <xdr:to>
      <xdr:col>12</xdr:col>
      <xdr:colOff>67359</xdr:colOff>
      <xdr:row>29</xdr:row>
      <xdr:rowOff>107950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897E625F-48A4-42CE-A6CA-4D81031B0EEB}"/>
            </a:ext>
          </a:extLst>
        </xdr:cNvPr>
        <xdr:cNvGrpSpPr/>
      </xdr:nvGrpSpPr>
      <xdr:grpSpPr>
        <a:xfrm>
          <a:off x="3263900" y="1454150"/>
          <a:ext cx="6582459" cy="4546600"/>
          <a:chOff x="2984500" y="857250"/>
          <a:chExt cx="6582459" cy="4406900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4F42A19A-3309-455C-BC17-5A527C57553E}"/>
              </a:ext>
            </a:extLst>
          </xdr:cNvPr>
          <xdr:cNvGrpSpPr/>
        </xdr:nvGrpSpPr>
        <xdr:grpSpPr>
          <a:xfrm>
            <a:off x="2984500" y="863600"/>
            <a:ext cx="6582459" cy="4400550"/>
            <a:chOff x="63500" y="0"/>
            <a:chExt cx="6582459" cy="4400550"/>
          </a:xfrm>
        </xdr:grpSpPr>
        <xdr:pic>
          <xdr:nvPicPr>
            <xdr:cNvPr id="70" name="Picture 69">
              <a:extLst>
                <a:ext uri="{FF2B5EF4-FFF2-40B4-BE49-F238E27FC236}">
                  <a16:creationId xmlns:a16="http://schemas.microsoft.com/office/drawing/2014/main" id="{DDEA18EC-03A6-48A0-8B1A-43146947DAF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3500" y="0"/>
              <a:ext cx="6582459" cy="44005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71" name="Freeform: Shape 70">
              <a:extLst>
                <a:ext uri="{FF2B5EF4-FFF2-40B4-BE49-F238E27FC236}">
                  <a16:creationId xmlns:a16="http://schemas.microsoft.com/office/drawing/2014/main" id="{61DD6510-C3D9-485B-BCE6-907B8EBF5AA1}"/>
                </a:ext>
              </a:extLst>
            </xdr:cNvPr>
            <xdr:cNvSpPr/>
          </xdr:nvSpPr>
          <xdr:spPr>
            <a:xfrm>
              <a:off x="3835400" y="584200"/>
              <a:ext cx="2609850" cy="1377950"/>
            </a:xfrm>
            <a:custGeom>
              <a:avLst/>
              <a:gdLst>
                <a:gd name="connsiteX0" fmla="*/ 0 w 2609850"/>
                <a:gd name="connsiteY0" fmla="*/ 1276350 h 1276350"/>
                <a:gd name="connsiteX1" fmla="*/ 1219200 w 2609850"/>
                <a:gd name="connsiteY1" fmla="*/ 1092200 h 1276350"/>
                <a:gd name="connsiteX2" fmla="*/ 2038350 w 2609850"/>
                <a:gd name="connsiteY2" fmla="*/ 831850 h 1276350"/>
                <a:gd name="connsiteX3" fmla="*/ 2178050 w 2609850"/>
                <a:gd name="connsiteY3" fmla="*/ 806450 h 1276350"/>
                <a:gd name="connsiteX4" fmla="*/ 2603500 w 2609850"/>
                <a:gd name="connsiteY4" fmla="*/ 819150 h 1276350"/>
                <a:gd name="connsiteX5" fmla="*/ 2609850 w 2609850"/>
                <a:gd name="connsiteY5" fmla="*/ 0 h 1276350"/>
                <a:gd name="connsiteX6" fmla="*/ 1949450 w 2609850"/>
                <a:gd name="connsiteY6" fmla="*/ 819150 h 1276350"/>
                <a:gd name="connsiteX7" fmla="*/ 311150 w 2609850"/>
                <a:gd name="connsiteY7" fmla="*/ 819150 h 1276350"/>
                <a:gd name="connsiteX8" fmla="*/ 0 w 2609850"/>
                <a:gd name="connsiteY8" fmla="*/ 1276350 h 1276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609850" h="1276350">
                  <a:moveTo>
                    <a:pt x="0" y="1276350"/>
                  </a:moveTo>
                  <a:lnTo>
                    <a:pt x="1219200" y="1092200"/>
                  </a:lnTo>
                  <a:lnTo>
                    <a:pt x="2038350" y="831850"/>
                  </a:lnTo>
                  <a:lnTo>
                    <a:pt x="2178050" y="806450"/>
                  </a:lnTo>
                  <a:lnTo>
                    <a:pt x="2603500" y="819150"/>
                  </a:lnTo>
                  <a:cubicBezTo>
                    <a:pt x="2605617" y="546100"/>
                    <a:pt x="2607733" y="273050"/>
                    <a:pt x="2609850" y="0"/>
                  </a:cubicBezTo>
                  <a:lnTo>
                    <a:pt x="1949450" y="819150"/>
                  </a:lnTo>
                  <a:lnTo>
                    <a:pt x="311150" y="819150"/>
                  </a:lnTo>
                  <a:lnTo>
                    <a:pt x="0" y="1276350"/>
                  </a:lnTo>
                  <a:close/>
                </a:path>
              </a:pathLst>
            </a:custGeom>
            <a:solidFill>
              <a:srgbClr val="006699">
                <a:alpha val="50196"/>
              </a:srgb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r>
                <a:rPr lang="en-US" sz="1100"/>
                <a:t>         New Storage</a:t>
              </a:r>
              <a:r>
                <a:rPr lang="en-US" sz="1100" baseline="0"/>
                <a:t> Balance</a:t>
              </a:r>
              <a:endParaRPr lang="en-US" sz="1100"/>
            </a:p>
          </xdr:txBody>
        </xdr:sp>
        <xdr:sp macro="" textlink="">
          <xdr:nvSpPr>
            <xdr:cNvPr id="72" name="Freeform: Shape 71">
              <a:extLst>
                <a:ext uri="{FF2B5EF4-FFF2-40B4-BE49-F238E27FC236}">
                  <a16:creationId xmlns:a16="http://schemas.microsoft.com/office/drawing/2014/main" id="{CD4A8F66-138F-4EC8-8139-3CAE6BFC8590}"/>
                </a:ext>
              </a:extLst>
            </xdr:cNvPr>
            <xdr:cNvSpPr/>
          </xdr:nvSpPr>
          <xdr:spPr>
            <a:xfrm>
              <a:off x="800100" y="1454150"/>
              <a:ext cx="3340100" cy="1333500"/>
            </a:xfrm>
            <a:custGeom>
              <a:avLst/>
              <a:gdLst>
                <a:gd name="connsiteX0" fmla="*/ 3340100 w 3340100"/>
                <a:gd name="connsiteY0" fmla="*/ 12700 h 1333500"/>
                <a:gd name="connsiteX1" fmla="*/ 3016250 w 3340100"/>
                <a:gd name="connsiteY1" fmla="*/ 501650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3340100" h="1333500">
                  <a:moveTo>
                    <a:pt x="3340100" y="12700"/>
                  </a:moveTo>
                  <a:lnTo>
                    <a:pt x="3016250" y="501650"/>
                  </a:lnTo>
                  <a:lnTo>
                    <a:pt x="863600" y="869950"/>
                  </a:lnTo>
                  <a:lnTo>
                    <a:pt x="0" y="1333500"/>
                  </a:lnTo>
                  <a:cubicBezTo>
                    <a:pt x="2117" y="889000"/>
                    <a:pt x="4233" y="444500"/>
                    <a:pt x="6350" y="0"/>
                  </a:cubicBezTo>
                  <a:lnTo>
                    <a:pt x="3340100" y="12700"/>
                  </a:lnTo>
                  <a:close/>
                </a:path>
              </a:pathLst>
            </a:custGeom>
            <a:solidFill>
              <a:srgbClr val="C00000">
                <a:alpha val="49020"/>
              </a:srgbClr>
            </a:solidFill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New Shortages</a:t>
              </a:r>
              <a:r>
                <a:rPr lang="en-US" sz="1100" baseline="0"/>
                <a:t> </a:t>
              </a:r>
              <a:endParaRPr lang="en-US" sz="1100"/>
            </a:p>
          </xdr:txBody>
        </xdr:sp>
      </xdr:grp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DB43F640-0785-4363-86C9-8D99E272AD18}"/>
              </a:ext>
            </a:extLst>
          </xdr:cNvPr>
          <xdr:cNvCxnSpPr/>
        </xdr:nvCxnSpPr>
        <xdr:spPr>
          <a:xfrm>
            <a:off x="7060951" y="2165350"/>
            <a:ext cx="0" cy="2108200"/>
          </a:xfrm>
          <a:prstGeom prst="line">
            <a:avLst/>
          </a:prstGeom>
          <a:ln w="28575">
            <a:solidFill>
              <a:schemeClr val="accent2"/>
            </a:solidFill>
            <a:prstDash val="lg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E3CD212A-A74D-42C7-B57F-FA29B281B932}"/>
              </a:ext>
            </a:extLst>
          </xdr:cNvPr>
          <xdr:cNvCxnSpPr/>
        </xdr:nvCxnSpPr>
        <xdr:spPr>
          <a:xfrm>
            <a:off x="3638550" y="2317750"/>
            <a:ext cx="5836864" cy="0"/>
          </a:xfrm>
          <a:prstGeom prst="line">
            <a:avLst/>
          </a:prstGeom>
          <a:ln w="28575">
            <a:solidFill>
              <a:schemeClr val="accent2"/>
            </a:solidFill>
            <a:prstDash val="lg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827506AD-AF6F-4A7C-82BB-C9DA316569F2}"/>
              </a:ext>
            </a:extLst>
          </xdr:cNvPr>
          <xdr:cNvSpPr txBox="1"/>
        </xdr:nvSpPr>
        <xdr:spPr>
          <a:xfrm>
            <a:off x="7569200" y="857250"/>
            <a:ext cx="1848263" cy="264560"/>
          </a:xfrm>
          <a:prstGeom prst="rect">
            <a:avLst/>
          </a:prstGeom>
          <a:noFill/>
          <a:ln w="28575">
            <a:solidFill>
              <a:schemeClr val="accent2"/>
            </a:solidFill>
            <a:prstDash val="lg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Mid</a:t>
            </a:r>
            <a:r>
              <a:rPr lang="en-US" sz="1100" baseline="0"/>
              <a:t> Demand / ~Same Supply</a:t>
            </a:r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BFB5704-6F41-4D27-BF97-57D8C57C6942}"/>
            </a:ext>
          </a:extLst>
        </xdr:cNvPr>
        <xdr:cNvSpPr>
          <a:spLocks noChangeAspect="1" noChangeArrowheads="1"/>
        </xdr:cNvSpPr>
      </xdr:nvSpPr>
      <xdr:spPr bwMode="auto">
        <a:xfrm>
          <a:off x="812800" y="15748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12700</xdr:colOff>
      <xdr:row>7</xdr:row>
      <xdr:rowOff>19050</xdr:rowOff>
    </xdr:from>
    <xdr:to>
      <xdr:col>12</xdr:col>
      <xdr:colOff>80162</xdr:colOff>
      <xdr:row>29</xdr:row>
      <xdr:rowOff>95250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69DE657F-27F7-40E9-8F03-1B99D794875B}"/>
            </a:ext>
          </a:extLst>
        </xdr:cNvPr>
        <xdr:cNvGrpSpPr/>
      </xdr:nvGrpSpPr>
      <xdr:grpSpPr>
        <a:xfrm>
          <a:off x="3263900" y="1441450"/>
          <a:ext cx="6569862" cy="4546600"/>
          <a:chOff x="3797300" y="1250950"/>
          <a:chExt cx="6569862" cy="4406900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5B4B81F0-E97C-4787-A534-51E3875E153A}"/>
              </a:ext>
            </a:extLst>
          </xdr:cNvPr>
          <xdr:cNvGrpSpPr/>
        </xdr:nvGrpSpPr>
        <xdr:grpSpPr>
          <a:xfrm>
            <a:off x="3797300" y="1257300"/>
            <a:ext cx="6569862" cy="4400550"/>
            <a:chOff x="63500" y="0"/>
            <a:chExt cx="6582459" cy="4400550"/>
          </a:xfrm>
        </xdr:grpSpPr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24974F5D-E1CB-4627-A7B7-78ED6B706FF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3500" y="0"/>
              <a:ext cx="6582459" cy="44005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CE0ADE84-CFB0-4378-9419-F4E9F6859986}"/>
                </a:ext>
              </a:extLst>
            </xdr:cNvPr>
            <xdr:cNvCxnSpPr/>
          </xdr:nvCxnSpPr>
          <xdr:spPr>
            <a:xfrm>
              <a:off x="698500" y="660400"/>
              <a:ext cx="5848056" cy="0"/>
            </a:xfrm>
            <a:prstGeom prst="line">
              <a:avLst/>
            </a:prstGeom>
            <a:ln w="28575">
              <a:solidFill>
                <a:srgbClr val="FF0000"/>
              </a:solidFill>
              <a:prstDash val="lg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" name="Freeform: Shape 13">
              <a:extLst>
                <a:ext uri="{FF2B5EF4-FFF2-40B4-BE49-F238E27FC236}">
                  <a16:creationId xmlns:a16="http://schemas.microsoft.com/office/drawing/2014/main" id="{6B258FFE-1F77-42B6-95B6-7D65CE3D5255}"/>
                </a:ext>
              </a:extLst>
            </xdr:cNvPr>
            <xdr:cNvSpPr/>
          </xdr:nvSpPr>
          <xdr:spPr>
            <a:xfrm>
              <a:off x="793739" y="655984"/>
              <a:ext cx="5644661" cy="2118965"/>
            </a:xfrm>
            <a:custGeom>
              <a:avLst/>
              <a:gdLst>
                <a:gd name="connsiteX0" fmla="*/ 3340100 w 3340100"/>
                <a:gd name="connsiteY0" fmla="*/ 12700 h 1333500"/>
                <a:gd name="connsiteX1" fmla="*/ 3016250 w 3340100"/>
                <a:gd name="connsiteY1" fmla="*/ 501650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2083049 w 3340100"/>
                <a:gd name="connsiteY1" fmla="*/ 822858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2083049 w 3340100"/>
                <a:gd name="connsiteY1" fmla="*/ 822858 h 1333500"/>
                <a:gd name="connsiteX2" fmla="*/ 1101864 w 3340100"/>
                <a:gd name="connsiteY2" fmla="*/ 1054888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1546955 w 3340100"/>
                <a:gd name="connsiteY1" fmla="*/ 842325 h 1333500"/>
                <a:gd name="connsiteX2" fmla="*/ 1101864 w 3340100"/>
                <a:gd name="connsiteY2" fmla="*/ 1054888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1546955 w 3340100"/>
                <a:gd name="connsiteY1" fmla="*/ 842325 h 1333500"/>
                <a:gd name="connsiteX2" fmla="*/ 744468 w 3340100"/>
                <a:gd name="connsiteY2" fmla="*/ 1103556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59955 w 3359955"/>
                <a:gd name="connsiteY0" fmla="*/ 12700 h 1382168"/>
                <a:gd name="connsiteX1" fmla="*/ 1566810 w 3359955"/>
                <a:gd name="connsiteY1" fmla="*/ 842325 h 1382168"/>
                <a:gd name="connsiteX2" fmla="*/ 764323 w 3359955"/>
                <a:gd name="connsiteY2" fmla="*/ 1103556 h 1382168"/>
                <a:gd name="connsiteX3" fmla="*/ 0 w 3359955"/>
                <a:gd name="connsiteY3" fmla="*/ 1382168 h 1382168"/>
                <a:gd name="connsiteX4" fmla="*/ 26205 w 3359955"/>
                <a:gd name="connsiteY4" fmla="*/ 0 h 1382168"/>
                <a:gd name="connsiteX5" fmla="*/ 3359955 w 3359955"/>
                <a:gd name="connsiteY5" fmla="*/ 12700 h 1382168"/>
                <a:gd name="connsiteX0" fmla="*/ 3359955 w 3359955"/>
                <a:gd name="connsiteY0" fmla="*/ 12700 h 1382168"/>
                <a:gd name="connsiteX1" fmla="*/ 1805074 w 3359955"/>
                <a:gd name="connsiteY1" fmla="*/ 744990 h 1382168"/>
                <a:gd name="connsiteX2" fmla="*/ 764323 w 3359955"/>
                <a:gd name="connsiteY2" fmla="*/ 1103556 h 1382168"/>
                <a:gd name="connsiteX3" fmla="*/ 0 w 3359955"/>
                <a:gd name="connsiteY3" fmla="*/ 1382168 h 1382168"/>
                <a:gd name="connsiteX4" fmla="*/ 26205 w 3359955"/>
                <a:gd name="connsiteY4" fmla="*/ 0 h 1382168"/>
                <a:gd name="connsiteX5" fmla="*/ 3359955 w 3359955"/>
                <a:gd name="connsiteY5" fmla="*/ 12700 h 1382168"/>
                <a:gd name="connsiteX0" fmla="*/ 3359955 w 3359955"/>
                <a:gd name="connsiteY0" fmla="*/ 12700 h 1382168"/>
                <a:gd name="connsiteX1" fmla="*/ 764323 w 3359955"/>
                <a:gd name="connsiteY1" fmla="*/ 1103556 h 1382168"/>
                <a:gd name="connsiteX2" fmla="*/ 0 w 3359955"/>
                <a:gd name="connsiteY2" fmla="*/ 1382168 h 1382168"/>
                <a:gd name="connsiteX3" fmla="*/ 26205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1558536 w 3359955"/>
                <a:gd name="connsiteY1" fmla="*/ 850483 h 1382168"/>
                <a:gd name="connsiteX2" fmla="*/ 0 w 3359955"/>
                <a:gd name="connsiteY2" fmla="*/ 1382168 h 1382168"/>
                <a:gd name="connsiteX3" fmla="*/ 26205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1558536 w 3359955"/>
                <a:gd name="connsiteY1" fmla="*/ 850483 h 1382168"/>
                <a:gd name="connsiteX2" fmla="*/ 0 w 3359955"/>
                <a:gd name="connsiteY2" fmla="*/ 1382168 h 1382168"/>
                <a:gd name="connsiteX3" fmla="*/ 26206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725615 w 3359955"/>
                <a:gd name="connsiteY1" fmla="*/ 1084089 h 1382168"/>
                <a:gd name="connsiteX2" fmla="*/ 0 w 3359955"/>
                <a:gd name="connsiteY2" fmla="*/ 1382168 h 1382168"/>
                <a:gd name="connsiteX3" fmla="*/ 26206 w 3359955"/>
                <a:gd name="connsiteY3" fmla="*/ 0 h 1382168"/>
                <a:gd name="connsiteX4" fmla="*/ 3359955 w 3359955"/>
                <a:gd name="connsiteY4" fmla="*/ 12700 h 1382168"/>
                <a:gd name="connsiteX0" fmla="*/ 21061243 w 21061243"/>
                <a:gd name="connsiteY0" fmla="*/ 0 h 3228582"/>
                <a:gd name="connsiteX1" fmla="*/ 725615 w 21061243"/>
                <a:gd name="connsiteY1" fmla="*/ 2930503 h 3228582"/>
                <a:gd name="connsiteX2" fmla="*/ 0 w 21061243"/>
                <a:gd name="connsiteY2" fmla="*/ 3228582 h 3228582"/>
                <a:gd name="connsiteX3" fmla="*/ 26206 w 21061243"/>
                <a:gd name="connsiteY3" fmla="*/ 1846414 h 3228582"/>
                <a:gd name="connsiteX4" fmla="*/ 21061243 w 21061243"/>
                <a:gd name="connsiteY4" fmla="*/ 0 h 3228582"/>
                <a:gd name="connsiteX0" fmla="*/ 21061243 w 21061243"/>
                <a:gd name="connsiteY0" fmla="*/ 0 h 3228582"/>
                <a:gd name="connsiteX1" fmla="*/ 9647637 w 21061243"/>
                <a:gd name="connsiteY1" fmla="*/ 2005813 h 3228582"/>
                <a:gd name="connsiteX2" fmla="*/ 0 w 21061243"/>
                <a:gd name="connsiteY2" fmla="*/ 3228582 h 3228582"/>
                <a:gd name="connsiteX3" fmla="*/ 26206 w 21061243"/>
                <a:gd name="connsiteY3" fmla="*/ 1846414 h 3228582"/>
                <a:gd name="connsiteX4" fmla="*/ 21061243 w 21061243"/>
                <a:gd name="connsiteY4" fmla="*/ 0 h 3228582"/>
                <a:gd name="connsiteX0" fmla="*/ 21061243 w 21061243"/>
                <a:gd name="connsiteY0" fmla="*/ 0 h 3228582"/>
                <a:gd name="connsiteX1" fmla="*/ 9647637 w 21061243"/>
                <a:gd name="connsiteY1" fmla="*/ 2005813 h 3228582"/>
                <a:gd name="connsiteX2" fmla="*/ 2860322 w 21061243"/>
                <a:gd name="connsiteY2" fmla="*/ 2586167 h 3228582"/>
                <a:gd name="connsiteX3" fmla="*/ 0 w 21061243"/>
                <a:gd name="connsiteY3" fmla="*/ 3228582 h 3228582"/>
                <a:gd name="connsiteX4" fmla="*/ 26206 w 21061243"/>
                <a:gd name="connsiteY4" fmla="*/ 1846414 h 3228582"/>
                <a:gd name="connsiteX5" fmla="*/ 21061243 w 21061243"/>
                <a:gd name="connsiteY5" fmla="*/ 0 h 3228582"/>
                <a:gd name="connsiteX0" fmla="*/ 21061243 w 21061243"/>
                <a:gd name="connsiteY0" fmla="*/ 0 h 3228582"/>
                <a:gd name="connsiteX1" fmla="*/ 9647637 w 21061243"/>
                <a:gd name="connsiteY1" fmla="*/ 2005813 h 3228582"/>
                <a:gd name="connsiteX2" fmla="*/ 2860322 w 21061243"/>
                <a:gd name="connsiteY2" fmla="*/ 2586167 h 3228582"/>
                <a:gd name="connsiteX3" fmla="*/ 0 w 21061243"/>
                <a:gd name="connsiteY3" fmla="*/ 3228582 h 3228582"/>
                <a:gd name="connsiteX4" fmla="*/ 26206 w 21061243"/>
                <a:gd name="connsiteY4" fmla="*/ 1846414 h 3228582"/>
                <a:gd name="connsiteX5" fmla="*/ 12781608 w 21061243"/>
                <a:gd name="connsiteY5" fmla="*/ 727054 h 3228582"/>
                <a:gd name="connsiteX6" fmla="*/ 21061243 w 21061243"/>
                <a:gd name="connsiteY6" fmla="*/ 0 h 3228582"/>
                <a:gd name="connsiteX0" fmla="*/ 21061243 w 21061243"/>
                <a:gd name="connsiteY0" fmla="*/ 12698 h 3241280"/>
                <a:gd name="connsiteX1" fmla="*/ 9647637 w 21061243"/>
                <a:gd name="connsiteY1" fmla="*/ 2018511 h 3241280"/>
                <a:gd name="connsiteX2" fmla="*/ 2860322 w 21061243"/>
                <a:gd name="connsiteY2" fmla="*/ 2598865 h 3241280"/>
                <a:gd name="connsiteX3" fmla="*/ 0 w 21061243"/>
                <a:gd name="connsiteY3" fmla="*/ 3241280 h 3241280"/>
                <a:gd name="connsiteX4" fmla="*/ 26206 w 21061243"/>
                <a:gd name="connsiteY4" fmla="*/ 1859112 h 3241280"/>
                <a:gd name="connsiteX5" fmla="*/ 52860 w 21061243"/>
                <a:gd name="connsiteY5" fmla="*/ 0 h 3241280"/>
                <a:gd name="connsiteX6" fmla="*/ 21061243 w 21061243"/>
                <a:gd name="connsiteY6" fmla="*/ 12698 h 3241280"/>
                <a:gd name="connsiteX0" fmla="*/ 21061243 w 21061243"/>
                <a:gd name="connsiteY0" fmla="*/ 12698 h 3241280"/>
                <a:gd name="connsiteX1" fmla="*/ 16445585 w 21061243"/>
                <a:gd name="connsiteY1" fmla="*/ 798153 h 3241280"/>
                <a:gd name="connsiteX2" fmla="*/ 9647637 w 21061243"/>
                <a:gd name="connsiteY2" fmla="*/ 2018511 h 3241280"/>
                <a:gd name="connsiteX3" fmla="*/ 2860322 w 21061243"/>
                <a:gd name="connsiteY3" fmla="*/ 2598865 h 3241280"/>
                <a:gd name="connsiteX4" fmla="*/ 0 w 21061243"/>
                <a:gd name="connsiteY4" fmla="*/ 3241280 h 3241280"/>
                <a:gd name="connsiteX5" fmla="*/ 26206 w 21061243"/>
                <a:gd name="connsiteY5" fmla="*/ 1859112 h 3241280"/>
                <a:gd name="connsiteX6" fmla="*/ 52860 w 21061243"/>
                <a:gd name="connsiteY6" fmla="*/ 0 h 3241280"/>
                <a:gd name="connsiteX7" fmla="*/ 21061243 w 21061243"/>
                <a:gd name="connsiteY7" fmla="*/ 12698 h 3241280"/>
                <a:gd name="connsiteX0" fmla="*/ 21061243 w 21061243"/>
                <a:gd name="connsiteY0" fmla="*/ 12698 h 3241280"/>
                <a:gd name="connsiteX1" fmla="*/ 18015860 w 21061243"/>
                <a:gd name="connsiteY1" fmla="*/ 1469770 h 3241280"/>
                <a:gd name="connsiteX2" fmla="*/ 9647637 w 21061243"/>
                <a:gd name="connsiteY2" fmla="*/ 2018511 h 3241280"/>
                <a:gd name="connsiteX3" fmla="*/ 2860322 w 21061243"/>
                <a:gd name="connsiteY3" fmla="*/ 2598865 h 3241280"/>
                <a:gd name="connsiteX4" fmla="*/ 0 w 21061243"/>
                <a:gd name="connsiteY4" fmla="*/ 3241280 h 3241280"/>
                <a:gd name="connsiteX5" fmla="*/ 26206 w 21061243"/>
                <a:gd name="connsiteY5" fmla="*/ 1859112 h 3241280"/>
                <a:gd name="connsiteX6" fmla="*/ 52860 w 21061243"/>
                <a:gd name="connsiteY6" fmla="*/ 0 h 3241280"/>
                <a:gd name="connsiteX7" fmla="*/ 21061243 w 21061243"/>
                <a:gd name="connsiteY7" fmla="*/ 12698 h 3241280"/>
                <a:gd name="connsiteX0" fmla="*/ 21061243 w 21061243"/>
                <a:gd name="connsiteY0" fmla="*/ 12698 h 3241280"/>
                <a:gd name="connsiteX1" fmla="*/ 18015860 w 21061243"/>
                <a:gd name="connsiteY1" fmla="*/ 1469770 h 3241280"/>
                <a:gd name="connsiteX2" fmla="*/ 12312347 w 21061243"/>
                <a:gd name="connsiteY2" fmla="*/ 1862774 h 3241280"/>
                <a:gd name="connsiteX3" fmla="*/ 2860322 w 21061243"/>
                <a:gd name="connsiteY3" fmla="*/ 2598865 h 3241280"/>
                <a:gd name="connsiteX4" fmla="*/ 0 w 21061243"/>
                <a:gd name="connsiteY4" fmla="*/ 3241280 h 3241280"/>
                <a:gd name="connsiteX5" fmla="*/ 26206 w 21061243"/>
                <a:gd name="connsiteY5" fmla="*/ 1859112 h 3241280"/>
                <a:gd name="connsiteX6" fmla="*/ 52860 w 21061243"/>
                <a:gd name="connsiteY6" fmla="*/ 0 h 3241280"/>
                <a:gd name="connsiteX7" fmla="*/ 21061243 w 21061243"/>
                <a:gd name="connsiteY7" fmla="*/ 12698 h 3241280"/>
                <a:gd name="connsiteX0" fmla="*/ 21061243 w 21061243"/>
                <a:gd name="connsiteY0" fmla="*/ 12698 h 3241280"/>
                <a:gd name="connsiteX1" fmla="*/ 19633720 w 21061243"/>
                <a:gd name="connsiteY1" fmla="*/ 1226431 h 3241280"/>
                <a:gd name="connsiteX2" fmla="*/ 12312347 w 21061243"/>
                <a:gd name="connsiteY2" fmla="*/ 1862774 h 3241280"/>
                <a:gd name="connsiteX3" fmla="*/ 2860322 w 21061243"/>
                <a:gd name="connsiteY3" fmla="*/ 2598865 h 3241280"/>
                <a:gd name="connsiteX4" fmla="*/ 0 w 21061243"/>
                <a:gd name="connsiteY4" fmla="*/ 3241280 h 3241280"/>
                <a:gd name="connsiteX5" fmla="*/ 26206 w 21061243"/>
                <a:gd name="connsiteY5" fmla="*/ 1859112 h 3241280"/>
                <a:gd name="connsiteX6" fmla="*/ 52860 w 21061243"/>
                <a:gd name="connsiteY6" fmla="*/ 0 h 3241280"/>
                <a:gd name="connsiteX7" fmla="*/ 21061243 w 21061243"/>
                <a:gd name="connsiteY7" fmla="*/ 12698 h 3241280"/>
                <a:gd name="connsiteX0" fmla="*/ 21061243 w 21061243"/>
                <a:gd name="connsiteY0" fmla="*/ 12698 h 3241280"/>
                <a:gd name="connsiteX1" fmla="*/ 19633720 w 21061243"/>
                <a:gd name="connsiteY1" fmla="*/ 1226431 h 3241280"/>
                <a:gd name="connsiteX2" fmla="*/ 16302832 w 21061243"/>
                <a:gd name="connsiteY2" fmla="*/ 1508705 h 3241280"/>
                <a:gd name="connsiteX3" fmla="*/ 12312347 w 21061243"/>
                <a:gd name="connsiteY3" fmla="*/ 1862774 h 3241280"/>
                <a:gd name="connsiteX4" fmla="*/ 2860322 w 21061243"/>
                <a:gd name="connsiteY4" fmla="*/ 2598865 h 3241280"/>
                <a:gd name="connsiteX5" fmla="*/ 0 w 21061243"/>
                <a:gd name="connsiteY5" fmla="*/ 3241280 h 3241280"/>
                <a:gd name="connsiteX6" fmla="*/ 26206 w 21061243"/>
                <a:gd name="connsiteY6" fmla="*/ 1859112 h 3241280"/>
                <a:gd name="connsiteX7" fmla="*/ 52860 w 21061243"/>
                <a:gd name="connsiteY7" fmla="*/ 0 h 3241280"/>
                <a:gd name="connsiteX8" fmla="*/ 21061243 w 21061243"/>
                <a:gd name="connsiteY8" fmla="*/ 12698 h 3241280"/>
                <a:gd name="connsiteX0" fmla="*/ 21061243 w 21061243"/>
                <a:gd name="connsiteY0" fmla="*/ 12698 h 3241280"/>
                <a:gd name="connsiteX1" fmla="*/ 20276105 w 21061243"/>
                <a:gd name="connsiteY1" fmla="*/ 885756 h 3241280"/>
                <a:gd name="connsiteX2" fmla="*/ 16302832 w 21061243"/>
                <a:gd name="connsiteY2" fmla="*/ 1508705 h 3241280"/>
                <a:gd name="connsiteX3" fmla="*/ 12312347 w 21061243"/>
                <a:gd name="connsiteY3" fmla="*/ 1862774 h 3241280"/>
                <a:gd name="connsiteX4" fmla="*/ 2860322 w 21061243"/>
                <a:gd name="connsiteY4" fmla="*/ 2598865 h 3241280"/>
                <a:gd name="connsiteX5" fmla="*/ 0 w 21061243"/>
                <a:gd name="connsiteY5" fmla="*/ 3241280 h 3241280"/>
                <a:gd name="connsiteX6" fmla="*/ 26206 w 21061243"/>
                <a:gd name="connsiteY6" fmla="*/ 1859112 h 3241280"/>
                <a:gd name="connsiteX7" fmla="*/ 52860 w 21061243"/>
                <a:gd name="connsiteY7" fmla="*/ 0 h 3241280"/>
                <a:gd name="connsiteX8" fmla="*/ 21061243 w 21061243"/>
                <a:gd name="connsiteY8" fmla="*/ 12698 h 3241280"/>
                <a:gd name="connsiteX0" fmla="*/ 20609198 w 20609198"/>
                <a:gd name="connsiteY0" fmla="*/ 2965 h 3241280"/>
                <a:gd name="connsiteX1" fmla="*/ 20276105 w 20609198"/>
                <a:gd name="connsiteY1" fmla="*/ 885756 h 3241280"/>
                <a:gd name="connsiteX2" fmla="*/ 16302832 w 20609198"/>
                <a:gd name="connsiteY2" fmla="*/ 1508705 h 3241280"/>
                <a:gd name="connsiteX3" fmla="*/ 12312347 w 20609198"/>
                <a:gd name="connsiteY3" fmla="*/ 1862774 h 3241280"/>
                <a:gd name="connsiteX4" fmla="*/ 2860322 w 20609198"/>
                <a:gd name="connsiteY4" fmla="*/ 2598865 h 3241280"/>
                <a:gd name="connsiteX5" fmla="*/ 0 w 20609198"/>
                <a:gd name="connsiteY5" fmla="*/ 3241280 h 3241280"/>
                <a:gd name="connsiteX6" fmla="*/ 26206 w 20609198"/>
                <a:gd name="connsiteY6" fmla="*/ 1859112 h 3241280"/>
                <a:gd name="connsiteX7" fmla="*/ 52860 w 20609198"/>
                <a:gd name="connsiteY7" fmla="*/ 0 h 3241280"/>
                <a:gd name="connsiteX8" fmla="*/ 20609198 w 20609198"/>
                <a:gd name="connsiteY8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6302832 w 20632990"/>
                <a:gd name="connsiteY2" fmla="*/ 1508705 h 3241280"/>
                <a:gd name="connsiteX3" fmla="*/ 12312347 w 20632990"/>
                <a:gd name="connsiteY3" fmla="*/ 1862774 h 3241280"/>
                <a:gd name="connsiteX4" fmla="*/ 2860322 w 20632990"/>
                <a:gd name="connsiteY4" fmla="*/ 2598865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2312347 w 20632990"/>
                <a:gd name="connsiteY3" fmla="*/ 1862774 h 3241280"/>
                <a:gd name="connsiteX4" fmla="*/ 2860322 w 20632990"/>
                <a:gd name="connsiteY4" fmla="*/ 2598865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6088708 w 20632990"/>
                <a:gd name="connsiteY3" fmla="*/ 1528172 h 3241280"/>
                <a:gd name="connsiteX4" fmla="*/ 12312347 w 20632990"/>
                <a:gd name="connsiteY4" fmla="*/ 1862774 h 3241280"/>
                <a:gd name="connsiteX5" fmla="*/ 2860322 w 20632990"/>
                <a:gd name="connsiteY5" fmla="*/ 2598865 h 3241280"/>
                <a:gd name="connsiteX6" fmla="*/ 0 w 20632990"/>
                <a:gd name="connsiteY6" fmla="*/ 3241280 h 3241280"/>
                <a:gd name="connsiteX7" fmla="*/ 26206 w 20632990"/>
                <a:gd name="connsiteY7" fmla="*/ 1859112 h 3241280"/>
                <a:gd name="connsiteX8" fmla="*/ 52860 w 20632990"/>
                <a:gd name="connsiteY8" fmla="*/ 0 h 3241280"/>
                <a:gd name="connsiteX9" fmla="*/ 20632990 w 20632990"/>
                <a:gd name="connsiteY9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6064916 w 20632990"/>
                <a:gd name="connsiteY3" fmla="*/ 1674175 h 3241280"/>
                <a:gd name="connsiteX4" fmla="*/ 12312347 w 20632990"/>
                <a:gd name="connsiteY4" fmla="*/ 1862774 h 3241280"/>
                <a:gd name="connsiteX5" fmla="*/ 2860322 w 20632990"/>
                <a:gd name="connsiteY5" fmla="*/ 2598865 h 3241280"/>
                <a:gd name="connsiteX6" fmla="*/ 0 w 20632990"/>
                <a:gd name="connsiteY6" fmla="*/ 3241280 h 3241280"/>
                <a:gd name="connsiteX7" fmla="*/ 26206 w 20632990"/>
                <a:gd name="connsiteY7" fmla="*/ 1859112 h 3241280"/>
                <a:gd name="connsiteX8" fmla="*/ 52860 w 20632990"/>
                <a:gd name="connsiteY8" fmla="*/ 0 h 3241280"/>
                <a:gd name="connsiteX9" fmla="*/ 20632990 w 20632990"/>
                <a:gd name="connsiteY9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6064916 w 20632990"/>
                <a:gd name="connsiteY3" fmla="*/ 1674175 h 3241280"/>
                <a:gd name="connsiteX4" fmla="*/ 2860322 w 20632990"/>
                <a:gd name="connsiteY4" fmla="*/ 2598865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6064916 w 20632990"/>
                <a:gd name="connsiteY3" fmla="*/ 1674175 h 3241280"/>
                <a:gd name="connsiteX4" fmla="*/ 3859588 w 20632990"/>
                <a:gd name="connsiteY4" fmla="*/ 2443128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18872374 w 20632990"/>
                <a:gd name="connsiteY1" fmla="*/ 1275099 h 3241280"/>
                <a:gd name="connsiteX2" fmla="*/ 16064916 w 20632990"/>
                <a:gd name="connsiteY2" fmla="*/ 1674175 h 3241280"/>
                <a:gd name="connsiteX3" fmla="*/ 3859588 w 20632990"/>
                <a:gd name="connsiteY3" fmla="*/ 2443128 h 3241280"/>
                <a:gd name="connsiteX4" fmla="*/ 0 w 20632990"/>
                <a:gd name="connsiteY4" fmla="*/ 3241280 h 3241280"/>
                <a:gd name="connsiteX5" fmla="*/ 26206 w 20632990"/>
                <a:gd name="connsiteY5" fmla="*/ 1859112 h 3241280"/>
                <a:gd name="connsiteX6" fmla="*/ 52860 w 20632990"/>
                <a:gd name="connsiteY6" fmla="*/ 0 h 3241280"/>
                <a:gd name="connsiteX7" fmla="*/ 20632990 w 20632990"/>
                <a:gd name="connsiteY7" fmla="*/ 2965 h 3241280"/>
                <a:gd name="connsiteX0" fmla="*/ 20632990 w 20632990"/>
                <a:gd name="connsiteY0" fmla="*/ 2965 h 3241280"/>
                <a:gd name="connsiteX1" fmla="*/ 19705096 w 20632990"/>
                <a:gd name="connsiteY1" fmla="*/ 1216697 h 3241280"/>
                <a:gd name="connsiteX2" fmla="*/ 16064916 w 20632990"/>
                <a:gd name="connsiteY2" fmla="*/ 1674175 h 3241280"/>
                <a:gd name="connsiteX3" fmla="*/ 3859588 w 20632990"/>
                <a:gd name="connsiteY3" fmla="*/ 2443128 h 3241280"/>
                <a:gd name="connsiteX4" fmla="*/ 0 w 20632990"/>
                <a:gd name="connsiteY4" fmla="*/ 3241280 h 3241280"/>
                <a:gd name="connsiteX5" fmla="*/ 26206 w 20632990"/>
                <a:gd name="connsiteY5" fmla="*/ 1859112 h 3241280"/>
                <a:gd name="connsiteX6" fmla="*/ 52860 w 20632990"/>
                <a:gd name="connsiteY6" fmla="*/ 0 h 3241280"/>
                <a:gd name="connsiteX7" fmla="*/ 20632990 w 20632990"/>
                <a:gd name="connsiteY7" fmla="*/ 2965 h 3241280"/>
                <a:gd name="connsiteX0" fmla="*/ 20632990 w 20632990"/>
                <a:gd name="connsiteY0" fmla="*/ 2965 h 3241280"/>
                <a:gd name="connsiteX1" fmla="*/ 19705096 w 20632990"/>
                <a:gd name="connsiteY1" fmla="*/ 1216697 h 3241280"/>
                <a:gd name="connsiteX2" fmla="*/ 20061981 w 20632990"/>
                <a:gd name="connsiteY2" fmla="*/ 856555 h 3241280"/>
                <a:gd name="connsiteX3" fmla="*/ 16064916 w 20632990"/>
                <a:gd name="connsiteY3" fmla="*/ 1674175 h 3241280"/>
                <a:gd name="connsiteX4" fmla="*/ 3859588 w 20632990"/>
                <a:gd name="connsiteY4" fmla="*/ 2443128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19705096 w 20632990"/>
                <a:gd name="connsiteY1" fmla="*/ 1216697 h 3241280"/>
                <a:gd name="connsiteX2" fmla="*/ 18919962 w 20632990"/>
                <a:gd name="connsiteY2" fmla="*/ 1323767 h 3241280"/>
                <a:gd name="connsiteX3" fmla="*/ 16064916 w 20632990"/>
                <a:gd name="connsiteY3" fmla="*/ 1674175 h 3241280"/>
                <a:gd name="connsiteX4" fmla="*/ 3859588 w 20632990"/>
                <a:gd name="connsiteY4" fmla="*/ 2443128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1108827"/>
                <a:gd name="connsiteY0" fmla="*/ 2965 h 3241280"/>
                <a:gd name="connsiteX1" fmla="*/ 21108827 w 21108827"/>
                <a:gd name="connsiteY1" fmla="*/ 584015 h 3241280"/>
                <a:gd name="connsiteX2" fmla="*/ 18919962 w 21108827"/>
                <a:gd name="connsiteY2" fmla="*/ 1323767 h 3241280"/>
                <a:gd name="connsiteX3" fmla="*/ 16064916 w 21108827"/>
                <a:gd name="connsiteY3" fmla="*/ 1674175 h 3241280"/>
                <a:gd name="connsiteX4" fmla="*/ 3859588 w 21108827"/>
                <a:gd name="connsiteY4" fmla="*/ 2443128 h 3241280"/>
                <a:gd name="connsiteX5" fmla="*/ 0 w 21108827"/>
                <a:gd name="connsiteY5" fmla="*/ 3241280 h 3241280"/>
                <a:gd name="connsiteX6" fmla="*/ 26206 w 21108827"/>
                <a:gd name="connsiteY6" fmla="*/ 1859112 h 3241280"/>
                <a:gd name="connsiteX7" fmla="*/ 52860 w 21108827"/>
                <a:gd name="connsiteY7" fmla="*/ 0 h 3241280"/>
                <a:gd name="connsiteX8" fmla="*/ 20632990 w 21108827"/>
                <a:gd name="connsiteY8" fmla="*/ 2965 h 3241280"/>
                <a:gd name="connsiteX0" fmla="*/ 20989870 w 21108827"/>
                <a:gd name="connsiteY0" fmla="*/ 0 h 3257783"/>
                <a:gd name="connsiteX1" fmla="*/ 21108827 w 21108827"/>
                <a:gd name="connsiteY1" fmla="*/ 600518 h 3257783"/>
                <a:gd name="connsiteX2" fmla="*/ 18919962 w 21108827"/>
                <a:gd name="connsiteY2" fmla="*/ 1340270 h 3257783"/>
                <a:gd name="connsiteX3" fmla="*/ 16064916 w 21108827"/>
                <a:gd name="connsiteY3" fmla="*/ 1690678 h 3257783"/>
                <a:gd name="connsiteX4" fmla="*/ 3859588 w 21108827"/>
                <a:gd name="connsiteY4" fmla="*/ 2459631 h 3257783"/>
                <a:gd name="connsiteX5" fmla="*/ 0 w 21108827"/>
                <a:gd name="connsiteY5" fmla="*/ 3257783 h 3257783"/>
                <a:gd name="connsiteX6" fmla="*/ 26206 w 21108827"/>
                <a:gd name="connsiteY6" fmla="*/ 1875615 h 3257783"/>
                <a:gd name="connsiteX7" fmla="*/ 52860 w 21108827"/>
                <a:gd name="connsiteY7" fmla="*/ 16503 h 3257783"/>
                <a:gd name="connsiteX8" fmla="*/ 20989870 w 21108827"/>
                <a:gd name="connsiteY8" fmla="*/ 0 h 3257783"/>
                <a:gd name="connsiteX0" fmla="*/ 20989870 w 21108827"/>
                <a:gd name="connsiteY0" fmla="*/ 0 h 3257783"/>
                <a:gd name="connsiteX1" fmla="*/ 21108827 w 21108827"/>
                <a:gd name="connsiteY1" fmla="*/ 600518 h 3257783"/>
                <a:gd name="connsiteX2" fmla="*/ 19681308 w 21108827"/>
                <a:gd name="connsiteY2" fmla="*/ 1203999 h 3257783"/>
                <a:gd name="connsiteX3" fmla="*/ 16064916 w 21108827"/>
                <a:gd name="connsiteY3" fmla="*/ 1690678 h 3257783"/>
                <a:gd name="connsiteX4" fmla="*/ 3859588 w 21108827"/>
                <a:gd name="connsiteY4" fmla="*/ 2459631 h 3257783"/>
                <a:gd name="connsiteX5" fmla="*/ 0 w 21108827"/>
                <a:gd name="connsiteY5" fmla="*/ 3257783 h 3257783"/>
                <a:gd name="connsiteX6" fmla="*/ 26206 w 21108827"/>
                <a:gd name="connsiteY6" fmla="*/ 1875615 h 3257783"/>
                <a:gd name="connsiteX7" fmla="*/ 52860 w 21108827"/>
                <a:gd name="connsiteY7" fmla="*/ 16503 h 3257783"/>
                <a:gd name="connsiteX8" fmla="*/ 20989870 w 21108827"/>
                <a:gd name="connsiteY8" fmla="*/ 0 h 3257783"/>
                <a:gd name="connsiteX0" fmla="*/ 21108831 w 21108831"/>
                <a:gd name="connsiteY0" fmla="*/ 0 h 3248049"/>
                <a:gd name="connsiteX1" fmla="*/ 21108827 w 21108831"/>
                <a:gd name="connsiteY1" fmla="*/ 590784 h 3248049"/>
                <a:gd name="connsiteX2" fmla="*/ 19681308 w 21108831"/>
                <a:gd name="connsiteY2" fmla="*/ 1194265 h 3248049"/>
                <a:gd name="connsiteX3" fmla="*/ 16064916 w 21108831"/>
                <a:gd name="connsiteY3" fmla="*/ 1680944 h 3248049"/>
                <a:gd name="connsiteX4" fmla="*/ 3859588 w 21108831"/>
                <a:gd name="connsiteY4" fmla="*/ 2449897 h 3248049"/>
                <a:gd name="connsiteX5" fmla="*/ 0 w 21108831"/>
                <a:gd name="connsiteY5" fmla="*/ 3248049 h 3248049"/>
                <a:gd name="connsiteX6" fmla="*/ 26206 w 21108831"/>
                <a:gd name="connsiteY6" fmla="*/ 1865881 h 3248049"/>
                <a:gd name="connsiteX7" fmla="*/ 52860 w 21108831"/>
                <a:gd name="connsiteY7" fmla="*/ 6769 h 3248049"/>
                <a:gd name="connsiteX8" fmla="*/ 21108831 w 21108831"/>
                <a:gd name="connsiteY8" fmla="*/ 0 h 324804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1108831" h="3248049">
                  <a:moveTo>
                    <a:pt x="21108831" y="0"/>
                  </a:moveTo>
                  <a:cubicBezTo>
                    <a:pt x="21108830" y="196928"/>
                    <a:pt x="21108828" y="393856"/>
                    <a:pt x="21108827" y="590784"/>
                  </a:cubicBezTo>
                  <a:lnTo>
                    <a:pt x="19681308" y="1194265"/>
                  </a:lnTo>
                  <a:lnTo>
                    <a:pt x="16064916" y="1680944"/>
                  </a:lnTo>
                  <a:lnTo>
                    <a:pt x="3859588" y="2449897"/>
                  </a:lnTo>
                  <a:lnTo>
                    <a:pt x="0" y="3248049"/>
                  </a:lnTo>
                  <a:cubicBezTo>
                    <a:pt x="2117" y="2803549"/>
                    <a:pt x="24089" y="2310381"/>
                    <a:pt x="26206" y="1865881"/>
                  </a:cubicBezTo>
                  <a:lnTo>
                    <a:pt x="52860" y="6769"/>
                  </a:lnTo>
                  <a:lnTo>
                    <a:pt x="21108831" y="0"/>
                  </a:lnTo>
                  <a:close/>
                </a:path>
              </a:pathLst>
            </a:custGeom>
            <a:solidFill>
              <a:srgbClr val="C00000">
                <a:alpha val="49020"/>
              </a:srgbClr>
            </a:solidFill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New Shortages</a:t>
              </a:r>
              <a:r>
                <a:rPr lang="en-US" sz="1100" baseline="0"/>
                <a:t> </a:t>
              </a:r>
              <a:endParaRPr lang="en-US" sz="1100"/>
            </a:p>
          </xdr:txBody>
        </xdr:sp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178FFC40-1E9B-4E28-9160-C8FCC24D0ED0}"/>
                </a:ext>
              </a:extLst>
            </xdr:cNvPr>
            <xdr:cNvCxnSpPr/>
          </xdr:nvCxnSpPr>
          <xdr:spPr>
            <a:xfrm flipH="1">
              <a:off x="6444762" y="609600"/>
              <a:ext cx="6362" cy="2755900"/>
            </a:xfrm>
            <a:prstGeom prst="line">
              <a:avLst/>
            </a:prstGeom>
            <a:ln w="28575">
              <a:solidFill>
                <a:srgbClr val="FF0000"/>
              </a:solidFill>
              <a:prstDash val="lg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DD63DFAF-A7A8-4034-93FC-A020D500BBB6}"/>
              </a:ext>
            </a:extLst>
          </xdr:cNvPr>
          <xdr:cNvSpPr txBox="1"/>
        </xdr:nvSpPr>
        <xdr:spPr>
          <a:xfrm>
            <a:off x="8585200" y="1250950"/>
            <a:ext cx="1730987" cy="264560"/>
          </a:xfrm>
          <a:prstGeom prst="rect">
            <a:avLst/>
          </a:prstGeom>
          <a:noFill/>
          <a:ln w="28575">
            <a:solidFill>
              <a:srgbClr val="C00000"/>
            </a:solidFill>
            <a:prstDash val="lg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High</a:t>
            </a:r>
            <a:r>
              <a:rPr lang="en-US" sz="1100" baseline="0"/>
              <a:t> Demand / Low Supply</a:t>
            </a:r>
            <a:endParaRPr 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146050</xdr:colOff>
      <xdr:row>1</xdr:row>
      <xdr:rowOff>177800</xdr:rowOff>
    </xdr:from>
    <xdr:to>
      <xdr:col>11</xdr:col>
      <xdr:colOff>12700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5221A-AB26-6D44-B9DD-6AA1F374B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1D4F-3135-4BBC-B023-1FF980C88CC4}">
  <dimension ref="B1:J11"/>
  <sheetViews>
    <sheetView tabSelected="1" workbookViewId="0">
      <selection activeCell="C37" sqref="C37"/>
    </sheetView>
  </sheetViews>
  <sheetFormatPr baseColWidth="10" defaultColWidth="8.83203125" defaultRowHeight="16" x14ac:dyDescent="0.2"/>
  <cols>
    <col min="2" max="2" width="20" customWidth="1"/>
    <col min="3" max="3" width="10.33203125" customWidth="1"/>
  </cols>
  <sheetData>
    <row r="1" spans="2:10" x14ac:dyDescent="0.2">
      <c r="E1" t="s">
        <v>12</v>
      </c>
      <c r="G1" t="s">
        <v>10</v>
      </c>
      <c r="I1" t="s">
        <v>11</v>
      </c>
    </row>
    <row r="2" spans="2:10" x14ac:dyDescent="0.2">
      <c r="B2" s="1" t="s">
        <v>7</v>
      </c>
      <c r="C2" s="7" t="s">
        <v>13</v>
      </c>
      <c r="D2" s="7" t="s">
        <v>8</v>
      </c>
      <c r="E2" s="7" t="s">
        <v>5</v>
      </c>
      <c r="F2" s="7" t="s">
        <v>4</v>
      </c>
      <c r="G2" s="7" t="s">
        <v>5</v>
      </c>
      <c r="H2" s="7" t="s">
        <v>4</v>
      </c>
      <c r="I2" s="7" t="s">
        <v>5</v>
      </c>
      <c r="J2" s="7" t="s">
        <v>4</v>
      </c>
    </row>
    <row r="3" spans="2:10" x14ac:dyDescent="0.2">
      <c r="B3" s="5">
        <v>7</v>
      </c>
      <c r="C3" s="7">
        <f t="shared" ref="C3:C8" si="0">C4+$C$11</f>
        <v>2.625</v>
      </c>
      <c r="D3" s="6">
        <f t="shared" ref="D3:D9" si="1">C3-$C$11/2</f>
        <v>2.4375</v>
      </c>
      <c r="E3" s="8" cm="1">
        <f t="array" ref="E3">IF(MATCH(FALSE,Low!$B$3:$B$102&gt;$D3,0)=1,0,INDEX(Low!$C$3:$C$102,MATCH(FALSE,Low!$B$3:$B$102&gt;$D3,0)))</f>
        <v>0</v>
      </c>
      <c r="F3" s="8">
        <f>E3</f>
        <v>0</v>
      </c>
      <c r="G3" s="8" cm="1">
        <f t="array" ref="G3">IF(MATCH(FALSE,Mid!$B$3:$B$102&gt;$D3,0)=1,0,INDEX(Mid!$C$3:$C$102,MATCH(FALSE,Mid!$B$3:$B$102&gt;$D3,0)))</f>
        <v>0</v>
      </c>
      <c r="H3" s="6">
        <f>G3</f>
        <v>0</v>
      </c>
      <c r="I3" s="8" cm="1">
        <f t="array" ref="I3">IF(MATCH(FALSE,High!$B$3:$B$102&gt;=$D3,0)=1,0,INDEX(High!$C$3:$C$102,MATCH(FALSE,High!$B$3:$B$102&gt;=$D3,0)))</f>
        <v>2.9411764705882353E-2</v>
      </c>
      <c r="J3" s="8">
        <f>I3</f>
        <v>2.9411764705882353E-2</v>
      </c>
    </row>
    <row r="4" spans="2:10" x14ac:dyDescent="0.2">
      <c r="B4" s="5">
        <v>6</v>
      </c>
      <c r="C4" s="7">
        <f t="shared" si="0"/>
        <v>2.25</v>
      </c>
      <c r="D4" s="8">
        <f t="shared" si="1"/>
        <v>2.0625</v>
      </c>
      <c r="E4" s="8" cm="1">
        <f t="array" ref="E4">IF(MATCH(FALSE,Low!$B$3:$B$102&gt;$D4,0)=1,0,INDEX(Low!$C$3:$C$102,MATCH(FALSE,Low!$B$3:$B$102&gt;$D4,0)))</f>
        <v>0</v>
      </c>
      <c r="F4" s="8">
        <f>E4</f>
        <v>0</v>
      </c>
      <c r="G4" s="8" cm="1">
        <f t="array" ref="G4">IF(MATCH(FALSE,Mid!$B$3:$B$102&gt;$D4,0)=1,0,INDEX(Mid!$C$3:$C$102,MATCH(FALSE,Mid!$B$3:$B$102&gt;$D4,0)))</f>
        <v>0</v>
      </c>
      <c r="H4" s="6">
        <f>G4</f>
        <v>0</v>
      </c>
      <c r="I4" s="8" cm="1">
        <f t="array" ref="I4">IF(MATCH(FALSE,High!$B$3:$B$102&gt;$D4,0)=1,0,INDEX(High!$C$3:$C$102,MATCH(FALSE,High!$B$3:$B$102&gt;$D4,0)))</f>
        <v>0.14705882352941177</v>
      </c>
      <c r="J4" s="8">
        <f>I4</f>
        <v>0.14705882352941177</v>
      </c>
    </row>
    <row r="5" spans="2:10" x14ac:dyDescent="0.2">
      <c r="B5" s="5">
        <v>5</v>
      </c>
      <c r="C5" s="7">
        <f t="shared" si="0"/>
        <v>1.875</v>
      </c>
      <c r="D5" s="8">
        <f t="shared" si="1"/>
        <v>1.6875</v>
      </c>
      <c r="E5" s="8" cm="1">
        <f t="array" ref="E5">IF(MATCH(FALSE,Low!$B$3:$B$102&gt;$D5,0)=1,0,INDEX(Low!$C$3:$C$102,MATCH(FALSE,Low!$B$3:$B$102&gt;$D5,0)))</f>
        <v>0</v>
      </c>
      <c r="F5" s="8">
        <f t="shared" ref="F5:F10" si="2">E5-E4</f>
        <v>0</v>
      </c>
      <c r="G5" s="8" cm="1">
        <f t="array" ref="G5">IF(MATCH(FALSE,Mid!$B$3:$B$102&gt;$D5,0)=1,0,INDEX(Mid!$C$3:$C$102,MATCH(FALSE,Mid!$B$3:$B$102&gt;$D5,0)))</f>
        <v>0</v>
      </c>
      <c r="H5" s="6">
        <f>G5-G4</f>
        <v>0</v>
      </c>
      <c r="I5" s="8" cm="1">
        <f t="array" ref="I5">IF(MATCH(FALSE,High!$B$3:$B$102&gt;$D5,0)=1,0,INDEX(High!$C$3:$C$102,MATCH(FALSE,High!$B$3:$B$102&gt;$D5,0)))</f>
        <v>0.37254901960784315</v>
      </c>
      <c r="J5" s="8">
        <f t="shared" ref="J5:J9" si="3">I5-I4</f>
        <v>0.22549019607843138</v>
      </c>
    </row>
    <row r="6" spans="2:10" x14ac:dyDescent="0.2">
      <c r="B6" s="5">
        <v>4</v>
      </c>
      <c r="C6" s="7">
        <f t="shared" si="0"/>
        <v>1.5</v>
      </c>
      <c r="D6" s="8">
        <f t="shared" si="1"/>
        <v>1.3125</v>
      </c>
      <c r="E6" s="8" cm="1">
        <f t="array" ref="E6">IF(MATCH(FALSE,Low!$B$3:$B$102&gt;$D6,0)=1,0,INDEX(Low!$C$3:$C$102,MATCH(FALSE,Low!$B$3:$B$102&gt;$D6,0)))</f>
        <v>0</v>
      </c>
      <c r="F6" s="8">
        <f t="shared" si="2"/>
        <v>0</v>
      </c>
      <c r="G6" s="8" cm="1">
        <f t="array" ref="G6">IF(MATCH(FALSE,Mid!$B$3:$B$102&gt;$D6,0)=1,0,INDEX(Mid!$C$3:$C$102,MATCH(FALSE,Mid!$B$3:$B$102&gt;$D6,0)))</f>
        <v>7.8431372549019607E-2</v>
      </c>
      <c r="H6" s="6">
        <f>G6-G5</f>
        <v>7.8431372549019607E-2</v>
      </c>
      <c r="I6" s="8" cm="1">
        <f t="array" ref="I6">IF(MATCH(FALSE,High!$B$3:$B$102&gt;$D6,0)=1,0,INDEX(High!$C$3:$C$102,MATCH(FALSE,High!$B$3:$B$102&gt;$D6,0)))</f>
        <v>0.68627450980392157</v>
      </c>
      <c r="J6" s="8">
        <f t="shared" si="3"/>
        <v>0.31372549019607843</v>
      </c>
    </row>
    <row r="7" spans="2:10" x14ac:dyDescent="0.2">
      <c r="B7" s="5">
        <v>3</v>
      </c>
      <c r="C7" s="7">
        <f t="shared" si="0"/>
        <v>1.125</v>
      </c>
      <c r="D7" s="8">
        <f t="shared" si="1"/>
        <v>0.9375</v>
      </c>
      <c r="E7" s="8" cm="1">
        <f t="array" ref="E7">IF(MATCH(FALSE,Low!$B$3:$B$102&gt;$D7,0)=1,0,INDEX(Low!$C$3:$C$102,MATCH(FALSE,Low!$B$3:$B$102&gt;$D7,0)))</f>
        <v>2.9411764705882353E-2</v>
      </c>
      <c r="F7" s="8">
        <f t="shared" si="2"/>
        <v>2.9411764705882353E-2</v>
      </c>
      <c r="G7" s="8" cm="1">
        <f t="array" ref="G7">IF(MATCH(FALSE,Mid!$B$3:$B$102&gt;$D7,0)=1,0,INDEX(Mid!$C$3:$C$102,MATCH(FALSE,Mid!$B$3:$B$102&gt;$D7,0)))</f>
        <v>0.23529411764705882</v>
      </c>
      <c r="H7" s="6">
        <f t="shared" ref="H7:H9" si="4">G7-G6</f>
        <v>0.15686274509803921</v>
      </c>
      <c r="I7" s="8" cm="1">
        <f t="array" ref="I7">IF(MATCH(FALSE,High!$B$3:$B$102&gt;$D7,0)=1,0,INDEX(High!$C$3:$C$102,MATCH(FALSE,High!$B$3:$B$102&gt;$D7,0)))</f>
        <v>0.87254901960784315</v>
      </c>
      <c r="J7" s="8">
        <f t="shared" si="3"/>
        <v>0.18627450980392157</v>
      </c>
    </row>
    <row r="8" spans="2:10" x14ac:dyDescent="0.2">
      <c r="B8" s="5">
        <v>2</v>
      </c>
      <c r="C8" s="7">
        <f t="shared" si="0"/>
        <v>0.75</v>
      </c>
      <c r="D8" s="8">
        <f t="shared" si="1"/>
        <v>0.5625</v>
      </c>
      <c r="E8" s="8" cm="1">
        <f t="array" ref="E8">IF(MATCH(FALSE,Low!$B$3:$B$102&gt;$D8,0)=1,0,INDEX(Low!$C$3:$C$102,MATCH(FALSE,Low!$B$3:$B$102&gt;$D8,0)))</f>
        <v>8.8235294117647065E-2</v>
      </c>
      <c r="F8" s="8">
        <f t="shared" si="2"/>
        <v>5.8823529411764712E-2</v>
      </c>
      <c r="G8" s="8" cm="1">
        <f t="array" ref="G8">IF(MATCH(FALSE,Mid!$B$3:$B$102&gt;$D8,0)=1,0,INDEX(Mid!$C$3:$C$102,MATCH(FALSE,Mid!$B$3:$B$102&gt;$D8,0)))</f>
        <v>0.48039215686274511</v>
      </c>
      <c r="H8" s="6">
        <f t="shared" si="4"/>
        <v>0.24509803921568629</v>
      </c>
      <c r="I8" s="8" cm="1">
        <f t="array" ref="I8">IF(MATCH(FALSE,High!$B$3:$B$102&gt;$D8,0)=1,0,INDEX(High!$C$3:$C$102,MATCH(FALSE,High!$B$3:$B$102&gt;$D8,0)))</f>
        <v>0.96078431372549022</v>
      </c>
      <c r="J8" s="8">
        <f t="shared" si="3"/>
        <v>8.8235294117647078E-2</v>
      </c>
    </row>
    <row r="9" spans="2:10" x14ac:dyDescent="0.2">
      <c r="B9" s="5">
        <v>1</v>
      </c>
      <c r="C9" s="7">
        <f>$C$11</f>
        <v>0.375</v>
      </c>
      <c r="D9" s="8">
        <f t="shared" si="1"/>
        <v>0.1875</v>
      </c>
      <c r="E9" s="8" cm="1">
        <f t="array" ref="E9">IF(MATCH(FALSE,Low!$B$3:$B$102&gt;$D9,0)=1,0,INDEX(Low!$C$3:$C$102,MATCH(FALSE,Low!$B$3:$B$102&gt;$D9,0)))</f>
        <v>0.14705882352941177</v>
      </c>
      <c r="F9" s="8">
        <f t="shared" si="2"/>
        <v>5.8823529411764705E-2</v>
      </c>
      <c r="G9" s="8" cm="1">
        <f t="array" ref="G9">IF(MATCH(FALSE,Mid!$B$3:$B$102&gt;$D9,0)=1,0,INDEX(Mid!$C$3:$C$102,MATCH(FALSE,Mid!$B$3:$B$102&gt;$D9,0)))</f>
        <v>0.55882352941176472</v>
      </c>
      <c r="H9" s="6">
        <f t="shared" si="4"/>
        <v>7.8431372549019607E-2</v>
      </c>
      <c r="I9" s="8" cm="1">
        <f t="array" ref="I9">IF(MATCH(FALSE,High!$B$3:$B$102&gt;$D9,0)=1,0,INDEX(High!$C$3:$C$102,MATCH(FALSE,High!$B$3:$B$102&gt;$D9,0)))</f>
        <v>0.99019607843137258</v>
      </c>
      <c r="J9" s="8">
        <f t="shared" si="3"/>
        <v>2.9411764705882359E-2</v>
      </c>
    </row>
    <row r="10" spans="2:10" x14ac:dyDescent="0.2">
      <c r="B10" s="6" t="s">
        <v>6</v>
      </c>
      <c r="C10" s="7" t="s">
        <v>3</v>
      </c>
      <c r="D10" s="8" t="s">
        <v>3</v>
      </c>
      <c r="E10" s="8">
        <v>1</v>
      </c>
      <c r="F10" s="8">
        <f t="shared" si="2"/>
        <v>0.8529411764705882</v>
      </c>
      <c r="G10" s="8">
        <v>1</v>
      </c>
      <c r="H10" s="6">
        <f>G10-G9</f>
        <v>0.44117647058823528</v>
      </c>
      <c r="I10" s="8">
        <v>1</v>
      </c>
      <c r="J10" s="8">
        <f>I10-I9</f>
        <v>9.8039215686274161E-3</v>
      </c>
    </row>
    <row r="11" spans="2:10" x14ac:dyDescent="0.2">
      <c r="B11" s="1" t="s">
        <v>9</v>
      </c>
      <c r="C11">
        <v>0.375</v>
      </c>
      <c r="E11" s="2"/>
      <c r="F11" s="1"/>
    </row>
  </sheetData>
  <pageMargins left="0.7" right="0.7" top="0.75" bottom="0.75" header="0.3" footer="0.3"/>
  <ignoredErrors>
    <ignoredError sqref="F3:F9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044B-1E99-E44A-8E46-DF1C114BAE97}">
  <dimension ref="A1:S101"/>
  <sheetViews>
    <sheetView topLeftCell="E54" workbookViewId="0">
      <selection activeCell="P6" sqref="P6"/>
    </sheetView>
  </sheetViews>
  <sheetFormatPr baseColWidth="10" defaultRowHeight="16" x14ac:dyDescent="0.2"/>
  <cols>
    <col min="3" max="3" width="14.83203125" customWidth="1"/>
  </cols>
  <sheetData>
    <row r="1" spans="1:19" x14ac:dyDescent="0.2">
      <c r="A1" t="s">
        <v>84</v>
      </c>
      <c r="B1" t="s">
        <v>87</v>
      </c>
      <c r="C1" t="s">
        <v>85</v>
      </c>
      <c r="D1" t="s">
        <v>86</v>
      </c>
      <c r="E1" t="s">
        <v>110</v>
      </c>
      <c r="F1" t="s">
        <v>112</v>
      </c>
      <c r="G1" t="s">
        <v>113</v>
      </c>
      <c r="H1" t="s">
        <v>111</v>
      </c>
      <c r="I1" t="s">
        <v>114</v>
      </c>
      <c r="J1" t="s">
        <v>111</v>
      </c>
      <c r="P1" t="s">
        <v>60</v>
      </c>
      <c r="Q1" t="s">
        <v>126</v>
      </c>
      <c r="R1" t="s">
        <v>127</v>
      </c>
      <c r="S1" t="s">
        <v>126</v>
      </c>
    </row>
    <row r="2" spans="1:19" x14ac:dyDescent="0.2">
      <c r="A2" t="s">
        <v>14</v>
      </c>
      <c r="B2" t="s">
        <v>88</v>
      </c>
      <c r="C2" t="s">
        <v>89</v>
      </c>
      <c r="D2" t="s">
        <v>90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L2" t="s">
        <v>14</v>
      </c>
      <c r="M2" t="s">
        <v>15</v>
      </c>
      <c r="N2" t="s">
        <v>16</v>
      </c>
      <c r="O2" t="s">
        <v>17</v>
      </c>
      <c r="P2">
        <v>0</v>
      </c>
      <c r="Q2">
        <v>1</v>
      </c>
      <c r="R2">
        <v>0</v>
      </c>
      <c r="S2">
        <v>1</v>
      </c>
    </row>
    <row r="3" spans="1:19" x14ac:dyDescent="0.2">
      <c r="A3" t="s">
        <v>14</v>
      </c>
      <c r="B3" t="s">
        <v>88</v>
      </c>
      <c r="C3" t="s">
        <v>89</v>
      </c>
      <c r="D3" t="s">
        <v>91</v>
      </c>
      <c r="E3">
        <v>47</v>
      </c>
      <c r="F3">
        <v>1</v>
      </c>
      <c r="G3">
        <v>0</v>
      </c>
      <c r="H3">
        <v>1</v>
      </c>
      <c r="I3">
        <v>0</v>
      </c>
      <c r="J3">
        <v>1</v>
      </c>
      <c r="L3" t="s">
        <v>14</v>
      </c>
      <c r="M3" t="s">
        <v>15</v>
      </c>
      <c r="N3" t="s">
        <v>16</v>
      </c>
      <c r="O3" t="s">
        <v>18</v>
      </c>
      <c r="P3">
        <v>25</v>
      </c>
      <c r="Q3">
        <v>1</v>
      </c>
      <c r="R3">
        <v>25</v>
      </c>
      <c r="S3">
        <v>1</v>
      </c>
    </row>
    <row r="4" spans="1:19" x14ac:dyDescent="0.2">
      <c r="A4" t="s">
        <v>14</v>
      </c>
      <c r="B4" t="s">
        <v>88</v>
      </c>
      <c r="C4" t="s">
        <v>89</v>
      </c>
      <c r="D4" t="s">
        <v>92</v>
      </c>
      <c r="E4">
        <v>5</v>
      </c>
      <c r="F4">
        <v>1</v>
      </c>
      <c r="G4">
        <v>5</v>
      </c>
      <c r="H4">
        <v>1</v>
      </c>
      <c r="I4">
        <v>5</v>
      </c>
      <c r="J4">
        <v>1</v>
      </c>
      <c r="L4" t="s">
        <v>14</v>
      </c>
      <c r="M4" t="s">
        <v>15</v>
      </c>
      <c r="N4" t="s">
        <v>16</v>
      </c>
      <c r="O4" t="s">
        <v>19</v>
      </c>
      <c r="P4">
        <v>5</v>
      </c>
      <c r="Q4">
        <v>1</v>
      </c>
      <c r="R4">
        <v>4.9999999999999902</v>
      </c>
      <c r="S4">
        <v>1</v>
      </c>
    </row>
    <row r="5" spans="1:19" x14ac:dyDescent="0.2">
      <c r="A5" t="s">
        <v>14</v>
      </c>
      <c r="B5" t="s">
        <v>88</v>
      </c>
      <c r="C5" t="s">
        <v>89</v>
      </c>
      <c r="D5" t="s">
        <v>93</v>
      </c>
      <c r="E5">
        <v>100</v>
      </c>
      <c r="F5">
        <v>1</v>
      </c>
      <c r="G5">
        <v>81</v>
      </c>
      <c r="H5">
        <v>1</v>
      </c>
      <c r="I5">
        <v>44</v>
      </c>
      <c r="J5">
        <v>1</v>
      </c>
      <c r="L5" t="s">
        <v>14</v>
      </c>
      <c r="M5" t="s">
        <v>15</v>
      </c>
      <c r="N5" t="s">
        <v>16</v>
      </c>
      <c r="O5" t="s">
        <v>20</v>
      </c>
      <c r="P5">
        <v>100</v>
      </c>
      <c r="Q5">
        <v>1</v>
      </c>
      <c r="R5">
        <v>100</v>
      </c>
      <c r="S5">
        <v>1</v>
      </c>
    </row>
    <row r="6" spans="1:19" x14ac:dyDescent="0.2">
      <c r="A6" t="s">
        <v>14</v>
      </c>
      <c r="B6" t="s">
        <v>88</v>
      </c>
      <c r="C6" t="s">
        <v>89</v>
      </c>
      <c r="D6" t="s">
        <v>94</v>
      </c>
      <c r="E6">
        <v>200000</v>
      </c>
      <c r="F6">
        <v>1</v>
      </c>
      <c r="G6">
        <v>200000</v>
      </c>
      <c r="H6">
        <v>1</v>
      </c>
      <c r="I6">
        <v>200000</v>
      </c>
      <c r="J6">
        <v>1</v>
      </c>
      <c r="L6" t="s">
        <v>14</v>
      </c>
      <c r="M6" t="s">
        <v>15</v>
      </c>
      <c r="N6" t="s">
        <v>16</v>
      </c>
      <c r="O6" t="s">
        <v>21</v>
      </c>
      <c r="P6">
        <v>200000</v>
      </c>
      <c r="Q6">
        <v>1</v>
      </c>
      <c r="R6">
        <v>200000</v>
      </c>
      <c r="S6">
        <v>1</v>
      </c>
    </row>
    <row r="7" spans="1:19" x14ac:dyDescent="0.2">
      <c r="A7" t="s">
        <v>14</v>
      </c>
      <c r="B7" t="s">
        <v>88</v>
      </c>
      <c r="C7" t="s">
        <v>89</v>
      </c>
      <c r="D7" t="s">
        <v>95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L7" t="s">
        <v>14</v>
      </c>
      <c r="M7" t="s">
        <v>15</v>
      </c>
      <c r="N7" t="s">
        <v>16</v>
      </c>
      <c r="O7" t="s">
        <v>22</v>
      </c>
      <c r="P7">
        <v>0</v>
      </c>
      <c r="Q7">
        <v>1</v>
      </c>
      <c r="R7">
        <v>0</v>
      </c>
      <c r="S7">
        <v>1</v>
      </c>
    </row>
    <row r="8" spans="1:19" x14ac:dyDescent="0.2">
      <c r="A8" t="s">
        <v>14</v>
      </c>
      <c r="B8" t="s">
        <v>88</v>
      </c>
      <c r="C8" t="s">
        <v>89</v>
      </c>
      <c r="D8" t="s">
        <v>96</v>
      </c>
      <c r="E8">
        <v>20</v>
      </c>
      <c r="F8">
        <v>1</v>
      </c>
      <c r="G8">
        <v>20</v>
      </c>
      <c r="H8">
        <v>1</v>
      </c>
      <c r="I8">
        <v>20</v>
      </c>
      <c r="J8">
        <v>1</v>
      </c>
      <c r="L8" t="s">
        <v>14</v>
      </c>
      <c r="M8" t="s">
        <v>15</v>
      </c>
      <c r="N8" t="s">
        <v>16</v>
      </c>
      <c r="O8" t="s">
        <v>23</v>
      </c>
      <c r="P8">
        <v>10.000000000000099</v>
      </c>
      <c r="Q8">
        <v>1</v>
      </c>
      <c r="R8">
        <v>9.9999999999999893</v>
      </c>
      <c r="S8">
        <v>1</v>
      </c>
    </row>
    <row r="9" spans="1:19" x14ac:dyDescent="0.2">
      <c r="A9" t="s">
        <v>14</v>
      </c>
      <c r="B9" t="s">
        <v>88</v>
      </c>
      <c r="C9" t="s">
        <v>89</v>
      </c>
      <c r="D9" t="s">
        <v>97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L9" t="s">
        <v>14</v>
      </c>
      <c r="M9" t="s">
        <v>15</v>
      </c>
      <c r="N9" t="s">
        <v>16</v>
      </c>
      <c r="O9" t="s">
        <v>24</v>
      </c>
      <c r="P9" s="32">
        <v>-1.13686837721616E-13</v>
      </c>
      <c r="Q9">
        <v>1</v>
      </c>
      <c r="R9">
        <v>0</v>
      </c>
      <c r="S9">
        <v>1</v>
      </c>
    </row>
    <row r="10" spans="1:19" x14ac:dyDescent="0.2">
      <c r="A10" t="s">
        <v>25</v>
      </c>
      <c r="B10" t="s">
        <v>98</v>
      </c>
      <c r="C10" t="s">
        <v>99</v>
      </c>
      <c r="D10" t="s">
        <v>100</v>
      </c>
      <c r="E10">
        <v>0</v>
      </c>
      <c r="F10">
        <v>0.01</v>
      </c>
      <c r="G10">
        <v>0</v>
      </c>
      <c r="H10">
        <v>0.44</v>
      </c>
      <c r="I10">
        <v>0</v>
      </c>
      <c r="J10">
        <v>0.85</v>
      </c>
      <c r="L10" t="s">
        <v>25</v>
      </c>
      <c r="M10" t="s">
        <v>26</v>
      </c>
      <c r="N10" t="s">
        <v>81</v>
      </c>
      <c r="O10" t="s">
        <v>17</v>
      </c>
      <c r="P10">
        <v>0</v>
      </c>
      <c r="Q10">
        <v>0.33</v>
      </c>
      <c r="R10">
        <v>0</v>
      </c>
      <c r="S10">
        <v>0.99980000000000002</v>
      </c>
    </row>
    <row r="11" spans="1:19" x14ac:dyDescent="0.2">
      <c r="A11" t="s">
        <v>25</v>
      </c>
      <c r="B11" t="s">
        <v>98</v>
      </c>
      <c r="C11" t="s">
        <v>99</v>
      </c>
      <c r="D11" t="s">
        <v>101</v>
      </c>
      <c r="E11">
        <v>0</v>
      </c>
      <c r="F11">
        <v>0.01</v>
      </c>
      <c r="G11">
        <v>0</v>
      </c>
      <c r="H11">
        <v>0.44</v>
      </c>
      <c r="I11">
        <v>0</v>
      </c>
      <c r="J11">
        <v>0.85</v>
      </c>
      <c r="L11" t="s">
        <v>25</v>
      </c>
      <c r="M11" t="s">
        <v>26</v>
      </c>
      <c r="N11" t="s">
        <v>81</v>
      </c>
      <c r="O11" t="s">
        <v>18</v>
      </c>
      <c r="P11">
        <v>0</v>
      </c>
      <c r="Q11">
        <v>0.33</v>
      </c>
      <c r="R11">
        <v>0</v>
      </c>
      <c r="S11">
        <v>0.99980000000000002</v>
      </c>
    </row>
    <row r="12" spans="1:19" x14ac:dyDescent="0.2">
      <c r="A12" t="s">
        <v>25</v>
      </c>
      <c r="B12" t="s">
        <v>98</v>
      </c>
      <c r="C12" t="s">
        <v>99</v>
      </c>
      <c r="D12" t="s">
        <v>102</v>
      </c>
      <c r="E12">
        <v>0</v>
      </c>
      <c r="F12">
        <v>0.01</v>
      </c>
      <c r="G12">
        <v>0</v>
      </c>
      <c r="H12">
        <v>0.44</v>
      </c>
      <c r="I12">
        <v>0</v>
      </c>
      <c r="J12">
        <v>0.85</v>
      </c>
      <c r="L12" t="s">
        <v>25</v>
      </c>
      <c r="M12" t="s">
        <v>26</v>
      </c>
      <c r="N12" t="s">
        <v>81</v>
      </c>
      <c r="O12" t="s">
        <v>19</v>
      </c>
      <c r="P12">
        <v>0</v>
      </c>
      <c r="Q12">
        <v>0.33</v>
      </c>
      <c r="R12">
        <v>0</v>
      </c>
      <c r="S12">
        <v>0.99980000000000002</v>
      </c>
    </row>
    <row r="13" spans="1:19" x14ac:dyDescent="0.2">
      <c r="A13" t="s">
        <v>25</v>
      </c>
      <c r="B13" t="s">
        <v>103</v>
      </c>
      <c r="C13" t="s">
        <v>99</v>
      </c>
      <c r="D13" t="s">
        <v>100</v>
      </c>
      <c r="E13">
        <v>0</v>
      </c>
      <c r="F13">
        <v>0.03</v>
      </c>
      <c r="G13">
        <v>0</v>
      </c>
      <c r="H13">
        <v>0.08</v>
      </c>
      <c r="I13">
        <v>0</v>
      </c>
      <c r="J13">
        <v>0.06</v>
      </c>
      <c r="L13" t="s">
        <v>25</v>
      </c>
      <c r="M13" t="s">
        <v>26</v>
      </c>
      <c r="N13" t="s">
        <v>81</v>
      </c>
      <c r="O13" t="s">
        <v>20</v>
      </c>
      <c r="P13">
        <v>0</v>
      </c>
      <c r="Q13">
        <v>0.33</v>
      </c>
      <c r="R13">
        <v>0</v>
      </c>
      <c r="S13">
        <v>0.99980000000000002</v>
      </c>
    </row>
    <row r="14" spans="1:19" x14ac:dyDescent="0.2">
      <c r="A14" t="s">
        <v>25</v>
      </c>
      <c r="B14" t="s">
        <v>103</v>
      </c>
      <c r="C14" t="s">
        <v>99</v>
      </c>
      <c r="D14" t="s">
        <v>101</v>
      </c>
      <c r="E14">
        <v>0</v>
      </c>
      <c r="F14">
        <v>0.03</v>
      </c>
      <c r="G14">
        <v>0</v>
      </c>
      <c r="H14">
        <v>0.08</v>
      </c>
      <c r="I14">
        <v>0</v>
      </c>
      <c r="J14">
        <v>0.06</v>
      </c>
      <c r="L14" t="s">
        <v>25</v>
      </c>
      <c r="M14" t="s">
        <v>26</v>
      </c>
      <c r="N14" t="s">
        <v>81</v>
      </c>
      <c r="O14" t="s">
        <v>21</v>
      </c>
      <c r="P14">
        <v>0</v>
      </c>
      <c r="Q14">
        <v>0.33</v>
      </c>
      <c r="R14">
        <v>0</v>
      </c>
      <c r="S14">
        <v>0.99980000000000002</v>
      </c>
    </row>
    <row r="15" spans="1:19" x14ac:dyDescent="0.2">
      <c r="A15" t="s">
        <v>25</v>
      </c>
      <c r="B15" t="s">
        <v>103</v>
      </c>
      <c r="C15" t="s">
        <v>99</v>
      </c>
      <c r="D15" t="s">
        <v>102</v>
      </c>
      <c r="E15">
        <v>0</v>
      </c>
      <c r="F15">
        <v>0.03</v>
      </c>
      <c r="G15">
        <v>0</v>
      </c>
      <c r="H15">
        <v>0.08</v>
      </c>
      <c r="I15">
        <v>0</v>
      </c>
      <c r="J15">
        <v>0.06</v>
      </c>
      <c r="L15" t="s">
        <v>25</v>
      </c>
      <c r="M15" t="s">
        <v>26</v>
      </c>
      <c r="N15" t="s">
        <v>81</v>
      </c>
      <c r="O15" t="s">
        <v>22</v>
      </c>
      <c r="P15">
        <v>0</v>
      </c>
      <c r="Q15">
        <v>0.33</v>
      </c>
      <c r="R15">
        <v>0</v>
      </c>
      <c r="S15">
        <v>0.99980000000000002</v>
      </c>
    </row>
    <row r="16" spans="1:19" x14ac:dyDescent="0.2">
      <c r="A16" t="s">
        <v>25</v>
      </c>
      <c r="B16" t="s">
        <v>104</v>
      </c>
      <c r="C16" t="s">
        <v>99</v>
      </c>
      <c r="D16" t="s">
        <v>100</v>
      </c>
      <c r="E16">
        <v>0</v>
      </c>
      <c r="F16">
        <v>0.09</v>
      </c>
      <c r="G16">
        <v>0</v>
      </c>
      <c r="H16">
        <v>0.24</v>
      </c>
      <c r="I16">
        <v>50000</v>
      </c>
      <c r="J16">
        <v>0.06</v>
      </c>
      <c r="L16" t="s">
        <v>25</v>
      </c>
      <c r="M16" t="s">
        <v>26</v>
      </c>
      <c r="N16" t="s">
        <v>81</v>
      </c>
      <c r="O16" t="s">
        <v>23</v>
      </c>
      <c r="P16">
        <v>0</v>
      </c>
      <c r="Q16">
        <v>0.33</v>
      </c>
      <c r="R16">
        <v>0</v>
      </c>
      <c r="S16">
        <v>0.99980000000000002</v>
      </c>
    </row>
    <row r="17" spans="1:19" x14ac:dyDescent="0.2">
      <c r="A17" t="s">
        <v>25</v>
      </c>
      <c r="B17" t="s">
        <v>104</v>
      </c>
      <c r="C17" t="s">
        <v>99</v>
      </c>
      <c r="D17" t="s">
        <v>101</v>
      </c>
      <c r="E17">
        <v>0</v>
      </c>
      <c r="F17">
        <v>0.09</v>
      </c>
      <c r="G17">
        <v>0</v>
      </c>
      <c r="H17">
        <v>0.24</v>
      </c>
      <c r="I17">
        <v>0</v>
      </c>
      <c r="J17">
        <v>0.06</v>
      </c>
      <c r="L17" t="s">
        <v>25</v>
      </c>
      <c r="M17" t="s">
        <v>26</v>
      </c>
      <c r="N17" t="s">
        <v>81</v>
      </c>
      <c r="O17" t="s">
        <v>24</v>
      </c>
      <c r="P17">
        <v>0</v>
      </c>
      <c r="Q17">
        <v>0.33</v>
      </c>
      <c r="R17">
        <v>0</v>
      </c>
      <c r="S17">
        <v>0.99980000000000002</v>
      </c>
    </row>
    <row r="18" spans="1:19" x14ac:dyDescent="0.2">
      <c r="A18" t="s">
        <v>25</v>
      </c>
      <c r="B18" t="s">
        <v>104</v>
      </c>
      <c r="C18" t="s">
        <v>99</v>
      </c>
      <c r="D18" t="s">
        <v>102</v>
      </c>
      <c r="E18">
        <v>0</v>
      </c>
      <c r="F18">
        <v>0.09</v>
      </c>
      <c r="G18">
        <v>0</v>
      </c>
      <c r="H18">
        <v>0.24</v>
      </c>
      <c r="I18">
        <v>0</v>
      </c>
      <c r="J18">
        <v>0.06</v>
      </c>
      <c r="L18" t="s">
        <v>25</v>
      </c>
      <c r="M18" t="s">
        <v>27</v>
      </c>
      <c r="N18" t="s">
        <v>81</v>
      </c>
      <c r="O18" t="s">
        <v>17</v>
      </c>
      <c r="P18">
        <v>0</v>
      </c>
      <c r="Q18">
        <v>0.34</v>
      </c>
      <c r="R18">
        <v>0</v>
      </c>
      <c r="S18">
        <v>1E-4</v>
      </c>
    </row>
    <row r="19" spans="1:19" x14ac:dyDescent="0.2">
      <c r="A19" t="s">
        <v>25</v>
      </c>
      <c r="B19" t="s">
        <v>105</v>
      </c>
      <c r="C19" t="s">
        <v>99</v>
      </c>
      <c r="D19" t="s">
        <v>100</v>
      </c>
      <c r="E19">
        <v>0</v>
      </c>
      <c r="F19">
        <v>0.19</v>
      </c>
      <c r="G19">
        <v>60000</v>
      </c>
      <c r="H19">
        <v>0.16</v>
      </c>
      <c r="I19">
        <v>200000</v>
      </c>
      <c r="J19">
        <v>0.03</v>
      </c>
      <c r="L19" t="s">
        <v>25</v>
      </c>
      <c r="M19" t="s">
        <v>27</v>
      </c>
      <c r="N19" t="s">
        <v>81</v>
      </c>
      <c r="O19" t="s">
        <v>18</v>
      </c>
      <c r="P19">
        <v>0</v>
      </c>
      <c r="Q19">
        <v>0.34</v>
      </c>
      <c r="R19">
        <v>0</v>
      </c>
      <c r="S19">
        <v>1E-4</v>
      </c>
    </row>
    <row r="20" spans="1:19" x14ac:dyDescent="0.2">
      <c r="A20" t="s">
        <v>25</v>
      </c>
      <c r="B20" t="s">
        <v>105</v>
      </c>
      <c r="C20" t="s">
        <v>99</v>
      </c>
      <c r="D20" t="s">
        <v>101</v>
      </c>
      <c r="E20">
        <v>0</v>
      </c>
      <c r="F20">
        <v>0.19</v>
      </c>
      <c r="G20">
        <v>0</v>
      </c>
      <c r="H20">
        <v>0.16</v>
      </c>
      <c r="I20">
        <v>180000</v>
      </c>
      <c r="J20">
        <v>0.03</v>
      </c>
      <c r="L20" t="s">
        <v>25</v>
      </c>
      <c r="M20" t="s">
        <v>27</v>
      </c>
      <c r="N20" t="s">
        <v>81</v>
      </c>
      <c r="O20" t="s">
        <v>19</v>
      </c>
      <c r="P20">
        <v>0</v>
      </c>
      <c r="Q20">
        <v>0.34</v>
      </c>
      <c r="R20">
        <v>0</v>
      </c>
      <c r="S20">
        <v>1E-4</v>
      </c>
    </row>
    <row r="21" spans="1:19" x14ac:dyDescent="0.2">
      <c r="A21" t="s">
        <v>25</v>
      </c>
      <c r="B21" t="s">
        <v>105</v>
      </c>
      <c r="C21" t="s">
        <v>99</v>
      </c>
      <c r="D21" t="s">
        <v>102</v>
      </c>
      <c r="E21">
        <v>0</v>
      </c>
      <c r="F21">
        <v>0.19</v>
      </c>
      <c r="G21">
        <v>0</v>
      </c>
      <c r="H21">
        <v>0.16</v>
      </c>
      <c r="I21">
        <v>50000</v>
      </c>
      <c r="J21">
        <v>0.03</v>
      </c>
      <c r="L21" t="s">
        <v>25</v>
      </c>
      <c r="M21" t="s">
        <v>27</v>
      </c>
      <c r="N21" t="s">
        <v>81</v>
      </c>
      <c r="O21" t="s">
        <v>20</v>
      </c>
      <c r="P21">
        <v>0</v>
      </c>
      <c r="Q21">
        <v>0.34</v>
      </c>
      <c r="R21">
        <v>0</v>
      </c>
      <c r="S21">
        <v>1E-4</v>
      </c>
    </row>
    <row r="22" spans="1:19" x14ac:dyDescent="0.2">
      <c r="A22" t="s">
        <v>25</v>
      </c>
      <c r="B22" t="s">
        <v>106</v>
      </c>
      <c r="C22" t="s">
        <v>99</v>
      </c>
      <c r="D22" t="s">
        <v>100</v>
      </c>
      <c r="E22">
        <v>0</v>
      </c>
      <c r="F22">
        <v>0.3</v>
      </c>
      <c r="G22">
        <v>200000</v>
      </c>
      <c r="H22">
        <v>0.08</v>
      </c>
      <c r="I22">
        <v>0</v>
      </c>
      <c r="J22">
        <v>0</v>
      </c>
      <c r="L22" t="s">
        <v>25</v>
      </c>
      <c r="M22" t="s">
        <v>27</v>
      </c>
      <c r="N22" t="s">
        <v>81</v>
      </c>
      <c r="O22" t="s">
        <v>21</v>
      </c>
      <c r="P22">
        <v>0</v>
      </c>
      <c r="Q22">
        <v>0.34</v>
      </c>
      <c r="R22">
        <v>0</v>
      </c>
      <c r="S22">
        <v>1E-4</v>
      </c>
    </row>
    <row r="23" spans="1:19" x14ac:dyDescent="0.2">
      <c r="A23" t="s">
        <v>25</v>
      </c>
      <c r="B23" t="s">
        <v>106</v>
      </c>
      <c r="C23" t="s">
        <v>99</v>
      </c>
      <c r="D23" t="s">
        <v>101</v>
      </c>
      <c r="E23">
        <v>0</v>
      </c>
      <c r="F23">
        <v>0.3</v>
      </c>
      <c r="G23">
        <v>180000</v>
      </c>
      <c r="H23">
        <v>0.08</v>
      </c>
      <c r="I23">
        <v>0</v>
      </c>
      <c r="J23">
        <v>0</v>
      </c>
      <c r="L23" t="s">
        <v>25</v>
      </c>
      <c r="M23" t="s">
        <v>27</v>
      </c>
      <c r="N23" t="s">
        <v>81</v>
      </c>
      <c r="O23" t="s">
        <v>22</v>
      </c>
      <c r="P23">
        <v>0</v>
      </c>
      <c r="Q23">
        <v>0.34</v>
      </c>
      <c r="R23">
        <v>0</v>
      </c>
      <c r="S23">
        <v>1E-4</v>
      </c>
    </row>
    <row r="24" spans="1:19" x14ac:dyDescent="0.2">
      <c r="A24" t="s">
        <v>25</v>
      </c>
      <c r="B24" t="s">
        <v>106</v>
      </c>
      <c r="C24" t="s">
        <v>99</v>
      </c>
      <c r="D24" t="s">
        <v>102</v>
      </c>
      <c r="E24">
        <v>0</v>
      </c>
      <c r="F24">
        <v>0.3</v>
      </c>
      <c r="G24">
        <v>50000</v>
      </c>
      <c r="H24">
        <v>0.08</v>
      </c>
      <c r="I24">
        <v>0</v>
      </c>
      <c r="J24">
        <v>0</v>
      </c>
      <c r="L24" t="s">
        <v>25</v>
      </c>
      <c r="M24" t="s">
        <v>27</v>
      </c>
      <c r="N24" t="s">
        <v>81</v>
      </c>
      <c r="O24" t="s">
        <v>23</v>
      </c>
      <c r="P24">
        <v>0</v>
      </c>
      <c r="Q24">
        <v>0.34</v>
      </c>
      <c r="R24">
        <v>0</v>
      </c>
      <c r="S24">
        <v>1E-4</v>
      </c>
    </row>
    <row r="25" spans="1:19" x14ac:dyDescent="0.2">
      <c r="A25" t="s">
        <v>25</v>
      </c>
      <c r="B25" t="s">
        <v>107</v>
      </c>
      <c r="C25" t="s">
        <v>99</v>
      </c>
      <c r="D25" t="s">
        <v>100</v>
      </c>
      <c r="E25">
        <v>0</v>
      </c>
      <c r="F25">
        <v>0.22</v>
      </c>
      <c r="G25">
        <v>0</v>
      </c>
      <c r="H25">
        <v>0</v>
      </c>
      <c r="I25">
        <v>0</v>
      </c>
      <c r="J25">
        <v>0</v>
      </c>
      <c r="L25" t="s">
        <v>25</v>
      </c>
      <c r="M25" t="s">
        <v>27</v>
      </c>
      <c r="N25" t="s">
        <v>81</v>
      </c>
      <c r="O25" t="s">
        <v>24</v>
      </c>
      <c r="P25">
        <v>0</v>
      </c>
      <c r="Q25">
        <v>0.34</v>
      </c>
      <c r="R25">
        <v>0</v>
      </c>
      <c r="S25">
        <v>1E-4</v>
      </c>
    </row>
    <row r="26" spans="1:19" x14ac:dyDescent="0.2">
      <c r="A26" t="s">
        <v>25</v>
      </c>
      <c r="B26" t="s">
        <v>107</v>
      </c>
      <c r="C26" t="s">
        <v>99</v>
      </c>
      <c r="D26" t="s">
        <v>101</v>
      </c>
      <c r="E26">
        <v>0</v>
      </c>
      <c r="F26">
        <v>0.22</v>
      </c>
      <c r="G26">
        <v>0</v>
      </c>
      <c r="H26">
        <v>0</v>
      </c>
      <c r="I26">
        <v>0</v>
      </c>
      <c r="J26">
        <v>0</v>
      </c>
      <c r="L26" t="s">
        <v>25</v>
      </c>
      <c r="M26" t="s">
        <v>28</v>
      </c>
      <c r="N26" t="s">
        <v>81</v>
      </c>
      <c r="O26" t="s">
        <v>17</v>
      </c>
      <c r="P26">
        <v>0</v>
      </c>
      <c r="Q26">
        <v>0.33</v>
      </c>
      <c r="R26">
        <v>0</v>
      </c>
      <c r="S26">
        <v>1E-4</v>
      </c>
    </row>
    <row r="27" spans="1:19" x14ac:dyDescent="0.2">
      <c r="A27" t="s">
        <v>25</v>
      </c>
      <c r="B27" t="s">
        <v>107</v>
      </c>
      <c r="C27" t="s">
        <v>99</v>
      </c>
      <c r="D27" t="s">
        <v>102</v>
      </c>
      <c r="E27">
        <v>0</v>
      </c>
      <c r="F27">
        <v>0.22</v>
      </c>
      <c r="G27">
        <v>0</v>
      </c>
      <c r="H27">
        <v>0</v>
      </c>
      <c r="I27">
        <v>0</v>
      </c>
      <c r="J27">
        <v>0</v>
      </c>
      <c r="L27" t="s">
        <v>25</v>
      </c>
      <c r="M27" t="s">
        <v>28</v>
      </c>
      <c r="N27" t="s">
        <v>81</v>
      </c>
      <c r="O27" t="s">
        <v>18</v>
      </c>
      <c r="P27">
        <v>0.3</v>
      </c>
      <c r="Q27">
        <v>0.33</v>
      </c>
      <c r="R27">
        <v>0.3</v>
      </c>
      <c r="S27">
        <v>1E-4</v>
      </c>
    </row>
    <row r="28" spans="1:19" x14ac:dyDescent="0.2">
      <c r="A28" t="s">
        <v>25</v>
      </c>
      <c r="B28" t="s">
        <v>108</v>
      </c>
      <c r="C28" t="s">
        <v>99</v>
      </c>
      <c r="D28" t="s">
        <v>100</v>
      </c>
      <c r="E28">
        <v>50000</v>
      </c>
      <c r="F28">
        <v>0.14000000000000001</v>
      </c>
      <c r="G28">
        <v>0</v>
      </c>
      <c r="H28">
        <v>0</v>
      </c>
      <c r="I28">
        <v>0</v>
      </c>
      <c r="J28">
        <v>0</v>
      </c>
      <c r="L28" t="s">
        <v>25</v>
      </c>
      <c r="M28" t="s">
        <v>28</v>
      </c>
      <c r="N28" t="s">
        <v>81</v>
      </c>
      <c r="O28" t="s">
        <v>19</v>
      </c>
      <c r="P28">
        <v>0</v>
      </c>
      <c r="Q28">
        <v>0.33</v>
      </c>
      <c r="R28">
        <v>0</v>
      </c>
      <c r="S28">
        <v>1E-4</v>
      </c>
    </row>
    <row r="29" spans="1:19" x14ac:dyDescent="0.2">
      <c r="A29" t="s">
        <v>25</v>
      </c>
      <c r="B29" t="s">
        <v>108</v>
      </c>
      <c r="C29" t="s">
        <v>99</v>
      </c>
      <c r="D29" t="s">
        <v>101</v>
      </c>
      <c r="E29">
        <v>0</v>
      </c>
      <c r="F29">
        <v>0.14000000000000001</v>
      </c>
      <c r="G29">
        <v>0</v>
      </c>
      <c r="H29">
        <v>0</v>
      </c>
      <c r="I29">
        <v>0</v>
      </c>
      <c r="J29">
        <v>0</v>
      </c>
      <c r="L29" t="s">
        <v>25</v>
      </c>
      <c r="M29" t="s">
        <v>28</v>
      </c>
      <c r="N29" t="s">
        <v>81</v>
      </c>
      <c r="O29" t="s">
        <v>20</v>
      </c>
      <c r="P29">
        <v>0.29999999999999899</v>
      </c>
      <c r="Q29">
        <v>0.33</v>
      </c>
      <c r="R29">
        <v>0.3</v>
      </c>
      <c r="S29">
        <v>1E-4</v>
      </c>
    </row>
    <row r="30" spans="1:19" x14ac:dyDescent="0.2">
      <c r="A30" t="s">
        <v>25</v>
      </c>
      <c r="B30" t="s">
        <v>108</v>
      </c>
      <c r="C30" t="s">
        <v>99</v>
      </c>
      <c r="D30" t="s">
        <v>102</v>
      </c>
      <c r="E30">
        <v>0</v>
      </c>
      <c r="F30">
        <v>0.14000000000000001</v>
      </c>
      <c r="G30">
        <v>0</v>
      </c>
      <c r="H30">
        <v>0</v>
      </c>
      <c r="I30">
        <v>0</v>
      </c>
      <c r="J30">
        <v>0</v>
      </c>
      <c r="L30" t="s">
        <v>25</v>
      </c>
      <c r="M30" t="s">
        <v>28</v>
      </c>
      <c r="N30" t="s">
        <v>81</v>
      </c>
      <c r="O30" t="s">
        <v>21</v>
      </c>
      <c r="P30">
        <v>0</v>
      </c>
      <c r="Q30">
        <v>0.33</v>
      </c>
      <c r="R30">
        <v>0</v>
      </c>
      <c r="S30">
        <v>1E-4</v>
      </c>
    </row>
    <row r="31" spans="1:19" x14ac:dyDescent="0.2">
      <c r="A31" t="s">
        <v>25</v>
      </c>
      <c r="B31" t="s">
        <v>109</v>
      </c>
      <c r="C31" t="s">
        <v>99</v>
      </c>
      <c r="D31" t="s">
        <v>100</v>
      </c>
      <c r="E31">
        <v>200000</v>
      </c>
      <c r="F31">
        <v>0.02</v>
      </c>
      <c r="G31">
        <v>0</v>
      </c>
      <c r="H31">
        <v>0</v>
      </c>
      <c r="I31">
        <v>0</v>
      </c>
      <c r="J31">
        <v>0</v>
      </c>
      <c r="L31" t="s">
        <v>25</v>
      </c>
      <c r="M31" t="s">
        <v>28</v>
      </c>
      <c r="N31" t="s">
        <v>81</v>
      </c>
      <c r="O31" t="s">
        <v>22</v>
      </c>
      <c r="P31">
        <v>0</v>
      </c>
      <c r="Q31">
        <v>0.33</v>
      </c>
      <c r="R31">
        <v>0</v>
      </c>
      <c r="S31">
        <v>1E-4</v>
      </c>
    </row>
    <row r="32" spans="1:19" x14ac:dyDescent="0.2">
      <c r="A32" t="s">
        <v>25</v>
      </c>
      <c r="B32" t="s">
        <v>109</v>
      </c>
      <c r="C32" t="s">
        <v>99</v>
      </c>
      <c r="D32" t="s">
        <v>101</v>
      </c>
      <c r="E32">
        <v>180000</v>
      </c>
      <c r="F32">
        <v>0.02</v>
      </c>
      <c r="G32">
        <v>0</v>
      </c>
      <c r="H32">
        <v>0</v>
      </c>
      <c r="I32">
        <v>0</v>
      </c>
      <c r="J32">
        <v>0</v>
      </c>
      <c r="L32" t="s">
        <v>25</v>
      </c>
      <c r="M32" t="s">
        <v>28</v>
      </c>
      <c r="N32" t="s">
        <v>81</v>
      </c>
      <c r="O32" t="s">
        <v>23</v>
      </c>
      <c r="P32">
        <v>0</v>
      </c>
      <c r="Q32">
        <v>0.33</v>
      </c>
      <c r="R32">
        <v>0</v>
      </c>
      <c r="S32">
        <v>1E-4</v>
      </c>
    </row>
    <row r="33" spans="1:19" x14ac:dyDescent="0.2">
      <c r="A33" t="s">
        <v>25</v>
      </c>
      <c r="B33" t="s">
        <v>109</v>
      </c>
      <c r="C33" t="s">
        <v>99</v>
      </c>
      <c r="D33" t="s">
        <v>102</v>
      </c>
      <c r="E33">
        <v>50000</v>
      </c>
      <c r="F33">
        <v>0.02</v>
      </c>
      <c r="G33">
        <v>0</v>
      </c>
      <c r="H33">
        <v>0</v>
      </c>
      <c r="I33">
        <v>0</v>
      </c>
      <c r="J33">
        <v>0</v>
      </c>
      <c r="L33" t="s">
        <v>25</v>
      </c>
      <c r="M33" t="s">
        <v>28</v>
      </c>
      <c r="N33" t="s">
        <v>81</v>
      </c>
      <c r="O33" t="s">
        <v>24</v>
      </c>
      <c r="P33" s="32">
        <v>-1.0408340855860799E-16</v>
      </c>
      <c r="Q33">
        <v>0.33</v>
      </c>
      <c r="R33">
        <v>0</v>
      </c>
      <c r="S33">
        <v>1E-4</v>
      </c>
    </row>
    <row r="34" spans="1:19" x14ac:dyDescent="0.2">
      <c r="A34" s="33"/>
      <c r="I34" s="31" t="s">
        <v>29</v>
      </c>
      <c r="L34" t="s">
        <v>29</v>
      </c>
      <c r="M34" t="s">
        <v>30</v>
      </c>
      <c r="N34" t="s">
        <v>31</v>
      </c>
      <c r="O34" t="s">
        <v>82</v>
      </c>
      <c r="P34">
        <v>0</v>
      </c>
      <c r="Q34">
        <v>0.28050000000000003</v>
      </c>
      <c r="R34">
        <v>0</v>
      </c>
      <c r="S34">
        <v>0.84982999999999997</v>
      </c>
    </row>
    <row r="35" spans="1:19" x14ac:dyDescent="0.2">
      <c r="A35" s="33"/>
      <c r="I35" s="31" t="s">
        <v>29</v>
      </c>
      <c r="L35" t="s">
        <v>29</v>
      </c>
      <c r="M35" t="s">
        <v>30</v>
      </c>
      <c r="N35" t="s">
        <v>31</v>
      </c>
      <c r="O35" t="s">
        <v>83</v>
      </c>
      <c r="P35">
        <v>0</v>
      </c>
      <c r="Q35">
        <v>0.28050000000000003</v>
      </c>
      <c r="R35">
        <v>0</v>
      </c>
      <c r="S35">
        <v>0.84982999999999997</v>
      </c>
    </row>
    <row r="36" spans="1:19" x14ac:dyDescent="0.2">
      <c r="A36" s="33"/>
      <c r="I36" s="31" t="s">
        <v>29</v>
      </c>
      <c r="L36" t="s">
        <v>29</v>
      </c>
      <c r="M36" t="s">
        <v>30</v>
      </c>
      <c r="N36" t="s">
        <v>31</v>
      </c>
      <c r="O36" t="s">
        <v>32</v>
      </c>
      <c r="P36">
        <v>0</v>
      </c>
      <c r="Q36">
        <v>0.28050000000000003</v>
      </c>
      <c r="R36">
        <v>0</v>
      </c>
      <c r="S36">
        <v>0.84982999999999997</v>
      </c>
    </row>
    <row r="37" spans="1:19" x14ac:dyDescent="0.2">
      <c r="A37" s="33"/>
      <c r="I37" s="31" t="s">
        <v>29</v>
      </c>
      <c r="L37" t="s">
        <v>29</v>
      </c>
      <c r="M37" t="s">
        <v>30</v>
      </c>
      <c r="N37" t="s">
        <v>31</v>
      </c>
      <c r="O37" t="s">
        <v>33</v>
      </c>
      <c r="P37">
        <v>0</v>
      </c>
      <c r="Q37">
        <v>0.28050000000000003</v>
      </c>
      <c r="R37">
        <v>0</v>
      </c>
      <c r="S37">
        <v>0.84982999999999997</v>
      </c>
    </row>
    <row r="38" spans="1:19" x14ac:dyDescent="0.2">
      <c r="A38" s="33"/>
      <c r="I38" s="31" t="s">
        <v>29</v>
      </c>
      <c r="L38" t="s">
        <v>29</v>
      </c>
      <c r="M38" t="s">
        <v>34</v>
      </c>
      <c r="N38" t="s">
        <v>31</v>
      </c>
      <c r="O38" t="s">
        <v>82</v>
      </c>
      <c r="P38">
        <v>0</v>
      </c>
      <c r="Q38">
        <v>0.14960000000000001</v>
      </c>
      <c r="R38">
        <v>0</v>
      </c>
      <c r="S38" s="32">
        <v>4.3999999999999999E-5</v>
      </c>
    </row>
    <row r="39" spans="1:19" x14ac:dyDescent="0.2">
      <c r="A39" s="33"/>
      <c r="I39" s="31" t="s">
        <v>29</v>
      </c>
      <c r="L39" t="s">
        <v>29</v>
      </c>
      <c r="M39" t="s">
        <v>34</v>
      </c>
      <c r="N39" t="s">
        <v>31</v>
      </c>
      <c r="O39" t="s">
        <v>83</v>
      </c>
      <c r="P39">
        <v>0</v>
      </c>
      <c r="Q39">
        <v>0.14960000000000001</v>
      </c>
      <c r="R39">
        <v>0</v>
      </c>
      <c r="S39" s="32">
        <v>4.3999999999999999E-5</v>
      </c>
    </row>
    <row r="40" spans="1:19" x14ac:dyDescent="0.2">
      <c r="A40" s="33"/>
      <c r="I40" s="31" t="s">
        <v>29</v>
      </c>
      <c r="L40" t="s">
        <v>29</v>
      </c>
      <c r="M40" t="s">
        <v>34</v>
      </c>
      <c r="N40" t="s">
        <v>31</v>
      </c>
      <c r="O40" t="s">
        <v>32</v>
      </c>
      <c r="P40">
        <v>0</v>
      </c>
      <c r="Q40">
        <v>0.14960000000000001</v>
      </c>
      <c r="R40">
        <v>0</v>
      </c>
      <c r="S40" s="32">
        <v>4.3999999999999999E-5</v>
      </c>
    </row>
    <row r="41" spans="1:19" x14ac:dyDescent="0.2">
      <c r="A41" s="33"/>
      <c r="I41" s="31" t="s">
        <v>29</v>
      </c>
      <c r="L41" t="s">
        <v>29</v>
      </c>
      <c r="M41" t="s">
        <v>34</v>
      </c>
      <c r="N41" t="s">
        <v>31</v>
      </c>
      <c r="O41" t="s">
        <v>33</v>
      </c>
      <c r="P41">
        <v>0</v>
      </c>
      <c r="Q41">
        <v>0.14960000000000001</v>
      </c>
      <c r="R41">
        <v>0</v>
      </c>
      <c r="S41" s="32">
        <v>4.3999999999999999E-5</v>
      </c>
    </row>
    <row r="42" spans="1:19" x14ac:dyDescent="0.2">
      <c r="A42" s="33"/>
      <c r="I42" s="31" t="s">
        <v>29</v>
      </c>
      <c r="L42" t="s">
        <v>29</v>
      </c>
      <c r="M42" t="s">
        <v>35</v>
      </c>
      <c r="N42" t="s">
        <v>31</v>
      </c>
      <c r="O42" t="s">
        <v>82</v>
      </c>
      <c r="P42">
        <v>0</v>
      </c>
      <c r="Q42">
        <v>3.3E-3</v>
      </c>
      <c r="R42">
        <v>0</v>
      </c>
      <c r="S42" s="32">
        <v>9.9999999999999995E-7</v>
      </c>
    </row>
    <row r="43" spans="1:19" x14ac:dyDescent="0.2">
      <c r="A43" s="33"/>
      <c r="I43" s="31" t="s">
        <v>29</v>
      </c>
      <c r="L43" t="s">
        <v>29</v>
      </c>
      <c r="M43" t="s">
        <v>35</v>
      </c>
      <c r="N43" t="s">
        <v>31</v>
      </c>
      <c r="O43" t="s">
        <v>83</v>
      </c>
      <c r="P43">
        <v>0</v>
      </c>
      <c r="Q43">
        <v>3.3E-3</v>
      </c>
      <c r="R43">
        <v>0</v>
      </c>
      <c r="S43" s="32">
        <v>9.9999999999999995E-7</v>
      </c>
    </row>
    <row r="44" spans="1:19" x14ac:dyDescent="0.2">
      <c r="A44" s="33"/>
      <c r="I44" s="31" t="s">
        <v>29</v>
      </c>
      <c r="L44" t="s">
        <v>29</v>
      </c>
      <c r="M44" t="s">
        <v>35</v>
      </c>
      <c r="N44" t="s">
        <v>31</v>
      </c>
      <c r="O44" t="s">
        <v>32</v>
      </c>
      <c r="P44">
        <v>0</v>
      </c>
      <c r="Q44">
        <v>3.3E-3</v>
      </c>
      <c r="R44">
        <v>0</v>
      </c>
      <c r="S44" s="32">
        <v>9.9999999999999995E-7</v>
      </c>
    </row>
    <row r="45" spans="1:19" x14ac:dyDescent="0.2">
      <c r="A45" s="33"/>
      <c r="I45" s="31" t="s">
        <v>29</v>
      </c>
      <c r="L45" t="s">
        <v>29</v>
      </c>
      <c r="M45" t="s">
        <v>35</v>
      </c>
      <c r="N45" t="s">
        <v>31</v>
      </c>
      <c r="O45" t="s">
        <v>33</v>
      </c>
      <c r="P45">
        <v>0</v>
      </c>
      <c r="Q45">
        <v>3.3E-3</v>
      </c>
      <c r="R45">
        <v>0</v>
      </c>
      <c r="S45" s="32">
        <v>9.9999999999999995E-7</v>
      </c>
    </row>
    <row r="46" spans="1:19" x14ac:dyDescent="0.2">
      <c r="A46" s="33"/>
      <c r="I46" s="31" t="s">
        <v>29</v>
      </c>
      <c r="L46" t="s">
        <v>29</v>
      </c>
      <c r="M46" t="s">
        <v>36</v>
      </c>
      <c r="N46" t="s">
        <v>31</v>
      </c>
      <c r="O46" t="s">
        <v>82</v>
      </c>
      <c r="P46">
        <v>0</v>
      </c>
      <c r="Q46">
        <v>1.9800000000000002E-2</v>
      </c>
      <c r="R46">
        <v>0</v>
      </c>
      <c r="S46">
        <v>5.9988E-2</v>
      </c>
    </row>
    <row r="47" spans="1:19" x14ac:dyDescent="0.2">
      <c r="A47" s="33"/>
      <c r="I47" s="31" t="s">
        <v>29</v>
      </c>
      <c r="L47" t="s">
        <v>29</v>
      </c>
      <c r="M47" t="s">
        <v>36</v>
      </c>
      <c r="N47" t="s">
        <v>31</v>
      </c>
      <c r="O47" t="s">
        <v>83</v>
      </c>
      <c r="P47">
        <v>0</v>
      </c>
      <c r="Q47">
        <v>1.9800000000000002E-2</v>
      </c>
      <c r="R47">
        <v>0</v>
      </c>
      <c r="S47">
        <v>5.9988E-2</v>
      </c>
    </row>
    <row r="48" spans="1:19" x14ac:dyDescent="0.2">
      <c r="A48" s="33"/>
      <c r="I48" s="31" t="s">
        <v>29</v>
      </c>
      <c r="L48" t="s">
        <v>29</v>
      </c>
      <c r="M48" t="s">
        <v>36</v>
      </c>
      <c r="N48" t="s">
        <v>31</v>
      </c>
      <c r="O48" t="s">
        <v>32</v>
      </c>
      <c r="P48">
        <v>0</v>
      </c>
      <c r="Q48">
        <v>1.9800000000000002E-2</v>
      </c>
      <c r="R48">
        <v>0</v>
      </c>
      <c r="S48">
        <v>5.9988E-2</v>
      </c>
    </row>
    <row r="49" spans="1:19" x14ac:dyDescent="0.2">
      <c r="A49" s="33"/>
      <c r="I49" s="31" t="s">
        <v>29</v>
      </c>
      <c r="L49" t="s">
        <v>29</v>
      </c>
      <c r="M49" t="s">
        <v>36</v>
      </c>
      <c r="N49" t="s">
        <v>31</v>
      </c>
      <c r="O49" t="s">
        <v>33</v>
      </c>
      <c r="P49">
        <v>0</v>
      </c>
      <c r="Q49">
        <v>1.9800000000000002E-2</v>
      </c>
      <c r="R49">
        <v>0</v>
      </c>
      <c r="S49">
        <v>5.9988E-2</v>
      </c>
    </row>
    <row r="50" spans="1:19" x14ac:dyDescent="0.2">
      <c r="A50" s="33"/>
      <c r="I50" s="31" t="s">
        <v>29</v>
      </c>
      <c r="L50" t="s">
        <v>29</v>
      </c>
      <c r="M50" t="s">
        <v>37</v>
      </c>
      <c r="N50" t="s">
        <v>31</v>
      </c>
      <c r="O50" t="s">
        <v>82</v>
      </c>
      <c r="P50">
        <v>0</v>
      </c>
      <c r="Q50">
        <v>2.7199999999999998E-2</v>
      </c>
      <c r="R50">
        <v>0</v>
      </c>
      <c r="S50" s="32">
        <v>7.9999999999999996E-6</v>
      </c>
    </row>
    <row r="51" spans="1:19" x14ac:dyDescent="0.2">
      <c r="A51" s="33"/>
      <c r="I51" s="31" t="s">
        <v>29</v>
      </c>
      <c r="L51" t="s">
        <v>29</v>
      </c>
      <c r="M51" t="s">
        <v>37</v>
      </c>
      <c r="N51" t="s">
        <v>31</v>
      </c>
      <c r="O51" t="s">
        <v>83</v>
      </c>
      <c r="P51">
        <v>0</v>
      </c>
      <c r="Q51">
        <v>2.7199999999999998E-2</v>
      </c>
      <c r="R51">
        <v>0</v>
      </c>
      <c r="S51" s="32">
        <v>7.9999999999999996E-6</v>
      </c>
    </row>
    <row r="52" spans="1:19" x14ac:dyDescent="0.2">
      <c r="A52" s="33"/>
      <c r="I52" s="31" t="s">
        <v>29</v>
      </c>
      <c r="J52" s="31"/>
      <c r="L52" t="s">
        <v>29</v>
      </c>
      <c r="M52" t="s">
        <v>37</v>
      </c>
      <c r="N52" t="s">
        <v>31</v>
      </c>
      <c r="O52" t="s">
        <v>32</v>
      </c>
      <c r="P52">
        <v>0</v>
      </c>
      <c r="Q52">
        <v>2.7199999999999998E-2</v>
      </c>
      <c r="R52">
        <v>0</v>
      </c>
      <c r="S52" s="32">
        <v>7.9999999999999996E-6</v>
      </c>
    </row>
    <row r="53" spans="1:19" x14ac:dyDescent="0.2">
      <c r="A53" s="33"/>
      <c r="I53" s="31" t="s">
        <v>29</v>
      </c>
      <c r="L53" t="s">
        <v>29</v>
      </c>
      <c r="M53" t="s">
        <v>37</v>
      </c>
      <c r="N53" t="s">
        <v>31</v>
      </c>
      <c r="O53" t="s">
        <v>33</v>
      </c>
      <c r="P53">
        <v>0</v>
      </c>
      <c r="Q53">
        <v>2.7199999999999998E-2</v>
      </c>
      <c r="R53">
        <v>0</v>
      </c>
      <c r="S53" s="32">
        <v>7.9999999999999996E-6</v>
      </c>
    </row>
    <row r="54" spans="1:19" x14ac:dyDescent="0.2">
      <c r="A54" s="33"/>
      <c r="I54" s="31" t="s">
        <v>29</v>
      </c>
      <c r="L54" t="s">
        <v>29</v>
      </c>
      <c r="M54" t="s">
        <v>38</v>
      </c>
      <c r="N54" t="s">
        <v>31</v>
      </c>
      <c r="O54" t="s">
        <v>82</v>
      </c>
      <c r="P54">
        <v>0</v>
      </c>
      <c r="Q54">
        <v>9.9000000000000008E-3</v>
      </c>
      <c r="R54">
        <v>0</v>
      </c>
      <c r="S54" s="32">
        <v>3.0000000000000001E-6</v>
      </c>
    </row>
    <row r="55" spans="1:19" x14ac:dyDescent="0.2">
      <c r="A55" s="33"/>
      <c r="I55" s="31" t="s">
        <v>29</v>
      </c>
      <c r="L55" t="s">
        <v>29</v>
      </c>
      <c r="M55" t="s">
        <v>38</v>
      </c>
      <c r="N55" t="s">
        <v>31</v>
      </c>
      <c r="O55" t="s">
        <v>83</v>
      </c>
      <c r="P55">
        <v>0</v>
      </c>
      <c r="Q55">
        <v>9.9000000000000008E-3</v>
      </c>
      <c r="R55">
        <v>0</v>
      </c>
      <c r="S55" s="32">
        <v>3.0000000000000001E-6</v>
      </c>
    </row>
    <row r="56" spans="1:19" x14ac:dyDescent="0.2">
      <c r="A56" s="33"/>
      <c r="I56" s="31" t="s">
        <v>29</v>
      </c>
      <c r="L56" t="s">
        <v>29</v>
      </c>
      <c r="M56" t="s">
        <v>38</v>
      </c>
      <c r="N56" t="s">
        <v>31</v>
      </c>
      <c r="O56" t="s">
        <v>32</v>
      </c>
      <c r="P56">
        <v>0</v>
      </c>
      <c r="Q56">
        <v>9.9000000000000008E-3</v>
      </c>
      <c r="R56">
        <v>0</v>
      </c>
      <c r="S56" s="32">
        <v>3.0000000000000001E-6</v>
      </c>
    </row>
    <row r="57" spans="1:19" x14ac:dyDescent="0.2">
      <c r="A57" s="33"/>
      <c r="I57" s="31" t="s">
        <v>29</v>
      </c>
      <c r="L57" t="s">
        <v>29</v>
      </c>
      <c r="M57" t="s">
        <v>38</v>
      </c>
      <c r="N57" t="s">
        <v>31</v>
      </c>
      <c r="O57" t="s">
        <v>33</v>
      </c>
      <c r="P57">
        <v>0</v>
      </c>
      <c r="Q57">
        <v>9.9000000000000008E-3</v>
      </c>
      <c r="R57">
        <v>0</v>
      </c>
      <c r="S57" s="32">
        <v>3.0000000000000001E-6</v>
      </c>
    </row>
    <row r="58" spans="1:19" x14ac:dyDescent="0.2">
      <c r="A58" s="33"/>
      <c r="I58" s="31" t="s">
        <v>29</v>
      </c>
      <c r="L58" t="s">
        <v>29</v>
      </c>
      <c r="M58" t="s">
        <v>39</v>
      </c>
      <c r="N58" t="s">
        <v>31</v>
      </c>
      <c r="O58" t="s">
        <v>82</v>
      </c>
      <c r="P58">
        <v>0</v>
      </c>
      <c r="Q58">
        <v>1.9800000000000002E-2</v>
      </c>
      <c r="R58">
        <v>0</v>
      </c>
      <c r="S58">
        <v>5.9988E-2</v>
      </c>
    </row>
    <row r="59" spans="1:19" x14ac:dyDescent="0.2">
      <c r="A59" s="33"/>
      <c r="I59" s="31" t="s">
        <v>29</v>
      </c>
      <c r="L59" t="s">
        <v>29</v>
      </c>
      <c r="M59" t="s">
        <v>39</v>
      </c>
      <c r="N59" t="s">
        <v>31</v>
      </c>
      <c r="O59" t="s">
        <v>83</v>
      </c>
      <c r="P59">
        <v>0</v>
      </c>
      <c r="Q59">
        <v>1.9800000000000002E-2</v>
      </c>
      <c r="R59">
        <v>0</v>
      </c>
      <c r="S59">
        <v>5.9988E-2</v>
      </c>
    </row>
    <row r="60" spans="1:19" x14ac:dyDescent="0.2">
      <c r="A60" s="33"/>
      <c r="I60" s="31" t="s">
        <v>29</v>
      </c>
      <c r="L60" t="s">
        <v>29</v>
      </c>
      <c r="M60" t="s">
        <v>39</v>
      </c>
      <c r="N60" t="s">
        <v>31</v>
      </c>
      <c r="O60" t="s">
        <v>32</v>
      </c>
      <c r="P60">
        <v>0</v>
      </c>
      <c r="Q60">
        <v>1.9800000000000002E-2</v>
      </c>
      <c r="R60">
        <v>0</v>
      </c>
      <c r="S60">
        <v>5.9988E-2</v>
      </c>
    </row>
    <row r="61" spans="1:19" x14ac:dyDescent="0.2">
      <c r="A61" s="33"/>
      <c r="I61" s="31" t="s">
        <v>29</v>
      </c>
      <c r="L61" t="s">
        <v>29</v>
      </c>
      <c r="M61" t="s">
        <v>39</v>
      </c>
      <c r="N61" t="s">
        <v>31</v>
      </c>
      <c r="O61" t="s">
        <v>33</v>
      </c>
      <c r="P61">
        <v>0</v>
      </c>
      <c r="Q61">
        <v>1.9800000000000002E-2</v>
      </c>
      <c r="R61">
        <v>0</v>
      </c>
      <c r="S61">
        <v>5.9988E-2</v>
      </c>
    </row>
    <row r="62" spans="1:19" x14ac:dyDescent="0.2">
      <c r="A62" s="33"/>
      <c r="I62" s="31" t="s">
        <v>29</v>
      </c>
      <c r="L62" t="s">
        <v>29</v>
      </c>
      <c r="M62" t="s">
        <v>40</v>
      </c>
      <c r="N62" t="s">
        <v>31</v>
      </c>
      <c r="O62" t="s">
        <v>82</v>
      </c>
      <c r="P62">
        <v>0</v>
      </c>
      <c r="Q62">
        <v>8.1600000000000006E-2</v>
      </c>
      <c r="R62">
        <v>0</v>
      </c>
      <c r="S62" s="32">
        <v>2.4000000000000001E-5</v>
      </c>
    </row>
    <row r="63" spans="1:19" x14ac:dyDescent="0.2">
      <c r="A63" s="33"/>
      <c r="I63" s="31" t="s">
        <v>29</v>
      </c>
      <c r="L63" t="s">
        <v>29</v>
      </c>
      <c r="M63" t="s">
        <v>40</v>
      </c>
      <c r="N63" t="s">
        <v>31</v>
      </c>
      <c r="O63" t="s">
        <v>83</v>
      </c>
      <c r="P63">
        <v>0</v>
      </c>
      <c r="Q63">
        <v>8.1600000000000006E-2</v>
      </c>
      <c r="R63">
        <v>0</v>
      </c>
      <c r="S63" s="32">
        <v>2.4000000000000001E-5</v>
      </c>
    </row>
    <row r="64" spans="1:19" x14ac:dyDescent="0.2">
      <c r="A64" s="33"/>
      <c r="I64" s="31" t="s">
        <v>29</v>
      </c>
      <c r="L64" t="s">
        <v>29</v>
      </c>
      <c r="M64" t="s">
        <v>40</v>
      </c>
      <c r="N64" t="s">
        <v>31</v>
      </c>
      <c r="O64" t="s">
        <v>32</v>
      </c>
      <c r="P64">
        <v>0</v>
      </c>
      <c r="Q64">
        <v>8.1600000000000006E-2</v>
      </c>
      <c r="R64">
        <v>0</v>
      </c>
      <c r="S64" s="32">
        <v>2.4000000000000001E-5</v>
      </c>
    </row>
    <row r="65" spans="1:19" x14ac:dyDescent="0.2">
      <c r="A65" s="33"/>
      <c r="I65" s="31" t="s">
        <v>29</v>
      </c>
      <c r="L65" t="s">
        <v>29</v>
      </c>
      <c r="M65" t="s">
        <v>40</v>
      </c>
      <c r="N65" t="s">
        <v>31</v>
      </c>
      <c r="O65" t="s">
        <v>33</v>
      </c>
      <c r="P65">
        <v>0</v>
      </c>
      <c r="Q65">
        <v>8.1600000000000006E-2</v>
      </c>
      <c r="R65">
        <v>0</v>
      </c>
      <c r="S65" s="32">
        <v>2.4000000000000001E-5</v>
      </c>
    </row>
    <row r="66" spans="1:19" x14ac:dyDescent="0.2">
      <c r="A66" s="33"/>
      <c r="I66" s="31" t="s">
        <v>29</v>
      </c>
      <c r="L66" t="s">
        <v>29</v>
      </c>
      <c r="M66" t="s">
        <v>41</v>
      </c>
      <c r="N66" t="s">
        <v>31</v>
      </c>
      <c r="O66" t="s">
        <v>82</v>
      </c>
      <c r="P66">
        <v>0</v>
      </c>
      <c r="Q66">
        <v>2.9700000000000001E-2</v>
      </c>
      <c r="R66">
        <v>0</v>
      </c>
      <c r="S66" s="32">
        <v>9.0000000000000002E-6</v>
      </c>
    </row>
    <row r="67" spans="1:19" x14ac:dyDescent="0.2">
      <c r="A67" s="33"/>
      <c r="I67" s="31" t="s">
        <v>29</v>
      </c>
      <c r="L67" t="s">
        <v>29</v>
      </c>
      <c r="M67" t="s">
        <v>41</v>
      </c>
      <c r="N67" t="s">
        <v>31</v>
      </c>
      <c r="O67" t="s">
        <v>83</v>
      </c>
      <c r="P67">
        <v>0</v>
      </c>
      <c r="Q67">
        <v>2.9700000000000001E-2</v>
      </c>
      <c r="R67">
        <v>0</v>
      </c>
      <c r="S67" s="32">
        <v>9.0000000000000002E-6</v>
      </c>
    </row>
    <row r="68" spans="1:19" x14ac:dyDescent="0.2">
      <c r="A68" s="33"/>
      <c r="I68" s="31" t="s">
        <v>29</v>
      </c>
      <c r="L68" t="s">
        <v>29</v>
      </c>
      <c r="M68" t="s">
        <v>41</v>
      </c>
      <c r="N68" t="s">
        <v>31</v>
      </c>
      <c r="O68" t="s">
        <v>32</v>
      </c>
      <c r="P68">
        <v>0</v>
      </c>
      <c r="Q68">
        <v>2.9700000000000001E-2</v>
      </c>
      <c r="R68">
        <v>0</v>
      </c>
      <c r="S68" s="32">
        <v>9.0000000000000002E-6</v>
      </c>
    </row>
    <row r="69" spans="1:19" x14ac:dyDescent="0.2">
      <c r="A69" s="33"/>
      <c r="I69" s="31" t="s">
        <v>29</v>
      </c>
      <c r="L69" t="s">
        <v>29</v>
      </c>
      <c r="M69" t="s">
        <v>41</v>
      </c>
      <c r="N69" t="s">
        <v>31</v>
      </c>
      <c r="O69" t="s">
        <v>33</v>
      </c>
      <c r="P69">
        <v>0</v>
      </c>
      <c r="Q69">
        <v>2.9700000000000001E-2</v>
      </c>
      <c r="R69">
        <v>0</v>
      </c>
      <c r="S69" s="32">
        <v>9.0000000000000002E-6</v>
      </c>
    </row>
    <row r="70" spans="1:19" x14ac:dyDescent="0.2">
      <c r="A70" s="33"/>
      <c r="I70" s="31" t="s">
        <v>29</v>
      </c>
      <c r="L70" t="s">
        <v>29</v>
      </c>
      <c r="M70" t="s">
        <v>42</v>
      </c>
      <c r="N70" t="s">
        <v>31</v>
      </c>
      <c r="O70" t="s">
        <v>82</v>
      </c>
      <c r="P70">
        <v>0</v>
      </c>
      <c r="Q70">
        <v>9.9000000000000008E-3</v>
      </c>
      <c r="R70">
        <v>0</v>
      </c>
      <c r="S70">
        <v>2.9994E-2</v>
      </c>
    </row>
    <row r="71" spans="1:19" x14ac:dyDescent="0.2">
      <c r="A71" s="33"/>
      <c r="I71" s="31" t="s">
        <v>29</v>
      </c>
      <c r="L71" t="s">
        <v>29</v>
      </c>
      <c r="M71" t="s">
        <v>42</v>
      </c>
      <c r="N71" t="s">
        <v>31</v>
      </c>
      <c r="O71" t="s">
        <v>83</v>
      </c>
      <c r="P71">
        <v>0</v>
      </c>
      <c r="Q71">
        <v>9.9000000000000008E-3</v>
      </c>
      <c r="R71">
        <v>0</v>
      </c>
      <c r="S71">
        <v>2.9994E-2</v>
      </c>
    </row>
    <row r="72" spans="1:19" x14ac:dyDescent="0.2">
      <c r="A72" s="33"/>
      <c r="I72" s="31" t="s">
        <v>29</v>
      </c>
      <c r="L72" t="s">
        <v>29</v>
      </c>
      <c r="M72" t="s">
        <v>42</v>
      </c>
      <c r="N72" t="s">
        <v>31</v>
      </c>
      <c r="O72" t="s">
        <v>32</v>
      </c>
      <c r="P72">
        <v>0</v>
      </c>
      <c r="Q72">
        <v>9.9000000000000008E-3</v>
      </c>
      <c r="R72">
        <v>0</v>
      </c>
      <c r="S72">
        <v>2.9994E-2</v>
      </c>
    </row>
    <row r="73" spans="1:19" x14ac:dyDescent="0.2">
      <c r="A73" s="33"/>
      <c r="I73" s="31" t="s">
        <v>29</v>
      </c>
      <c r="L73" t="s">
        <v>29</v>
      </c>
      <c r="M73" t="s">
        <v>42</v>
      </c>
      <c r="N73" t="s">
        <v>31</v>
      </c>
      <c r="O73" t="s">
        <v>33</v>
      </c>
      <c r="P73">
        <v>0</v>
      </c>
      <c r="Q73">
        <v>9.9000000000000008E-3</v>
      </c>
      <c r="R73">
        <v>0</v>
      </c>
      <c r="S73">
        <v>2.9994E-2</v>
      </c>
    </row>
    <row r="74" spans="1:19" x14ac:dyDescent="0.2">
      <c r="A74" s="33"/>
      <c r="I74" s="31" t="s">
        <v>29</v>
      </c>
      <c r="L74" t="s">
        <v>29</v>
      </c>
      <c r="M74" t="s">
        <v>43</v>
      </c>
      <c r="N74" t="s">
        <v>31</v>
      </c>
      <c r="O74" t="s">
        <v>82</v>
      </c>
      <c r="P74">
        <v>0</v>
      </c>
      <c r="Q74">
        <v>5.4399999999999997E-2</v>
      </c>
      <c r="R74">
        <v>0</v>
      </c>
      <c r="S74" s="32">
        <v>1.5999999999999999E-5</v>
      </c>
    </row>
    <row r="75" spans="1:19" x14ac:dyDescent="0.2">
      <c r="A75" s="33"/>
      <c r="I75" s="31" t="s">
        <v>29</v>
      </c>
      <c r="L75" t="s">
        <v>29</v>
      </c>
      <c r="M75" t="s">
        <v>43</v>
      </c>
      <c r="N75" t="s">
        <v>31</v>
      </c>
      <c r="O75" t="s">
        <v>83</v>
      </c>
      <c r="P75">
        <v>0</v>
      </c>
      <c r="Q75">
        <v>5.4399999999999997E-2</v>
      </c>
      <c r="R75">
        <v>0</v>
      </c>
      <c r="S75" s="32">
        <v>1.5999999999999999E-5</v>
      </c>
    </row>
    <row r="76" spans="1:19" x14ac:dyDescent="0.2">
      <c r="A76" s="33"/>
      <c r="I76" s="31" t="s">
        <v>29</v>
      </c>
      <c r="L76" t="s">
        <v>29</v>
      </c>
      <c r="M76" t="s">
        <v>43</v>
      </c>
      <c r="N76" t="s">
        <v>31</v>
      </c>
      <c r="O76" t="s">
        <v>32</v>
      </c>
      <c r="P76">
        <v>0</v>
      </c>
      <c r="Q76">
        <v>5.4399999999999997E-2</v>
      </c>
      <c r="R76">
        <v>0</v>
      </c>
      <c r="S76" s="32">
        <v>1.5999999999999999E-5</v>
      </c>
    </row>
    <row r="77" spans="1:19" x14ac:dyDescent="0.2">
      <c r="A77" s="33"/>
      <c r="I77" s="31" t="s">
        <v>29</v>
      </c>
      <c r="L77" t="s">
        <v>29</v>
      </c>
      <c r="M77" t="s">
        <v>43</v>
      </c>
      <c r="N77" t="s">
        <v>31</v>
      </c>
      <c r="O77" t="s">
        <v>33</v>
      </c>
      <c r="P77">
        <v>0</v>
      </c>
      <c r="Q77">
        <v>5.4399999999999997E-2</v>
      </c>
      <c r="R77">
        <v>0</v>
      </c>
      <c r="S77" s="32">
        <v>1.5999999999999999E-5</v>
      </c>
    </row>
    <row r="78" spans="1:19" x14ac:dyDescent="0.2">
      <c r="A78" s="33"/>
      <c r="I78" s="31" t="s">
        <v>29</v>
      </c>
      <c r="L78" t="s">
        <v>29</v>
      </c>
      <c r="M78" t="s">
        <v>44</v>
      </c>
      <c r="N78" t="s">
        <v>31</v>
      </c>
      <c r="O78" t="s">
        <v>82</v>
      </c>
      <c r="P78">
        <v>0</v>
      </c>
      <c r="Q78">
        <v>6.2700000000000006E-2</v>
      </c>
      <c r="R78">
        <v>0</v>
      </c>
      <c r="S78" s="32">
        <v>1.9000000000000001E-5</v>
      </c>
    </row>
    <row r="79" spans="1:19" x14ac:dyDescent="0.2">
      <c r="A79" s="33"/>
      <c r="I79" s="31" t="s">
        <v>29</v>
      </c>
      <c r="L79" t="s">
        <v>29</v>
      </c>
      <c r="M79" t="s">
        <v>44</v>
      </c>
      <c r="N79" t="s">
        <v>31</v>
      </c>
      <c r="O79" t="s">
        <v>83</v>
      </c>
      <c r="P79">
        <v>0</v>
      </c>
      <c r="Q79">
        <v>6.2700000000000006E-2</v>
      </c>
      <c r="R79">
        <v>0</v>
      </c>
      <c r="S79" s="32">
        <v>1.9000000000000001E-5</v>
      </c>
    </row>
    <row r="80" spans="1:19" x14ac:dyDescent="0.2">
      <c r="A80" s="33"/>
      <c r="I80" s="31" t="s">
        <v>29</v>
      </c>
      <c r="L80" t="s">
        <v>29</v>
      </c>
      <c r="M80" t="s">
        <v>44</v>
      </c>
      <c r="N80" t="s">
        <v>31</v>
      </c>
      <c r="O80" t="s">
        <v>32</v>
      </c>
      <c r="P80">
        <v>0</v>
      </c>
      <c r="Q80">
        <v>6.2700000000000006E-2</v>
      </c>
      <c r="R80">
        <v>0</v>
      </c>
      <c r="S80" s="32">
        <v>1.9000000000000001E-5</v>
      </c>
    </row>
    <row r="81" spans="1:19" x14ac:dyDescent="0.2">
      <c r="A81" s="33"/>
      <c r="I81" s="31" t="s">
        <v>29</v>
      </c>
      <c r="L81" t="s">
        <v>29</v>
      </c>
      <c r="M81" t="s">
        <v>44</v>
      </c>
      <c r="N81" t="s">
        <v>31</v>
      </c>
      <c r="O81" t="s">
        <v>33</v>
      </c>
      <c r="P81">
        <v>0</v>
      </c>
      <c r="Q81">
        <v>6.2700000000000006E-2</v>
      </c>
      <c r="R81">
        <v>0</v>
      </c>
      <c r="S81" s="32">
        <v>1.9000000000000001E-5</v>
      </c>
    </row>
    <row r="82" spans="1:19" x14ac:dyDescent="0.2">
      <c r="A82" s="33"/>
      <c r="I82" s="31" t="s">
        <v>29</v>
      </c>
      <c r="L82" t="s">
        <v>29</v>
      </c>
      <c r="M82" t="s">
        <v>45</v>
      </c>
      <c r="N82" t="s">
        <v>31</v>
      </c>
      <c r="O82" t="s">
        <v>82</v>
      </c>
      <c r="P82">
        <v>0</v>
      </c>
      <c r="Q82">
        <v>2.7199999999999998E-2</v>
      </c>
      <c r="R82">
        <v>0</v>
      </c>
      <c r="S82" s="32">
        <v>7.9999999999999996E-6</v>
      </c>
    </row>
    <row r="83" spans="1:19" x14ac:dyDescent="0.2">
      <c r="A83" s="33"/>
      <c r="I83" s="31" t="s">
        <v>29</v>
      </c>
      <c r="L83" t="s">
        <v>29</v>
      </c>
      <c r="M83" t="s">
        <v>45</v>
      </c>
      <c r="N83" t="s">
        <v>31</v>
      </c>
      <c r="O83" t="s">
        <v>83</v>
      </c>
      <c r="P83">
        <v>0</v>
      </c>
      <c r="Q83">
        <v>2.7199999999999998E-2</v>
      </c>
      <c r="R83">
        <v>0</v>
      </c>
      <c r="S83" s="32">
        <v>7.9999999999999996E-6</v>
      </c>
    </row>
    <row r="84" spans="1:19" x14ac:dyDescent="0.2">
      <c r="A84" s="33"/>
      <c r="I84" s="31" t="s">
        <v>29</v>
      </c>
      <c r="L84" t="s">
        <v>29</v>
      </c>
      <c r="M84" t="s">
        <v>45</v>
      </c>
      <c r="N84" t="s">
        <v>31</v>
      </c>
      <c r="O84" t="s">
        <v>32</v>
      </c>
      <c r="P84">
        <v>0</v>
      </c>
      <c r="Q84">
        <v>2.7199999999999998E-2</v>
      </c>
      <c r="R84">
        <v>0</v>
      </c>
      <c r="S84" s="32">
        <v>7.9999999999999996E-6</v>
      </c>
    </row>
    <row r="85" spans="1:19" x14ac:dyDescent="0.2">
      <c r="A85" s="33"/>
      <c r="I85" s="31" t="s">
        <v>29</v>
      </c>
      <c r="J85" s="31"/>
      <c r="L85" t="s">
        <v>29</v>
      </c>
      <c r="M85" t="s">
        <v>45</v>
      </c>
      <c r="N85" t="s">
        <v>31</v>
      </c>
      <c r="O85" t="s">
        <v>33</v>
      </c>
      <c r="P85">
        <v>0</v>
      </c>
      <c r="Q85">
        <v>2.7199999999999998E-2</v>
      </c>
      <c r="R85">
        <v>0</v>
      </c>
      <c r="S85" s="32">
        <v>7.9999999999999996E-6</v>
      </c>
    </row>
    <row r="86" spans="1:19" x14ac:dyDescent="0.2">
      <c r="A86" s="33"/>
      <c r="I86" s="31" t="s">
        <v>29</v>
      </c>
      <c r="J86" s="31"/>
      <c r="L86" t="s">
        <v>29</v>
      </c>
      <c r="M86" t="s">
        <v>46</v>
      </c>
      <c r="N86" t="s">
        <v>31</v>
      </c>
      <c r="O86" t="s">
        <v>82</v>
      </c>
      <c r="P86">
        <v>0</v>
      </c>
      <c r="Q86">
        <v>9.9000000000000005E-2</v>
      </c>
      <c r="R86">
        <v>0</v>
      </c>
      <c r="S86" s="32">
        <v>3.0000000000000001E-5</v>
      </c>
    </row>
    <row r="87" spans="1:19" x14ac:dyDescent="0.2">
      <c r="A87" s="33"/>
      <c r="I87" s="31" t="s">
        <v>29</v>
      </c>
      <c r="J87" s="31"/>
      <c r="L87" t="s">
        <v>29</v>
      </c>
      <c r="M87" t="s">
        <v>46</v>
      </c>
      <c r="N87" t="s">
        <v>31</v>
      </c>
      <c r="O87" t="s">
        <v>83</v>
      </c>
      <c r="P87">
        <v>0</v>
      </c>
      <c r="Q87">
        <v>9.9000000000000005E-2</v>
      </c>
      <c r="R87">
        <v>0</v>
      </c>
      <c r="S87" s="32">
        <v>3.0000000000000001E-5</v>
      </c>
    </row>
    <row r="88" spans="1:19" x14ac:dyDescent="0.2">
      <c r="A88" s="33"/>
      <c r="I88" s="31" t="s">
        <v>29</v>
      </c>
      <c r="J88" s="31"/>
      <c r="L88" t="s">
        <v>29</v>
      </c>
      <c r="M88" t="s">
        <v>46</v>
      </c>
      <c r="N88" t="s">
        <v>31</v>
      </c>
      <c r="O88" t="s">
        <v>32</v>
      </c>
      <c r="P88">
        <v>0</v>
      </c>
      <c r="Q88">
        <v>9.9000000000000005E-2</v>
      </c>
      <c r="R88">
        <v>0</v>
      </c>
      <c r="S88" s="32">
        <v>3.0000000000000001E-5</v>
      </c>
    </row>
    <row r="89" spans="1:19" x14ac:dyDescent="0.2">
      <c r="A89" s="33"/>
      <c r="I89" s="31" t="s">
        <v>29</v>
      </c>
      <c r="J89" s="31"/>
      <c r="L89" t="s">
        <v>29</v>
      </c>
      <c r="M89" t="s">
        <v>46</v>
      </c>
      <c r="N89" t="s">
        <v>31</v>
      </c>
      <c r="O89" t="s">
        <v>33</v>
      </c>
      <c r="P89">
        <v>0</v>
      </c>
      <c r="Q89">
        <v>9.9000000000000005E-2</v>
      </c>
      <c r="R89">
        <v>0</v>
      </c>
      <c r="S89" s="32">
        <v>3.0000000000000001E-5</v>
      </c>
    </row>
    <row r="90" spans="1:19" x14ac:dyDescent="0.2">
      <c r="A90" s="33"/>
      <c r="I90" s="31" t="s">
        <v>29</v>
      </c>
      <c r="J90" s="31"/>
      <c r="L90" t="s">
        <v>29</v>
      </c>
      <c r="M90" t="s">
        <v>47</v>
      </c>
      <c r="N90" t="s">
        <v>31</v>
      </c>
      <c r="O90" t="s">
        <v>82</v>
      </c>
      <c r="P90">
        <v>0</v>
      </c>
      <c r="Q90">
        <v>7.2599999999999998E-2</v>
      </c>
      <c r="R90">
        <v>0</v>
      </c>
      <c r="S90" s="32">
        <v>2.1999999999999999E-5</v>
      </c>
    </row>
    <row r="91" spans="1:19" x14ac:dyDescent="0.2">
      <c r="A91" s="33"/>
      <c r="I91" s="31" t="s">
        <v>29</v>
      </c>
      <c r="J91" s="31"/>
      <c r="L91" t="s">
        <v>29</v>
      </c>
      <c r="M91" t="s">
        <v>47</v>
      </c>
      <c r="N91" t="s">
        <v>31</v>
      </c>
      <c r="O91" t="s">
        <v>83</v>
      </c>
      <c r="P91">
        <v>0</v>
      </c>
      <c r="Q91">
        <v>7.2599999999999998E-2</v>
      </c>
      <c r="R91">
        <v>0</v>
      </c>
      <c r="S91" s="32">
        <v>2.1999999999999999E-5</v>
      </c>
    </row>
    <row r="92" spans="1:19" x14ac:dyDescent="0.2">
      <c r="A92" s="33"/>
      <c r="I92" s="31" t="s">
        <v>29</v>
      </c>
      <c r="J92" s="31"/>
      <c r="L92" t="s">
        <v>29</v>
      </c>
      <c r="M92" t="s">
        <v>47</v>
      </c>
      <c r="N92" t="s">
        <v>31</v>
      </c>
      <c r="O92" t="s">
        <v>32</v>
      </c>
      <c r="P92">
        <v>0</v>
      </c>
      <c r="Q92">
        <v>7.2599999999999998E-2</v>
      </c>
      <c r="R92">
        <v>0</v>
      </c>
      <c r="S92" s="32">
        <v>2.1999999999999999E-5</v>
      </c>
    </row>
    <row r="93" spans="1:19" x14ac:dyDescent="0.2">
      <c r="A93" s="33"/>
      <c r="I93" s="31" t="s">
        <v>29</v>
      </c>
      <c r="J93" s="31"/>
      <c r="L93" t="s">
        <v>29</v>
      </c>
      <c r="M93" t="s">
        <v>47</v>
      </c>
      <c r="N93" t="s">
        <v>31</v>
      </c>
      <c r="O93" t="s">
        <v>33</v>
      </c>
      <c r="P93">
        <v>0</v>
      </c>
      <c r="Q93">
        <v>7.2599999999999998E-2</v>
      </c>
      <c r="R93">
        <v>0</v>
      </c>
      <c r="S93" s="32">
        <v>2.1999999999999999E-5</v>
      </c>
    </row>
    <row r="94" spans="1:19" x14ac:dyDescent="0.2">
      <c r="A94" s="33"/>
      <c r="I94" s="31" t="s">
        <v>29</v>
      </c>
      <c r="J94" s="31"/>
      <c r="L94" t="s">
        <v>29</v>
      </c>
      <c r="M94" t="s">
        <v>48</v>
      </c>
      <c r="N94" t="s">
        <v>31</v>
      </c>
      <c r="O94" t="s">
        <v>82</v>
      </c>
      <c r="P94">
        <v>50000</v>
      </c>
      <c r="Q94">
        <v>4.6199999999999998E-2</v>
      </c>
      <c r="R94">
        <v>50000</v>
      </c>
      <c r="S94" s="32">
        <v>1.4E-5</v>
      </c>
    </row>
    <row r="95" spans="1:19" x14ac:dyDescent="0.2">
      <c r="A95" s="33"/>
      <c r="I95" s="31" t="s">
        <v>29</v>
      </c>
      <c r="J95" s="31"/>
      <c r="L95" t="s">
        <v>29</v>
      </c>
      <c r="M95" t="s">
        <v>48</v>
      </c>
      <c r="N95" t="s">
        <v>31</v>
      </c>
      <c r="O95" t="s">
        <v>83</v>
      </c>
      <c r="P95">
        <v>0</v>
      </c>
      <c r="Q95">
        <v>4.6199999999999998E-2</v>
      </c>
      <c r="R95">
        <v>0</v>
      </c>
      <c r="S95" s="32">
        <v>1.4E-5</v>
      </c>
    </row>
    <row r="96" spans="1:19" x14ac:dyDescent="0.2">
      <c r="A96" s="33"/>
      <c r="I96" s="31" t="s">
        <v>29</v>
      </c>
      <c r="J96" s="31"/>
      <c r="L96" t="s">
        <v>29</v>
      </c>
      <c r="M96" t="s">
        <v>48</v>
      </c>
      <c r="N96" t="s">
        <v>31</v>
      </c>
      <c r="O96" t="s">
        <v>32</v>
      </c>
      <c r="P96">
        <v>0</v>
      </c>
      <c r="Q96">
        <v>4.6199999999999998E-2</v>
      </c>
      <c r="R96">
        <v>0</v>
      </c>
      <c r="S96" s="32">
        <v>1.4E-5</v>
      </c>
    </row>
    <row r="97" spans="1:19" x14ac:dyDescent="0.2">
      <c r="A97" s="33"/>
      <c r="I97" s="31" t="s">
        <v>29</v>
      </c>
      <c r="J97" s="31"/>
      <c r="L97" t="s">
        <v>29</v>
      </c>
      <c r="M97" t="s">
        <v>48</v>
      </c>
      <c r="N97" t="s">
        <v>31</v>
      </c>
      <c r="O97" t="s">
        <v>33</v>
      </c>
      <c r="P97">
        <v>0</v>
      </c>
      <c r="Q97">
        <v>4.6199999999999998E-2</v>
      </c>
      <c r="R97">
        <v>0</v>
      </c>
      <c r="S97" s="32">
        <v>1.4E-5</v>
      </c>
    </row>
    <row r="98" spans="1:19" x14ac:dyDescent="0.2">
      <c r="A98" s="33"/>
      <c r="I98" s="31" t="s">
        <v>29</v>
      </c>
      <c r="J98" s="31"/>
      <c r="L98" t="s">
        <v>29</v>
      </c>
      <c r="M98" t="s">
        <v>49</v>
      </c>
      <c r="N98" t="s">
        <v>31</v>
      </c>
      <c r="O98" t="s">
        <v>82</v>
      </c>
      <c r="P98">
        <v>200000</v>
      </c>
      <c r="Q98">
        <v>6.6E-3</v>
      </c>
      <c r="R98">
        <v>200000</v>
      </c>
      <c r="S98" s="32">
        <v>1.9999999999999999E-6</v>
      </c>
    </row>
    <row r="99" spans="1:19" x14ac:dyDescent="0.2">
      <c r="A99" s="33"/>
      <c r="I99" s="31" t="s">
        <v>29</v>
      </c>
      <c r="J99" s="31"/>
      <c r="L99" t="s">
        <v>29</v>
      </c>
      <c r="M99" t="s">
        <v>49</v>
      </c>
      <c r="N99" t="s">
        <v>31</v>
      </c>
      <c r="O99" t="s">
        <v>83</v>
      </c>
      <c r="P99">
        <v>0</v>
      </c>
      <c r="Q99">
        <v>6.6E-3</v>
      </c>
      <c r="R99">
        <v>0</v>
      </c>
      <c r="S99" s="32">
        <v>1.9999999999999999E-6</v>
      </c>
    </row>
    <row r="100" spans="1:19" x14ac:dyDescent="0.2">
      <c r="A100" s="33"/>
      <c r="I100" s="31" t="s">
        <v>29</v>
      </c>
      <c r="J100" s="31"/>
      <c r="L100" t="s">
        <v>29</v>
      </c>
      <c r="M100" t="s">
        <v>49</v>
      </c>
      <c r="N100" t="s">
        <v>31</v>
      </c>
      <c r="O100" t="s">
        <v>32</v>
      </c>
      <c r="P100">
        <v>180000</v>
      </c>
      <c r="Q100">
        <v>6.6E-3</v>
      </c>
      <c r="R100">
        <v>180000</v>
      </c>
      <c r="S100" s="32">
        <v>1.9999999999999999E-6</v>
      </c>
    </row>
    <row r="101" spans="1:19" x14ac:dyDescent="0.2">
      <c r="A101" s="33"/>
      <c r="I101" s="31" t="s">
        <v>29</v>
      </c>
      <c r="J101" s="31"/>
      <c r="L101" t="s">
        <v>29</v>
      </c>
      <c r="M101" t="s">
        <v>49</v>
      </c>
      <c r="N101" t="s">
        <v>31</v>
      </c>
      <c r="O101" t="s">
        <v>33</v>
      </c>
      <c r="P101">
        <v>50000</v>
      </c>
      <c r="Q101">
        <v>6.6E-3</v>
      </c>
      <c r="R101">
        <v>50000</v>
      </c>
      <c r="S101" s="32">
        <v>1.9999999999999999E-6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8A0F-29C4-9343-86FD-84B0F936178E}">
  <dimension ref="A1:AJ104"/>
  <sheetViews>
    <sheetView zoomScale="96" zoomScaleNormal="96" workbookViewId="0">
      <selection activeCell="L6" sqref="L6"/>
    </sheetView>
  </sheetViews>
  <sheetFormatPr baseColWidth="10" defaultRowHeight="16" x14ac:dyDescent="0.2"/>
  <cols>
    <col min="8" max="8" width="12.6640625" bestFit="1" customWidth="1"/>
    <col min="12" max="12" width="13.1640625" bestFit="1" customWidth="1"/>
    <col min="17" max="17" width="11.1640625" bestFit="1" customWidth="1"/>
    <col min="18" max="18" width="12.1640625" bestFit="1" customWidth="1"/>
    <col min="19" max="20" width="13.6640625" bestFit="1" customWidth="1"/>
    <col min="21" max="21" width="12" bestFit="1" customWidth="1"/>
    <col min="22" max="24" width="11.1640625" bestFit="1" customWidth="1"/>
    <col min="25" max="25" width="11" bestFit="1" customWidth="1"/>
    <col min="26" max="26" width="12" bestFit="1" customWidth="1"/>
    <col min="27" max="27" width="11" bestFit="1" customWidth="1"/>
    <col min="28" max="28" width="12" bestFit="1" customWidth="1"/>
    <col min="29" max="32" width="11" bestFit="1" customWidth="1"/>
  </cols>
  <sheetData>
    <row r="1" spans="1:36" x14ac:dyDescent="0.2">
      <c r="D1" s="16">
        <f>D2+D3</f>
        <v>2.69</v>
      </c>
      <c r="E1" s="16">
        <f>E2+E3</f>
        <v>1.57</v>
      </c>
      <c r="F1" s="16">
        <f t="shared" ref="F1" si="0">F2+F3</f>
        <v>1.19</v>
      </c>
      <c r="G1" t="s">
        <v>123</v>
      </c>
    </row>
    <row r="2" spans="1:36" x14ac:dyDescent="0.2">
      <c r="D2" s="18">
        <f>SUM(D5:D12)/1000000</f>
        <v>2.21</v>
      </c>
      <c r="E2" s="18">
        <f>SUM(E5:E12)/1000000</f>
        <v>1.08</v>
      </c>
      <c r="F2" s="18">
        <f>SUM(F5:F12)/1000000</f>
        <v>0.71</v>
      </c>
      <c r="G2" t="s">
        <v>123</v>
      </c>
    </row>
    <row r="3" spans="1:36" x14ac:dyDescent="0.2">
      <c r="D3" s="18">
        <f>SUM(D14:D36)/1000000</f>
        <v>0.48</v>
      </c>
      <c r="E3" s="18">
        <f>SUM(E14:E36)/1000000</f>
        <v>0.49</v>
      </c>
      <c r="F3" s="18">
        <f>SUM(F14:F36)/1000000</f>
        <v>0.48</v>
      </c>
      <c r="G3" t="s">
        <v>123</v>
      </c>
    </row>
    <row r="4" spans="1:36" x14ac:dyDescent="0.2">
      <c r="D4" t="s">
        <v>11</v>
      </c>
      <c r="E4" t="s">
        <v>115</v>
      </c>
      <c r="F4" t="s">
        <v>12</v>
      </c>
      <c r="L4" t="s">
        <v>60</v>
      </c>
      <c r="M4" t="s">
        <v>126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128</v>
      </c>
      <c r="Z4" t="s">
        <v>129</v>
      </c>
      <c r="AA4" t="s">
        <v>130</v>
      </c>
      <c r="AB4" t="s">
        <v>131</v>
      </c>
      <c r="AC4" t="s">
        <v>132</v>
      </c>
      <c r="AD4" t="s">
        <v>133</v>
      </c>
      <c r="AE4" t="s">
        <v>134</v>
      </c>
      <c r="AF4" t="s">
        <v>135</v>
      </c>
      <c r="AG4" t="s">
        <v>82</v>
      </c>
      <c r="AH4" t="s">
        <v>83</v>
      </c>
      <c r="AI4" t="s">
        <v>32</v>
      </c>
      <c r="AJ4" t="s">
        <v>33</v>
      </c>
    </row>
    <row r="5" spans="1:36" x14ac:dyDescent="0.2">
      <c r="A5" t="s">
        <v>14</v>
      </c>
      <c r="B5" t="s">
        <v>88</v>
      </c>
      <c r="C5" t="s">
        <v>90</v>
      </c>
      <c r="D5" s="20">
        <f>Results_Raw!E2*LS_RETRO_qf</f>
        <v>0</v>
      </c>
      <c r="E5" s="20">
        <f>Results_Raw!G2*LS_RETRO_qf</f>
        <v>0</v>
      </c>
      <c r="F5" s="20">
        <f>Results_Raw!I2*LS_RETRO_qf</f>
        <v>0</v>
      </c>
      <c r="I5" t="s">
        <v>14</v>
      </c>
      <c r="J5" t="s">
        <v>15</v>
      </c>
      <c r="K5" t="s">
        <v>17</v>
      </c>
      <c r="L5" s="20">
        <f>Results_Raw!P2*LS_RETRO_qf</f>
        <v>0</v>
      </c>
      <c r="M5">
        <v>1</v>
      </c>
      <c r="O5" t="s">
        <v>12</v>
      </c>
      <c r="P5" t="s">
        <v>116</v>
      </c>
      <c r="Q5" s="36">
        <f>$L$5</f>
        <v>0</v>
      </c>
      <c r="R5" s="36">
        <f>$L$6</f>
        <v>500000</v>
      </c>
      <c r="S5" s="36">
        <f>$L$7</f>
        <v>50000</v>
      </c>
      <c r="T5" s="36">
        <f>$L$8</f>
        <v>1000000</v>
      </c>
      <c r="U5" s="36">
        <f>$L$9</f>
        <v>200000</v>
      </c>
      <c r="V5" s="36">
        <f>$L$10</f>
        <v>0</v>
      </c>
      <c r="W5" s="36">
        <f>$L$11</f>
        <v>10000.0000000001</v>
      </c>
      <c r="X5" s="36">
        <f>$L$12</f>
        <v>-2.8421709430404001E-11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36">
        <v>0</v>
      </c>
    </row>
    <row r="6" spans="1:36" x14ac:dyDescent="0.2">
      <c r="A6" t="s">
        <v>14</v>
      </c>
      <c r="B6" t="s">
        <v>88</v>
      </c>
      <c r="C6" t="s">
        <v>94</v>
      </c>
      <c r="D6" s="20">
        <f>Results_Raw!E6</f>
        <v>200000</v>
      </c>
      <c r="E6" s="20">
        <f>Results_Raw!G6</f>
        <v>200000</v>
      </c>
      <c r="F6" s="20">
        <f>Results_Raw!I6</f>
        <v>200000</v>
      </c>
      <c r="I6" t="s">
        <v>14</v>
      </c>
      <c r="J6" t="s">
        <v>15</v>
      </c>
      <c r="K6" t="s">
        <v>18</v>
      </c>
      <c r="L6" s="20">
        <f>Results_Raw!P3*L_DESAL_qf</f>
        <v>500000</v>
      </c>
      <c r="M6">
        <v>1</v>
      </c>
      <c r="P6" t="s">
        <v>117</v>
      </c>
      <c r="Q6" s="36">
        <f t="shared" ref="Q6:Q25" si="1">$L$5</f>
        <v>0</v>
      </c>
      <c r="R6" s="36">
        <f t="shared" ref="R6:R25" si="2">$L$6</f>
        <v>500000</v>
      </c>
      <c r="S6" s="36">
        <f t="shared" ref="S6:S25" si="3">$L$7</f>
        <v>50000</v>
      </c>
      <c r="T6" s="36">
        <f t="shared" ref="T6:T25" si="4">$L$8</f>
        <v>1000000</v>
      </c>
      <c r="U6" s="36">
        <f t="shared" ref="U6:U25" si="5">$L$9</f>
        <v>200000</v>
      </c>
      <c r="V6" s="36">
        <f t="shared" ref="V6:V25" si="6">$L$10</f>
        <v>0</v>
      </c>
      <c r="W6" s="36">
        <f t="shared" ref="W6:W25" si="7">$L$11</f>
        <v>10000.0000000001</v>
      </c>
      <c r="X6" s="36">
        <f t="shared" ref="X6:X25" si="8">$L$12</f>
        <v>-2.8421709430404001E-11</v>
      </c>
      <c r="Y6" s="36">
        <v>0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6">
        <v>0</v>
      </c>
      <c r="AJ6" s="36">
        <v>0</v>
      </c>
    </row>
    <row r="7" spans="1:36" x14ac:dyDescent="0.2">
      <c r="A7" t="s">
        <v>14</v>
      </c>
      <c r="B7" t="s">
        <v>88</v>
      </c>
      <c r="C7" t="s">
        <v>93</v>
      </c>
      <c r="D7" s="20">
        <f>Results_Raw!E5*L_REC_qf</f>
        <v>1000000</v>
      </c>
      <c r="E7" s="20">
        <f>Results_Raw!G5*L_REC_qf</f>
        <v>810000</v>
      </c>
      <c r="F7" s="20">
        <f>Results_Raw!I5*L_REC_qf</f>
        <v>440000</v>
      </c>
      <c r="I7" t="s">
        <v>14</v>
      </c>
      <c r="J7" t="s">
        <v>15</v>
      </c>
      <c r="K7" t="s">
        <v>19</v>
      </c>
      <c r="L7" s="20">
        <f>Results_Raw!P4*L_GW_qf</f>
        <v>50000</v>
      </c>
      <c r="M7">
        <v>1</v>
      </c>
      <c r="P7" t="s">
        <v>118</v>
      </c>
      <c r="Q7" s="36">
        <f t="shared" si="1"/>
        <v>0</v>
      </c>
      <c r="R7" s="36">
        <f t="shared" si="2"/>
        <v>500000</v>
      </c>
      <c r="S7" s="36">
        <f t="shared" si="3"/>
        <v>50000</v>
      </c>
      <c r="T7" s="36">
        <f t="shared" si="4"/>
        <v>1000000</v>
      </c>
      <c r="U7" s="36">
        <f t="shared" si="5"/>
        <v>200000</v>
      </c>
      <c r="V7" s="36">
        <f t="shared" si="6"/>
        <v>0</v>
      </c>
      <c r="W7" s="36">
        <f t="shared" si="7"/>
        <v>10000.0000000001</v>
      </c>
      <c r="X7" s="36">
        <f t="shared" si="8"/>
        <v>-2.8421709430404001E-11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</row>
    <row r="8" spans="1:36" x14ac:dyDescent="0.2">
      <c r="A8" t="s">
        <v>14</v>
      </c>
      <c r="B8" t="s">
        <v>88</v>
      </c>
      <c r="C8" t="s">
        <v>97</v>
      </c>
      <c r="D8" s="20">
        <f>Results_Raw!E9*S_REC_qf</f>
        <v>0</v>
      </c>
      <c r="E8" s="20">
        <f>Results_Raw!G9*S_REC_qf</f>
        <v>0</v>
      </c>
      <c r="F8" s="20">
        <f>Results_Raw!I9*S_REC_qf</f>
        <v>0</v>
      </c>
      <c r="I8" t="s">
        <v>14</v>
      </c>
      <c r="J8" t="s">
        <v>15</v>
      </c>
      <c r="K8" t="s">
        <v>20</v>
      </c>
      <c r="L8" s="20">
        <f>Results_Raw!P5*L_REC_qf</f>
        <v>1000000</v>
      </c>
      <c r="M8">
        <v>1</v>
      </c>
      <c r="P8" t="s">
        <v>119</v>
      </c>
      <c r="Q8" s="36">
        <f t="shared" si="1"/>
        <v>0</v>
      </c>
      <c r="R8" s="36">
        <f t="shared" si="2"/>
        <v>500000</v>
      </c>
      <c r="S8" s="36">
        <f t="shared" si="3"/>
        <v>50000</v>
      </c>
      <c r="T8" s="36">
        <f t="shared" si="4"/>
        <v>1000000</v>
      </c>
      <c r="U8" s="36">
        <f t="shared" si="5"/>
        <v>200000</v>
      </c>
      <c r="V8" s="36">
        <f t="shared" si="6"/>
        <v>0</v>
      </c>
      <c r="W8" s="36">
        <f t="shared" si="7"/>
        <v>10000.0000000001</v>
      </c>
      <c r="X8" s="36">
        <f t="shared" si="8"/>
        <v>-2.8421709430404001E-11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36">
        <v>0</v>
      </c>
      <c r="AJ8" s="36">
        <v>0</v>
      </c>
    </row>
    <row r="9" spans="1:36" x14ac:dyDescent="0.2">
      <c r="A9" t="s">
        <v>14</v>
      </c>
      <c r="B9" t="s">
        <v>88</v>
      </c>
      <c r="C9" t="s">
        <v>91</v>
      </c>
      <c r="D9" s="20">
        <f>Results_Raw!E3*L_DESAL_qf</f>
        <v>940000</v>
      </c>
      <c r="E9" s="20">
        <f>Results_Raw!G3*L_DESAL_qf</f>
        <v>0</v>
      </c>
      <c r="F9" s="20">
        <f>Results_Raw!I3*L_DESAL_qf</f>
        <v>0</v>
      </c>
      <c r="I9" t="s">
        <v>14</v>
      </c>
      <c r="J9" t="s">
        <v>15</v>
      </c>
      <c r="K9" t="s">
        <v>21</v>
      </c>
      <c r="L9" s="20">
        <f>Results_Raw!P6</f>
        <v>200000</v>
      </c>
      <c r="M9">
        <v>1</v>
      </c>
      <c r="P9" t="s">
        <v>120</v>
      </c>
      <c r="Q9" s="36">
        <f t="shared" si="1"/>
        <v>0</v>
      </c>
      <c r="R9" s="36">
        <f t="shared" si="2"/>
        <v>500000</v>
      </c>
      <c r="S9" s="36">
        <f t="shared" si="3"/>
        <v>50000</v>
      </c>
      <c r="T9" s="36">
        <f t="shared" si="4"/>
        <v>1000000</v>
      </c>
      <c r="U9" s="36">
        <f t="shared" si="5"/>
        <v>200000</v>
      </c>
      <c r="V9" s="36">
        <f t="shared" si="6"/>
        <v>0</v>
      </c>
      <c r="W9" s="36">
        <f t="shared" si="7"/>
        <v>10000.0000000001</v>
      </c>
      <c r="X9" s="36">
        <f t="shared" si="8"/>
        <v>-2.8421709430404001E-11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</row>
    <row r="10" spans="1:36" x14ac:dyDescent="0.2">
      <c r="A10" t="s">
        <v>14</v>
      </c>
      <c r="B10" t="s">
        <v>88</v>
      </c>
      <c r="C10" t="s">
        <v>95</v>
      </c>
      <c r="D10" s="20">
        <f>Results_Raw!E7*S_DESAL_qf</f>
        <v>0</v>
      </c>
      <c r="E10" s="20">
        <f>Results_Raw!G7*S_DESAL_qf</f>
        <v>0</v>
      </c>
      <c r="F10" s="20">
        <f>Results_Raw!I7*S_DESAL_qf</f>
        <v>0</v>
      </c>
      <c r="I10" t="s">
        <v>14</v>
      </c>
      <c r="J10" t="s">
        <v>15</v>
      </c>
      <c r="K10" t="s">
        <v>22</v>
      </c>
      <c r="L10" s="20">
        <f>Results_Raw!P7*S_DESAL_qf</f>
        <v>0</v>
      </c>
      <c r="M10">
        <v>1</v>
      </c>
      <c r="P10" t="s">
        <v>121</v>
      </c>
      <c r="Q10" s="36">
        <f t="shared" si="1"/>
        <v>0</v>
      </c>
      <c r="R10" s="36">
        <f t="shared" si="2"/>
        <v>500000</v>
      </c>
      <c r="S10" s="36">
        <f t="shared" si="3"/>
        <v>50000</v>
      </c>
      <c r="T10" s="36">
        <f t="shared" si="4"/>
        <v>1000000</v>
      </c>
      <c r="U10" s="36">
        <f t="shared" si="5"/>
        <v>200000</v>
      </c>
      <c r="V10" s="36">
        <f t="shared" si="6"/>
        <v>0</v>
      </c>
      <c r="W10" s="36">
        <f t="shared" si="7"/>
        <v>10000.0000000001</v>
      </c>
      <c r="X10" s="36">
        <f t="shared" si="8"/>
        <v>-2.8421709430404001E-11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</row>
    <row r="11" spans="1:36" x14ac:dyDescent="0.2">
      <c r="A11" t="s">
        <v>14</v>
      </c>
      <c r="B11" t="s">
        <v>88</v>
      </c>
      <c r="C11" t="s">
        <v>92</v>
      </c>
      <c r="D11" s="20">
        <f>Results_Raw!E4*L_GW_qf</f>
        <v>50000</v>
      </c>
      <c r="E11" s="20">
        <f>Results_Raw!G4*L_GW_qf</f>
        <v>50000</v>
      </c>
      <c r="F11" s="20">
        <f>Results_Raw!I4*L_GW_qf</f>
        <v>50000</v>
      </c>
      <c r="I11" t="s">
        <v>14</v>
      </c>
      <c r="J11" t="s">
        <v>15</v>
      </c>
      <c r="K11" t="s">
        <v>23</v>
      </c>
      <c r="L11" s="20">
        <f>Results_Raw!P8*S_GWR_qf</f>
        <v>10000.0000000001</v>
      </c>
      <c r="M11">
        <v>1</v>
      </c>
      <c r="P11" t="s">
        <v>122</v>
      </c>
      <c r="Q11" s="36">
        <f t="shared" si="1"/>
        <v>0</v>
      </c>
      <c r="R11" s="36">
        <f t="shared" si="2"/>
        <v>500000</v>
      </c>
      <c r="S11" s="36">
        <f t="shared" si="3"/>
        <v>50000</v>
      </c>
      <c r="T11" s="36">
        <f t="shared" si="4"/>
        <v>1000000</v>
      </c>
      <c r="U11" s="36">
        <f t="shared" si="5"/>
        <v>200000</v>
      </c>
      <c r="V11" s="36">
        <f t="shared" si="6"/>
        <v>0</v>
      </c>
      <c r="W11" s="36">
        <f t="shared" si="7"/>
        <v>10000.0000000001</v>
      </c>
      <c r="X11" s="36">
        <f t="shared" si="8"/>
        <v>-2.8421709430404001E-11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</row>
    <row r="12" spans="1:36" x14ac:dyDescent="0.2">
      <c r="A12" t="s">
        <v>14</v>
      </c>
      <c r="B12" t="s">
        <v>88</v>
      </c>
      <c r="C12" t="s">
        <v>96</v>
      </c>
      <c r="D12" s="20">
        <f>Results_Raw!E8*S_GWR_qf</f>
        <v>20000</v>
      </c>
      <c r="E12" s="20">
        <f>Results_Raw!G8*S_GWR_qf</f>
        <v>20000</v>
      </c>
      <c r="F12" s="20">
        <f>Results_Raw!I8*S_GWR_qf</f>
        <v>20000</v>
      </c>
      <c r="I12" t="s">
        <v>14</v>
      </c>
      <c r="J12" t="s">
        <v>15</v>
      </c>
      <c r="K12" t="s">
        <v>24</v>
      </c>
      <c r="L12" s="20">
        <f>Results_Raw!P9*S_REC_qf</f>
        <v>-2.8421709430404001E-11</v>
      </c>
      <c r="M12">
        <v>1</v>
      </c>
      <c r="O12" t="s">
        <v>10</v>
      </c>
      <c r="P12" t="s">
        <v>116</v>
      </c>
      <c r="Q12" s="36">
        <f t="shared" si="1"/>
        <v>0</v>
      </c>
      <c r="R12" s="36">
        <f t="shared" si="2"/>
        <v>500000</v>
      </c>
      <c r="S12" s="36">
        <f t="shared" si="3"/>
        <v>50000</v>
      </c>
      <c r="T12" s="36">
        <f t="shared" si="4"/>
        <v>1000000</v>
      </c>
      <c r="U12" s="36">
        <f t="shared" si="5"/>
        <v>200000</v>
      </c>
      <c r="V12" s="36">
        <f t="shared" si="6"/>
        <v>0</v>
      </c>
      <c r="W12" s="36">
        <f t="shared" si="7"/>
        <v>10000.0000000001</v>
      </c>
      <c r="X12" s="36">
        <f t="shared" si="8"/>
        <v>-2.8421709430404001E-11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</row>
    <row r="13" spans="1:36" x14ac:dyDescent="0.2">
      <c r="A13" t="s">
        <v>25</v>
      </c>
      <c r="B13" t="s">
        <v>98</v>
      </c>
      <c r="C13" t="s">
        <v>101</v>
      </c>
      <c r="D13" s="20">
        <v>0</v>
      </c>
      <c r="E13" s="20">
        <v>0</v>
      </c>
      <c r="F13" s="21">
        <v>0</v>
      </c>
      <c r="I13" t="s">
        <v>25</v>
      </c>
      <c r="J13" t="s">
        <v>26</v>
      </c>
      <c r="K13" t="s">
        <v>17</v>
      </c>
      <c r="L13" s="20">
        <f>Results_Raw!P10*L$5</f>
        <v>0</v>
      </c>
      <c r="M13">
        <v>0.33</v>
      </c>
      <c r="P13" t="s">
        <v>117</v>
      </c>
      <c r="Q13" s="36">
        <f t="shared" si="1"/>
        <v>0</v>
      </c>
      <c r="R13" s="36">
        <f t="shared" si="2"/>
        <v>500000</v>
      </c>
      <c r="S13" s="36">
        <f t="shared" si="3"/>
        <v>50000</v>
      </c>
      <c r="T13" s="36">
        <f t="shared" si="4"/>
        <v>1000000</v>
      </c>
      <c r="U13" s="36">
        <f t="shared" si="5"/>
        <v>200000</v>
      </c>
      <c r="V13" s="36">
        <f t="shared" si="6"/>
        <v>0</v>
      </c>
      <c r="W13" s="36">
        <f t="shared" si="7"/>
        <v>10000.0000000001</v>
      </c>
      <c r="X13" s="36">
        <f t="shared" si="8"/>
        <v>-2.8421709430404001E-11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</row>
    <row r="14" spans="1:36" x14ac:dyDescent="0.2">
      <c r="A14" t="s">
        <v>25</v>
      </c>
      <c r="B14" t="s">
        <v>98</v>
      </c>
      <c r="C14" t="s">
        <v>100</v>
      </c>
      <c r="D14" s="20">
        <v>0</v>
      </c>
      <c r="E14" s="20">
        <v>0</v>
      </c>
      <c r="F14" s="21">
        <v>0</v>
      </c>
      <c r="I14" t="s">
        <v>25</v>
      </c>
      <c r="K14" t="s">
        <v>18</v>
      </c>
      <c r="L14" s="20">
        <f>Results_Raw!P11*L$6</f>
        <v>0</v>
      </c>
      <c r="M14">
        <v>0.33</v>
      </c>
      <c r="P14" t="s">
        <v>118</v>
      </c>
      <c r="Q14" s="36">
        <f t="shared" si="1"/>
        <v>0</v>
      </c>
      <c r="R14" s="36">
        <f t="shared" si="2"/>
        <v>500000</v>
      </c>
      <c r="S14" s="36">
        <f t="shared" si="3"/>
        <v>50000</v>
      </c>
      <c r="T14" s="36">
        <f t="shared" si="4"/>
        <v>1000000</v>
      </c>
      <c r="U14" s="36">
        <f t="shared" si="5"/>
        <v>200000</v>
      </c>
      <c r="V14" s="36">
        <f t="shared" si="6"/>
        <v>0</v>
      </c>
      <c r="W14" s="36">
        <f t="shared" si="7"/>
        <v>10000.0000000001</v>
      </c>
      <c r="X14" s="36">
        <f t="shared" si="8"/>
        <v>-2.8421709430404001E-11</v>
      </c>
      <c r="Y14" s="36">
        <v>0</v>
      </c>
      <c r="Z14" s="36">
        <v>0</v>
      </c>
      <c r="AA14" s="36">
        <v>0</v>
      </c>
      <c r="AB14" s="36">
        <v>0</v>
      </c>
      <c r="AC14" s="36">
        <v>0</v>
      </c>
      <c r="AD14" s="36">
        <v>0</v>
      </c>
      <c r="AE14" s="36">
        <v>0</v>
      </c>
      <c r="AF14" s="36">
        <v>0</v>
      </c>
      <c r="AG14" s="36">
        <v>0</v>
      </c>
      <c r="AH14" s="36">
        <v>0</v>
      </c>
      <c r="AI14" s="36">
        <v>0</v>
      </c>
      <c r="AJ14" s="36">
        <v>0</v>
      </c>
    </row>
    <row r="15" spans="1:36" x14ac:dyDescent="0.2">
      <c r="A15" t="s">
        <v>25</v>
      </c>
      <c r="B15" t="s">
        <v>98</v>
      </c>
      <c r="C15" t="s">
        <v>102</v>
      </c>
      <c r="D15" s="20">
        <v>0</v>
      </c>
      <c r="E15" s="20">
        <v>0</v>
      </c>
      <c r="F15" s="21">
        <v>0</v>
      </c>
      <c r="I15" t="s">
        <v>25</v>
      </c>
      <c r="K15" t="s">
        <v>19</v>
      </c>
      <c r="L15" s="20">
        <f>Results_Raw!P12*L$7</f>
        <v>0</v>
      </c>
      <c r="M15">
        <v>0.33</v>
      </c>
      <c r="P15" t="s">
        <v>119</v>
      </c>
      <c r="Q15" s="36">
        <f t="shared" si="1"/>
        <v>0</v>
      </c>
      <c r="R15" s="36">
        <f t="shared" si="2"/>
        <v>500000</v>
      </c>
      <c r="S15" s="36">
        <f t="shared" si="3"/>
        <v>50000</v>
      </c>
      <c r="T15" s="36">
        <f t="shared" si="4"/>
        <v>1000000</v>
      </c>
      <c r="U15" s="36">
        <f t="shared" si="5"/>
        <v>200000</v>
      </c>
      <c r="V15" s="36">
        <f t="shared" si="6"/>
        <v>0</v>
      </c>
      <c r="W15" s="36">
        <f t="shared" si="7"/>
        <v>10000.0000000001</v>
      </c>
      <c r="X15" s="36">
        <f t="shared" si="8"/>
        <v>-2.8421709430404001E-11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  <c r="AI15" s="36">
        <v>0</v>
      </c>
      <c r="AJ15" s="36">
        <v>0</v>
      </c>
    </row>
    <row r="16" spans="1:36" x14ac:dyDescent="0.2">
      <c r="A16" t="s">
        <v>25</v>
      </c>
      <c r="B16" s="9" t="s">
        <v>116</v>
      </c>
      <c r="C16" t="s">
        <v>101</v>
      </c>
      <c r="D16" s="20">
        <f>Results_Raw!E14</f>
        <v>0</v>
      </c>
      <c r="E16" s="20">
        <f>Results_Raw!G14</f>
        <v>0</v>
      </c>
      <c r="F16" s="20">
        <f>Results_Raw!I14</f>
        <v>0</v>
      </c>
      <c r="I16" t="s">
        <v>25</v>
      </c>
      <c r="K16" t="s">
        <v>20</v>
      </c>
      <c r="L16" s="20">
        <f>Results_Raw!P13*L$8</f>
        <v>0</v>
      </c>
      <c r="M16">
        <v>0.33</v>
      </c>
      <c r="P16" t="s">
        <v>120</v>
      </c>
      <c r="Q16" s="36">
        <f t="shared" si="1"/>
        <v>0</v>
      </c>
      <c r="R16" s="36">
        <f t="shared" si="2"/>
        <v>500000</v>
      </c>
      <c r="S16" s="36">
        <f t="shared" si="3"/>
        <v>50000</v>
      </c>
      <c r="T16" s="36">
        <f t="shared" si="4"/>
        <v>1000000</v>
      </c>
      <c r="U16" s="36">
        <f t="shared" si="5"/>
        <v>200000</v>
      </c>
      <c r="V16" s="36">
        <f t="shared" si="6"/>
        <v>0</v>
      </c>
      <c r="W16" s="36">
        <f t="shared" si="7"/>
        <v>10000.0000000001</v>
      </c>
      <c r="X16" s="36">
        <f t="shared" si="8"/>
        <v>-2.8421709430404001E-11</v>
      </c>
      <c r="Y16" s="36">
        <v>0</v>
      </c>
      <c r="Z16" s="36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36">
        <v>0</v>
      </c>
      <c r="AJ16" s="36">
        <v>0</v>
      </c>
    </row>
    <row r="17" spans="1:36" x14ac:dyDescent="0.2">
      <c r="A17" t="s">
        <v>25</v>
      </c>
      <c r="B17" s="9"/>
      <c r="C17" t="s">
        <v>100</v>
      </c>
      <c r="D17" s="20">
        <f>Results_Raw!E13</f>
        <v>0</v>
      </c>
      <c r="E17" s="20">
        <f>Results_Raw!G13</f>
        <v>0</v>
      </c>
      <c r="F17" s="20">
        <f>Results_Raw!I13</f>
        <v>0</v>
      </c>
      <c r="I17" t="s">
        <v>25</v>
      </c>
      <c r="K17" t="s">
        <v>21</v>
      </c>
      <c r="L17" s="20">
        <f>Results_Raw!P14*L$9</f>
        <v>0</v>
      </c>
      <c r="M17">
        <v>0.33</v>
      </c>
      <c r="P17" t="s">
        <v>121</v>
      </c>
      <c r="Q17" s="36">
        <f t="shared" si="1"/>
        <v>0</v>
      </c>
      <c r="R17" s="36">
        <f t="shared" si="2"/>
        <v>500000</v>
      </c>
      <c r="S17" s="36">
        <f t="shared" si="3"/>
        <v>50000</v>
      </c>
      <c r="T17" s="36">
        <f t="shared" si="4"/>
        <v>1000000</v>
      </c>
      <c r="U17" s="36">
        <f t="shared" si="5"/>
        <v>200000</v>
      </c>
      <c r="V17" s="36">
        <f t="shared" si="6"/>
        <v>0</v>
      </c>
      <c r="W17" s="36">
        <f t="shared" si="7"/>
        <v>10000.0000000001</v>
      </c>
      <c r="X17" s="36">
        <f t="shared" si="8"/>
        <v>-2.8421709430404001E-11</v>
      </c>
      <c r="Y17" s="36">
        <v>0</v>
      </c>
      <c r="Z17" s="36">
        <v>0</v>
      </c>
      <c r="AA17" s="36">
        <v>0</v>
      </c>
      <c r="AB17" s="36">
        <v>0</v>
      </c>
      <c r="AC17" s="36">
        <v>0</v>
      </c>
      <c r="AD17" s="36">
        <v>0</v>
      </c>
      <c r="AE17" s="36">
        <v>0</v>
      </c>
      <c r="AF17" s="36">
        <v>0</v>
      </c>
      <c r="AG17" s="36">
        <v>0</v>
      </c>
      <c r="AH17" s="36">
        <v>0</v>
      </c>
      <c r="AI17" s="36">
        <v>0</v>
      </c>
      <c r="AJ17" s="36">
        <v>0</v>
      </c>
    </row>
    <row r="18" spans="1:36" x14ac:dyDescent="0.2">
      <c r="A18" t="s">
        <v>25</v>
      </c>
      <c r="B18" s="9"/>
      <c r="C18" t="s">
        <v>102</v>
      </c>
      <c r="D18" s="20">
        <f>Results_Raw!E15</f>
        <v>0</v>
      </c>
      <c r="E18" s="20">
        <f>Results_Raw!G15</f>
        <v>0</v>
      </c>
      <c r="F18" s="20">
        <f>Results_Raw!I15</f>
        <v>0</v>
      </c>
      <c r="I18" t="s">
        <v>25</v>
      </c>
      <c r="K18" t="s">
        <v>22</v>
      </c>
      <c r="L18" s="20">
        <f>Results_Raw!P15*L$10</f>
        <v>0</v>
      </c>
      <c r="M18">
        <v>0.33</v>
      </c>
      <c r="P18" t="s">
        <v>122</v>
      </c>
      <c r="Q18" s="36">
        <f t="shared" si="1"/>
        <v>0</v>
      </c>
      <c r="R18" s="36">
        <f t="shared" si="2"/>
        <v>500000</v>
      </c>
      <c r="S18" s="36">
        <f t="shared" si="3"/>
        <v>50000</v>
      </c>
      <c r="T18" s="36">
        <f t="shared" si="4"/>
        <v>1000000</v>
      </c>
      <c r="U18" s="36">
        <f t="shared" si="5"/>
        <v>200000</v>
      </c>
      <c r="V18" s="36">
        <f t="shared" si="6"/>
        <v>0</v>
      </c>
      <c r="W18" s="36">
        <f t="shared" si="7"/>
        <v>10000.0000000001</v>
      </c>
      <c r="X18" s="36">
        <f t="shared" si="8"/>
        <v>-2.8421709430404001E-11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6">
        <v>0</v>
      </c>
      <c r="AE18" s="36">
        <v>0</v>
      </c>
      <c r="AF18" s="36">
        <v>0</v>
      </c>
      <c r="AG18" s="36">
        <v>0</v>
      </c>
      <c r="AH18" s="36">
        <v>0</v>
      </c>
      <c r="AI18" s="36">
        <v>0</v>
      </c>
      <c r="AJ18" s="36">
        <v>0</v>
      </c>
    </row>
    <row r="19" spans="1:36" x14ac:dyDescent="0.2">
      <c r="A19" t="s">
        <v>25</v>
      </c>
      <c r="B19" s="9" t="s">
        <v>117</v>
      </c>
      <c r="C19" t="s">
        <v>101</v>
      </c>
      <c r="D19" s="20">
        <f>Results_Raw!E17</f>
        <v>0</v>
      </c>
      <c r="E19" s="20">
        <f>Results_Raw!G17</f>
        <v>0</v>
      </c>
      <c r="F19" s="20">
        <f>Results_Raw!I17</f>
        <v>0</v>
      </c>
      <c r="I19" t="s">
        <v>25</v>
      </c>
      <c r="K19" t="s">
        <v>23</v>
      </c>
      <c r="L19" s="20">
        <f>Results_Raw!P16*L$11</f>
        <v>0</v>
      </c>
      <c r="M19">
        <v>0.33</v>
      </c>
      <c r="O19" t="s">
        <v>11</v>
      </c>
      <c r="P19" t="s">
        <v>116</v>
      </c>
      <c r="Q19" s="36">
        <f t="shared" si="1"/>
        <v>0</v>
      </c>
      <c r="R19" s="36">
        <f t="shared" si="2"/>
        <v>500000</v>
      </c>
      <c r="S19" s="36">
        <f t="shared" si="3"/>
        <v>50000</v>
      </c>
      <c r="T19" s="36">
        <f t="shared" si="4"/>
        <v>1000000</v>
      </c>
      <c r="U19" s="36">
        <f t="shared" si="5"/>
        <v>200000</v>
      </c>
      <c r="V19" s="36">
        <f t="shared" si="6"/>
        <v>0</v>
      </c>
      <c r="W19" s="36">
        <f t="shared" si="7"/>
        <v>10000.0000000001</v>
      </c>
      <c r="X19" s="36">
        <f t="shared" si="8"/>
        <v>-2.8421709430404001E-11</v>
      </c>
      <c r="Y19" s="36">
        <f>$L$29</f>
        <v>0</v>
      </c>
      <c r="Z19" s="36">
        <f>$L$30</f>
        <v>150000</v>
      </c>
      <c r="AA19" s="36">
        <f>$L$31</f>
        <v>0</v>
      </c>
      <c r="AB19" s="36">
        <f>$L$32</f>
        <v>299999.99999999901</v>
      </c>
      <c r="AC19" s="36">
        <f>$L$33</f>
        <v>0</v>
      </c>
      <c r="AD19" s="36">
        <f>$L$34</f>
        <v>0</v>
      </c>
      <c r="AE19" s="36">
        <f>$L$35</f>
        <v>0</v>
      </c>
      <c r="AF19" s="36">
        <f>ROUND($L$36,0)</f>
        <v>0</v>
      </c>
      <c r="AG19" s="36">
        <v>0</v>
      </c>
      <c r="AH19" s="36">
        <v>0</v>
      </c>
      <c r="AI19" s="36">
        <v>0</v>
      </c>
      <c r="AJ19" s="36">
        <v>0</v>
      </c>
    </row>
    <row r="20" spans="1:36" x14ac:dyDescent="0.2">
      <c r="A20" t="s">
        <v>25</v>
      </c>
      <c r="B20" s="9"/>
      <c r="C20" t="s">
        <v>100</v>
      </c>
      <c r="D20" s="20">
        <f>Results_Raw!E16</f>
        <v>0</v>
      </c>
      <c r="E20" s="20">
        <f>Results_Raw!G16</f>
        <v>0</v>
      </c>
      <c r="F20" s="20">
        <f>Results_Raw!I16</f>
        <v>50000</v>
      </c>
      <c r="I20" t="s">
        <v>25</v>
      </c>
      <c r="K20" t="s">
        <v>24</v>
      </c>
      <c r="L20" s="20">
        <f>Results_Raw!P17*L$12</f>
        <v>0</v>
      </c>
      <c r="M20">
        <v>0.33</v>
      </c>
      <c r="P20" t="s">
        <v>117</v>
      </c>
      <c r="Q20" s="36">
        <f t="shared" si="1"/>
        <v>0</v>
      </c>
      <c r="R20" s="36">
        <f t="shared" si="2"/>
        <v>500000</v>
      </c>
      <c r="S20" s="36">
        <f t="shared" si="3"/>
        <v>50000</v>
      </c>
      <c r="T20" s="36">
        <f t="shared" si="4"/>
        <v>1000000</v>
      </c>
      <c r="U20" s="36">
        <f t="shared" si="5"/>
        <v>200000</v>
      </c>
      <c r="V20" s="36">
        <f t="shared" si="6"/>
        <v>0</v>
      </c>
      <c r="W20" s="36">
        <f t="shared" si="7"/>
        <v>10000.0000000001</v>
      </c>
      <c r="X20" s="36">
        <f t="shared" si="8"/>
        <v>-2.8421709430404001E-11</v>
      </c>
      <c r="Y20" s="36">
        <f t="shared" ref="Y20:Y25" si="9">$L$29</f>
        <v>0</v>
      </c>
      <c r="Z20" s="36">
        <f t="shared" ref="Z20:Z25" si="10">$L$30</f>
        <v>150000</v>
      </c>
      <c r="AA20" s="36">
        <f t="shared" ref="AA20:AA25" si="11">$L$31</f>
        <v>0</v>
      </c>
      <c r="AB20" s="36">
        <f t="shared" ref="AB20:AB25" si="12">$L$32</f>
        <v>299999.99999999901</v>
      </c>
      <c r="AC20" s="36">
        <f t="shared" ref="AC20:AC25" si="13">$L$33</f>
        <v>0</v>
      </c>
      <c r="AD20" s="36">
        <f t="shared" ref="AD20:AD25" si="14">$L$34</f>
        <v>0</v>
      </c>
      <c r="AE20" s="36">
        <f t="shared" ref="AE20:AE25" si="15">$L$35</f>
        <v>0</v>
      </c>
      <c r="AF20" s="36">
        <f t="shared" ref="AF20:AF25" si="16">ROUND($L$36,0)</f>
        <v>0</v>
      </c>
      <c r="AG20" s="36">
        <v>0</v>
      </c>
      <c r="AH20" s="36">
        <v>0</v>
      </c>
      <c r="AI20" s="36">
        <v>0</v>
      </c>
      <c r="AJ20" s="36">
        <v>0</v>
      </c>
    </row>
    <row r="21" spans="1:36" x14ac:dyDescent="0.2">
      <c r="A21" t="s">
        <v>25</v>
      </c>
      <c r="B21" s="9"/>
      <c r="C21" t="s">
        <v>102</v>
      </c>
      <c r="D21" s="20">
        <f>Results_Raw!E18</f>
        <v>0</v>
      </c>
      <c r="E21" s="20">
        <f>Results_Raw!G18</f>
        <v>0</v>
      </c>
      <c r="F21" s="20">
        <f>Results_Raw!I18</f>
        <v>0</v>
      </c>
      <c r="I21" t="s">
        <v>25</v>
      </c>
      <c r="J21" t="s">
        <v>27</v>
      </c>
      <c r="K21" t="s">
        <v>17</v>
      </c>
      <c r="L21" s="20">
        <f>Results_Raw!P18*L$5</f>
        <v>0</v>
      </c>
      <c r="M21">
        <v>0.34</v>
      </c>
      <c r="P21" t="s">
        <v>118</v>
      </c>
      <c r="Q21" s="36">
        <f t="shared" si="1"/>
        <v>0</v>
      </c>
      <c r="R21" s="36">
        <f t="shared" si="2"/>
        <v>500000</v>
      </c>
      <c r="S21" s="36">
        <f t="shared" si="3"/>
        <v>50000</v>
      </c>
      <c r="T21" s="36">
        <f t="shared" si="4"/>
        <v>1000000</v>
      </c>
      <c r="U21" s="36">
        <f t="shared" si="5"/>
        <v>200000</v>
      </c>
      <c r="V21" s="36">
        <f t="shared" si="6"/>
        <v>0</v>
      </c>
      <c r="W21" s="36">
        <f t="shared" si="7"/>
        <v>10000.0000000001</v>
      </c>
      <c r="X21" s="36">
        <f t="shared" si="8"/>
        <v>-2.8421709430404001E-11</v>
      </c>
      <c r="Y21" s="36">
        <f t="shared" si="9"/>
        <v>0</v>
      </c>
      <c r="Z21" s="36">
        <f t="shared" si="10"/>
        <v>150000</v>
      </c>
      <c r="AA21" s="36">
        <f t="shared" si="11"/>
        <v>0</v>
      </c>
      <c r="AB21" s="36">
        <f t="shared" si="12"/>
        <v>299999.99999999901</v>
      </c>
      <c r="AC21" s="36">
        <f t="shared" si="13"/>
        <v>0</v>
      </c>
      <c r="AD21" s="36">
        <f t="shared" si="14"/>
        <v>0</v>
      </c>
      <c r="AE21" s="36">
        <f t="shared" si="15"/>
        <v>0</v>
      </c>
      <c r="AF21" s="36">
        <f t="shared" si="16"/>
        <v>0</v>
      </c>
      <c r="AG21" s="36">
        <v>0</v>
      </c>
      <c r="AH21" s="36">
        <v>0</v>
      </c>
      <c r="AI21" s="36">
        <v>0</v>
      </c>
      <c r="AJ21" s="36">
        <v>0</v>
      </c>
    </row>
    <row r="22" spans="1:36" x14ac:dyDescent="0.2">
      <c r="A22" t="s">
        <v>25</v>
      </c>
      <c r="B22" s="9" t="s">
        <v>118</v>
      </c>
      <c r="C22" t="s">
        <v>101</v>
      </c>
      <c r="D22" s="20">
        <f>Results_Raw!E20</f>
        <v>0</v>
      </c>
      <c r="E22" s="20">
        <f>Results_Raw!G20</f>
        <v>0</v>
      </c>
      <c r="F22" s="20">
        <f>Results_Raw!I20</f>
        <v>180000</v>
      </c>
      <c r="I22" t="s">
        <v>25</v>
      </c>
      <c r="K22" t="s">
        <v>18</v>
      </c>
      <c r="L22" s="20">
        <f>Results_Raw!P19*L$6</f>
        <v>0</v>
      </c>
      <c r="M22">
        <v>0.34</v>
      </c>
      <c r="P22" t="s">
        <v>119</v>
      </c>
      <c r="Q22" s="36">
        <f t="shared" si="1"/>
        <v>0</v>
      </c>
      <c r="R22" s="36">
        <f t="shared" si="2"/>
        <v>500000</v>
      </c>
      <c r="S22" s="36">
        <f t="shared" si="3"/>
        <v>50000</v>
      </c>
      <c r="T22" s="36">
        <f t="shared" si="4"/>
        <v>1000000</v>
      </c>
      <c r="U22" s="36">
        <f t="shared" si="5"/>
        <v>200000</v>
      </c>
      <c r="V22" s="36">
        <f t="shared" si="6"/>
        <v>0</v>
      </c>
      <c r="W22" s="36">
        <f t="shared" si="7"/>
        <v>10000.0000000001</v>
      </c>
      <c r="X22" s="36">
        <f t="shared" si="8"/>
        <v>-2.8421709430404001E-11</v>
      </c>
      <c r="Y22" s="36">
        <f t="shared" si="9"/>
        <v>0</v>
      </c>
      <c r="Z22" s="36">
        <f t="shared" si="10"/>
        <v>150000</v>
      </c>
      <c r="AA22" s="36">
        <f t="shared" si="11"/>
        <v>0</v>
      </c>
      <c r="AB22" s="36">
        <f t="shared" si="12"/>
        <v>299999.99999999901</v>
      </c>
      <c r="AC22" s="36">
        <f t="shared" si="13"/>
        <v>0</v>
      </c>
      <c r="AD22" s="36">
        <f t="shared" si="14"/>
        <v>0</v>
      </c>
      <c r="AE22" s="36">
        <f t="shared" si="15"/>
        <v>0</v>
      </c>
      <c r="AF22" s="36">
        <f t="shared" si="16"/>
        <v>0</v>
      </c>
      <c r="AG22" s="36">
        <v>0</v>
      </c>
      <c r="AH22" s="36">
        <v>0</v>
      </c>
      <c r="AI22" s="36">
        <v>0</v>
      </c>
      <c r="AJ22" s="36">
        <v>0</v>
      </c>
    </row>
    <row r="23" spans="1:36" x14ac:dyDescent="0.2">
      <c r="A23" t="s">
        <v>25</v>
      </c>
      <c r="B23" s="9"/>
      <c r="C23" t="s">
        <v>100</v>
      </c>
      <c r="D23" s="20">
        <f>Results_Raw!E19</f>
        <v>0</v>
      </c>
      <c r="E23" s="20">
        <f>Results_Raw!G19</f>
        <v>60000</v>
      </c>
      <c r="F23" s="20">
        <f>Results_Raw!I19</f>
        <v>200000</v>
      </c>
      <c r="I23" t="s">
        <v>25</v>
      </c>
      <c r="K23" t="s">
        <v>19</v>
      </c>
      <c r="L23" s="20">
        <f>Results_Raw!P20*L$7</f>
        <v>0</v>
      </c>
      <c r="M23">
        <v>0.34</v>
      </c>
      <c r="P23" t="s">
        <v>120</v>
      </c>
      <c r="Q23" s="36">
        <f t="shared" si="1"/>
        <v>0</v>
      </c>
      <c r="R23" s="36">
        <f t="shared" si="2"/>
        <v>500000</v>
      </c>
      <c r="S23" s="36">
        <f t="shared" si="3"/>
        <v>50000</v>
      </c>
      <c r="T23" s="36">
        <f t="shared" si="4"/>
        <v>1000000</v>
      </c>
      <c r="U23" s="36">
        <f t="shared" si="5"/>
        <v>200000</v>
      </c>
      <c r="V23" s="36">
        <f t="shared" si="6"/>
        <v>0</v>
      </c>
      <c r="W23" s="36">
        <f t="shared" si="7"/>
        <v>10000.0000000001</v>
      </c>
      <c r="X23" s="36">
        <f t="shared" si="8"/>
        <v>-2.8421709430404001E-11</v>
      </c>
      <c r="Y23" s="36">
        <f t="shared" si="9"/>
        <v>0</v>
      </c>
      <c r="Z23" s="36">
        <f t="shared" si="10"/>
        <v>150000</v>
      </c>
      <c r="AA23" s="36">
        <f t="shared" si="11"/>
        <v>0</v>
      </c>
      <c r="AB23" s="36">
        <f t="shared" si="12"/>
        <v>299999.99999999901</v>
      </c>
      <c r="AC23" s="36">
        <f t="shared" si="13"/>
        <v>0</v>
      </c>
      <c r="AD23" s="36">
        <f t="shared" si="14"/>
        <v>0</v>
      </c>
      <c r="AE23" s="36">
        <f t="shared" si="15"/>
        <v>0</v>
      </c>
      <c r="AF23" s="36">
        <f t="shared" si="16"/>
        <v>0</v>
      </c>
      <c r="AG23" s="36">
        <v>0</v>
      </c>
      <c r="AH23" s="36">
        <v>0</v>
      </c>
      <c r="AI23" s="36">
        <v>0</v>
      </c>
      <c r="AJ23" s="36">
        <v>0</v>
      </c>
    </row>
    <row r="24" spans="1:36" x14ac:dyDescent="0.2">
      <c r="A24" t="s">
        <v>25</v>
      </c>
      <c r="B24" s="9"/>
      <c r="C24" t="s">
        <v>102</v>
      </c>
      <c r="D24" s="20">
        <f>Results_Raw!E21</f>
        <v>0</v>
      </c>
      <c r="E24" s="20">
        <f>Results_Raw!G21</f>
        <v>0</v>
      </c>
      <c r="F24" s="20">
        <f>Results_Raw!I21</f>
        <v>50000</v>
      </c>
      <c r="I24" t="s">
        <v>25</v>
      </c>
      <c r="K24" t="s">
        <v>20</v>
      </c>
      <c r="L24" s="20">
        <f>Results_Raw!P21*L$8</f>
        <v>0</v>
      </c>
      <c r="M24">
        <v>0.34</v>
      </c>
      <c r="P24" t="s">
        <v>121</v>
      </c>
      <c r="Q24" s="36">
        <f t="shared" si="1"/>
        <v>0</v>
      </c>
      <c r="R24" s="36">
        <f t="shared" si="2"/>
        <v>500000</v>
      </c>
      <c r="S24" s="36">
        <f t="shared" si="3"/>
        <v>50000</v>
      </c>
      <c r="T24" s="36">
        <f t="shared" si="4"/>
        <v>1000000</v>
      </c>
      <c r="U24" s="36">
        <f t="shared" si="5"/>
        <v>200000</v>
      </c>
      <c r="V24" s="36">
        <f t="shared" si="6"/>
        <v>0</v>
      </c>
      <c r="W24" s="36">
        <f t="shared" si="7"/>
        <v>10000.0000000001</v>
      </c>
      <c r="X24" s="36">
        <f t="shared" si="8"/>
        <v>-2.8421709430404001E-11</v>
      </c>
      <c r="Y24" s="36">
        <f t="shared" si="9"/>
        <v>0</v>
      </c>
      <c r="Z24" s="36">
        <f t="shared" si="10"/>
        <v>150000</v>
      </c>
      <c r="AA24" s="36">
        <f t="shared" si="11"/>
        <v>0</v>
      </c>
      <c r="AB24" s="36">
        <f t="shared" si="12"/>
        <v>299999.99999999901</v>
      </c>
      <c r="AC24" s="36">
        <f t="shared" si="13"/>
        <v>0</v>
      </c>
      <c r="AD24" s="36">
        <f t="shared" si="14"/>
        <v>0</v>
      </c>
      <c r="AE24" s="36">
        <f t="shared" si="15"/>
        <v>0</v>
      </c>
      <c r="AF24" s="36">
        <f t="shared" si="16"/>
        <v>0</v>
      </c>
      <c r="AG24" s="36">
        <f>L97</f>
        <v>50000</v>
      </c>
      <c r="AH24" s="36">
        <v>0</v>
      </c>
      <c r="AI24" s="36">
        <v>0</v>
      </c>
      <c r="AJ24" s="36">
        <v>0</v>
      </c>
    </row>
    <row r="25" spans="1:36" x14ac:dyDescent="0.2">
      <c r="A25" t="s">
        <v>25</v>
      </c>
      <c r="B25" s="9" t="s">
        <v>119</v>
      </c>
      <c r="C25" t="s">
        <v>101</v>
      </c>
      <c r="D25" s="20">
        <f>Results_Raw!E23</f>
        <v>0</v>
      </c>
      <c r="E25" s="20">
        <f>Results_Raw!G23</f>
        <v>180000</v>
      </c>
      <c r="F25" s="20">
        <f>Results_Raw!I23</f>
        <v>0</v>
      </c>
      <c r="I25" t="s">
        <v>25</v>
      </c>
      <c r="K25" t="s">
        <v>21</v>
      </c>
      <c r="L25" s="20">
        <f>Results_Raw!P22*L$9</f>
        <v>0</v>
      </c>
      <c r="M25">
        <v>0.34</v>
      </c>
      <c r="P25" t="s">
        <v>122</v>
      </c>
      <c r="Q25" s="36">
        <f t="shared" si="1"/>
        <v>0</v>
      </c>
      <c r="R25" s="36">
        <f t="shared" si="2"/>
        <v>500000</v>
      </c>
      <c r="S25" s="36">
        <f t="shared" si="3"/>
        <v>50000</v>
      </c>
      <c r="T25" s="36">
        <f t="shared" si="4"/>
        <v>1000000</v>
      </c>
      <c r="U25" s="36">
        <f t="shared" si="5"/>
        <v>200000</v>
      </c>
      <c r="V25" s="36">
        <f t="shared" si="6"/>
        <v>0</v>
      </c>
      <c r="W25" s="36">
        <f t="shared" si="7"/>
        <v>10000.0000000001</v>
      </c>
      <c r="X25" s="36">
        <f t="shared" si="8"/>
        <v>-2.8421709430404001E-11</v>
      </c>
      <c r="Y25" s="36">
        <f t="shared" si="9"/>
        <v>0</v>
      </c>
      <c r="Z25" s="36">
        <f t="shared" si="10"/>
        <v>150000</v>
      </c>
      <c r="AA25" s="36">
        <f t="shared" si="11"/>
        <v>0</v>
      </c>
      <c r="AB25" s="36">
        <f t="shared" si="12"/>
        <v>299999.99999999901</v>
      </c>
      <c r="AC25" s="36">
        <f t="shared" si="13"/>
        <v>0</v>
      </c>
      <c r="AD25" s="36">
        <f t="shared" si="14"/>
        <v>0</v>
      </c>
      <c r="AE25" s="36">
        <f t="shared" si="15"/>
        <v>0</v>
      </c>
      <c r="AF25" s="36">
        <f t="shared" si="16"/>
        <v>0</v>
      </c>
      <c r="AG25" s="36">
        <f>L101</f>
        <v>200000</v>
      </c>
      <c r="AH25" s="36">
        <v>0</v>
      </c>
      <c r="AI25" s="36">
        <f>L103</f>
        <v>180000</v>
      </c>
      <c r="AJ25" s="36">
        <f>L104</f>
        <v>50000</v>
      </c>
    </row>
    <row r="26" spans="1:36" x14ac:dyDescent="0.2">
      <c r="A26" t="s">
        <v>25</v>
      </c>
      <c r="B26" s="9"/>
      <c r="C26" t="s">
        <v>100</v>
      </c>
      <c r="D26" s="20">
        <f>Results_Raw!E22</f>
        <v>0</v>
      </c>
      <c r="E26" s="20">
        <f>Results_Raw!G22</f>
        <v>200000</v>
      </c>
      <c r="F26" s="20">
        <f>Results_Raw!I22</f>
        <v>0</v>
      </c>
      <c r="I26" t="s">
        <v>25</v>
      </c>
      <c r="K26" t="s">
        <v>22</v>
      </c>
      <c r="L26" s="20">
        <f>Results_Raw!P23*L$10</f>
        <v>0</v>
      </c>
      <c r="M26">
        <v>0.34</v>
      </c>
      <c r="Y26" s="20"/>
    </row>
    <row r="27" spans="1:36" x14ac:dyDescent="0.2">
      <c r="A27" t="s">
        <v>25</v>
      </c>
      <c r="B27" s="9"/>
      <c r="C27" t="s">
        <v>102</v>
      </c>
      <c r="D27" s="20">
        <f>Results_Raw!E24</f>
        <v>0</v>
      </c>
      <c r="E27" s="20">
        <f>Results_Raw!G24</f>
        <v>50000</v>
      </c>
      <c r="F27" s="20">
        <f>Results_Raw!I24</f>
        <v>0</v>
      </c>
      <c r="I27" t="s">
        <v>25</v>
      </c>
      <c r="K27" t="s">
        <v>23</v>
      </c>
      <c r="L27" s="20">
        <f>Results_Raw!P24*L$11</f>
        <v>0</v>
      </c>
      <c r="M27">
        <v>0.34</v>
      </c>
    </row>
    <row r="28" spans="1:36" x14ac:dyDescent="0.2">
      <c r="A28" t="s">
        <v>25</v>
      </c>
      <c r="B28" s="9" t="s">
        <v>120</v>
      </c>
      <c r="C28" t="s">
        <v>101</v>
      </c>
      <c r="D28" s="20">
        <f>Results_Raw!E26</f>
        <v>0</v>
      </c>
      <c r="E28" s="20">
        <f>Results_Raw!G26</f>
        <v>0</v>
      </c>
      <c r="F28" s="20">
        <f>Results_Raw!I26</f>
        <v>0</v>
      </c>
      <c r="I28" t="s">
        <v>25</v>
      </c>
      <c r="K28" t="s">
        <v>24</v>
      </c>
      <c r="L28" s="20">
        <f>Results_Raw!P25*L$12</f>
        <v>0</v>
      </c>
      <c r="M28">
        <v>0.34</v>
      </c>
    </row>
    <row r="29" spans="1:36" x14ac:dyDescent="0.2">
      <c r="A29" t="s">
        <v>25</v>
      </c>
      <c r="B29" s="9"/>
      <c r="C29" t="s">
        <v>100</v>
      </c>
      <c r="D29" s="20">
        <f>Results_Raw!E25</f>
        <v>0</v>
      </c>
      <c r="E29" s="20">
        <f>Results_Raw!G25</f>
        <v>0</v>
      </c>
      <c r="F29" s="20">
        <f>Results_Raw!I25</f>
        <v>0</v>
      </c>
      <c r="I29" t="s">
        <v>25</v>
      </c>
      <c r="J29" t="s">
        <v>28</v>
      </c>
      <c r="K29" t="s">
        <v>17</v>
      </c>
      <c r="L29" s="20">
        <f>Results_Raw!P26*L$5</f>
        <v>0</v>
      </c>
      <c r="M29">
        <v>0.33</v>
      </c>
    </row>
    <row r="30" spans="1:36" x14ac:dyDescent="0.2">
      <c r="A30" t="s">
        <v>25</v>
      </c>
      <c r="B30" s="9"/>
      <c r="C30" t="s">
        <v>102</v>
      </c>
      <c r="D30" s="20">
        <f>Results_Raw!E27</f>
        <v>0</v>
      </c>
      <c r="E30" s="20">
        <f>Results_Raw!G27</f>
        <v>0</v>
      </c>
      <c r="F30" s="20">
        <f>Results_Raw!I27</f>
        <v>0</v>
      </c>
      <c r="I30" t="s">
        <v>25</v>
      </c>
      <c r="K30" t="s">
        <v>18</v>
      </c>
      <c r="L30" s="20">
        <f>Results_Raw!P27*L$6</f>
        <v>150000</v>
      </c>
      <c r="M30">
        <v>0.33</v>
      </c>
    </row>
    <row r="31" spans="1:36" x14ac:dyDescent="0.2">
      <c r="A31" t="s">
        <v>25</v>
      </c>
      <c r="B31" s="9" t="s">
        <v>121</v>
      </c>
      <c r="C31" t="s">
        <v>101</v>
      </c>
      <c r="D31" s="20">
        <f>Results_Raw!E29</f>
        <v>0</v>
      </c>
      <c r="E31" s="20">
        <f>Results_Raw!G29</f>
        <v>0</v>
      </c>
      <c r="F31" s="20">
        <f>Results_Raw!I29</f>
        <v>0</v>
      </c>
      <c r="I31" t="s">
        <v>25</v>
      </c>
      <c r="K31" t="s">
        <v>19</v>
      </c>
      <c r="L31" s="20">
        <f>Results_Raw!P28*L$7</f>
        <v>0</v>
      </c>
      <c r="M31">
        <v>0.33</v>
      </c>
    </row>
    <row r="32" spans="1:36" x14ac:dyDescent="0.2">
      <c r="A32" t="s">
        <v>25</v>
      </c>
      <c r="B32" s="9"/>
      <c r="C32" t="s">
        <v>100</v>
      </c>
      <c r="D32" s="20">
        <f>Results_Raw!E28</f>
        <v>50000</v>
      </c>
      <c r="E32" s="20">
        <f>Results_Raw!G28</f>
        <v>0</v>
      </c>
      <c r="F32" s="20">
        <f>Results_Raw!I28</f>
        <v>0</v>
      </c>
      <c r="I32" t="s">
        <v>25</v>
      </c>
      <c r="K32" t="s">
        <v>20</v>
      </c>
      <c r="L32" s="20">
        <f>Results_Raw!P29*L$8</f>
        <v>299999.99999999901</v>
      </c>
      <c r="M32">
        <v>0.33</v>
      </c>
    </row>
    <row r="33" spans="1:13" x14ac:dyDescent="0.2">
      <c r="A33" t="s">
        <v>25</v>
      </c>
      <c r="B33" s="9"/>
      <c r="C33" t="s">
        <v>102</v>
      </c>
      <c r="D33" s="20">
        <f>Results_Raw!E30</f>
        <v>0</v>
      </c>
      <c r="E33" s="20">
        <f>Results_Raw!G30</f>
        <v>0</v>
      </c>
      <c r="F33" s="20">
        <f>Results_Raw!I30</f>
        <v>0</v>
      </c>
      <c r="I33" t="s">
        <v>25</v>
      </c>
      <c r="K33" t="s">
        <v>21</v>
      </c>
      <c r="L33" s="20">
        <f>Results_Raw!P30*L$9</f>
        <v>0</v>
      </c>
      <c r="M33">
        <v>0.33</v>
      </c>
    </row>
    <row r="34" spans="1:13" x14ac:dyDescent="0.2">
      <c r="A34" t="s">
        <v>25</v>
      </c>
      <c r="B34" s="9" t="s">
        <v>122</v>
      </c>
      <c r="C34" t="s">
        <v>101</v>
      </c>
      <c r="D34" s="20">
        <f>Results_Raw!E32</f>
        <v>180000</v>
      </c>
      <c r="E34" s="20">
        <f>Results_Raw!G32</f>
        <v>0</v>
      </c>
      <c r="F34" s="20">
        <f>Results_Raw!I32</f>
        <v>0</v>
      </c>
      <c r="I34" t="s">
        <v>25</v>
      </c>
      <c r="K34" t="s">
        <v>22</v>
      </c>
      <c r="L34" s="20">
        <f>Results_Raw!P31*L$10</f>
        <v>0</v>
      </c>
      <c r="M34">
        <v>0.33</v>
      </c>
    </row>
    <row r="35" spans="1:13" x14ac:dyDescent="0.2">
      <c r="A35" t="s">
        <v>25</v>
      </c>
      <c r="B35" s="9"/>
      <c r="C35" t="s">
        <v>100</v>
      </c>
      <c r="D35" s="20">
        <f>Results_Raw!E31</f>
        <v>200000</v>
      </c>
      <c r="E35" s="20">
        <f>Results_Raw!G31</f>
        <v>0</v>
      </c>
      <c r="F35" s="20">
        <f>Results_Raw!I31</f>
        <v>0</v>
      </c>
      <c r="I35" t="s">
        <v>25</v>
      </c>
      <c r="K35" t="s">
        <v>23</v>
      </c>
      <c r="L35" s="20">
        <f>Results_Raw!P32*L$11</f>
        <v>0</v>
      </c>
      <c r="M35">
        <v>0.33</v>
      </c>
    </row>
    <row r="36" spans="1:13" x14ac:dyDescent="0.2">
      <c r="A36" t="s">
        <v>25</v>
      </c>
      <c r="B36" s="9"/>
      <c r="C36" t="s">
        <v>102</v>
      </c>
      <c r="D36" s="20">
        <f>Results_Raw!E33</f>
        <v>50000</v>
      </c>
      <c r="E36" s="20">
        <f>Results_Raw!G33</f>
        <v>0</v>
      </c>
      <c r="F36" s="20">
        <f>Results_Raw!I33</f>
        <v>0</v>
      </c>
      <c r="I36" t="s">
        <v>25</v>
      </c>
      <c r="K36" t="s">
        <v>24</v>
      </c>
      <c r="L36" s="20">
        <f>Results_Raw!P33*L$12</f>
        <v>2.9582283945787814E-27</v>
      </c>
      <c r="M36">
        <v>0.33</v>
      </c>
    </row>
    <row r="37" spans="1:13" x14ac:dyDescent="0.2">
      <c r="A37" s="9"/>
      <c r="B37" s="9"/>
      <c r="C37" s="9"/>
      <c r="D37" s="20"/>
      <c r="E37" s="20"/>
      <c r="F37" s="20"/>
      <c r="I37" t="s">
        <v>29</v>
      </c>
      <c r="J37" t="s">
        <v>30</v>
      </c>
      <c r="K37" t="s">
        <v>82</v>
      </c>
      <c r="L37">
        <v>0</v>
      </c>
      <c r="M37">
        <v>0.28050000000000003</v>
      </c>
    </row>
    <row r="38" spans="1:13" x14ac:dyDescent="0.2">
      <c r="A38" s="9"/>
      <c r="B38" s="9"/>
      <c r="C38" s="9"/>
      <c r="D38" s="20"/>
      <c r="E38" s="20"/>
      <c r="F38" s="20"/>
      <c r="I38" t="s">
        <v>29</v>
      </c>
      <c r="J38" t="s">
        <v>30</v>
      </c>
      <c r="K38" t="s">
        <v>83</v>
      </c>
      <c r="L38">
        <v>0</v>
      </c>
      <c r="M38">
        <v>0.28050000000000003</v>
      </c>
    </row>
    <row r="39" spans="1:13" x14ac:dyDescent="0.2">
      <c r="A39" s="9"/>
      <c r="B39" s="9"/>
      <c r="C39" s="9"/>
      <c r="D39" s="20"/>
      <c r="E39" s="20"/>
      <c r="F39" s="20"/>
      <c r="I39" t="s">
        <v>29</v>
      </c>
      <c r="J39" t="s">
        <v>30</v>
      </c>
      <c r="K39" t="s">
        <v>32</v>
      </c>
      <c r="L39">
        <v>0</v>
      </c>
      <c r="M39">
        <v>0.28050000000000003</v>
      </c>
    </row>
    <row r="40" spans="1:13" x14ac:dyDescent="0.2">
      <c r="A40" s="9"/>
      <c r="B40" s="9"/>
      <c r="C40" s="9"/>
      <c r="D40" s="20"/>
      <c r="E40" s="20"/>
      <c r="F40" s="20"/>
      <c r="I40" t="s">
        <v>29</v>
      </c>
      <c r="J40" t="s">
        <v>30</v>
      </c>
      <c r="K40" t="s">
        <v>33</v>
      </c>
      <c r="L40">
        <v>0</v>
      </c>
      <c r="M40">
        <v>0.28050000000000003</v>
      </c>
    </row>
    <row r="41" spans="1:13" x14ac:dyDescent="0.2">
      <c r="A41" s="9"/>
      <c r="B41" s="9"/>
      <c r="C41" s="9"/>
      <c r="D41" s="20"/>
      <c r="E41" s="20"/>
      <c r="F41" s="20"/>
      <c r="I41" t="s">
        <v>29</v>
      </c>
      <c r="J41" t="s">
        <v>34</v>
      </c>
      <c r="K41" t="s">
        <v>82</v>
      </c>
      <c r="L41">
        <v>0</v>
      </c>
      <c r="M41">
        <v>0.14960000000000001</v>
      </c>
    </row>
    <row r="42" spans="1:13" x14ac:dyDescent="0.2">
      <c r="A42" s="9"/>
      <c r="B42" s="9"/>
      <c r="C42" s="9"/>
      <c r="D42" s="20"/>
      <c r="E42" s="20"/>
      <c r="F42" s="20"/>
      <c r="I42" t="s">
        <v>29</v>
      </c>
      <c r="J42" t="s">
        <v>34</v>
      </c>
      <c r="K42" t="s">
        <v>83</v>
      </c>
      <c r="L42">
        <v>0</v>
      </c>
      <c r="M42">
        <v>0.14960000000000001</v>
      </c>
    </row>
    <row r="43" spans="1:13" x14ac:dyDescent="0.2">
      <c r="A43" s="9"/>
      <c r="B43" s="9"/>
      <c r="C43" s="9"/>
      <c r="D43" s="20"/>
      <c r="E43" s="20"/>
      <c r="F43" s="20"/>
      <c r="I43" t="s">
        <v>29</v>
      </c>
      <c r="J43" t="s">
        <v>34</v>
      </c>
      <c r="K43" t="s">
        <v>32</v>
      </c>
      <c r="L43">
        <v>0</v>
      </c>
      <c r="M43">
        <v>0.14960000000000001</v>
      </c>
    </row>
    <row r="44" spans="1:13" x14ac:dyDescent="0.2">
      <c r="A44" s="9"/>
      <c r="B44" s="9"/>
      <c r="C44" s="9"/>
      <c r="D44" s="20"/>
      <c r="E44" s="20"/>
      <c r="F44" s="20"/>
      <c r="I44" t="s">
        <v>29</v>
      </c>
      <c r="J44" t="s">
        <v>34</v>
      </c>
      <c r="K44" t="s">
        <v>33</v>
      </c>
      <c r="L44">
        <v>0</v>
      </c>
      <c r="M44">
        <v>0.14960000000000001</v>
      </c>
    </row>
    <row r="45" spans="1:13" x14ac:dyDescent="0.2">
      <c r="A45" s="9"/>
      <c r="B45" s="9"/>
      <c r="C45" s="9"/>
      <c r="D45" s="20"/>
      <c r="E45" s="20"/>
      <c r="F45" s="20"/>
      <c r="I45" t="s">
        <v>29</v>
      </c>
      <c r="J45" t="s">
        <v>35</v>
      </c>
      <c r="K45" t="s">
        <v>82</v>
      </c>
      <c r="L45">
        <v>0</v>
      </c>
      <c r="M45">
        <v>3.3E-3</v>
      </c>
    </row>
    <row r="46" spans="1:13" x14ac:dyDescent="0.2">
      <c r="A46" s="9"/>
      <c r="B46" s="9"/>
      <c r="C46" s="9"/>
      <c r="D46" s="20"/>
      <c r="E46" s="20"/>
      <c r="F46" s="20"/>
      <c r="I46" t="s">
        <v>29</v>
      </c>
      <c r="J46" t="s">
        <v>35</v>
      </c>
      <c r="K46" t="s">
        <v>83</v>
      </c>
      <c r="L46">
        <v>0</v>
      </c>
      <c r="M46">
        <v>3.3E-3</v>
      </c>
    </row>
    <row r="47" spans="1:13" x14ac:dyDescent="0.2">
      <c r="A47" s="9"/>
      <c r="B47" s="9"/>
      <c r="C47" s="9"/>
      <c r="D47" s="20"/>
      <c r="E47" s="20"/>
      <c r="F47" s="20"/>
      <c r="I47" t="s">
        <v>29</v>
      </c>
      <c r="J47" t="s">
        <v>35</v>
      </c>
      <c r="K47" t="s">
        <v>32</v>
      </c>
      <c r="L47">
        <v>0</v>
      </c>
      <c r="M47">
        <v>3.3E-3</v>
      </c>
    </row>
    <row r="48" spans="1:13" x14ac:dyDescent="0.2">
      <c r="A48" s="9"/>
      <c r="B48" s="9"/>
      <c r="C48" s="9"/>
      <c r="D48" s="20"/>
      <c r="E48" s="20"/>
      <c r="F48" s="20"/>
      <c r="I48" t="s">
        <v>29</v>
      </c>
      <c r="J48" t="s">
        <v>35</v>
      </c>
      <c r="K48" t="s">
        <v>33</v>
      </c>
      <c r="L48">
        <v>0</v>
      </c>
      <c r="M48">
        <v>3.3E-3</v>
      </c>
    </row>
    <row r="49" spans="1:13" x14ac:dyDescent="0.2">
      <c r="A49" s="9"/>
      <c r="B49" s="9"/>
      <c r="C49" s="9"/>
      <c r="D49" s="20"/>
      <c r="E49" s="20"/>
      <c r="F49" s="20"/>
      <c r="I49" t="s">
        <v>29</v>
      </c>
      <c r="J49" t="s">
        <v>36</v>
      </c>
      <c r="K49" t="s">
        <v>82</v>
      </c>
      <c r="L49">
        <v>0</v>
      </c>
      <c r="M49">
        <v>1.9800000000000002E-2</v>
      </c>
    </row>
    <row r="50" spans="1:13" x14ac:dyDescent="0.2">
      <c r="A50" s="9"/>
      <c r="B50" s="9"/>
      <c r="C50" s="9"/>
      <c r="D50" s="20"/>
      <c r="E50" s="20"/>
      <c r="F50" s="20"/>
      <c r="I50" t="s">
        <v>29</v>
      </c>
      <c r="J50" t="s">
        <v>36</v>
      </c>
      <c r="K50" t="s">
        <v>83</v>
      </c>
      <c r="L50">
        <v>0</v>
      </c>
      <c r="M50">
        <v>1.9800000000000002E-2</v>
      </c>
    </row>
    <row r="51" spans="1:13" x14ac:dyDescent="0.2">
      <c r="A51" s="9"/>
      <c r="B51" s="9"/>
      <c r="C51" s="9"/>
      <c r="D51" s="20"/>
      <c r="E51" s="20"/>
      <c r="F51" s="20"/>
      <c r="I51" t="s">
        <v>29</v>
      </c>
      <c r="J51" t="s">
        <v>36</v>
      </c>
      <c r="K51" t="s">
        <v>32</v>
      </c>
      <c r="L51">
        <v>0</v>
      </c>
      <c r="M51">
        <v>1.9800000000000002E-2</v>
      </c>
    </row>
    <row r="52" spans="1:13" x14ac:dyDescent="0.2">
      <c r="A52" s="9"/>
      <c r="B52" s="9"/>
      <c r="C52" s="9"/>
      <c r="D52" s="20"/>
      <c r="E52" s="20"/>
      <c r="F52" s="20"/>
      <c r="I52" t="s">
        <v>29</v>
      </c>
      <c r="J52" t="s">
        <v>36</v>
      </c>
      <c r="K52" t="s">
        <v>33</v>
      </c>
      <c r="L52">
        <v>0</v>
      </c>
      <c r="M52">
        <v>1.9800000000000002E-2</v>
      </c>
    </row>
    <row r="53" spans="1:13" x14ac:dyDescent="0.2">
      <c r="A53" s="9"/>
      <c r="B53" s="9"/>
      <c r="C53" s="9"/>
      <c r="D53" s="20"/>
      <c r="E53" s="20"/>
      <c r="F53" s="20"/>
      <c r="I53" t="s">
        <v>29</v>
      </c>
      <c r="J53" t="s">
        <v>37</v>
      </c>
      <c r="K53" t="s">
        <v>82</v>
      </c>
      <c r="L53">
        <v>0</v>
      </c>
      <c r="M53">
        <v>2.7199999999999998E-2</v>
      </c>
    </row>
    <row r="54" spans="1:13" x14ac:dyDescent="0.2">
      <c r="A54" s="9"/>
      <c r="B54" s="9"/>
      <c r="C54" s="9"/>
      <c r="D54" s="20"/>
      <c r="E54" s="20"/>
      <c r="F54" s="20"/>
      <c r="I54" t="s">
        <v>29</v>
      </c>
      <c r="J54" t="s">
        <v>37</v>
      </c>
      <c r="K54" t="s">
        <v>83</v>
      </c>
      <c r="L54">
        <v>0</v>
      </c>
      <c r="M54">
        <v>2.7199999999999998E-2</v>
      </c>
    </row>
    <row r="55" spans="1:13" x14ac:dyDescent="0.2">
      <c r="A55" s="9"/>
      <c r="B55" s="9"/>
      <c r="C55" s="9"/>
      <c r="D55" s="20"/>
      <c r="E55" s="20"/>
      <c r="F55" s="20"/>
      <c r="I55" t="s">
        <v>29</v>
      </c>
      <c r="J55" t="s">
        <v>37</v>
      </c>
      <c r="K55" t="s">
        <v>32</v>
      </c>
      <c r="L55">
        <v>0</v>
      </c>
      <c r="M55">
        <v>2.7199999999999998E-2</v>
      </c>
    </row>
    <row r="56" spans="1:13" x14ac:dyDescent="0.2">
      <c r="A56" s="9"/>
      <c r="B56" s="9"/>
      <c r="C56" s="9"/>
      <c r="D56" s="20"/>
      <c r="E56" s="20"/>
      <c r="F56" s="20"/>
      <c r="I56" t="s">
        <v>29</v>
      </c>
      <c r="J56" t="s">
        <v>37</v>
      </c>
      <c r="K56" t="s">
        <v>33</v>
      </c>
      <c r="L56">
        <v>0</v>
      </c>
      <c r="M56">
        <v>2.7199999999999998E-2</v>
      </c>
    </row>
    <row r="57" spans="1:13" x14ac:dyDescent="0.2">
      <c r="A57" s="9"/>
      <c r="B57" s="9"/>
      <c r="C57" s="9"/>
      <c r="D57" s="20"/>
      <c r="E57" s="20"/>
      <c r="F57" s="20"/>
      <c r="I57" t="s">
        <v>29</v>
      </c>
      <c r="J57" t="s">
        <v>38</v>
      </c>
      <c r="K57" t="s">
        <v>82</v>
      </c>
      <c r="L57">
        <v>0</v>
      </c>
      <c r="M57">
        <v>9.9000000000000008E-3</v>
      </c>
    </row>
    <row r="58" spans="1:13" x14ac:dyDescent="0.2">
      <c r="A58" s="9"/>
      <c r="B58" s="9"/>
      <c r="C58" s="9"/>
      <c r="D58" s="20"/>
      <c r="E58" s="20"/>
      <c r="F58" s="20"/>
      <c r="H58" s="20"/>
      <c r="I58" t="s">
        <v>29</v>
      </c>
      <c r="J58" t="s">
        <v>38</v>
      </c>
      <c r="K58" t="s">
        <v>83</v>
      </c>
      <c r="L58">
        <v>0</v>
      </c>
      <c r="M58">
        <v>9.9000000000000008E-3</v>
      </c>
    </row>
    <row r="59" spans="1:13" x14ac:dyDescent="0.2">
      <c r="A59" s="9"/>
      <c r="B59" s="9"/>
      <c r="C59" s="9"/>
      <c r="D59" s="20"/>
      <c r="E59" s="20"/>
      <c r="F59" s="20"/>
      <c r="H59" s="22"/>
      <c r="I59" t="s">
        <v>29</v>
      </c>
      <c r="J59" t="s">
        <v>38</v>
      </c>
      <c r="K59" t="s">
        <v>32</v>
      </c>
      <c r="L59">
        <v>0</v>
      </c>
      <c r="M59">
        <v>9.9000000000000008E-3</v>
      </c>
    </row>
    <row r="60" spans="1:13" x14ac:dyDescent="0.2">
      <c r="A60" s="9"/>
      <c r="B60" s="9"/>
      <c r="C60" s="9"/>
      <c r="D60" s="20"/>
      <c r="E60" s="20"/>
      <c r="F60" s="20"/>
      <c r="I60" t="s">
        <v>29</v>
      </c>
      <c r="J60" t="s">
        <v>38</v>
      </c>
      <c r="K60" t="s">
        <v>33</v>
      </c>
      <c r="L60">
        <v>0</v>
      </c>
      <c r="M60">
        <v>9.9000000000000008E-3</v>
      </c>
    </row>
    <row r="61" spans="1:13" x14ac:dyDescent="0.2">
      <c r="A61" s="9"/>
      <c r="B61" s="9"/>
      <c r="C61" s="9"/>
      <c r="D61" s="20"/>
      <c r="E61" s="20"/>
      <c r="F61" s="20"/>
      <c r="I61" t="s">
        <v>29</v>
      </c>
      <c r="J61" t="s">
        <v>39</v>
      </c>
      <c r="K61" t="s">
        <v>82</v>
      </c>
      <c r="L61">
        <v>0</v>
      </c>
      <c r="M61">
        <v>1.9800000000000002E-2</v>
      </c>
    </row>
    <row r="62" spans="1:13" x14ac:dyDescent="0.2">
      <c r="A62" s="9"/>
      <c r="B62" s="9"/>
      <c r="C62" s="9"/>
      <c r="D62" s="20"/>
      <c r="E62" s="20"/>
      <c r="F62" s="20"/>
      <c r="I62" t="s">
        <v>29</v>
      </c>
      <c r="J62" t="s">
        <v>39</v>
      </c>
      <c r="K62" t="s">
        <v>83</v>
      </c>
      <c r="L62">
        <v>0</v>
      </c>
      <c r="M62">
        <v>1.9800000000000002E-2</v>
      </c>
    </row>
    <row r="63" spans="1:13" x14ac:dyDescent="0.2">
      <c r="A63" s="9"/>
      <c r="B63" s="9"/>
      <c r="C63" s="9"/>
      <c r="D63" s="20"/>
      <c r="E63" s="20"/>
      <c r="F63" s="20"/>
      <c r="I63" t="s">
        <v>29</v>
      </c>
      <c r="J63" t="s">
        <v>39</v>
      </c>
      <c r="K63" t="s">
        <v>32</v>
      </c>
      <c r="L63">
        <v>0</v>
      </c>
      <c r="M63">
        <v>1.9800000000000002E-2</v>
      </c>
    </row>
    <row r="64" spans="1:13" x14ac:dyDescent="0.2">
      <c r="A64" s="9"/>
      <c r="B64" s="9"/>
      <c r="C64" s="9"/>
      <c r="D64" s="20"/>
      <c r="E64" s="20"/>
      <c r="F64" s="20"/>
      <c r="I64" t="s">
        <v>29</v>
      </c>
      <c r="J64" t="s">
        <v>39</v>
      </c>
      <c r="K64" t="s">
        <v>33</v>
      </c>
      <c r="L64">
        <v>0</v>
      </c>
      <c r="M64">
        <v>1.9800000000000002E-2</v>
      </c>
    </row>
    <row r="65" spans="1:13" x14ac:dyDescent="0.2">
      <c r="A65" s="9"/>
      <c r="B65" s="9"/>
      <c r="C65" s="9"/>
      <c r="D65" s="20"/>
      <c r="E65" s="20"/>
      <c r="F65" s="20"/>
      <c r="I65" t="s">
        <v>29</v>
      </c>
      <c r="J65" t="s">
        <v>40</v>
      </c>
      <c r="K65" t="s">
        <v>82</v>
      </c>
      <c r="L65">
        <v>0</v>
      </c>
      <c r="M65">
        <v>8.1600000000000006E-2</v>
      </c>
    </row>
    <row r="66" spans="1:13" x14ac:dyDescent="0.2">
      <c r="A66" s="9"/>
      <c r="B66" s="9"/>
      <c r="C66" s="9"/>
      <c r="D66" s="20"/>
      <c r="E66" s="20"/>
      <c r="F66" s="20"/>
      <c r="I66" t="s">
        <v>29</v>
      </c>
      <c r="J66" t="s">
        <v>40</v>
      </c>
      <c r="K66" t="s">
        <v>83</v>
      </c>
      <c r="L66">
        <v>0</v>
      </c>
      <c r="M66">
        <v>8.1600000000000006E-2</v>
      </c>
    </row>
    <row r="67" spans="1:13" x14ac:dyDescent="0.2">
      <c r="I67" t="s">
        <v>29</v>
      </c>
      <c r="J67" t="s">
        <v>40</v>
      </c>
      <c r="K67" t="s">
        <v>32</v>
      </c>
      <c r="L67">
        <v>0</v>
      </c>
      <c r="M67">
        <v>8.1600000000000006E-2</v>
      </c>
    </row>
    <row r="68" spans="1:13" x14ac:dyDescent="0.2">
      <c r="I68" t="s">
        <v>29</v>
      </c>
      <c r="J68" t="s">
        <v>40</v>
      </c>
      <c r="K68" t="s">
        <v>33</v>
      </c>
      <c r="L68">
        <v>0</v>
      </c>
      <c r="M68">
        <v>8.1600000000000006E-2</v>
      </c>
    </row>
    <row r="69" spans="1:13" x14ac:dyDescent="0.2">
      <c r="I69" t="s">
        <v>29</v>
      </c>
      <c r="J69" t="s">
        <v>41</v>
      </c>
      <c r="K69" t="s">
        <v>82</v>
      </c>
      <c r="L69">
        <v>0</v>
      </c>
      <c r="M69">
        <v>2.9700000000000001E-2</v>
      </c>
    </row>
    <row r="70" spans="1:13" x14ac:dyDescent="0.2">
      <c r="I70" t="s">
        <v>29</v>
      </c>
      <c r="J70" t="s">
        <v>41</v>
      </c>
      <c r="K70" t="s">
        <v>83</v>
      </c>
      <c r="L70">
        <v>0</v>
      </c>
      <c r="M70">
        <v>2.9700000000000001E-2</v>
      </c>
    </row>
    <row r="71" spans="1:13" x14ac:dyDescent="0.2">
      <c r="I71" t="s">
        <v>29</v>
      </c>
      <c r="J71" t="s">
        <v>41</v>
      </c>
      <c r="K71" t="s">
        <v>32</v>
      </c>
      <c r="L71">
        <v>0</v>
      </c>
      <c r="M71">
        <v>2.9700000000000001E-2</v>
      </c>
    </row>
    <row r="72" spans="1:13" x14ac:dyDescent="0.2">
      <c r="I72" t="s">
        <v>29</v>
      </c>
      <c r="J72" t="s">
        <v>41</v>
      </c>
      <c r="K72" t="s">
        <v>33</v>
      </c>
      <c r="L72">
        <v>0</v>
      </c>
      <c r="M72">
        <v>2.9700000000000001E-2</v>
      </c>
    </row>
    <row r="73" spans="1:13" x14ac:dyDescent="0.2">
      <c r="I73" t="s">
        <v>29</v>
      </c>
      <c r="J73" t="s">
        <v>42</v>
      </c>
      <c r="K73" t="s">
        <v>82</v>
      </c>
      <c r="L73">
        <v>0</v>
      </c>
      <c r="M73">
        <v>9.9000000000000008E-3</v>
      </c>
    </row>
    <row r="74" spans="1:13" x14ac:dyDescent="0.2">
      <c r="I74" t="s">
        <v>29</v>
      </c>
      <c r="J74" t="s">
        <v>42</v>
      </c>
      <c r="K74" t="s">
        <v>83</v>
      </c>
      <c r="L74">
        <v>0</v>
      </c>
      <c r="M74">
        <v>9.9000000000000008E-3</v>
      </c>
    </row>
    <row r="75" spans="1:13" x14ac:dyDescent="0.2">
      <c r="I75" t="s">
        <v>29</v>
      </c>
      <c r="J75" t="s">
        <v>42</v>
      </c>
      <c r="K75" t="s">
        <v>32</v>
      </c>
      <c r="L75">
        <v>0</v>
      </c>
      <c r="M75">
        <v>9.9000000000000008E-3</v>
      </c>
    </row>
    <row r="76" spans="1:13" x14ac:dyDescent="0.2">
      <c r="I76" t="s">
        <v>29</v>
      </c>
      <c r="J76" t="s">
        <v>42</v>
      </c>
      <c r="K76" t="s">
        <v>33</v>
      </c>
      <c r="L76">
        <v>0</v>
      </c>
      <c r="M76">
        <v>9.9000000000000008E-3</v>
      </c>
    </row>
    <row r="77" spans="1:13" x14ac:dyDescent="0.2">
      <c r="I77" t="s">
        <v>29</v>
      </c>
      <c r="J77" t="s">
        <v>43</v>
      </c>
      <c r="K77" t="s">
        <v>82</v>
      </c>
      <c r="L77">
        <v>0</v>
      </c>
      <c r="M77">
        <v>5.4399999999999997E-2</v>
      </c>
    </row>
    <row r="78" spans="1:13" x14ac:dyDescent="0.2">
      <c r="I78" t="s">
        <v>29</v>
      </c>
      <c r="J78" t="s">
        <v>43</v>
      </c>
      <c r="K78" t="s">
        <v>83</v>
      </c>
      <c r="L78">
        <v>0</v>
      </c>
      <c r="M78">
        <v>5.4399999999999997E-2</v>
      </c>
    </row>
    <row r="79" spans="1:13" x14ac:dyDescent="0.2">
      <c r="I79" t="s">
        <v>29</v>
      </c>
      <c r="J79" t="s">
        <v>43</v>
      </c>
      <c r="K79" t="s">
        <v>32</v>
      </c>
      <c r="L79">
        <v>0</v>
      </c>
      <c r="M79">
        <v>5.4399999999999997E-2</v>
      </c>
    </row>
    <row r="80" spans="1:13" x14ac:dyDescent="0.2">
      <c r="I80" t="s">
        <v>29</v>
      </c>
      <c r="J80" t="s">
        <v>43</v>
      </c>
      <c r="K80" t="s">
        <v>33</v>
      </c>
      <c r="L80">
        <v>0</v>
      </c>
      <c r="M80">
        <v>5.4399999999999997E-2</v>
      </c>
    </row>
    <row r="81" spans="9:13" x14ac:dyDescent="0.2">
      <c r="I81" t="s">
        <v>29</v>
      </c>
      <c r="J81" t="s">
        <v>44</v>
      </c>
      <c r="K81" t="s">
        <v>82</v>
      </c>
      <c r="L81">
        <v>0</v>
      </c>
      <c r="M81">
        <v>6.2700000000000006E-2</v>
      </c>
    </row>
    <row r="82" spans="9:13" x14ac:dyDescent="0.2">
      <c r="I82" t="s">
        <v>29</v>
      </c>
      <c r="J82" t="s">
        <v>44</v>
      </c>
      <c r="K82" t="s">
        <v>83</v>
      </c>
      <c r="L82">
        <v>0</v>
      </c>
      <c r="M82">
        <v>6.2700000000000006E-2</v>
      </c>
    </row>
    <row r="83" spans="9:13" x14ac:dyDescent="0.2">
      <c r="I83" t="s">
        <v>29</v>
      </c>
      <c r="J83" t="s">
        <v>44</v>
      </c>
      <c r="K83" t="s">
        <v>32</v>
      </c>
      <c r="L83">
        <v>0</v>
      </c>
      <c r="M83">
        <v>6.2700000000000006E-2</v>
      </c>
    </row>
    <row r="84" spans="9:13" x14ac:dyDescent="0.2">
      <c r="I84" t="s">
        <v>29</v>
      </c>
      <c r="J84" t="s">
        <v>44</v>
      </c>
      <c r="K84" t="s">
        <v>33</v>
      </c>
      <c r="L84">
        <v>0</v>
      </c>
      <c r="M84">
        <v>6.2700000000000006E-2</v>
      </c>
    </row>
    <row r="85" spans="9:13" x14ac:dyDescent="0.2">
      <c r="I85" t="s">
        <v>29</v>
      </c>
      <c r="J85" t="s">
        <v>45</v>
      </c>
      <c r="K85" t="s">
        <v>82</v>
      </c>
      <c r="L85">
        <v>0</v>
      </c>
      <c r="M85">
        <v>2.7199999999999998E-2</v>
      </c>
    </row>
    <row r="86" spans="9:13" x14ac:dyDescent="0.2">
      <c r="I86" t="s">
        <v>29</v>
      </c>
      <c r="J86" t="s">
        <v>45</v>
      </c>
      <c r="K86" t="s">
        <v>83</v>
      </c>
      <c r="L86">
        <v>0</v>
      </c>
      <c r="M86">
        <v>2.7199999999999998E-2</v>
      </c>
    </row>
    <row r="87" spans="9:13" x14ac:dyDescent="0.2">
      <c r="I87" t="s">
        <v>29</v>
      </c>
      <c r="J87" t="s">
        <v>45</v>
      </c>
      <c r="K87" t="s">
        <v>32</v>
      </c>
      <c r="L87">
        <v>0</v>
      </c>
      <c r="M87">
        <v>2.7199999999999998E-2</v>
      </c>
    </row>
    <row r="88" spans="9:13" x14ac:dyDescent="0.2">
      <c r="I88" t="s">
        <v>29</v>
      </c>
      <c r="J88" t="s">
        <v>45</v>
      </c>
      <c r="K88" t="s">
        <v>33</v>
      </c>
      <c r="L88">
        <v>0</v>
      </c>
      <c r="M88">
        <v>2.7199999999999998E-2</v>
      </c>
    </row>
    <row r="89" spans="9:13" x14ac:dyDescent="0.2">
      <c r="I89" t="s">
        <v>29</v>
      </c>
      <c r="J89" t="s">
        <v>46</v>
      </c>
      <c r="K89" t="s">
        <v>82</v>
      </c>
      <c r="L89">
        <v>0</v>
      </c>
      <c r="M89">
        <v>9.9000000000000005E-2</v>
      </c>
    </row>
    <row r="90" spans="9:13" x14ac:dyDescent="0.2">
      <c r="I90" t="s">
        <v>29</v>
      </c>
      <c r="J90" t="s">
        <v>46</v>
      </c>
      <c r="K90" t="s">
        <v>83</v>
      </c>
      <c r="L90">
        <v>0</v>
      </c>
      <c r="M90">
        <v>9.9000000000000005E-2</v>
      </c>
    </row>
    <row r="91" spans="9:13" x14ac:dyDescent="0.2">
      <c r="I91" t="s">
        <v>29</v>
      </c>
      <c r="J91" t="s">
        <v>46</v>
      </c>
      <c r="K91" t="s">
        <v>32</v>
      </c>
      <c r="L91">
        <v>0</v>
      </c>
      <c r="M91">
        <v>9.9000000000000005E-2</v>
      </c>
    </row>
    <row r="92" spans="9:13" x14ac:dyDescent="0.2">
      <c r="I92" t="s">
        <v>29</v>
      </c>
      <c r="J92" t="s">
        <v>46</v>
      </c>
      <c r="K92" t="s">
        <v>33</v>
      </c>
      <c r="L92">
        <v>0</v>
      </c>
      <c r="M92">
        <v>9.9000000000000005E-2</v>
      </c>
    </row>
    <row r="93" spans="9:13" x14ac:dyDescent="0.2">
      <c r="I93" t="s">
        <v>29</v>
      </c>
      <c r="J93" t="s">
        <v>47</v>
      </c>
      <c r="K93" t="s">
        <v>82</v>
      </c>
      <c r="L93">
        <v>0</v>
      </c>
      <c r="M93">
        <v>7.2599999999999998E-2</v>
      </c>
    </row>
    <row r="94" spans="9:13" x14ac:dyDescent="0.2">
      <c r="I94" t="s">
        <v>29</v>
      </c>
      <c r="J94" t="s">
        <v>47</v>
      </c>
      <c r="K94" t="s">
        <v>83</v>
      </c>
      <c r="L94">
        <v>0</v>
      </c>
      <c r="M94">
        <v>7.2599999999999998E-2</v>
      </c>
    </row>
    <row r="95" spans="9:13" x14ac:dyDescent="0.2">
      <c r="I95" t="s">
        <v>29</v>
      </c>
      <c r="J95" t="s">
        <v>47</v>
      </c>
      <c r="K95" t="s">
        <v>32</v>
      </c>
      <c r="L95">
        <v>0</v>
      </c>
      <c r="M95">
        <v>7.2599999999999998E-2</v>
      </c>
    </row>
    <row r="96" spans="9:13" x14ac:dyDescent="0.2">
      <c r="I96" t="s">
        <v>29</v>
      </c>
      <c r="J96" t="s">
        <v>47</v>
      </c>
      <c r="K96" t="s">
        <v>33</v>
      </c>
      <c r="L96">
        <v>0</v>
      </c>
      <c r="M96">
        <v>7.2599999999999998E-2</v>
      </c>
    </row>
    <row r="97" spans="9:13" x14ac:dyDescent="0.2">
      <c r="I97" t="s">
        <v>29</v>
      </c>
      <c r="J97" t="s">
        <v>48</v>
      </c>
      <c r="K97" t="s">
        <v>82</v>
      </c>
      <c r="L97">
        <v>50000</v>
      </c>
      <c r="M97">
        <v>4.6199999999999998E-2</v>
      </c>
    </row>
    <row r="98" spans="9:13" x14ac:dyDescent="0.2">
      <c r="I98" t="s">
        <v>29</v>
      </c>
      <c r="J98" t="s">
        <v>48</v>
      </c>
      <c r="K98" t="s">
        <v>83</v>
      </c>
      <c r="L98">
        <v>0</v>
      </c>
      <c r="M98">
        <v>4.6199999999999998E-2</v>
      </c>
    </row>
    <row r="99" spans="9:13" x14ac:dyDescent="0.2">
      <c r="I99" t="s">
        <v>29</v>
      </c>
      <c r="J99" t="s">
        <v>48</v>
      </c>
      <c r="K99" t="s">
        <v>32</v>
      </c>
      <c r="L99">
        <v>0</v>
      </c>
      <c r="M99">
        <v>4.6199999999999998E-2</v>
      </c>
    </row>
    <row r="100" spans="9:13" x14ac:dyDescent="0.2">
      <c r="I100" t="s">
        <v>29</v>
      </c>
      <c r="J100" t="s">
        <v>48</v>
      </c>
      <c r="K100" t="s">
        <v>33</v>
      </c>
      <c r="L100">
        <v>0</v>
      </c>
      <c r="M100">
        <v>4.6199999999999998E-2</v>
      </c>
    </row>
    <row r="101" spans="9:13" x14ac:dyDescent="0.2">
      <c r="I101" t="s">
        <v>29</v>
      </c>
      <c r="J101" t="s">
        <v>49</v>
      </c>
      <c r="K101" t="s">
        <v>82</v>
      </c>
      <c r="L101">
        <v>200000</v>
      </c>
      <c r="M101">
        <v>6.6E-3</v>
      </c>
    </row>
    <row r="102" spans="9:13" x14ac:dyDescent="0.2">
      <c r="I102" t="s">
        <v>29</v>
      </c>
      <c r="J102" t="s">
        <v>49</v>
      </c>
      <c r="K102" t="s">
        <v>83</v>
      </c>
      <c r="L102">
        <v>0</v>
      </c>
      <c r="M102">
        <v>6.6E-3</v>
      </c>
    </row>
    <row r="103" spans="9:13" x14ac:dyDescent="0.2">
      <c r="I103" t="s">
        <v>29</v>
      </c>
      <c r="J103" t="s">
        <v>49</v>
      </c>
      <c r="K103" t="s">
        <v>32</v>
      </c>
      <c r="L103">
        <v>180000</v>
      </c>
      <c r="M103">
        <v>6.6E-3</v>
      </c>
    </row>
    <row r="104" spans="9:13" x14ac:dyDescent="0.2">
      <c r="I104" t="s">
        <v>29</v>
      </c>
      <c r="J104" t="s">
        <v>49</v>
      </c>
      <c r="K104" t="s">
        <v>33</v>
      </c>
      <c r="L104">
        <v>50000</v>
      </c>
      <c r="M104">
        <v>6.6E-3</v>
      </c>
    </row>
  </sheetData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F6BD-75DA-6845-ACCF-C43403F163A1}">
  <dimension ref="A1:S104"/>
  <sheetViews>
    <sheetView topLeftCell="H4" workbookViewId="0">
      <selection activeCell="K29" sqref="K29:K34"/>
    </sheetView>
  </sheetViews>
  <sheetFormatPr baseColWidth="10" defaultRowHeight="16" x14ac:dyDescent="0.2"/>
  <cols>
    <col min="2" max="3" width="15" bestFit="1" customWidth="1"/>
    <col min="4" max="4" width="17.6640625" bestFit="1" customWidth="1"/>
    <col min="5" max="5" width="17.6640625" customWidth="1"/>
    <col min="6" max="6" width="17.6640625" bestFit="1" customWidth="1"/>
    <col min="7" max="7" width="17.6640625" customWidth="1"/>
    <col min="8" max="8" width="17.6640625" bestFit="1" customWidth="1"/>
    <col min="9" max="9" width="27.5" customWidth="1"/>
    <col min="11" max="12" width="15" bestFit="1" customWidth="1"/>
    <col min="13" max="13" width="13.5" bestFit="1" customWidth="1"/>
    <col min="16" max="17" width="17.6640625" bestFit="1" customWidth="1"/>
    <col min="18" max="18" width="16" bestFit="1" customWidth="1"/>
    <col min="19" max="19" width="12.5" bestFit="1" customWidth="1"/>
  </cols>
  <sheetData>
    <row r="1" spans="1:19" x14ac:dyDescent="0.2">
      <c r="G1" s="17"/>
    </row>
    <row r="2" spans="1:19" x14ac:dyDescent="0.2">
      <c r="G2" s="10"/>
    </row>
    <row r="3" spans="1:19" x14ac:dyDescent="0.2">
      <c r="G3" s="10"/>
    </row>
    <row r="4" spans="1:19" x14ac:dyDescent="0.2">
      <c r="D4" t="s">
        <v>11</v>
      </c>
      <c r="E4" t="s">
        <v>115</v>
      </c>
      <c r="F4" t="s">
        <v>12</v>
      </c>
      <c r="K4" t="s">
        <v>60</v>
      </c>
      <c r="L4" t="s">
        <v>126</v>
      </c>
      <c r="P4" t="s">
        <v>124</v>
      </c>
      <c r="Q4" t="s">
        <v>148</v>
      </c>
      <c r="R4" t="s">
        <v>149</v>
      </c>
      <c r="S4" t="s">
        <v>150</v>
      </c>
    </row>
    <row r="5" spans="1:19" x14ac:dyDescent="0.2">
      <c r="A5" s="9" t="s">
        <v>14</v>
      </c>
      <c r="B5" s="9" t="s">
        <v>88</v>
      </c>
      <c r="C5" s="9" t="s">
        <v>90</v>
      </c>
      <c r="D5" s="19">
        <f>Results_Raw!E2*LS_RETRO_ci</f>
        <v>0</v>
      </c>
      <c r="E5" s="19">
        <f>Results_Raw!G2*LS_RETRO_ci</f>
        <v>0</v>
      </c>
      <c r="F5" s="19">
        <f>Results_Raw!I2*LS_RETRO_ci</f>
        <v>0</v>
      </c>
      <c r="G5" s="19"/>
      <c r="H5" t="s">
        <v>14</v>
      </c>
      <c r="I5" t="s">
        <v>15</v>
      </c>
      <c r="J5" t="s">
        <v>17</v>
      </c>
      <c r="K5" s="20">
        <f>Results_Raw!P2*LS_RETRO_ci</f>
        <v>0</v>
      </c>
      <c r="L5">
        <v>1</v>
      </c>
      <c r="N5" t="s">
        <v>136</v>
      </c>
      <c r="O5" t="s">
        <v>138</v>
      </c>
      <c r="P5" s="19">
        <f>SUM(K5:K12)+SUM(K29:K36)*L29+SUM(K101:K104)*L101+SUM(K97:K100)*L97</f>
        <v>3152132399.9999995</v>
      </c>
      <c r="Q5" s="19">
        <f>SUM(K5:K12)</f>
        <v>2925000000</v>
      </c>
      <c r="R5" s="19">
        <f>SUM(K29:K36)*L29</f>
        <v>225719999.99999955</v>
      </c>
      <c r="S5" s="19">
        <f>SUM(K101:K104)*L101+SUM(K97:K100)*L97</f>
        <v>1412400</v>
      </c>
    </row>
    <row r="6" spans="1:19" x14ac:dyDescent="0.2">
      <c r="A6" s="9" t="s">
        <v>14</v>
      </c>
      <c r="B6" s="9" t="s">
        <v>88</v>
      </c>
      <c r="C6" s="9" t="s">
        <v>91</v>
      </c>
      <c r="D6" s="19">
        <f>Results_Raw!E3*L_DESAL_ci</f>
        <v>1974000000</v>
      </c>
      <c r="E6" s="19">
        <f>Results_Raw!G3*L_DESAL_ci</f>
        <v>0</v>
      </c>
      <c r="F6" s="19">
        <f>Results_Raw!I3*L_DESAL_ci</f>
        <v>0</v>
      </c>
      <c r="G6" s="19"/>
      <c r="H6" t="s">
        <v>14</v>
      </c>
      <c r="I6" t="s">
        <v>15</v>
      </c>
      <c r="J6" t="s">
        <v>18</v>
      </c>
      <c r="K6" s="20">
        <f>Results_Raw!P3*L_DESAL_ci</f>
        <v>1050000000</v>
      </c>
      <c r="L6">
        <v>1</v>
      </c>
      <c r="N6" t="s">
        <v>137</v>
      </c>
      <c r="O6" t="s">
        <v>12</v>
      </c>
      <c r="P6" s="34">
        <f>D39</f>
        <v>888520000</v>
      </c>
      <c r="Q6" s="34">
        <f>D40</f>
        <v>883000000</v>
      </c>
      <c r="R6" s="19">
        <v>0</v>
      </c>
      <c r="S6" s="34">
        <f>SUM(D41:D43)</f>
        <v>5520000</v>
      </c>
    </row>
    <row r="7" spans="1:19" x14ac:dyDescent="0.2">
      <c r="A7" s="9" t="s">
        <v>14</v>
      </c>
      <c r="B7" s="9" t="s">
        <v>88</v>
      </c>
      <c r="C7" s="9" t="s">
        <v>92</v>
      </c>
      <c r="D7" s="19">
        <f>Results_Raw!E4*L_GW_ci</f>
        <v>55000000</v>
      </c>
      <c r="E7" s="19">
        <f>Results_Raw!G4*L_GW_ci</f>
        <v>55000000</v>
      </c>
      <c r="F7" s="19">
        <f>Results_Raw!I4*L_GW_ci</f>
        <v>55000000</v>
      </c>
      <c r="G7" s="19"/>
      <c r="H7" t="s">
        <v>14</v>
      </c>
      <c r="I7" t="s">
        <v>15</v>
      </c>
      <c r="J7" t="s">
        <v>19</v>
      </c>
      <c r="K7" s="20">
        <f>Results_Raw!P4*L_GW_ci</f>
        <v>55000000</v>
      </c>
      <c r="L7">
        <v>1</v>
      </c>
      <c r="O7" t="s">
        <v>115</v>
      </c>
      <c r="P7" s="34">
        <f>C39</f>
        <v>1563912000</v>
      </c>
      <c r="Q7" s="34">
        <f>C40</f>
        <v>1549000000</v>
      </c>
      <c r="R7" s="19">
        <v>0</v>
      </c>
      <c r="S7" s="34">
        <f>SUM(C41:C43)</f>
        <v>14912000</v>
      </c>
    </row>
    <row r="8" spans="1:19" x14ac:dyDescent="0.2">
      <c r="A8" s="9" t="s">
        <v>14</v>
      </c>
      <c r="B8" s="9" t="s">
        <v>88</v>
      </c>
      <c r="C8" s="9" t="s">
        <v>93</v>
      </c>
      <c r="D8" s="19">
        <f>Results_Raw!E5*L_REC_ci</f>
        <v>1800000000</v>
      </c>
      <c r="E8" s="19">
        <f>Results_Raw!G5*L_REC_ci</f>
        <v>1458000000</v>
      </c>
      <c r="F8" s="19">
        <f>Results_Raw!I5*L_REC_ci</f>
        <v>792000000</v>
      </c>
      <c r="G8" s="19"/>
      <c r="H8" t="s">
        <v>14</v>
      </c>
      <c r="I8" t="s">
        <v>15</v>
      </c>
      <c r="J8" t="s">
        <v>20</v>
      </c>
      <c r="K8" s="20">
        <f>Results_Raw!P5*L_REC_ci</f>
        <v>1800000000</v>
      </c>
      <c r="L8">
        <v>1</v>
      </c>
      <c r="O8" t="s">
        <v>11</v>
      </c>
      <c r="P8" s="34">
        <f>B39</f>
        <v>3889920000</v>
      </c>
      <c r="Q8" s="34">
        <f>B40</f>
        <v>3865000000</v>
      </c>
      <c r="R8" s="19">
        <v>0</v>
      </c>
      <c r="S8" s="34">
        <f>SUM(B41:B43)</f>
        <v>24920000.000000004</v>
      </c>
    </row>
    <row r="9" spans="1:19" x14ac:dyDescent="0.2">
      <c r="A9" s="9" t="s">
        <v>14</v>
      </c>
      <c r="B9" s="9" t="s">
        <v>88</v>
      </c>
      <c r="C9" s="9" t="s">
        <v>94</v>
      </c>
      <c r="D9" s="19">
        <f>Results_Raw!E6*OPTION_ci</f>
        <v>4000000</v>
      </c>
      <c r="E9" s="19">
        <f>Results_Raw!G6*OPTION_ci</f>
        <v>4000000</v>
      </c>
      <c r="F9" s="19">
        <f>Results_Raw!I6*OPTION_ci</f>
        <v>4000000</v>
      </c>
      <c r="G9" s="19"/>
      <c r="H9" t="s">
        <v>14</v>
      </c>
      <c r="I9" t="s">
        <v>15</v>
      </c>
      <c r="J9" t="s">
        <v>21</v>
      </c>
      <c r="K9" s="20">
        <f>Results_Raw!P6*OPTION_ci</f>
        <v>4000000</v>
      </c>
      <c r="L9">
        <v>1</v>
      </c>
    </row>
    <row r="10" spans="1:19" x14ac:dyDescent="0.2">
      <c r="A10" s="9" t="s">
        <v>14</v>
      </c>
      <c r="B10" s="9" t="s">
        <v>88</v>
      </c>
      <c r="C10" s="9" t="s">
        <v>95</v>
      </c>
      <c r="D10" s="19">
        <f>Results_Raw!E7*S_DESAL_ci</f>
        <v>0</v>
      </c>
      <c r="E10" s="19">
        <f>Results_Raw!G7*S_DESAL_ci</f>
        <v>0</v>
      </c>
      <c r="F10" s="19">
        <f>Results_Raw!I7*S_DESAL_ci</f>
        <v>0</v>
      </c>
      <c r="G10" s="19"/>
      <c r="H10" t="s">
        <v>14</v>
      </c>
      <c r="I10" t="s">
        <v>15</v>
      </c>
      <c r="J10" t="s">
        <v>22</v>
      </c>
      <c r="K10" s="20">
        <f>Results_Raw!P7*S_DESAL_ci</f>
        <v>0</v>
      </c>
      <c r="L10">
        <v>1</v>
      </c>
    </row>
    <row r="11" spans="1:19" x14ac:dyDescent="0.2">
      <c r="A11" s="9" t="s">
        <v>14</v>
      </c>
      <c r="B11" s="9" t="s">
        <v>88</v>
      </c>
      <c r="C11" s="9" t="s">
        <v>96</v>
      </c>
      <c r="D11" s="19">
        <f>Results_Raw!E8*S_GWR_ci</f>
        <v>32000000</v>
      </c>
      <c r="E11" s="19">
        <f>Results_Raw!G8*S_GWR_ci</f>
        <v>32000000</v>
      </c>
      <c r="F11" s="19">
        <f>Results_Raw!I8*S_GWR_ci</f>
        <v>32000000</v>
      </c>
      <c r="G11" s="19"/>
      <c r="H11" t="s">
        <v>14</v>
      </c>
      <c r="I11" t="s">
        <v>15</v>
      </c>
      <c r="J11" t="s">
        <v>23</v>
      </c>
      <c r="K11" s="20">
        <f>Results_Raw!P8*S_GWR_ci</f>
        <v>16000000.000000158</v>
      </c>
      <c r="L11">
        <v>1</v>
      </c>
    </row>
    <row r="12" spans="1:19" x14ac:dyDescent="0.2">
      <c r="A12" s="9" t="s">
        <v>14</v>
      </c>
      <c r="B12" s="9" t="s">
        <v>88</v>
      </c>
      <c r="C12" s="9" t="s">
        <v>97</v>
      </c>
      <c r="D12" s="19">
        <f>Results_Raw!E9*S_REC_ci</f>
        <v>0</v>
      </c>
      <c r="E12" s="19">
        <f>Results_Raw!G9*S_REC_ci</f>
        <v>0</v>
      </c>
      <c r="F12" s="19">
        <f>Results_Raw!I9*S_REC_ci</f>
        <v>0</v>
      </c>
      <c r="G12" s="19"/>
      <c r="H12" t="s">
        <v>14</v>
      </c>
      <c r="I12" t="s">
        <v>15</v>
      </c>
      <c r="J12" t="s">
        <v>24</v>
      </c>
      <c r="K12" s="20">
        <f>Results_Raw!P9*S_REC_ci</f>
        <v>-6.5369931689929204E-8</v>
      </c>
      <c r="L12">
        <v>1</v>
      </c>
    </row>
    <row r="13" spans="1:19" x14ac:dyDescent="0.2">
      <c r="A13" s="9" t="s">
        <v>25</v>
      </c>
      <c r="B13" s="9" t="s">
        <v>98</v>
      </c>
      <c r="C13" s="9" t="s">
        <v>100</v>
      </c>
      <c r="D13" s="19">
        <v>0</v>
      </c>
      <c r="E13" s="19">
        <v>0</v>
      </c>
      <c r="F13" s="19">
        <v>0</v>
      </c>
      <c r="G13" s="19"/>
      <c r="H13" t="s">
        <v>25</v>
      </c>
      <c r="I13" t="s">
        <v>26</v>
      </c>
      <c r="J13" t="s">
        <v>17</v>
      </c>
      <c r="K13" s="20">
        <f>Results_Raw!P10*Results_Volume!L5*LS_RETRO_exp_ci</f>
        <v>0</v>
      </c>
      <c r="L13">
        <v>0.33</v>
      </c>
      <c r="M13" s="34"/>
    </row>
    <row r="14" spans="1:19" x14ac:dyDescent="0.2">
      <c r="A14" s="9" t="s">
        <v>25</v>
      </c>
      <c r="B14" s="9" t="s">
        <v>98</v>
      </c>
      <c r="C14" s="9" t="s">
        <v>101</v>
      </c>
      <c r="D14" s="19">
        <v>0</v>
      </c>
      <c r="E14" s="19">
        <v>0</v>
      </c>
      <c r="F14" s="19">
        <v>0</v>
      </c>
      <c r="G14" s="19"/>
      <c r="H14" t="s">
        <v>25</v>
      </c>
      <c r="J14" t="s">
        <v>18</v>
      </c>
      <c r="K14" s="20">
        <f>Results_Raw!P11*Results_Volume!L6*L_DESAL_exp_ci</f>
        <v>0</v>
      </c>
      <c r="L14">
        <v>0.33</v>
      </c>
      <c r="M14" s="34"/>
    </row>
    <row r="15" spans="1:19" x14ac:dyDescent="0.2">
      <c r="A15" s="9" t="s">
        <v>25</v>
      </c>
      <c r="B15" s="9" t="s">
        <v>98</v>
      </c>
      <c r="C15" s="9" t="s">
        <v>102</v>
      </c>
      <c r="D15" s="19">
        <v>0</v>
      </c>
      <c r="E15" s="19">
        <v>0</v>
      </c>
      <c r="F15" s="19">
        <v>0</v>
      </c>
      <c r="G15" s="19"/>
      <c r="H15" t="s">
        <v>25</v>
      </c>
      <c r="J15" t="s">
        <v>19</v>
      </c>
      <c r="K15" s="20">
        <f>Results_Raw!P12*Results_Volume!L7*L_GWR_exp_ci</f>
        <v>0</v>
      </c>
      <c r="L15">
        <v>0.33</v>
      </c>
      <c r="M15" s="34"/>
    </row>
    <row r="16" spans="1:19" x14ac:dyDescent="0.2">
      <c r="A16" s="9" t="s">
        <v>25</v>
      </c>
      <c r="B16" s="9" t="s">
        <v>116</v>
      </c>
      <c r="C16" s="9" t="s">
        <v>100</v>
      </c>
      <c r="D16" s="19">
        <f>Results_Raw!E13*EX_OPTION_ci</f>
        <v>0</v>
      </c>
      <c r="E16" s="19">
        <f>Results_Raw!G13*EX_OPTION_ci</f>
        <v>0</v>
      </c>
      <c r="F16" s="19">
        <f>Results_Raw!I13*EX_OPTION_ci</f>
        <v>0</v>
      </c>
      <c r="G16" s="19"/>
      <c r="H16" t="s">
        <v>25</v>
      </c>
      <c r="J16" t="s">
        <v>20</v>
      </c>
      <c r="K16" s="20">
        <f>Results_Raw!P13*Results_Volume!L8*L_REC_exp_ci</f>
        <v>0</v>
      </c>
      <c r="L16">
        <v>0.33</v>
      </c>
      <c r="M16" s="34"/>
    </row>
    <row r="17" spans="1:12" x14ac:dyDescent="0.2">
      <c r="A17" s="9" t="s">
        <v>25</v>
      </c>
      <c r="B17" s="9"/>
      <c r="C17" s="9" t="s">
        <v>101</v>
      </c>
      <c r="D17" s="19">
        <f>Results_Raw!E14*LS_RESTRICT_ci</f>
        <v>0</v>
      </c>
      <c r="E17" s="19">
        <f>Results_Raw!G14*LS_RESTRICT_ci</f>
        <v>0</v>
      </c>
      <c r="F17" s="19">
        <f>Results_Raw!I14*LS_RESTRICT_ci</f>
        <v>0</v>
      </c>
      <c r="G17" s="19"/>
      <c r="H17" t="s">
        <v>25</v>
      </c>
      <c r="J17" t="s">
        <v>21</v>
      </c>
      <c r="K17" s="20">
        <f>Results_Raw!P14*Results_Volume!L9*OPTION_exp_ci</f>
        <v>0</v>
      </c>
      <c r="L17">
        <v>0.33</v>
      </c>
    </row>
    <row r="18" spans="1:12" x14ac:dyDescent="0.2">
      <c r="A18" s="9" t="s">
        <v>25</v>
      </c>
      <c r="B18" s="9"/>
      <c r="C18" s="9" t="s">
        <v>102</v>
      </c>
      <c r="D18" s="19">
        <f>Results_Raw!E15*SPOT_ci</f>
        <v>0</v>
      </c>
      <c r="E18" s="19">
        <f>Results_Raw!G15*SPOT_ci</f>
        <v>0</v>
      </c>
      <c r="F18" s="19">
        <f>Results_Raw!I15*SPOT_ci</f>
        <v>0</v>
      </c>
      <c r="G18" s="19"/>
      <c r="H18" t="s">
        <v>25</v>
      </c>
      <c r="J18" t="s">
        <v>22</v>
      </c>
      <c r="K18" s="20">
        <f>Results_Raw!P15*Results_Volume!L10*S_DESAL_exp_ci</f>
        <v>0</v>
      </c>
      <c r="L18">
        <v>0.33</v>
      </c>
    </row>
    <row r="19" spans="1:12" x14ac:dyDescent="0.2">
      <c r="A19" s="9" t="s">
        <v>25</v>
      </c>
      <c r="B19" s="9" t="s">
        <v>117</v>
      </c>
      <c r="C19" s="9" t="s">
        <v>100</v>
      </c>
      <c r="D19" s="19">
        <f>Results_Raw!E16*EX_OPTION_ci</f>
        <v>0</v>
      </c>
      <c r="E19" s="19">
        <f>Results_Raw!G16*EX_OPTION_ci</f>
        <v>0</v>
      </c>
      <c r="F19" s="19">
        <f>Results_Raw!I16*EX_OPTION_ci</f>
        <v>6000000</v>
      </c>
      <c r="G19" s="19"/>
      <c r="H19" t="s">
        <v>25</v>
      </c>
      <c r="J19" t="s">
        <v>23</v>
      </c>
      <c r="K19" s="20">
        <f>Results_Raw!P16*Results_Volume!L11*S_GWR_exp_ci</f>
        <v>0</v>
      </c>
      <c r="L19">
        <v>0.33</v>
      </c>
    </row>
    <row r="20" spans="1:12" x14ac:dyDescent="0.2">
      <c r="A20" s="9" t="s">
        <v>25</v>
      </c>
      <c r="B20" s="9"/>
      <c r="C20" s="9" t="s">
        <v>101</v>
      </c>
      <c r="D20" s="19">
        <f>Results_Raw!E17*LS_RESTRICT_ci</f>
        <v>0</v>
      </c>
      <c r="E20" s="19">
        <f>Results_Raw!G17*LS_RESTRICT_ci</f>
        <v>0</v>
      </c>
      <c r="F20" s="19">
        <f>Results_Raw!I17*LS_RESTRICT_ci</f>
        <v>0</v>
      </c>
      <c r="G20" s="19"/>
      <c r="H20" t="s">
        <v>25</v>
      </c>
      <c r="J20" t="s">
        <v>24</v>
      </c>
      <c r="K20" s="20">
        <f>Results_Raw!P17*Results_Volume!L12*S_REC_exp_ci</f>
        <v>0</v>
      </c>
      <c r="L20">
        <v>0.33</v>
      </c>
    </row>
    <row r="21" spans="1:12" x14ac:dyDescent="0.2">
      <c r="A21" s="9" t="s">
        <v>25</v>
      </c>
      <c r="B21" s="9"/>
      <c r="C21" s="9" t="s">
        <v>102</v>
      </c>
      <c r="D21" s="19">
        <f>Results_Raw!E18*SPOT_ci</f>
        <v>0</v>
      </c>
      <c r="E21" s="19">
        <f>Results_Raw!G18*SPOT_ci</f>
        <v>0</v>
      </c>
      <c r="F21" s="19">
        <f>Results_Raw!I18*SPOT_ci</f>
        <v>0</v>
      </c>
      <c r="G21" s="19"/>
      <c r="H21" t="s">
        <v>25</v>
      </c>
      <c r="I21" t="s">
        <v>27</v>
      </c>
      <c r="J21" t="s">
        <v>17</v>
      </c>
      <c r="K21" s="20">
        <f>Results_Raw!P18*Results_Volume!L5*LS_RETRO_exp_ci</f>
        <v>0</v>
      </c>
      <c r="L21">
        <v>0.34</v>
      </c>
    </row>
    <row r="22" spans="1:12" x14ac:dyDescent="0.2">
      <c r="A22" s="9" t="s">
        <v>25</v>
      </c>
      <c r="B22" s="9" t="s">
        <v>118</v>
      </c>
      <c r="C22" s="9" t="s">
        <v>100</v>
      </c>
      <c r="D22" s="19">
        <f>Results_Raw!E19*EX_OPTION_ci</f>
        <v>0</v>
      </c>
      <c r="E22" s="19">
        <f>Results_Raw!G19*EX_OPTION_ci</f>
        <v>7200000</v>
      </c>
      <c r="F22" s="19">
        <f>Results_Raw!I19*EX_OPTION_ci</f>
        <v>24000000</v>
      </c>
      <c r="G22" s="19"/>
      <c r="H22" t="s">
        <v>25</v>
      </c>
      <c r="J22" t="s">
        <v>18</v>
      </c>
      <c r="K22" s="20">
        <f>Results_Raw!P19*Results_Volume!L6*L_DESAL_exp_ci</f>
        <v>0</v>
      </c>
      <c r="L22">
        <v>0.34</v>
      </c>
    </row>
    <row r="23" spans="1:12" x14ac:dyDescent="0.2">
      <c r="A23" s="9" t="s">
        <v>25</v>
      </c>
      <c r="B23" s="9"/>
      <c r="C23" s="9" t="s">
        <v>101</v>
      </c>
      <c r="D23" s="19">
        <f>Results_Raw!E20*LS_RESTRICT_ci</f>
        <v>0</v>
      </c>
      <c r="E23" s="19">
        <f>Results_Raw!G20*LS_RESTRICT_ci</f>
        <v>0</v>
      </c>
      <c r="F23" s="19">
        <f>Results_Raw!I20*LS_RESTRICT_ci</f>
        <v>108000000</v>
      </c>
      <c r="G23" s="19"/>
      <c r="H23" t="s">
        <v>25</v>
      </c>
      <c r="J23" t="s">
        <v>19</v>
      </c>
      <c r="K23" s="20">
        <f>Results_Raw!P20*Results_Volume!L7*L_GWR_exp_ci</f>
        <v>0</v>
      </c>
      <c r="L23">
        <v>0.34</v>
      </c>
    </row>
    <row r="24" spans="1:12" x14ac:dyDescent="0.2">
      <c r="A24" s="9" t="s">
        <v>25</v>
      </c>
      <c r="B24" s="9"/>
      <c r="C24" s="9" t="s">
        <v>102</v>
      </c>
      <c r="D24" s="19">
        <f>Results_Raw!E21*SPOT_ci</f>
        <v>0</v>
      </c>
      <c r="E24" s="19">
        <f>Results_Raw!G21*SPOT_ci</f>
        <v>0</v>
      </c>
      <c r="F24" s="19">
        <f>Results_Raw!I21*SPOT_ci</f>
        <v>40000000</v>
      </c>
      <c r="G24" s="19"/>
      <c r="H24" t="s">
        <v>25</v>
      </c>
      <c r="J24" t="s">
        <v>20</v>
      </c>
      <c r="K24" s="20">
        <f>Results_Raw!P21*Results_Volume!L8*L_REC_exp_ci</f>
        <v>0</v>
      </c>
      <c r="L24">
        <v>0.34</v>
      </c>
    </row>
    <row r="25" spans="1:12" x14ac:dyDescent="0.2">
      <c r="A25" s="9" t="s">
        <v>25</v>
      </c>
      <c r="B25" s="9" t="s">
        <v>119</v>
      </c>
      <c r="C25" s="9" t="s">
        <v>100</v>
      </c>
      <c r="D25" s="19">
        <f>Results_Raw!E22*EX_OPTION_ci</f>
        <v>0</v>
      </c>
      <c r="E25" s="19">
        <f>Results_Raw!G22*EX_OPTION_ci</f>
        <v>24000000</v>
      </c>
      <c r="F25" s="19">
        <f>Results_Raw!I22*EX_OPTION_ci</f>
        <v>0</v>
      </c>
      <c r="G25" s="19"/>
      <c r="H25" t="s">
        <v>25</v>
      </c>
      <c r="J25" t="s">
        <v>21</v>
      </c>
      <c r="K25" s="20">
        <f>Results_Raw!P22*Results_Volume!L9*OPTION_exp_ci</f>
        <v>0</v>
      </c>
      <c r="L25">
        <v>0.34</v>
      </c>
    </row>
    <row r="26" spans="1:12" x14ac:dyDescent="0.2">
      <c r="A26" s="9" t="s">
        <v>25</v>
      </c>
      <c r="B26" s="9"/>
      <c r="C26" s="9" t="s">
        <v>101</v>
      </c>
      <c r="D26" s="19">
        <f>Results_Raw!E23*LS_RESTRICT_ci</f>
        <v>0</v>
      </c>
      <c r="E26" s="19">
        <f>Results_Raw!G23*LS_RESTRICT_ci</f>
        <v>108000000</v>
      </c>
      <c r="F26" s="19">
        <f>Results_Raw!I23*LS_RESTRICT_ci</f>
        <v>0</v>
      </c>
      <c r="G26" s="19"/>
      <c r="H26" t="s">
        <v>25</v>
      </c>
      <c r="J26" t="s">
        <v>22</v>
      </c>
      <c r="K26" s="20">
        <f>Results_Raw!P23*Results_Volume!L10*S_DESAL_exp_ci</f>
        <v>0</v>
      </c>
      <c r="L26">
        <v>0.34</v>
      </c>
    </row>
    <row r="27" spans="1:12" x14ac:dyDescent="0.2">
      <c r="A27" s="9" t="s">
        <v>25</v>
      </c>
      <c r="B27" s="9"/>
      <c r="C27" s="9" t="s">
        <v>102</v>
      </c>
      <c r="D27" s="19">
        <f>Results_Raw!E24*SPOT_ci</f>
        <v>0</v>
      </c>
      <c r="E27" s="19">
        <f>Results_Raw!G24*SPOT_ci</f>
        <v>40000000</v>
      </c>
      <c r="F27" s="19">
        <f>Results_Raw!I24*SPOT_ci</f>
        <v>0</v>
      </c>
      <c r="G27" s="19"/>
      <c r="H27" t="s">
        <v>25</v>
      </c>
      <c r="J27" t="s">
        <v>23</v>
      </c>
      <c r="K27" s="20">
        <f>Results_Raw!P24*Results_Volume!L11*S_GWR_exp_ci</f>
        <v>0</v>
      </c>
      <c r="L27">
        <v>0.34</v>
      </c>
    </row>
    <row r="28" spans="1:12" x14ac:dyDescent="0.2">
      <c r="A28" s="9" t="s">
        <v>25</v>
      </c>
      <c r="B28" s="9" t="s">
        <v>120</v>
      </c>
      <c r="C28" s="9" t="s">
        <v>100</v>
      </c>
      <c r="D28" s="19">
        <f>Results_Raw!E25*EX_OPTION_ci</f>
        <v>0</v>
      </c>
      <c r="E28" s="19">
        <f>Results_Raw!G25*EX_OPTION_ci</f>
        <v>0</v>
      </c>
      <c r="F28" s="19">
        <f>Results_Raw!I25*EX_OPTION_ci</f>
        <v>0</v>
      </c>
      <c r="G28" s="19"/>
      <c r="H28" t="s">
        <v>25</v>
      </c>
      <c r="J28" t="s">
        <v>24</v>
      </c>
      <c r="K28" s="20">
        <f>Results_Raw!P25*Results_Volume!L12*S_REC_exp_ci</f>
        <v>0</v>
      </c>
      <c r="L28">
        <v>0.34</v>
      </c>
    </row>
    <row r="29" spans="1:12" x14ac:dyDescent="0.2">
      <c r="A29" s="9" t="s">
        <v>25</v>
      </c>
      <c r="B29" s="9"/>
      <c r="C29" s="9" t="s">
        <v>101</v>
      </c>
      <c r="D29" s="19">
        <f>Results_Raw!E26*LS_RESTRICT_ci</f>
        <v>0</v>
      </c>
      <c r="E29" s="19">
        <f>Results_Raw!G26*LS_RESTRICT_ci</f>
        <v>0</v>
      </c>
      <c r="F29" s="19">
        <f>Results_Raw!I26*LS_RESTRICT_ci</f>
        <v>0</v>
      </c>
      <c r="G29" s="19"/>
      <c r="H29" t="s">
        <v>25</v>
      </c>
      <c r="I29" t="s">
        <v>28</v>
      </c>
      <c r="J29" t="s">
        <v>17</v>
      </c>
      <c r="K29" s="20">
        <f>Results_Raw!P26*Results_Volume!L5*LS_RETRO_exp_ci</f>
        <v>0</v>
      </c>
      <c r="L29">
        <v>0.33</v>
      </c>
    </row>
    <row r="30" spans="1:12" x14ac:dyDescent="0.2">
      <c r="A30" s="9" t="s">
        <v>25</v>
      </c>
      <c r="B30" s="9"/>
      <c r="C30" s="9" t="s">
        <v>102</v>
      </c>
      <c r="D30" s="19">
        <f>Results_Raw!E27*SPOT_ci</f>
        <v>0</v>
      </c>
      <c r="E30" s="19">
        <f>Results_Raw!G27*SPOT_ci</f>
        <v>0</v>
      </c>
      <c r="F30" s="19">
        <f>Results_Raw!I27*SPOT_ci</f>
        <v>0</v>
      </c>
      <c r="G30" s="19"/>
      <c r="H30" t="s">
        <v>25</v>
      </c>
      <c r="J30" t="s">
        <v>18</v>
      </c>
      <c r="K30" s="20">
        <f>Results_Raw!P27*Results_Volume!L6*L_DESAL_exp_ci</f>
        <v>252000000</v>
      </c>
      <c r="L30">
        <v>0.33</v>
      </c>
    </row>
    <row r="31" spans="1:12" x14ac:dyDescent="0.2">
      <c r="A31" s="9" t="s">
        <v>25</v>
      </c>
      <c r="B31" s="9" t="s">
        <v>121</v>
      </c>
      <c r="C31" s="9" t="s">
        <v>100</v>
      </c>
      <c r="D31" s="19">
        <f>Results_Raw!E28*EX_OPTION_ci</f>
        <v>6000000</v>
      </c>
      <c r="E31" s="19">
        <f>Results_Raw!G28*EX_OPTION_ci</f>
        <v>0</v>
      </c>
      <c r="F31" s="19">
        <f>Results_Raw!I28*EX_OPTION_ci</f>
        <v>0</v>
      </c>
      <c r="G31" s="19"/>
      <c r="H31" t="s">
        <v>25</v>
      </c>
      <c r="J31" t="s">
        <v>19</v>
      </c>
      <c r="K31" s="20">
        <f>Results_Raw!P28*Results_Volume!L7*L_GWR_exp_ci</f>
        <v>0</v>
      </c>
      <c r="L31">
        <v>0.33</v>
      </c>
    </row>
    <row r="32" spans="1:12" x14ac:dyDescent="0.2">
      <c r="A32" s="9" t="s">
        <v>25</v>
      </c>
      <c r="B32" s="9"/>
      <c r="C32" s="9" t="s">
        <v>101</v>
      </c>
      <c r="D32" s="19">
        <f>Results_Raw!E29*LS_RESTRICT_ci</f>
        <v>0</v>
      </c>
      <c r="E32" s="19">
        <f>Results_Raw!G29*LS_RESTRICT_ci</f>
        <v>0</v>
      </c>
      <c r="F32" s="19">
        <f>Results_Raw!I29*LS_RESTRICT_ci</f>
        <v>0</v>
      </c>
      <c r="G32" s="19"/>
      <c r="H32" t="s">
        <v>25</v>
      </c>
      <c r="J32" t="s">
        <v>20</v>
      </c>
      <c r="K32" s="20">
        <f>Results_Raw!P29*Results_Volume!L8*L_REC_exp_ci</f>
        <v>431999999.99999857</v>
      </c>
      <c r="L32">
        <v>0.33</v>
      </c>
    </row>
    <row r="33" spans="1:16" x14ac:dyDescent="0.2">
      <c r="A33" s="9" t="s">
        <v>25</v>
      </c>
      <c r="B33" s="9"/>
      <c r="C33" s="9" t="s">
        <v>102</v>
      </c>
      <c r="D33" s="19">
        <f>Results_Raw!E30*SPOT_ci</f>
        <v>0</v>
      </c>
      <c r="E33" s="19">
        <f>Results_Raw!G30*SPOT_ci</f>
        <v>0</v>
      </c>
      <c r="F33" s="19">
        <f>Results_Raw!I30*SPOT_ci</f>
        <v>0</v>
      </c>
      <c r="G33" s="19"/>
      <c r="H33" t="s">
        <v>25</v>
      </c>
      <c r="J33" t="s">
        <v>21</v>
      </c>
      <c r="K33" s="20">
        <f>Results_Raw!P30*Results_Volume!L9*OPTION_exp_ci</f>
        <v>0</v>
      </c>
      <c r="L33">
        <v>0.33</v>
      </c>
    </row>
    <row r="34" spans="1:16" x14ac:dyDescent="0.2">
      <c r="A34" s="9" t="s">
        <v>25</v>
      </c>
      <c r="B34" s="9" t="s">
        <v>122</v>
      </c>
      <c r="C34" s="9" t="s">
        <v>100</v>
      </c>
      <c r="D34" s="19">
        <f>Results_Raw!E31*EX_OPTION_ci</f>
        <v>24000000</v>
      </c>
      <c r="E34" s="19">
        <f>Results_Raw!G31*EX_OPTION_ci</f>
        <v>0</v>
      </c>
      <c r="F34" s="19">
        <f>Results_Raw!I31*EX_OPTION_ci</f>
        <v>0</v>
      </c>
      <c r="G34" s="19"/>
      <c r="H34" t="s">
        <v>25</v>
      </c>
      <c r="J34" t="s">
        <v>22</v>
      </c>
      <c r="K34" s="20">
        <f>Results_Raw!P31*Results_Volume!L10*S_DESAL_exp_ci</f>
        <v>0</v>
      </c>
      <c r="L34">
        <v>0.33</v>
      </c>
    </row>
    <row r="35" spans="1:16" x14ac:dyDescent="0.2">
      <c r="A35" s="9" t="s">
        <v>25</v>
      </c>
      <c r="B35" s="9"/>
      <c r="C35" s="9" t="s">
        <v>101</v>
      </c>
      <c r="D35" s="19">
        <f>Results_Raw!E32*LS_RESTRICT_ci</f>
        <v>108000000</v>
      </c>
      <c r="E35" s="19">
        <f>Results_Raw!G32*LS_RESTRICT_ci</f>
        <v>0</v>
      </c>
      <c r="F35" s="19">
        <f>Results_Raw!I32*LS_RESTRICT_ci</f>
        <v>0</v>
      </c>
      <c r="G35" s="19"/>
      <c r="H35" t="s">
        <v>25</v>
      </c>
      <c r="J35" t="s">
        <v>23</v>
      </c>
      <c r="K35" s="20">
        <f>Results_Raw!P32*Results_Volume!L11*S_GWR_exp_ci</f>
        <v>0</v>
      </c>
      <c r="L35">
        <v>0.33</v>
      </c>
    </row>
    <row r="36" spans="1:16" x14ac:dyDescent="0.2">
      <c r="A36" s="9" t="s">
        <v>25</v>
      </c>
      <c r="B36" s="9"/>
      <c r="C36" s="9" t="s">
        <v>102</v>
      </c>
      <c r="D36" s="19">
        <f>Results_Raw!E33*SPOT_ci</f>
        <v>40000000</v>
      </c>
      <c r="E36" s="19">
        <f>Results_Raw!G33*SPOT_ci</f>
        <v>0</v>
      </c>
      <c r="F36" s="19">
        <f>Results_Raw!I33*SPOT_ci</f>
        <v>0</v>
      </c>
      <c r="G36" s="19"/>
      <c r="H36" t="s">
        <v>25</v>
      </c>
      <c r="J36" t="s">
        <v>24</v>
      </c>
      <c r="K36" s="20">
        <f>Results_Raw!P33*Results_Volume!L12*S_REC_exp_ci</f>
        <v>8.1647103690374369E-24</v>
      </c>
      <c r="L36">
        <v>0.33</v>
      </c>
      <c r="N36" t="s">
        <v>147</v>
      </c>
      <c r="O36" t="s">
        <v>146</v>
      </c>
      <c r="P36" t="s">
        <v>139</v>
      </c>
    </row>
    <row r="37" spans="1:16" x14ac:dyDescent="0.2">
      <c r="A37" s="9"/>
      <c r="B37" s="9"/>
      <c r="C37" s="9"/>
      <c r="D37" s="19"/>
      <c r="E37" s="19"/>
      <c r="F37" s="19"/>
      <c r="G37" s="19"/>
      <c r="H37" t="s">
        <v>29</v>
      </c>
      <c r="I37" t="s">
        <v>30</v>
      </c>
      <c r="J37" t="s">
        <v>82</v>
      </c>
      <c r="K37">
        <v>0</v>
      </c>
      <c r="L37">
        <v>0.28050000000000003</v>
      </c>
      <c r="N37" s="9" t="s">
        <v>145</v>
      </c>
      <c r="O37" t="s">
        <v>12</v>
      </c>
      <c r="P37">
        <v>0.28050000000000003</v>
      </c>
    </row>
    <row r="38" spans="1:16" x14ac:dyDescent="0.2">
      <c r="A38" s="10"/>
      <c r="B38" t="s">
        <v>11</v>
      </c>
      <c r="C38" t="s">
        <v>115</v>
      </c>
      <c r="D38" t="s">
        <v>12</v>
      </c>
      <c r="E38" s="19"/>
      <c r="F38" s="19"/>
      <c r="G38" s="19"/>
      <c r="H38" t="s">
        <v>29</v>
      </c>
      <c r="J38" t="s">
        <v>83</v>
      </c>
      <c r="K38">
        <v>0</v>
      </c>
      <c r="L38">
        <v>0.28050000000000003</v>
      </c>
      <c r="N38" s="9"/>
      <c r="O38" t="s">
        <v>115</v>
      </c>
      <c r="P38">
        <v>0.14960000000000001</v>
      </c>
    </row>
    <row r="39" spans="1:16" x14ac:dyDescent="0.2">
      <c r="A39" t="s">
        <v>124</v>
      </c>
      <c r="B39" s="34">
        <f>SUM(B40:B43)</f>
        <v>3889920000</v>
      </c>
      <c r="C39" s="34">
        <f t="shared" ref="C39:D39" si="0">SUM(C40:C43)</f>
        <v>1563912000</v>
      </c>
      <c r="D39" s="34">
        <f t="shared" si="0"/>
        <v>888520000</v>
      </c>
      <c r="E39" s="19"/>
      <c r="F39" s="19"/>
      <c r="G39" s="19"/>
      <c r="H39" t="s">
        <v>29</v>
      </c>
      <c r="J39" t="s">
        <v>32</v>
      </c>
      <c r="K39">
        <v>0</v>
      </c>
      <c r="L39">
        <v>0.28050000000000003</v>
      </c>
      <c r="N39" s="9"/>
      <c r="O39" t="s">
        <v>11</v>
      </c>
      <c r="P39">
        <v>3.3E-3</v>
      </c>
    </row>
    <row r="40" spans="1:16" x14ac:dyDescent="0.2">
      <c r="A40" t="s">
        <v>125</v>
      </c>
      <c r="B40" s="19">
        <f>SUM(D5:D12)</f>
        <v>3865000000</v>
      </c>
      <c r="C40" s="19">
        <f>SUM(E5:E12)</f>
        <v>1549000000</v>
      </c>
      <c r="D40" s="19">
        <f>SUM(F5:F12)</f>
        <v>883000000</v>
      </c>
      <c r="E40" s="19"/>
      <c r="F40" s="19"/>
      <c r="G40" s="19"/>
      <c r="H40" t="s">
        <v>29</v>
      </c>
      <c r="J40" t="s">
        <v>33</v>
      </c>
      <c r="K40">
        <v>0</v>
      </c>
      <c r="L40">
        <v>0.28050000000000003</v>
      </c>
      <c r="N40" s="9" t="s">
        <v>116</v>
      </c>
      <c r="O40" t="s">
        <v>12</v>
      </c>
      <c r="P40">
        <v>1.9800000000000002E-2</v>
      </c>
    </row>
    <row r="41" spans="1:16" x14ac:dyDescent="0.2">
      <c r="A41" s="9" t="s">
        <v>100</v>
      </c>
      <c r="B41" s="19">
        <f>D16*Results_Raw!F13+D19*Results_Raw!F16+D22*Results_Raw!F19+D25*Results_Raw!F22+D28*Results_Raw!F25+D31*Results_Raw!F28+D34*Results_Raw!F28</f>
        <v>4200000.0000000009</v>
      </c>
      <c r="C41" s="19">
        <f>E16*Results_Raw!H13+E19*Results_Raw!H16+E22*Results_Raw!H19+E25*Results_Raw!H22+E28*Results_Raw!H25+E31*Results_Raw!H28+E34*Results_Raw!H28</f>
        <v>3072000</v>
      </c>
      <c r="D41" s="19">
        <f>F16*Results_Raw!J13+F19*Results_Raw!J16+F22*Results_Raw!J19+F25*Results_Raw!J22+F28*Results_Raw!J25+F31*Results_Raw!J28+F34*Results_Raw!J28</f>
        <v>1080000</v>
      </c>
      <c r="E41" s="19"/>
      <c r="F41" s="19"/>
      <c r="G41" s="19"/>
      <c r="H41" t="s">
        <v>29</v>
      </c>
      <c r="I41" t="s">
        <v>34</v>
      </c>
      <c r="J41" t="s">
        <v>82</v>
      </c>
      <c r="K41">
        <v>0</v>
      </c>
      <c r="L41">
        <v>0.14960000000000001</v>
      </c>
      <c r="N41" s="9"/>
      <c r="O41" t="s">
        <v>115</v>
      </c>
      <c r="P41">
        <v>2.7199999999999998E-2</v>
      </c>
    </row>
    <row r="42" spans="1:16" x14ac:dyDescent="0.2">
      <c r="A42" s="9" t="s">
        <v>101</v>
      </c>
      <c r="B42" s="19">
        <f>D17*Results_Raw!F14+D20*Results_Raw!F17+D23*Results_Raw!F20+D26*Results_Raw!F23+D29*Results_Raw!F26+D32*Results_Raw!F29+D35*Results_Raw!F29</f>
        <v>15120000.000000002</v>
      </c>
      <c r="C42" s="19">
        <f>E17*Results_Raw!H14+E20*Results_Raw!H17+E23*Results_Raw!H20+E26*Results_Raw!H23+E29*Results_Raw!H26+E32*Results_Raw!H29+E35*Results_Raw!H29</f>
        <v>8640000</v>
      </c>
      <c r="D42" s="19">
        <f>F17*Results_Raw!J14+F20*Results_Raw!J17+F23*Results_Raw!J20+F26*Results_Raw!J23+F29*Results_Raw!J26+F32*Results_Raw!J29+F35*Results_Raw!J29</f>
        <v>3240000</v>
      </c>
      <c r="E42" s="19"/>
      <c r="F42" s="19"/>
      <c r="G42" s="19"/>
      <c r="H42" t="s">
        <v>29</v>
      </c>
      <c r="J42" t="s">
        <v>83</v>
      </c>
      <c r="K42">
        <v>0</v>
      </c>
      <c r="L42">
        <v>0.14960000000000001</v>
      </c>
      <c r="N42" s="9"/>
      <c r="O42" t="s">
        <v>11</v>
      </c>
      <c r="P42">
        <v>9.9000000000000008E-3</v>
      </c>
    </row>
    <row r="43" spans="1:16" x14ac:dyDescent="0.2">
      <c r="A43" s="9" t="s">
        <v>102</v>
      </c>
      <c r="B43" s="19">
        <f>D18*Results_Raw!F15+D21*Results_Raw!F18+D24*Results_Raw!F21+D27*Results_Raw!F24+D30*Results_Raw!F27+D33*Results_Raw!F30+D36*Results_Raw!F30</f>
        <v>5600000.0000000009</v>
      </c>
      <c r="C43" s="19">
        <f>E18*Results_Raw!H15+E21*Results_Raw!H18+E24*Results_Raw!H21+E27*Results_Raw!H24+E30*Results_Raw!H27+E33*Results_Raw!H30+E36*Results_Raw!H30</f>
        <v>3200000</v>
      </c>
      <c r="D43" s="19">
        <f>F18*Results_Raw!J15+F21*Results_Raw!J18+F24*Results_Raw!J21+F27*Results_Raw!J24+F30*Results_Raw!J27+F33*Results_Raw!J30+F36*Results_Raw!J30</f>
        <v>1200000</v>
      </c>
      <c r="E43" s="19"/>
      <c r="F43" s="19"/>
      <c r="G43" s="19"/>
      <c r="H43" t="s">
        <v>29</v>
      </c>
      <c r="J43" t="s">
        <v>32</v>
      </c>
      <c r="K43">
        <v>0</v>
      </c>
      <c r="L43">
        <v>0.14960000000000001</v>
      </c>
      <c r="N43" s="9" t="s">
        <v>117</v>
      </c>
      <c r="O43" t="s">
        <v>12</v>
      </c>
      <c r="P43">
        <v>1.9800000000000002E-2</v>
      </c>
    </row>
    <row r="44" spans="1:16" x14ac:dyDescent="0.2">
      <c r="A44" s="9"/>
      <c r="B44" s="9"/>
      <c r="C44" s="9"/>
      <c r="D44" s="19"/>
      <c r="E44" s="19"/>
      <c r="F44" s="19"/>
      <c r="G44" s="19"/>
      <c r="H44" t="s">
        <v>29</v>
      </c>
      <c r="J44" t="s">
        <v>33</v>
      </c>
      <c r="K44">
        <v>0</v>
      </c>
      <c r="L44">
        <v>0.14960000000000001</v>
      </c>
      <c r="N44" s="9"/>
      <c r="O44" t="s">
        <v>115</v>
      </c>
      <c r="P44">
        <v>8.1600000000000006E-2</v>
      </c>
    </row>
    <row r="45" spans="1:16" x14ac:dyDescent="0.2">
      <c r="A45" s="9"/>
      <c r="B45" s="9"/>
      <c r="C45" s="9"/>
      <c r="D45" s="19"/>
      <c r="E45" s="19"/>
      <c r="F45" s="19"/>
      <c r="G45" s="19"/>
      <c r="H45" t="s">
        <v>29</v>
      </c>
      <c r="I45" t="s">
        <v>35</v>
      </c>
      <c r="J45" t="s">
        <v>82</v>
      </c>
      <c r="K45">
        <v>0</v>
      </c>
      <c r="L45">
        <v>3.3E-3</v>
      </c>
      <c r="N45" s="9"/>
      <c r="O45" t="s">
        <v>11</v>
      </c>
      <c r="P45">
        <v>2.9700000000000001E-2</v>
      </c>
    </row>
    <row r="46" spans="1:16" x14ac:dyDescent="0.2">
      <c r="A46" s="9"/>
      <c r="B46" s="9"/>
      <c r="C46" s="9"/>
      <c r="D46" s="19"/>
      <c r="E46" s="19"/>
      <c r="F46" s="19"/>
      <c r="G46" s="19"/>
      <c r="H46" t="s">
        <v>29</v>
      </c>
      <c r="J46" t="s">
        <v>83</v>
      </c>
      <c r="K46">
        <v>0</v>
      </c>
      <c r="L46">
        <v>3.3E-3</v>
      </c>
      <c r="N46" s="9" t="s">
        <v>140</v>
      </c>
      <c r="O46" t="s">
        <v>12</v>
      </c>
      <c r="P46">
        <v>9.9000000000000008E-3</v>
      </c>
    </row>
    <row r="47" spans="1:16" x14ac:dyDescent="0.2">
      <c r="A47" s="9"/>
      <c r="B47" s="9"/>
      <c r="C47" s="9"/>
      <c r="D47" s="19"/>
      <c r="E47" s="19"/>
      <c r="F47" s="19"/>
      <c r="G47" s="19"/>
      <c r="H47" t="s">
        <v>29</v>
      </c>
      <c r="J47" t="s">
        <v>32</v>
      </c>
      <c r="K47">
        <v>0</v>
      </c>
      <c r="L47">
        <v>3.3E-3</v>
      </c>
      <c r="N47" s="9"/>
      <c r="O47" t="s">
        <v>115</v>
      </c>
      <c r="P47">
        <v>5.4399999999999997E-2</v>
      </c>
    </row>
    <row r="48" spans="1:16" x14ac:dyDescent="0.2">
      <c r="A48" s="9"/>
      <c r="B48" s="9"/>
      <c r="C48" s="9"/>
      <c r="D48" s="19"/>
      <c r="E48" s="19"/>
      <c r="F48" s="19"/>
      <c r="G48" s="19"/>
      <c r="H48" t="s">
        <v>29</v>
      </c>
      <c r="J48" t="s">
        <v>33</v>
      </c>
      <c r="K48">
        <v>0</v>
      </c>
      <c r="L48">
        <v>3.3E-3</v>
      </c>
      <c r="N48" s="9"/>
      <c r="O48" t="s">
        <v>11</v>
      </c>
      <c r="P48">
        <v>6.2700000000000006E-2</v>
      </c>
    </row>
    <row r="49" spans="1:16" x14ac:dyDescent="0.2">
      <c r="A49" s="9"/>
      <c r="B49" s="9"/>
      <c r="C49" s="9"/>
      <c r="D49" s="19"/>
      <c r="E49" s="19"/>
      <c r="F49" s="19"/>
      <c r="G49" s="19"/>
      <c r="H49" t="s">
        <v>29</v>
      </c>
      <c r="I49" t="s">
        <v>36</v>
      </c>
      <c r="J49" t="s">
        <v>82</v>
      </c>
      <c r="K49">
        <v>0</v>
      </c>
      <c r="L49">
        <v>1.9800000000000002E-2</v>
      </c>
      <c r="N49" s="9" t="s">
        <v>141</v>
      </c>
      <c r="O49" t="s">
        <v>12</v>
      </c>
      <c r="P49">
        <v>0</v>
      </c>
    </row>
    <row r="50" spans="1:16" x14ac:dyDescent="0.2">
      <c r="A50" s="9"/>
      <c r="B50" s="9"/>
      <c r="C50" s="9"/>
      <c r="D50" s="19"/>
      <c r="E50" s="19"/>
      <c r="F50" s="19"/>
      <c r="G50" s="19"/>
      <c r="H50" t="s">
        <v>29</v>
      </c>
      <c r="J50" t="s">
        <v>83</v>
      </c>
      <c r="K50">
        <v>0</v>
      </c>
      <c r="L50">
        <v>1.9800000000000002E-2</v>
      </c>
      <c r="N50" s="9"/>
      <c r="O50" t="s">
        <v>115</v>
      </c>
      <c r="P50">
        <v>2.7199999999999998E-2</v>
      </c>
    </row>
    <row r="51" spans="1:16" x14ac:dyDescent="0.2">
      <c r="A51" s="9"/>
      <c r="B51" s="9"/>
      <c r="C51" s="9"/>
      <c r="D51" s="19"/>
      <c r="E51" s="19"/>
      <c r="F51" s="19"/>
      <c r="G51" s="19"/>
      <c r="H51" t="s">
        <v>29</v>
      </c>
      <c r="J51" t="s">
        <v>32</v>
      </c>
      <c r="K51">
        <v>0</v>
      </c>
      <c r="L51">
        <v>1.9800000000000002E-2</v>
      </c>
      <c r="N51" s="9"/>
      <c r="O51" t="s">
        <v>11</v>
      </c>
      <c r="P51">
        <v>9.9000000000000005E-2</v>
      </c>
    </row>
    <row r="52" spans="1:16" x14ac:dyDescent="0.2">
      <c r="A52" s="9"/>
      <c r="B52" s="9"/>
      <c r="C52" s="9"/>
      <c r="D52" s="19"/>
      <c r="E52" s="19"/>
      <c r="F52" s="19"/>
      <c r="G52" s="19"/>
      <c r="H52" t="s">
        <v>29</v>
      </c>
      <c r="J52" t="s">
        <v>33</v>
      </c>
      <c r="K52">
        <v>0</v>
      </c>
      <c r="L52">
        <v>1.9800000000000002E-2</v>
      </c>
      <c r="N52" s="9" t="s">
        <v>142</v>
      </c>
      <c r="O52" t="s">
        <v>12</v>
      </c>
      <c r="P52">
        <v>0</v>
      </c>
    </row>
    <row r="53" spans="1:16" x14ac:dyDescent="0.2">
      <c r="A53" s="9"/>
      <c r="B53" s="9"/>
      <c r="C53" s="9"/>
      <c r="D53" s="19"/>
      <c r="E53" s="19"/>
      <c r="F53" s="19"/>
      <c r="G53" s="19"/>
      <c r="H53" t="s">
        <v>29</v>
      </c>
      <c r="I53" t="s">
        <v>37</v>
      </c>
      <c r="J53" t="s">
        <v>82</v>
      </c>
      <c r="K53">
        <v>0</v>
      </c>
      <c r="L53">
        <v>2.7199999999999998E-2</v>
      </c>
      <c r="N53" s="9"/>
      <c r="O53" t="s">
        <v>115</v>
      </c>
      <c r="P53">
        <v>0</v>
      </c>
    </row>
    <row r="54" spans="1:16" x14ac:dyDescent="0.2">
      <c r="A54" s="9"/>
      <c r="B54" s="9"/>
      <c r="C54" s="9"/>
      <c r="D54" s="19"/>
      <c r="E54" s="19"/>
      <c r="F54" s="19"/>
      <c r="G54" s="19"/>
      <c r="H54" t="s">
        <v>29</v>
      </c>
      <c r="J54" t="s">
        <v>83</v>
      </c>
      <c r="K54">
        <v>0</v>
      </c>
      <c r="L54">
        <v>2.7199999999999998E-2</v>
      </c>
      <c r="N54" s="9"/>
      <c r="O54" t="s">
        <v>11</v>
      </c>
      <c r="P54">
        <v>7.2599999999999998E-2</v>
      </c>
    </row>
    <row r="55" spans="1:16" x14ac:dyDescent="0.2">
      <c r="A55" s="9"/>
      <c r="B55" s="9"/>
      <c r="C55" s="9"/>
      <c r="D55" s="19"/>
      <c r="E55" s="19"/>
      <c r="F55" s="19"/>
      <c r="G55" s="19"/>
      <c r="H55" t="s">
        <v>29</v>
      </c>
      <c r="J55" t="s">
        <v>32</v>
      </c>
      <c r="K55">
        <v>0</v>
      </c>
      <c r="L55">
        <v>2.7199999999999998E-2</v>
      </c>
      <c r="N55" s="9" t="s">
        <v>143</v>
      </c>
      <c r="O55" t="s">
        <v>12</v>
      </c>
      <c r="P55">
        <v>0</v>
      </c>
    </row>
    <row r="56" spans="1:16" x14ac:dyDescent="0.2">
      <c r="A56" s="9"/>
      <c r="B56" s="9"/>
      <c r="C56" s="9"/>
      <c r="D56" s="19"/>
      <c r="E56" s="19"/>
      <c r="F56" s="19"/>
      <c r="G56" s="19"/>
      <c r="H56" t="s">
        <v>29</v>
      </c>
      <c r="J56" t="s">
        <v>33</v>
      </c>
      <c r="K56">
        <v>0</v>
      </c>
      <c r="L56">
        <v>2.7199999999999998E-2</v>
      </c>
      <c r="N56" s="9"/>
      <c r="O56" t="s">
        <v>115</v>
      </c>
      <c r="P56">
        <v>0</v>
      </c>
    </row>
    <row r="57" spans="1:16" x14ac:dyDescent="0.2">
      <c r="A57" s="9"/>
      <c r="B57" s="9"/>
      <c r="C57" s="9"/>
      <c r="D57" s="19"/>
      <c r="E57" s="19"/>
      <c r="F57" s="19"/>
      <c r="G57" s="19"/>
      <c r="H57" t="s">
        <v>29</v>
      </c>
      <c r="I57" t="s">
        <v>38</v>
      </c>
      <c r="J57" t="s">
        <v>82</v>
      </c>
      <c r="K57">
        <v>0</v>
      </c>
      <c r="L57">
        <v>9.9000000000000008E-3</v>
      </c>
      <c r="N57" s="9"/>
      <c r="O57" t="s">
        <v>11</v>
      </c>
      <c r="P57">
        <v>4.6199999999999998E-2</v>
      </c>
    </row>
    <row r="58" spans="1:16" x14ac:dyDescent="0.2">
      <c r="A58" s="9"/>
      <c r="B58" s="9"/>
      <c r="C58" s="9"/>
      <c r="D58" s="19"/>
      <c r="E58" s="19"/>
      <c r="F58" s="19"/>
      <c r="G58" s="19"/>
      <c r="H58" t="s">
        <v>29</v>
      </c>
      <c r="J58" t="s">
        <v>83</v>
      </c>
      <c r="K58">
        <v>0</v>
      </c>
      <c r="L58">
        <v>9.9000000000000008E-3</v>
      </c>
      <c r="N58" s="9" t="s">
        <v>144</v>
      </c>
      <c r="O58" t="s">
        <v>12</v>
      </c>
      <c r="P58">
        <v>0</v>
      </c>
    </row>
    <row r="59" spans="1:16" x14ac:dyDescent="0.2">
      <c r="A59" s="9"/>
      <c r="B59" s="9"/>
      <c r="C59" s="9"/>
      <c r="D59" s="19"/>
      <c r="E59" s="19"/>
      <c r="F59" s="19"/>
      <c r="G59" s="19"/>
      <c r="H59" t="s">
        <v>29</v>
      </c>
      <c r="J59" t="s">
        <v>32</v>
      </c>
      <c r="K59">
        <v>0</v>
      </c>
      <c r="L59">
        <v>9.9000000000000008E-3</v>
      </c>
      <c r="N59" s="9"/>
      <c r="O59" t="s">
        <v>115</v>
      </c>
      <c r="P59">
        <v>0</v>
      </c>
    </row>
    <row r="60" spans="1:16" x14ac:dyDescent="0.2">
      <c r="A60" s="9"/>
      <c r="B60" s="9"/>
      <c r="C60" s="9"/>
      <c r="D60" s="19"/>
      <c r="E60" s="19"/>
      <c r="F60" s="19"/>
      <c r="G60" s="19"/>
      <c r="H60" t="s">
        <v>29</v>
      </c>
      <c r="J60" t="s">
        <v>33</v>
      </c>
      <c r="K60">
        <v>0</v>
      </c>
      <c r="L60">
        <v>9.9000000000000008E-3</v>
      </c>
      <c r="N60" s="9"/>
      <c r="O60" t="s">
        <v>11</v>
      </c>
      <c r="P60">
        <v>6.6E-3</v>
      </c>
    </row>
    <row r="61" spans="1:16" x14ac:dyDescent="0.2">
      <c r="A61" s="9"/>
      <c r="B61" s="9"/>
      <c r="C61" s="9"/>
      <c r="D61" s="19"/>
      <c r="E61" s="19"/>
      <c r="F61" s="19"/>
      <c r="G61" s="19"/>
      <c r="H61" t="s">
        <v>29</v>
      </c>
      <c r="I61" t="s">
        <v>39</v>
      </c>
      <c r="J61" t="s">
        <v>82</v>
      </c>
      <c r="K61">
        <v>0</v>
      </c>
      <c r="L61">
        <v>1.9800000000000002E-2</v>
      </c>
    </row>
    <row r="62" spans="1:16" x14ac:dyDescent="0.2">
      <c r="A62" s="9"/>
      <c r="B62" s="9"/>
      <c r="C62" s="9"/>
      <c r="D62" s="19"/>
      <c r="E62" s="19"/>
      <c r="F62" s="19"/>
      <c r="G62" s="19"/>
      <c r="H62" t="s">
        <v>29</v>
      </c>
      <c r="J62" t="s">
        <v>83</v>
      </c>
      <c r="K62">
        <v>0</v>
      </c>
      <c r="L62">
        <v>1.9800000000000002E-2</v>
      </c>
    </row>
    <row r="63" spans="1:16" x14ac:dyDescent="0.2">
      <c r="A63" s="9"/>
      <c r="B63" s="9"/>
      <c r="C63" s="9"/>
      <c r="D63" s="19"/>
      <c r="E63" s="19"/>
      <c r="F63" s="19"/>
      <c r="G63" s="19"/>
      <c r="H63" t="s">
        <v>29</v>
      </c>
      <c r="J63" t="s">
        <v>32</v>
      </c>
      <c r="K63">
        <v>0</v>
      </c>
      <c r="L63">
        <v>1.9800000000000002E-2</v>
      </c>
    </row>
    <row r="64" spans="1:16" x14ac:dyDescent="0.2">
      <c r="A64" s="9"/>
      <c r="B64" s="9"/>
      <c r="C64" s="9"/>
      <c r="D64" s="19"/>
      <c r="E64" s="19"/>
      <c r="F64" s="19"/>
      <c r="G64" s="19"/>
      <c r="H64" t="s">
        <v>29</v>
      </c>
      <c r="J64" t="s">
        <v>33</v>
      </c>
      <c r="K64">
        <v>0</v>
      </c>
      <c r="L64">
        <v>1.9800000000000002E-2</v>
      </c>
    </row>
    <row r="65" spans="1:12" x14ac:dyDescent="0.2">
      <c r="A65" s="9"/>
      <c r="B65" s="9"/>
      <c r="C65" s="9"/>
      <c r="D65" s="19"/>
      <c r="E65" s="19"/>
      <c r="F65" s="19"/>
      <c r="G65" s="19"/>
      <c r="H65" t="s">
        <v>29</v>
      </c>
      <c r="I65" t="s">
        <v>40</v>
      </c>
      <c r="J65" t="s">
        <v>82</v>
      </c>
      <c r="K65">
        <v>0</v>
      </c>
      <c r="L65">
        <v>8.1600000000000006E-2</v>
      </c>
    </row>
    <row r="66" spans="1:12" x14ac:dyDescent="0.2">
      <c r="A66" s="9"/>
      <c r="B66" s="9"/>
      <c r="C66" s="9"/>
      <c r="D66" s="19"/>
      <c r="E66" s="19"/>
      <c r="F66" s="19"/>
      <c r="G66" s="19"/>
      <c r="H66" t="s">
        <v>29</v>
      </c>
      <c r="J66" t="s">
        <v>83</v>
      </c>
      <c r="K66">
        <v>0</v>
      </c>
      <c r="L66">
        <v>8.1600000000000006E-2</v>
      </c>
    </row>
    <row r="67" spans="1:12" x14ac:dyDescent="0.2">
      <c r="H67" t="s">
        <v>29</v>
      </c>
      <c r="J67" t="s">
        <v>32</v>
      </c>
      <c r="K67">
        <v>0</v>
      </c>
      <c r="L67">
        <v>8.1600000000000006E-2</v>
      </c>
    </row>
    <row r="68" spans="1:12" x14ac:dyDescent="0.2">
      <c r="H68" t="s">
        <v>29</v>
      </c>
      <c r="J68" t="s">
        <v>33</v>
      </c>
      <c r="K68">
        <v>0</v>
      </c>
      <c r="L68">
        <v>8.1600000000000006E-2</v>
      </c>
    </row>
    <row r="69" spans="1:12" x14ac:dyDescent="0.2">
      <c r="H69" t="s">
        <v>29</v>
      </c>
      <c r="I69" t="s">
        <v>41</v>
      </c>
      <c r="J69" t="s">
        <v>82</v>
      </c>
      <c r="K69">
        <v>0</v>
      </c>
      <c r="L69">
        <v>2.9700000000000001E-2</v>
      </c>
    </row>
    <row r="70" spans="1:12" x14ac:dyDescent="0.2">
      <c r="H70" t="s">
        <v>29</v>
      </c>
      <c r="J70" t="s">
        <v>83</v>
      </c>
      <c r="K70">
        <v>0</v>
      </c>
      <c r="L70">
        <v>2.9700000000000001E-2</v>
      </c>
    </row>
    <row r="71" spans="1:12" x14ac:dyDescent="0.2">
      <c r="H71" t="s">
        <v>29</v>
      </c>
      <c r="J71" t="s">
        <v>32</v>
      </c>
      <c r="K71">
        <v>0</v>
      </c>
      <c r="L71">
        <v>2.9700000000000001E-2</v>
      </c>
    </row>
    <row r="72" spans="1:12" x14ac:dyDescent="0.2">
      <c r="H72" t="s">
        <v>29</v>
      </c>
      <c r="J72" t="s">
        <v>33</v>
      </c>
      <c r="K72">
        <v>0</v>
      </c>
      <c r="L72">
        <v>2.9700000000000001E-2</v>
      </c>
    </row>
    <row r="73" spans="1:12" x14ac:dyDescent="0.2">
      <c r="H73" t="s">
        <v>29</v>
      </c>
      <c r="I73" t="s">
        <v>42</v>
      </c>
      <c r="J73" t="s">
        <v>82</v>
      </c>
      <c r="K73">
        <v>0</v>
      </c>
      <c r="L73">
        <v>9.9000000000000008E-3</v>
      </c>
    </row>
    <row r="74" spans="1:12" x14ac:dyDescent="0.2">
      <c r="H74" t="s">
        <v>29</v>
      </c>
      <c r="J74" t="s">
        <v>83</v>
      </c>
      <c r="K74">
        <v>0</v>
      </c>
      <c r="L74">
        <v>9.9000000000000008E-3</v>
      </c>
    </row>
    <row r="75" spans="1:12" x14ac:dyDescent="0.2">
      <c r="H75" t="s">
        <v>29</v>
      </c>
      <c r="J75" t="s">
        <v>32</v>
      </c>
      <c r="K75">
        <v>0</v>
      </c>
      <c r="L75">
        <v>9.9000000000000008E-3</v>
      </c>
    </row>
    <row r="76" spans="1:12" x14ac:dyDescent="0.2">
      <c r="H76" t="s">
        <v>29</v>
      </c>
      <c r="J76" t="s">
        <v>33</v>
      </c>
      <c r="K76">
        <v>0</v>
      </c>
      <c r="L76">
        <v>9.9000000000000008E-3</v>
      </c>
    </row>
    <row r="77" spans="1:12" x14ac:dyDescent="0.2">
      <c r="H77" t="s">
        <v>29</v>
      </c>
      <c r="I77" t="s">
        <v>43</v>
      </c>
      <c r="J77" t="s">
        <v>82</v>
      </c>
      <c r="K77">
        <v>0</v>
      </c>
      <c r="L77">
        <v>5.4399999999999997E-2</v>
      </c>
    </row>
    <row r="78" spans="1:12" x14ac:dyDescent="0.2">
      <c r="H78" t="s">
        <v>29</v>
      </c>
      <c r="J78" t="s">
        <v>83</v>
      </c>
      <c r="K78">
        <v>0</v>
      </c>
      <c r="L78">
        <v>5.4399999999999997E-2</v>
      </c>
    </row>
    <row r="79" spans="1:12" x14ac:dyDescent="0.2">
      <c r="H79" t="s">
        <v>29</v>
      </c>
      <c r="J79" t="s">
        <v>32</v>
      </c>
      <c r="K79">
        <v>0</v>
      </c>
      <c r="L79">
        <v>5.4399999999999997E-2</v>
      </c>
    </row>
    <row r="80" spans="1:12" x14ac:dyDescent="0.2">
      <c r="H80" t="s">
        <v>29</v>
      </c>
      <c r="J80" t="s">
        <v>33</v>
      </c>
      <c r="K80">
        <v>0</v>
      </c>
      <c r="L80">
        <v>5.4399999999999997E-2</v>
      </c>
    </row>
    <row r="81" spans="8:15" x14ac:dyDescent="0.2">
      <c r="H81" t="s">
        <v>29</v>
      </c>
      <c r="I81" t="s">
        <v>44</v>
      </c>
      <c r="J81" t="s">
        <v>82</v>
      </c>
      <c r="K81">
        <v>0</v>
      </c>
      <c r="L81">
        <v>6.2700000000000006E-2</v>
      </c>
    </row>
    <row r="82" spans="8:15" x14ac:dyDescent="0.2">
      <c r="H82" t="s">
        <v>29</v>
      </c>
      <c r="J82" t="s">
        <v>83</v>
      </c>
      <c r="K82">
        <v>0</v>
      </c>
      <c r="L82">
        <v>6.2700000000000006E-2</v>
      </c>
    </row>
    <row r="83" spans="8:15" x14ac:dyDescent="0.2">
      <c r="H83" t="s">
        <v>29</v>
      </c>
      <c r="J83" t="s">
        <v>32</v>
      </c>
      <c r="K83">
        <v>0</v>
      </c>
      <c r="L83">
        <v>6.2700000000000006E-2</v>
      </c>
    </row>
    <row r="84" spans="8:15" x14ac:dyDescent="0.2">
      <c r="H84" t="s">
        <v>29</v>
      </c>
      <c r="J84" t="s">
        <v>33</v>
      </c>
      <c r="K84">
        <v>0</v>
      </c>
      <c r="L84">
        <v>6.2700000000000006E-2</v>
      </c>
    </row>
    <row r="85" spans="8:15" x14ac:dyDescent="0.2">
      <c r="H85" t="s">
        <v>29</v>
      </c>
      <c r="I85" t="s">
        <v>45</v>
      </c>
      <c r="J85" t="s">
        <v>82</v>
      </c>
      <c r="K85">
        <v>0</v>
      </c>
      <c r="L85">
        <v>2.7199999999999998E-2</v>
      </c>
    </row>
    <row r="86" spans="8:15" x14ac:dyDescent="0.2">
      <c r="H86" t="s">
        <v>29</v>
      </c>
      <c r="J86" t="s">
        <v>83</v>
      </c>
      <c r="K86">
        <v>0</v>
      </c>
      <c r="L86">
        <v>2.7199999999999998E-2</v>
      </c>
      <c r="O86" s="9"/>
    </row>
    <row r="87" spans="8:15" x14ac:dyDescent="0.2">
      <c r="H87" t="s">
        <v>29</v>
      </c>
      <c r="J87" t="s">
        <v>32</v>
      </c>
      <c r="K87">
        <v>0</v>
      </c>
      <c r="L87">
        <v>2.7199999999999998E-2</v>
      </c>
      <c r="O87" s="9"/>
    </row>
    <row r="88" spans="8:15" x14ac:dyDescent="0.2">
      <c r="H88" t="s">
        <v>29</v>
      </c>
      <c r="J88" t="s">
        <v>33</v>
      </c>
      <c r="K88">
        <v>0</v>
      </c>
      <c r="L88">
        <v>2.7199999999999998E-2</v>
      </c>
      <c r="O88" s="9"/>
    </row>
    <row r="89" spans="8:15" x14ac:dyDescent="0.2">
      <c r="H89" t="s">
        <v>29</v>
      </c>
      <c r="I89" t="s">
        <v>46</v>
      </c>
      <c r="J89" t="s">
        <v>82</v>
      </c>
      <c r="K89">
        <v>0</v>
      </c>
      <c r="L89">
        <v>9.9000000000000005E-2</v>
      </c>
    </row>
    <row r="90" spans="8:15" x14ac:dyDescent="0.2">
      <c r="H90" t="s">
        <v>29</v>
      </c>
      <c r="J90" t="s">
        <v>83</v>
      </c>
      <c r="K90">
        <v>0</v>
      </c>
      <c r="L90">
        <v>9.9000000000000005E-2</v>
      </c>
      <c r="O90" s="9"/>
    </row>
    <row r="91" spans="8:15" x14ac:dyDescent="0.2">
      <c r="H91" t="s">
        <v>29</v>
      </c>
      <c r="J91" t="s">
        <v>32</v>
      </c>
      <c r="K91">
        <v>0</v>
      </c>
      <c r="L91">
        <v>9.9000000000000005E-2</v>
      </c>
      <c r="O91" s="9"/>
    </row>
    <row r="92" spans="8:15" x14ac:dyDescent="0.2">
      <c r="H92" t="s">
        <v>29</v>
      </c>
      <c r="J92" t="s">
        <v>33</v>
      </c>
      <c r="K92">
        <v>0</v>
      </c>
      <c r="L92">
        <v>9.9000000000000005E-2</v>
      </c>
      <c r="O92" s="9"/>
    </row>
    <row r="93" spans="8:15" x14ac:dyDescent="0.2">
      <c r="H93" t="s">
        <v>29</v>
      </c>
      <c r="I93" t="s">
        <v>47</v>
      </c>
      <c r="J93" t="s">
        <v>82</v>
      </c>
      <c r="K93">
        <v>0</v>
      </c>
      <c r="L93">
        <v>7.2599999999999998E-2</v>
      </c>
    </row>
    <row r="94" spans="8:15" x14ac:dyDescent="0.2">
      <c r="H94" t="s">
        <v>29</v>
      </c>
      <c r="J94" t="s">
        <v>83</v>
      </c>
      <c r="K94">
        <v>0</v>
      </c>
      <c r="L94">
        <v>7.2599999999999998E-2</v>
      </c>
      <c r="O94" s="9"/>
    </row>
    <row r="95" spans="8:15" x14ac:dyDescent="0.2">
      <c r="H95" t="s">
        <v>29</v>
      </c>
      <c r="J95" t="s">
        <v>32</v>
      </c>
      <c r="K95">
        <v>0</v>
      </c>
      <c r="L95">
        <v>7.2599999999999998E-2</v>
      </c>
      <c r="O95" s="9"/>
    </row>
    <row r="96" spans="8:15" x14ac:dyDescent="0.2">
      <c r="H96" t="s">
        <v>29</v>
      </c>
      <c r="J96" t="s">
        <v>33</v>
      </c>
      <c r="K96">
        <v>0</v>
      </c>
      <c r="L96">
        <v>7.2599999999999998E-2</v>
      </c>
      <c r="O96" s="9"/>
    </row>
    <row r="97" spans="8:15" x14ac:dyDescent="0.2">
      <c r="H97" t="s">
        <v>29</v>
      </c>
      <c r="I97" t="s">
        <v>48</v>
      </c>
      <c r="J97" t="s">
        <v>82</v>
      </c>
      <c r="K97">
        <f>Results_Raw!P94*EX_OPTION_ci</f>
        <v>6000000</v>
      </c>
      <c r="L97">
        <v>4.6199999999999998E-2</v>
      </c>
    </row>
    <row r="98" spans="8:15" x14ac:dyDescent="0.2">
      <c r="H98" t="s">
        <v>29</v>
      </c>
      <c r="J98" t="s">
        <v>83</v>
      </c>
      <c r="K98">
        <f>Results_Raw!P95*EX_OPTION_ci</f>
        <v>0</v>
      </c>
      <c r="L98">
        <v>4.6199999999999998E-2</v>
      </c>
      <c r="O98" s="9"/>
    </row>
    <row r="99" spans="8:15" x14ac:dyDescent="0.2">
      <c r="H99" t="s">
        <v>29</v>
      </c>
      <c r="J99" t="s">
        <v>32</v>
      </c>
      <c r="K99">
        <f>Results_Raw!P96*LS_RESTRICT_ci</f>
        <v>0</v>
      </c>
      <c r="L99">
        <v>4.6199999999999998E-2</v>
      </c>
      <c r="O99" s="9"/>
    </row>
    <row r="100" spans="8:15" x14ac:dyDescent="0.2">
      <c r="H100" t="s">
        <v>29</v>
      </c>
      <c r="J100" t="s">
        <v>33</v>
      </c>
      <c r="K100">
        <f>Results_Raw!P97*SPOT_ci</f>
        <v>0</v>
      </c>
      <c r="L100">
        <v>4.6199999999999998E-2</v>
      </c>
      <c r="O100" s="9"/>
    </row>
    <row r="101" spans="8:15" x14ac:dyDescent="0.2">
      <c r="H101" t="s">
        <v>29</v>
      </c>
      <c r="I101" t="s">
        <v>49</v>
      </c>
      <c r="J101" t="s">
        <v>82</v>
      </c>
      <c r="K101">
        <f>Results_Raw!P98*EX_OPTION_ci</f>
        <v>24000000</v>
      </c>
      <c r="L101">
        <v>6.6E-3</v>
      </c>
    </row>
    <row r="102" spans="8:15" x14ac:dyDescent="0.2">
      <c r="H102" t="s">
        <v>29</v>
      </c>
      <c r="J102" t="s">
        <v>83</v>
      </c>
      <c r="K102">
        <f>Results_Raw!P99*EX_OPTION_ci</f>
        <v>0</v>
      </c>
      <c r="L102">
        <v>6.6E-3</v>
      </c>
      <c r="O102" s="9"/>
    </row>
    <row r="103" spans="8:15" x14ac:dyDescent="0.2">
      <c r="H103" t="s">
        <v>29</v>
      </c>
      <c r="J103" t="s">
        <v>32</v>
      </c>
      <c r="K103">
        <f>Results_Raw!P100*LS_RESTRICT_ci</f>
        <v>108000000</v>
      </c>
      <c r="L103">
        <v>6.6E-3</v>
      </c>
      <c r="O103" s="9"/>
    </row>
    <row r="104" spans="8:15" x14ac:dyDescent="0.2">
      <c r="H104" t="s">
        <v>29</v>
      </c>
      <c r="J104" t="s">
        <v>33</v>
      </c>
      <c r="K104">
        <f>Results_Raw!P101*SPOT_ci</f>
        <v>40000000</v>
      </c>
      <c r="L104">
        <v>6.6E-3</v>
      </c>
      <c r="O104" s="9"/>
    </row>
  </sheetData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7F05-DE89-4055-AE1B-37D4204FE339}">
  <dimension ref="A1:R102"/>
  <sheetViews>
    <sheetView zoomScaleNormal="100" workbookViewId="0">
      <selection activeCell="O13" sqref="O13"/>
    </sheetView>
  </sheetViews>
  <sheetFormatPr baseColWidth="10" defaultColWidth="10.6640625" defaultRowHeight="16" x14ac:dyDescent="0.2"/>
  <cols>
    <col min="11" max="13" width="10.6640625" style="1"/>
    <col min="14" max="14" width="10.6640625" style="1" customWidth="1"/>
    <col min="15" max="16" width="9.33203125" customWidth="1"/>
    <col min="17" max="17" width="12.1640625" customWidth="1"/>
  </cols>
  <sheetData>
    <row r="1" spans="1:18" x14ac:dyDescent="0.2">
      <c r="B1" s="1" t="s">
        <v>12</v>
      </c>
      <c r="C1" s="1"/>
    </row>
    <row r="2" spans="1:18" x14ac:dyDescent="0.2">
      <c r="A2" t="s">
        <v>1</v>
      </c>
      <c r="B2" s="1" t="s">
        <v>0</v>
      </c>
      <c r="C2" s="1" t="s">
        <v>2</v>
      </c>
      <c r="E2" s="1">
        <f>(0.5+0.3+0.2)/15</f>
        <v>6.6666666666666666E-2</v>
      </c>
      <c r="F2" s="1"/>
    </row>
    <row r="3" spans="1:18" x14ac:dyDescent="0.2">
      <c r="A3">
        <v>1</v>
      </c>
      <c r="B3" s="1">
        <f t="shared" ref="B3:B16" si="0">B4+$E$2</f>
        <v>0.99999999999999989</v>
      </c>
      <c r="C3" s="1">
        <f t="shared" ref="C3:C34" si="1">((A3+1)/(COUNT($A$3:$A$102)+2))</f>
        <v>1.9607843137254902E-2</v>
      </c>
      <c r="E3" s="1"/>
    </row>
    <row r="4" spans="1:18" x14ac:dyDescent="0.2">
      <c r="A4">
        <v>2</v>
      </c>
      <c r="B4" s="1">
        <f t="shared" si="0"/>
        <v>0.93333333333333324</v>
      </c>
      <c r="C4" s="1">
        <f t="shared" si="1"/>
        <v>2.9411764705882353E-2</v>
      </c>
      <c r="E4" s="1"/>
    </row>
    <row r="5" spans="1:18" x14ac:dyDescent="0.2">
      <c r="A5">
        <v>3</v>
      </c>
      <c r="B5" s="1">
        <f t="shared" si="0"/>
        <v>0.86666666666666659</v>
      </c>
      <c r="C5" s="1">
        <f t="shared" si="1"/>
        <v>3.9215686274509803E-2</v>
      </c>
    </row>
    <row r="6" spans="1:18" x14ac:dyDescent="0.2">
      <c r="A6">
        <v>4</v>
      </c>
      <c r="B6" s="1">
        <f t="shared" si="0"/>
        <v>0.79999999999999993</v>
      </c>
      <c r="C6" s="1">
        <f t="shared" si="1"/>
        <v>4.9019607843137254E-2</v>
      </c>
    </row>
    <row r="7" spans="1:18" x14ac:dyDescent="0.2">
      <c r="A7">
        <v>5</v>
      </c>
      <c r="B7" s="1">
        <f t="shared" si="0"/>
        <v>0.73333333333333328</v>
      </c>
      <c r="C7" s="1">
        <f t="shared" si="1"/>
        <v>5.8823529411764705E-2</v>
      </c>
    </row>
    <row r="8" spans="1:18" x14ac:dyDescent="0.2">
      <c r="A8">
        <v>6</v>
      </c>
      <c r="B8" s="1">
        <f t="shared" si="0"/>
        <v>0.66666666666666663</v>
      </c>
      <c r="C8" s="1">
        <f t="shared" si="1"/>
        <v>6.8627450980392163E-2</v>
      </c>
    </row>
    <row r="9" spans="1:18" x14ac:dyDescent="0.2">
      <c r="A9">
        <v>7</v>
      </c>
      <c r="B9" s="1">
        <f t="shared" si="0"/>
        <v>0.6</v>
      </c>
      <c r="C9" s="1">
        <f t="shared" si="1"/>
        <v>7.8431372549019607E-2</v>
      </c>
    </row>
    <row r="10" spans="1:18" x14ac:dyDescent="0.2">
      <c r="A10">
        <v>8</v>
      </c>
      <c r="B10" s="1">
        <f t="shared" si="0"/>
        <v>0.53333333333333333</v>
      </c>
      <c r="C10" s="1">
        <f t="shared" si="1"/>
        <v>8.8235294117647065E-2</v>
      </c>
    </row>
    <row r="11" spans="1:18" x14ac:dyDescent="0.2">
      <c r="A11">
        <v>9</v>
      </c>
      <c r="B11" s="1">
        <f t="shared" si="0"/>
        <v>0.46666666666666662</v>
      </c>
      <c r="C11" s="1">
        <f t="shared" si="1"/>
        <v>9.8039215686274508E-2</v>
      </c>
    </row>
    <row r="12" spans="1:18" x14ac:dyDescent="0.2">
      <c r="A12">
        <v>10</v>
      </c>
      <c r="B12" s="1">
        <f t="shared" si="0"/>
        <v>0.39999999999999997</v>
      </c>
      <c r="C12" s="1">
        <f t="shared" si="1"/>
        <v>0.10784313725490197</v>
      </c>
    </row>
    <row r="13" spans="1:18" x14ac:dyDescent="0.2">
      <c r="A13">
        <v>11</v>
      </c>
      <c r="B13" s="1">
        <f t="shared" si="0"/>
        <v>0.33333333333333331</v>
      </c>
      <c r="C13" s="1">
        <f t="shared" si="1"/>
        <v>0.11764705882352941</v>
      </c>
      <c r="Q13" s="2"/>
      <c r="R13" s="1"/>
    </row>
    <row r="14" spans="1:18" x14ac:dyDescent="0.2">
      <c r="A14">
        <v>12</v>
      </c>
      <c r="B14" s="1">
        <f t="shared" si="0"/>
        <v>0.26666666666666666</v>
      </c>
      <c r="C14" s="1">
        <f t="shared" si="1"/>
        <v>0.12745098039215685</v>
      </c>
      <c r="Q14" s="2"/>
      <c r="R14" s="1"/>
    </row>
    <row r="15" spans="1:18" x14ac:dyDescent="0.2">
      <c r="A15">
        <v>13</v>
      </c>
      <c r="B15" s="1">
        <f t="shared" si="0"/>
        <v>0.2</v>
      </c>
      <c r="C15" s="1">
        <f t="shared" si="1"/>
        <v>0.13725490196078433</v>
      </c>
      <c r="Q15" s="2"/>
      <c r="R15" s="1"/>
    </row>
    <row r="16" spans="1:18" x14ac:dyDescent="0.2">
      <c r="A16">
        <v>14</v>
      </c>
      <c r="B16" s="1">
        <f t="shared" si="0"/>
        <v>0.13333333333333333</v>
      </c>
      <c r="C16" s="1">
        <f t="shared" si="1"/>
        <v>0.14705882352941177</v>
      </c>
      <c r="Q16" s="2"/>
      <c r="R16" s="1"/>
    </row>
    <row r="17" spans="1:18" x14ac:dyDescent="0.2">
      <c r="A17">
        <v>15</v>
      </c>
      <c r="B17" s="1">
        <f>B18+E2</f>
        <v>6.6666666666666666E-2</v>
      </c>
      <c r="C17" s="1">
        <f t="shared" si="1"/>
        <v>0.15686274509803921</v>
      </c>
      <c r="Q17" s="2"/>
      <c r="R17" s="1"/>
    </row>
    <row r="18" spans="1:18" x14ac:dyDescent="0.2">
      <c r="A18">
        <v>16</v>
      </c>
      <c r="B18" s="1">
        <v>0</v>
      </c>
      <c r="C18" s="1">
        <f t="shared" si="1"/>
        <v>0.16666666666666666</v>
      </c>
      <c r="O18" s="3"/>
      <c r="P18" s="3"/>
      <c r="Q18" s="2"/>
      <c r="R18" s="1"/>
    </row>
    <row r="19" spans="1:18" x14ac:dyDescent="0.2">
      <c r="A19">
        <v>16</v>
      </c>
      <c r="B19" s="1">
        <v>0</v>
      </c>
      <c r="C19" s="1">
        <f t="shared" si="1"/>
        <v>0.16666666666666666</v>
      </c>
    </row>
    <row r="20" spans="1:18" x14ac:dyDescent="0.2">
      <c r="A20">
        <v>16</v>
      </c>
      <c r="B20" s="1">
        <v>0</v>
      </c>
      <c r="C20" s="1">
        <f t="shared" si="1"/>
        <v>0.16666666666666666</v>
      </c>
    </row>
    <row r="21" spans="1:18" x14ac:dyDescent="0.2">
      <c r="A21">
        <v>16</v>
      </c>
      <c r="B21" s="1">
        <v>0</v>
      </c>
      <c r="C21" s="1">
        <f t="shared" si="1"/>
        <v>0.16666666666666666</v>
      </c>
    </row>
    <row r="22" spans="1:18" x14ac:dyDescent="0.2">
      <c r="A22">
        <v>16</v>
      </c>
      <c r="B22" s="1">
        <v>0</v>
      </c>
      <c r="C22" s="1">
        <f t="shared" si="1"/>
        <v>0.16666666666666666</v>
      </c>
    </row>
    <row r="23" spans="1:18" x14ac:dyDescent="0.2">
      <c r="A23">
        <v>16</v>
      </c>
      <c r="B23" s="1">
        <v>0</v>
      </c>
      <c r="C23" s="1">
        <f t="shared" si="1"/>
        <v>0.16666666666666666</v>
      </c>
    </row>
    <row r="24" spans="1:18" x14ac:dyDescent="0.2">
      <c r="A24">
        <v>16</v>
      </c>
      <c r="B24" s="1">
        <v>0</v>
      </c>
      <c r="C24" s="1">
        <f t="shared" si="1"/>
        <v>0.16666666666666666</v>
      </c>
    </row>
    <row r="25" spans="1:18" x14ac:dyDescent="0.2">
      <c r="A25">
        <v>16</v>
      </c>
      <c r="B25" s="1">
        <v>0</v>
      </c>
      <c r="C25" s="1">
        <f t="shared" si="1"/>
        <v>0.16666666666666666</v>
      </c>
    </row>
    <row r="26" spans="1:18" x14ac:dyDescent="0.2">
      <c r="A26">
        <v>16</v>
      </c>
      <c r="B26" s="1">
        <v>0</v>
      </c>
      <c r="C26" s="1">
        <f t="shared" si="1"/>
        <v>0.16666666666666666</v>
      </c>
    </row>
    <row r="27" spans="1:18" x14ac:dyDescent="0.2">
      <c r="A27">
        <v>16</v>
      </c>
      <c r="B27" s="1">
        <v>0</v>
      </c>
      <c r="C27" s="1">
        <f t="shared" si="1"/>
        <v>0.16666666666666666</v>
      </c>
    </row>
    <row r="28" spans="1:18" x14ac:dyDescent="0.2">
      <c r="A28">
        <v>16</v>
      </c>
      <c r="B28" s="1">
        <v>0</v>
      </c>
      <c r="C28" s="1">
        <f t="shared" si="1"/>
        <v>0.16666666666666666</v>
      </c>
    </row>
    <row r="29" spans="1:18" x14ac:dyDescent="0.2">
      <c r="A29">
        <v>16</v>
      </c>
      <c r="B29" s="1">
        <v>0</v>
      </c>
      <c r="C29" s="1">
        <f t="shared" si="1"/>
        <v>0.16666666666666666</v>
      </c>
    </row>
    <row r="30" spans="1:18" x14ac:dyDescent="0.2">
      <c r="A30">
        <v>16</v>
      </c>
      <c r="B30" s="1">
        <v>0</v>
      </c>
      <c r="C30" s="1">
        <f t="shared" si="1"/>
        <v>0.16666666666666666</v>
      </c>
    </row>
    <row r="31" spans="1:18" x14ac:dyDescent="0.2">
      <c r="A31">
        <v>16</v>
      </c>
      <c r="B31" s="1">
        <v>0</v>
      </c>
      <c r="C31" s="1">
        <f t="shared" si="1"/>
        <v>0.16666666666666666</v>
      </c>
    </row>
    <row r="32" spans="1:18" x14ac:dyDescent="0.2">
      <c r="A32">
        <v>16</v>
      </c>
      <c r="B32" s="1">
        <v>0</v>
      </c>
      <c r="C32" s="1">
        <f t="shared" si="1"/>
        <v>0.16666666666666666</v>
      </c>
    </row>
    <row r="33" spans="1:3" x14ac:dyDescent="0.2">
      <c r="A33">
        <v>16</v>
      </c>
      <c r="B33" s="1">
        <v>0</v>
      </c>
      <c r="C33" s="1">
        <f t="shared" si="1"/>
        <v>0.16666666666666666</v>
      </c>
    </row>
    <row r="34" spans="1:3" x14ac:dyDescent="0.2">
      <c r="A34">
        <v>16</v>
      </c>
      <c r="B34" s="1">
        <v>0</v>
      </c>
      <c r="C34" s="1">
        <f t="shared" si="1"/>
        <v>0.16666666666666666</v>
      </c>
    </row>
    <row r="35" spans="1:3" x14ac:dyDescent="0.2">
      <c r="A35">
        <v>16</v>
      </c>
      <c r="B35" s="1">
        <v>0</v>
      </c>
      <c r="C35" s="1">
        <f t="shared" ref="C35:C66" si="2">((A35+1)/(COUNT($A$3:$A$102)+2))</f>
        <v>0.16666666666666666</v>
      </c>
    </row>
    <row r="36" spans="1:3" x14ac:dyDescent="0.2">
      <c r="A36">
        <v>16</v>
      </c>
      <c r="B36" s="1">
        <v>0</v>
      </c>
      <c r="C36" s="1">
        <f t="shared" si="2"/>
        <v>0.16666666666666666</v>
      </c>
    </row>
    <row r="37" spans="1:3" x14ac:dyDescent="0.2">
      <c r="A37">
        <v>16</v>
      </c>
      <c r="B37" s="1">
        <v>0</v>
      </c>
      <c r="C37" s="1">
        <f t="shared" si="2"/>
        <v>0.16666666666666666</v>
      </c>
    </row>
    <row r="38" spans="1:3" x14ac:dyDescent="0.2">
      <c r="A38">
        <v>16</v>
      </c>
      <c r="B38" s="1">
        <v>0</v>
      </c>
      <c r="C38" s="1">
        <f t="shared" si="2"/>
        <v>0.16666666666666666</v>
      </c>
    </row>
    <row r="39" spans="1:3" x14ac:dyDescent="0.2">
      <c r="A39">
        <v>16</v>
      </c>
      <c r="B39" s="1">
        <v>0</v>
      </c>
      <c r="C39" s="1">
        <f t="shared" si="2"/>
        <v>0.16666666666666666</v>
      </c>
    </row>
    <row r="40" spans="1:3" x14ac:dyDescent="0.2">
      <c r="A40">
        <v>16</v>
      </c>
      <c r="B40" s="1">
        <v>0</v>
      </c>
      <c r="C40" s="1">
        <f t="shared" si="2"/>
        <v>0.16666666666666666</v>
      </c>
    </row>
    <row r="41" spans="1:3" x14ac:dyDescent="0.2">
      <c r="A41">
        <v>16</v>
      </c>
      <c r="B41" s="1">
        <v>0</v>
      </c>
      <c r="C41" s="1">
        <f t="shared" si="2"/>
        <v>0.16666666666666666</v>
      </c>
    </row>
    <row r="42" spans="1:3" x14ac:dyDescent="0.2">
      <c r="A42">
        <v>16</v>
      </c>
      <c r="B42" s="1">
        <v>0</v>
      </c>
      <c r="C42" s="1">
        <f t="shared" si="2"/>
        <v>0.16666666666666666</v>
      </c>
    </row>
    <row r="43" spans="1:3" x14ac:dyDescent="0.2">
      <c r="A43">
        <v>16</v>
      </c>
      <c r="B43" s="1">
        <v>0</v>
      </c>
      <c r="C43" s="1">
        <f t="shared" si="2"/>
        <v>0.16666666666666666</v>
      </c>
    </row>
    <row r="44" spans="1:3" x14ac:dyDescent="0.2">
      <c r="A44">
        <v>16</v>
      </c>
      <c r="B44" s="1">
        <v>0</v>
      </c>
      <c r="C44" s="1">
        <f t="shared" si="2"/>
        <v>0.16666666666666666</v>
      </c>
    </row>
    <row r="45" spans="1:3" x14ac:dyDescent="0.2">
      <c r="A45">
        <v>16</v>
      </c>
      <c r="B45" s="1">
        <v>0</v>
      </c>
      <c r="C45" s="1">
        <f t="shared" si="2"/>
        <v>0.16666666666666666</v>
      </c>
    </row>
    <row r="46" spans="1:3" x14ac:dyDescent="0.2">
      <c r="A46">
        <v>16</v>
      </c>
      <c r="B46" s="1">
        <v>0</v>
      </c>
      <c r="C46" s="1">
        <f t="shared" si="2"/>
        <v>0.16666666666666666</v>
      </c>
    </row>
    <row r="47" spans="1:3" x14ac:dyDescent="0.2">
      <c r="A47">
        <v>16</v>
      </c>
      <c r="B47" s="1">
        <v>0</v>
      </c>
      <c r="C47" s="1">
        <f t="shared" si="2"/>
        <v>0.16666666666666666</v>
      </c>
    </row>
    <row r="48" spans="1:3" x14ac:dyDescent="0.2">
      <c r="A48">
        <v>16</v>
      </c>
      <c r="B48" s="1">
        <v>0</v>
      </c>
      <c r="C48" s="1">
        <f t="shared" si="2"/>
        <v>0.16666666666666666</v>
      </c>
    </row>
    <row r="49" spans="1:3" x14ac:dyDescent="0.2">
      <c r="A49">
        <v>16</v>
      </c>
      <c r="B49" s="1">
        <v>0</v>
      </c>
      <c r="C49" s="1">
        <f t="shared" si="2"/>
        <v>0.16666666666666666</v>
      </c>
    </row>
    <row r="50" spans="1:3" x14ac:dyDescent="0.2">
      <c r="A50">
        <v>16</v>
      </c>
      <c r="B50" s="1">
        <v>0</v>
      </c>
      <c r="C50" s="1">
        <f t="shared" si="2"/>
        <v>0.16666666666666666</v>
      </c>
    </row>
    <row r="51" spans="1:3" x14ac:dyDescent="0.2">
      <c r="A51">
        <v>16</v>
      </c>
      <c r="B51" s="1">
        <v>0</v>
      </c>
      <c r="C51" s="1">
        <f t="shared" si="2"/>
        <v>0.16666666666666666</v>
      </c>
    </row>
    <row r="52" spans="1:3" x14ac:dyDescent="0.2">
      <c r="A52">
        <v>16</v>
      </c>
      <c r="B52" s="1">
        <v>0</v>
      </c>
      <c r="C52" s="1">
        <f t="shared" si="2"/>
        <v>0.16666666666666666</v>
      </c>
    </row>
    <row r="53" spans="1:3" x14ac:dyDescent="0.2">
      <c r="A53">
        <v>16</v>
      </c>
      <c r="B53" s="1">
        <v>0</v>
      </c>
      <c r="C53" s="1">
        <f t="shared" si="2"/>
        <v>0.16666666666666666</v>
      </c>
    </row>
    <row r="54" spans="1:3" x14ac:dyDescent="0.2">
      <c r="A54">
        <v>16</v>
      </c>
      <c r="B54" s="1">
        <v>0</v>
      </c>
      <c r="C54" s="1">
        <f t="shared" si="2"/>
        <v>0.16666666666666666</v>
      </c>
    </row>
    <row r="55" spans="1:3" x14ac:dyDescent="0.2">
      <c r="A55">
        <v>16</v>
      </c>
      <c r="B55" s="1">
        <v>0</v>
      </c>
      <c r="C55" s="1">
        <f t="shared" si="2"/>
        <v>0.16666666666666666</v>
      </c>
    </row>
    <row r="56" spans="1:3" x14ac:dyDescent="0.2">
      <c r="A56">
        <v>16</v>
      </c>
      <c r="B56" s="1">
        <v>0</v>
      </c>
      <c r="C56" s="1">
        <f t="shared" si="2"/>
        <v>0.16666666666666666</v>
      </c>
    </row>
    <row r="57" spans="1:3" x14ac:dyDescent="0.2">
      <c r="A57">
        <v>16</v>
      </c>
      <c r="B57" s="1">
        <v>0</v>
      </c>
      <c r="C57" s="1">
        <f t="shared" si="2"/>
        <v>0.16666666666666666</v>
      </c>
    </row>
    <row r="58" spans="1:3" x14ac:dyDescent="0.2">
      <c r="A58">
        <v>16</v>
      </c>
      <c r="B58" s="1">
        <v>0</v>
      </c>
      <c r="C58" s="1">
        <f t="shared" si="2"/>
        <v>0.16666666666666666</v>
      </c>
    </row>
    <row r="59" spans="1:3" x14ac:dyDescent="0.2">
      <c r="A59">
        <v>16</v>
      </c>
      <c r="B59" s="1">
        <v>0</v>
      </c>
      <c r="C59" s="1">
        <f t="shared" si="2"/>
        <v>0.16666666666666666</v>
      </c>
    </row>
    <row r="60" spans="1:3" x14ac:dyDescent="0.2">
      <c r="A60">
        <v>16</v>
      </c>
      <c r="B60" s="1">
        <v>0</v>
      </c>
      <c r="C60" s="1">
        <f t="shared" si="2"/>
        <v>0.16666666666666666</v>
      </c>
    </row>
    <row r="61" spans="1:3" x14ac:dyDescent="0.2">
      <c r="A61">
        <v>16</v>
      </c>
      <c r="B61" s="1">
        <v>0</v>
      </c>
      <c r="C61" s="1">
        <f t="shared" si="2"/>
        <v>0.16666666666666666</v>
      </c>
    </row>
    <row r="62" spans="1:3" x14ac:dyDescent="0.2">
      <c r="A62">
        <v>16</v>
      </c>
      <c r="B62" s="1">
        <v>0</v>
      </c>
      <c r="C62" s="1">
        <f t="shared" si="2"/>
        <v>0.16666666666666666</v>
      </c>
    </row>
    <row r="63" spans="1:3" x14ac:dyDescent="0.2">
      <c r="A63">
        <v>16</v>
      </c>
      <c r="B63" s="1">
        <v>0</v>
      </c>
      <c r="C63" s="1">
        <f t="shared" si="2"/>
        <v>0.16666666666666666</v>
      </c>
    </row>
    <row r="64" spans="1:3" x14ac:dyDescent="0.2">
      <c r="A64">
        <v>16</v>
      </c>
      <c r="B64" s="1">
        <v>0</v>
      </c>
      <c r="C64" s="1">
        <f t="shared" si="2"/>
        <v>0.16666666666666666</v>
      </c>
    </row>
    <row r="65" spans="1:3" x14ac:dyDescent="0.2">
      <c r="A65">
        <v>16</v>
      </c>
      <c r="B65" s="1">
        <v>0</v>
      </c>
      <c r="C65" s="1">
        <f t="shared" si="2"/>
        <v>0.16666666666666666</v>
      </c>
    </row>
    <row r="66" spans="1:3" x14ac:dyDescent="0.2">
      <c r="A66">
        <v>16</v>
      </c>
      <c r="B66" s="1">
        <v>0</v>
      </c>
      <c r="C66" s="1">
        <f t="shared" si="2"/>
        <v>0.16666666666666666</v>
      </c>
    </row>
    <row r="67" spans="1:3" x14ac:dyDescent="0.2">
      <c r="A67">
        <v>16</v>
      </c>
      <c r="B67" s="1">
        <v>0</v>
      </c>
      <c r="C67" s="1">
        <f t="shared" ref="C67:C102" si="3">((A67+1)/(COUNT($A$3:$A$102)+2))</f>
        <v>0.16666666666666666</v>
      </c>
    </row>
    <row r="68" spans="1:3" x14ac:dyDescent="0.2">
      <c r="A68">
        <v>16</v>
      </c>
      <c r="B68" s="1">
        <v>0</v>
      </c>
      <c r="C68" s="1">
        <f t="shared" si="3"/>
        <v>0.16666666666666666</v>
      </c>
    </row>
    <row r="69" spans="1:3" x14ac:dyDescent="0.2">
      <c r="A69">
        <v>16</v>
      </c>
      <c r="B69" s="1">
        <v>0</v>
      </c>
      <c r="C69" s="1">
        <f t="shared" si="3"/>
        <v>0.16666666666666666</v>
      </c>
    </row>
    <row r="70" spans="1:3" x14ac:dyDescent="0.2">
      <c r="A70">
        <v>16</v>
      </c>
      <c r="B70" s="1">
        <v>0</v>
      </c>
      <c r="C70" s="1">
        <f t="shared" si="3"/>
        <v>0.16666666666666666</v>
      </c>
    </row>
    <row r="71" spans="1:3" x14ac:dyDescent="0.2">
      <c r="A71">
        <v>16</v>
      </c>
      <c r="B71" s="1">
        <v>0</v>
      </c>
      <c r="C71" s="1">
        <f t="shared" si="3"/>
        <v>0.16666666666666666</v>
      </c>
    </row>
    <row r="72" spans="1:3" x14ac:dyDescent="0.2">
      <c r="A72">
        <v>16</v>
      </c>
      <c r="B72" s="1">
        <v>0</v>
      </c>
      <c r="C72" s="1">
        <f t="shared" si="3"/>
        <v>0.16666666666666666</v>
      </c>
    </row>
    <row r="73" spans="1:3" x14ac:dyDescent="0.2">
      <c r="A73">
        <v>16</v>
      </c>
      <c r="B73" s="1">
        <v>0</v>
      </c>
      <c r="C73" s="1">
        <f t="shared" si="3"/>
        <v>0.16666666666666666</v>
      </c>
    </row>
    <row r="74" spans="1:3" x14ac:dyDescent="0.2">
      <c r="A74">
        <v>16</v>
      </c>
      <c r="B74" s="1">
        <v>0</v>
      </c>
      <c r="C74" s="1">
        <f t="shared" si="3"/>
        <v>0.16666666666666666</v>
      </c>
    </row>
    <row r="75" spans="1:3" x14ac:dyDescent="0.2">
      <c r="A75">
        <v>16</v>
      </c>
      <c r="B75" s="1">
        <v>0</v>
      </c>
      <c r="C75" s="1">
        <f t="shared" si="3"/>
        <v>0.16666666666666666</v>
      </c>
    </row>
    <row r="76" spans="1:3" x14ac:dyDescent="0.2">
      <c r="A76">
        <v>16</v>
      </c>
      <c r="B76" s="1">
        <v>0</v>
      </c>
      <c r="C76" s="1">
        <f t="shared" si="3"/>
        <v>0.16666666666666666</v>
      </c>
    </row>
    <row r="77" spans="1:3" x14ac:dyDescent="0.2">
      <c r="A77">
        <v>16</v>
      </c>
      <c r="B77" s="1">
        <v>0</v>
      </c>
      <c r="C77" s="1">
        <f t="shared" si="3"/>
        <v>0.16666666666666666</v>
      </c>
    </row>
    <row r="78" spans="1:3" x14ac:dyDescent="0.2">
      <c r="A78">
        <v>16</v>
      </c>
      <c r="B78" s="1">
        <v>0</v>
      </c>
      <c r="C78" s="1">
        <f t="shared" si="3"/>
        <v>0.16666666666666666</v>
      </c>
    </row>
    <row r="79" spans="1:3" x14ac:dyDescent="0.2">
      <c r="A79">
        <v>16</v>
      </c>
      <c r="B79" s="1">
        <v>0</v>
      </c>
      <c r="C79" s="1">
        <f t="shared" si="3"/>
        <v>0.16666666666666666</v>
      </c>
    </row>
    <row r="80" spans="1:3" x14ac:dyDescent="0.2">
      <c r="A80">
        <v>16</v>
      </c>
      <c r="B80" s="1">
        <v>0</v>
      </c>
      <c r="C80" s="1">
        <f t="shared" si="3"/>
        <v>0.16666666666666666</v>
      </c>
    </row>
    <row r="81" spans="1:3" x14ac:dyDescent="0.2">
      <c r="A81">
        <v>16</v>
      </c>
      <c r="B81" s="1">
        <v>0</v>
      </c>
      <c r="C81" s="1">
        <f t="shared" si="3"/>
        <v>0.16666666666666666</v>
      </c>
    </row>
    <row r="82" spans="1:3" x14ac:dyDescent="0.2">
      <c r="A82">
        <v>16</v>
      </c>
      <c r="B82" s="1">
        <v>0</v>
      </c>
      <c r="C82" s="1">
        <f t="shared" si="3"/>
        <v>0.16666666666666666</v>
      </c>
    </row>
    <row r="83" spans="1:3" x14ac:dyDescent="0.2">
      <c r="A83">
        <v>16</v>
      </c>
      <c r="B83" s="1">
        <v>0</v>
      </c>
      <c r="C83" s="1">
        <f t="shared" si="3"/>
        <v>0.16666666666666666</v>
      </c>
    </row>
    <row r="84" spans="1:3" x14ac:dyDescent="0.2">
      <c r="A84">
        <v>16</v>
      </c>
      <c r="B84" s="1">
        <v>0</v>
      </c>
      <c r="C84" s="1">
        <f t="shared" si="3"/>
        <v>0.16666666666666666</v>
      </c>
    </row>
    <row r="85" spans="1:3" x14ac:dyDescent="0.2">
      <c r="A85">
        <v>16</v>
      </c>
      <c r="B85" s="1">
        <v>0</v>
      </c>
      <c r="C85" s="1">
        <f t="shared" si="3"/>
        <v>0.16666666666666666</v>
      </c>
    </row>
    <row r="86" spans="1:3" x14ac:dyDescent="0.2">
      <c r="A86">
        <v>16</v>
      </c>
      <c r="B86" s="1">
        <v>0</v>
      </c>
      <c r="C86" s="1">
        <f t="shared" si="3"/>
        <v>0.16666666666666666</v>
      </c>
    </row>
    <row r="87" spans="1:3" x14ac:dyDescent="0.2">
      <c r="A87">
        <v>16</v>
      </c>
      <c r="B87" s="1">
        <v>0</v>
      </c>
      <c r="C87" s="1">
        <f t="shared" si="3"/>
        <v>0.16666666666666666</v>
      </c>
    </row>
    <row r="88" spans="1:3" x14ac:dyDescent="0.2">
      <c r="A88">
        <v>16</v>
      </c>
      <c r="B88" s="1">
        <v>0</v>
      </c>
      <c r="C88" s="1">
        <f t="shared" si="3"/>
        <v>0.16666666666666666</v>
      </c>
    </row>
    <row r="89" spans="1:3" x14ac:dyDescent="0.2">
      <c r="A89">
        <v>16</v>
      </c>
      <c r="B89" s="1">
        <v>0</v>
      </c>
      <c r="C89" s="1">
        <f t="shared" si="3"/>
        <v>0.16666666666666666</v>
      </c>
    </row>
    <row r="90" spans="1:3" x14ac:dyDescent="0.2">
      <c r="A90">
        <v>16</v>
      </c>
      <c r="B90" s="1">
        <v>0</v>
      </c>
      <c r="C90" s="1">
        <f t="shared" si="3"/>
        <v>0.16666666666666666</v>
      </c>
    </row>
    <row r="91" spans="1:3" x14ac:dyDescent="0.2">
      <c r="A91">
        <v>16</v>
      </c>
      <c r="B91" s="1">
        <v>0</v>
      </c>
      <c r="C91" s="1">
        <f t="shared" si="3"/>
        <v>0.16666666666666666</v>
      </c>
    </row>
    <row r="92" spans="1:3" x14ac:dyDescent="0.2">
      <c r="A92">
        <v>16</v>
      </c>
      <c r="B92" s="1">
        <v>0</v>
      </c>
      <c r="C92" s="1">
        <f t="shared" si="3"/>
        <v>0.16666666666666666</v>
      </c>
    </row>
    <row r="93" spans="1:3" x14ac:dyDescent="0.2">
      <c r="A93">
        <v>16</v>
      </c>
      <c r="B93" s="1">
        <v>0</v>
      </c>
      <c r="C93" s="1">
        <f t="shared" si="3"/>
        <v>0.16666666666666666</v>
      </c>
    </row>
    <row r="94" spans="1:3" x14ac:dyDescent="0.2">
      <c r="A94">
        <v>16</v>
      </c>
      <c r="B94" s="1">
        <v>0</v>
      </c>
      <c r="C94" s="1">
        <f t="shared" si="3"/>
        <v>0.16666666666666666</v>
      </c>
    </row>
    <row r="95" spans="1:3" x14ac:dyDescent="0.2">
      <c r="A95">
        <v>16</v>
      </c>
      <c r="B95" s="1">
        <v>0</v>
      </c>
      <c r="C95" s="1">
        <f t="shared" si="3"/>
        <v>0.16666666666666666</v>
      </c>
    </row>
    <row r="96" spans="1:3" x14ac:dyDescent="0.2">
      <c r="A96">
        <v>16</v>
      </c>
      <c r="B96" s="1">
        <v>0</v>
      </c>
      <c r="C96" s="1">
        <f t="shared" si="3"/>
        <v>0.16666666666666666</v>
      </c>
    </row>
    <row r="97" spans="1:3" x14ac:dyDescent="0.2">
      <c r="A97">
        <v>16</v>
      </c>
      <c r="B97" s="1">
        <v>0</v>
      </c>
      <c r="C97" s="1">
        <f t="shared" si="3"/>
        <v>0.16666666666666666</v>
      </c>
    </row>
    <row r="98" spans="1:3" x14ac:dyDescent="0.2">
      <c r="A98">
        <v>16</v>
      </c>
      <c r="B98" s="1">
        <v>0</v>
      </c>
      <c r="C98" s="1">
        <f t="shared" si="3"/>
        <v>0.16666666666666666</v>
      </c>
    </row>
    <row r="99" spans="1:3" x14ac:dyDescent="0.2">
      <c r="A99">
        <v>16</v>
      </c>
      <c r="B99" s="1">
        <v>0</v>
      </c>
      <c r="C99" s="1">
        <f t="shared" si="3"/>
        <v>0.16666666666666666</v>
      </c>
    </row>
    <row r="100" spans="1:3" x14ac:dyDescent="0.2">
      <c r="A100">
        <v>16</v>
      </c>
      <c r="B100" s="1">
        <v>0</v>
      </c>
      <c r="C100" s="1">
        <f t="shared" si="3"/>
        <v>0.16666666666666666</v>
      </c>
    </row>
    <row r="101" spans="1:3" x14ac:dyDescent="0.2">
      <c r="A101">
        <v>16</v>
      </c>
      <c r="B101" s="1">
        <v>0</v>
      </c>
      <c r="C101" s="1">
        <f t="shared" si="3"/>
        <v>0.16666666666666666</v>
      </c>
    </row>
    <row r="102" spans="1:3" x14ac:dyDescent="0.2">
      <c r="A102">
        <v>16</v>
      </c>
      <c r="B102" s="1">
        <v>0</v>
      </c>
      <c r="C102" s="1">
        <f t="shared" si="3"/>
        <v>0.16666666666666666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C0A7-8AC5-7644-A147-80B76406AEB1}">
  <dimension ref="A1:R102"/>
  <sheetViews>
    <sheetView zoomScaleNormal="100" workbookViewId="0">
      <selection activeCell="M9" sqref="M9"/>
    </sheetView>
  </sheetViews>
  <sheetFormatPr baseColWidth="10" defaultColWidth="10.6640625" defaultRowHeight="16" x14ac:dyDescent="0.2"/>
  <cols>
    <col min="11" max="12" width="10.83203125" style="1"/>
    <col min="13" max="13" width="10.6640625" style="1"/>
    <col min="14" max="14" width="10.6640625" style="1" customWidth="1"/>
    <col min="15" max="16" width="9.33203125" customWidth="1"/>
    <col min="17" max="17" width="12.1640625" customWidth="1"/>
  </cols>
  <sheetData>
    <row r="1" spans="1:18" x14ac:dyDescent="0.2">
      <c r="B1" s="1" t="s">
        <v>10</v>
      </c>
      <c r="C1" s="1"/>
    </row>
    <row r="2" spans="1:18" x14ac:dyDescent="0.2">
      <c r="A2" t="s">
        <v>1</v>
      </c>
      <c r="B2" s="1" t="s">
        <v>0</v>
      </c>
      <c r="C2" s="1" t="s">
        <v>2</v>
      </c>
      <c r="E2" s="1">
        <f>0.5/15</f>
        <v>3.3333333333333333E-2</v>
      </c>
    </row>
    <row r="3" spans="1:18" x14ac:dyDescent="0.2">
      <c r="A3">
        <v>1</v>
      </c>
      <c r="B3" s="1">
        <f t="shared" ref="B3:B16" si="0">B4+$E$2</f>
        <v>1.5116666666666683</v>
      </c>
      <c r="C3" s="1">
        <f t="shared" ref="C3:C34" si="1">((A3+1)/(COUNT($A$3:$A$102)+2))</f>
        <v>1.9607843137254902E-2</v>
      </c>
      <c r="E3" s="1">
        <f>0.5/35</f>
        <v>1.4285714285714285E-2</v>
      </c>
    </row>
    <row r="4" spans="1:18" x14ac:dyDescent="0.2">
      <c r="A4">
        <v>2</v>
      </c>
      <c r="B4" s="1">
        <f t="shared" si="0"/>
        <v>1.4783333333333348</v>
      </c>
      <c r="C4" s="1">
        <f t="shared" si="1"/>
        <v>2.9411764705882353E-2</v>
      </c>
      <c r="E4" s="1">
        <f>0.52/8</f>
        <v>6.5000000000000002E-2</v>
      </c>
    </row>
    <row r="5" spans="1:18" x14ac:dyDescent="0.2">
      <c r="A5">
        <v>3</v>
      </c>
      <c r="B5" s="1">
        <f t="shared" si="0"/>
        <v>1.4450000000000014</v>
      </c>
      <c r="C5" s="1">
        <f t="shared" si="1"/>
        <v>3.9215686274509803E-2</v>
      </c>
    </row>
    <row r="6" spans="1:18" x14ac:dyDescent="0.2">
      <c r="A6">
        <v>4</v>
      </c>
      <c r="B6" s="1">
        <f t="shared" si="0"/>
        <v>1.411666666666668</v>
      </c>
      <c r="C6" s="1">
        <f t="shared" si="1"/>
        <v>4.9019607843137254E-2</v>
      </c>
    </row>
    <row r="7" spans="1:18" x14ac:dyDescent="0.2">
      <c r="A7">
        <v>5</v>
      </c>
      <c r="B7" s="1">
        <f t="shared" si="0"/>
        <v>1.3783333333333345</v>
      </c>
      <c r="C7" s="1">
        <f t="shared" si="1"/>
        <v>5.8823529411764705E-2</v>
      </c>
    </row>
    <row r="8" spans="1:18" x14ac:dyDescent="0.2">
      <c r="A8">
        <v>6</v>
      </c>
      <c r="B8" s="1">
        <f t="shared" si="0"/>
        <v>1.3450000000000011</v>
      </c>
      <c r="C8" s="1">
        <f t="shared" si="1"/>
        <v>6.8627450980392163E-2</v>
      </c>
    </row>
    <row r="9" spans="1:18" x14ac:dyDescent="0.2">
      <c r="A9">
        <v>7</v>
      </c>
      <c r="B9" s="1">
        <f t="shared" si="0"/>
        <v>1.3116666666666676</v>
      </c>
      <c r="C9" s="1">
        <f t="shared" si="1"/>
        <v>7.8431372549019607E-2</v>
      </c>
    </row>
    <row r="10" spans="1:18" x14ac:dyDescent="0.2">
      <c r="A10">
        <v>8</v>
      </c>
      <c r="B10" s="1">
        <f t="shared" si="0"/>
        <v>1.2783333333333342</v>
      </c>
      <c r="C10" s="1">
        <f t="shared" si="1"/>
        <v>8.8235294117647065E-2</v>
      </c>
    </row>
    <row r="11" spans="1:18" x14ac:dyDescent="0.2">
      <c r="A11">
        <v>9</v>
      </c>
      <c r="B11" s="1">
        <f t="shared" si="0"/>
        <v>1.2450000000000008</v>
      </c>
      <c r="C11" s="1">
        <f t="shared" si="1"/>
        <v>9.8039215686274508E-2</v>
      </c>
    </row>
    <row r="12" spans="1:18" x14ac:dyDescent="0.2">
      <c r="A12">
        <v>10</v>
      </c>
      <c r="B12" s="1">
        <f t="shared" si="0"/>
        <v>1.2116666666666673</v>
      </c>
      <c r="C12" s="1">
        <f t="shared" si="1"/>
        <v>0.10784313725490197</v>
      </c>
    </row>
    <row r="13" spans="1:18" x14ac:dyDescent="0.2">
      <c r="A13">
        <v>11</v>
      </c>
      <c r="B13" s="1">
        <f t="shared" si="0"/>
        <v>1.1783333333333339</v>
      </c>
      <c r="C13" s="1">
        <f t="shared" si="1"/>
        <v>0.11764705882352941</v>
      </c>
      <c r="Q13" s="2"/>
      <c r="R13" s="1"/>
    </row>
    <row r="14" spans="1:18" x14ac:dyDescent="0.2">
      <c r="A14">
        <v>12</v>
      </c>
      <c r="B14" s="1">
        <f t="shared" si="0"/>
        <v>1.1450000000000005</v>
      </c>
      <c r="C14" s="1">
        <f t="shared" si="1"/>
        <v>0.12745098039215685</v>
      </c>
      <c r="Q14" s="2"/>
      <c r="R14" s="1"/>
    </row>
    <row r="15" spans="1:18" x14ac:dyDescent="0.2">
      <c r="A15">
        <v>13</v>
      </c>
      <c r="B15" s="1">
        <f t="shared" si="0"/>
        <v>1.111666666666667</v>
      </c>
      <c r="C15" s="1">
        <f t="shared" si="1"/>
        <v>0.13725490196078433</v>
      </c>
      <c r="Q15" s="2"/>
      <c r="R15" s="1"/>
    </row>
    <row r="16" spans="1:18" x14ac:dyDescent="0.2">
      <c r="A16">
        <v>14</v>
      </c>
      <c r="B16" s="1">
        <f t="shared" si="0"/>
        <v>1.0783333333333336</v>
      </c>
      <c r="C16" s="1">
        <f t="shared" si="1"/>
        <v>0.14705882352941177</v>
      </c>
      <c r="Q16" s="2"/>
      <c r="R16" s="1"/>
    </row>
    <row r="17" spans="1:18" x14ac:dyDescent="0.2">
      <c r="A17">
        <v>15</v>
      </c>
      <c r="B17" s="1">
        <f t="shared" ref="B17:B50" si="2">B18+0.015</f>
        <v>1.0450000000000002</v>
      </c>
      <c r="C17" s="1">
        <f t="shared" si="1"/>
        <v>0.15686274509803921</v>
      </c>
      <c r="Q17" s="2"/>
      <c r="R17" s="1"/>
    </row>
    <row r="18" spans="1:18" x14ac:dyDescent="0.2">
      <c r="A18">
        <v>16</v>
      </c>
      <c r="B18" s="1">
        <f t="shared" si="2"/>
        <v>1.0300000000000002</v>
      </c>
      <c r="C18" s="1">
        <f t="shared" si="1"/>
        <v>0.16666666666666666</v>
      </c>
      <c r="O18" s="3"/>
      <c r="P18" s="3"/>
      <c r="Q18" s="2"/>
      <c r="R18" s="1"/>
    </row>
    <row r="19" spans="1:18" x14ac:dyDescent="0.2">
      <c r="A19">
        <v>17</v>
      </c>
      <c r="B19" s="1">
        <f t="shared" si="2"/>
        <v>1.0150000000000003</v>
      </c>
      <c r="C19" s="1">
        <f t="shared" si="1"/>
        <v>0.17647058823529413</v>
      </c>
    </row>
    <row r="20" spans="1:18" x14ac:dyDescent="0.2">
      <c r="A20">
        <v>18</v>
      </c>
      <c r="B20" s="1">
        <f t="shared" si="2"/>
        <v>1.0000000000000004</v>
      </c>
      <c r="C20" s="1">
        <f t="shared" si="1"/>
        <v>0.18627450980392157</v>
      </c>
    </row>
    <row r="21" spans="1:18" x14ac:dyDescent="0.2">
      <c r="A21">
        <v>19</v>
      </c>
      <c r="B21" s="1">
        <f t="shared" si="2"/>
        <v>0.98500000000000043</v>
      </c>
      <c r="C21" s="1">
        <f t="shared" si="1"/>
        <v>0.19607843137254902</v>
      </c>
    </row>
    <row r="22" spans="1:18" x14ac:dyDescent="0.2">
      <c r="A22">
        <v>20</v>
      </c>
      <c r="B22" s="1">
        <f t="shared" si="2"/>
        <v>0.97000000000000042</v>
      </c>
      <c r="C22" s="1">
        <f t="shared" si="1"/>
        <v>0.20588235294117646</v>
      </c>
    </row>
    <row r="23" spans="1:18" x14ac:dyDescent="0.2">
      <c r="A23">
        <v>21</v>
      </c>
      <c r="B23" s="1">
        <f t="shared" si="2"/>
        <v>0.9550000000000004</v>
      </c>
      <c r="C23" s="1">
        <f t="shared" si="1"/>
        <v>0.21568627450980393</v>
      </c>
    </row>
    <row r="24" spans="1:18" x14ac:dyDescent="0.2">
      <c r="A24">
        <v>22</v>
      </c>
      <c r="B24" s="1">
        <f t="shared" si="2"/>
        <v>0.94000000000000039</v>
      </c>
      <c r="C24" s="1">
        <f t="shared" si="1"/>
        <v>0.22549019607843138</v>
      </c>
    </row>
    <row r="25" spans="1:18" x14ac:dyDescent="0.2">
      <c r="A25">
        <v>23</v>
      </c>
      <c r="B25" s="1">
        <f t="shared" si="2"/>
        <v>0.92500000000000038</v>
      </c>
      <c r="C25" s="1">
        <f t="shared" si="1"/>
        <v>0.23529411764705882</v>
      </c>
    </row>
    <row r="26" spans="1:18" x14ac:dyDescent="0.2">
      <c r="A26">
        <v>24</v>
      </c>
      <c r="B26" s="1">
        <f t="shared" si="2"/>
        <v>0.91000000000000036</v>
      </c>
      <c r="C26" s="1">
        <f t="shared" si="1"/>
        <v>0.24509803921568626</v>
      </c>
    </row>
    <row r="27" spans="1:18" x14ac:dyDescent="0.2">
      <c r="A27">
        <v>25</v>
      </c>
      <c r="B27" s="1">
        <f t="shared" si="2"/>
        <v>0.89500000000000035</v>
      </c>
      <c r="C27" s="1">
        <f t="shared" si="1"/>
        <v>0.25490196078431371</v>
      </c>
    </row>
    <row r="28" spans="1:18" x14ac:dyDescent="0.2">
      <c r="A28">
        <v>26</v>
      </c>
      <c r="B28" s="1">
        <f t="shared" si="2"/>
        <v>0.88000000000000034</v>
      </c>
      <c r="C28" s="1">
        <f t="shared" si="1"/>
        <v>0.26470588235294118</v>
      </c>
    </row>
    <row r="29" spans="1:18" x14ac:dyDescent="0.2">
      <c r="A29">
        <v>27</v>
      </c>
      <c r="B29" s="1">
        <f t="shared" si="2"/>
        <v>0.86500000000000032</v>
      </c>
      <c r="C29" s="1">
        <f t="shared" si="1"/>
        <v>0.27450980392156865</v>
      </c>
    </row>
    <row r="30" spans="1:18" x14ac:dyDescent="0.2">
      <c r="A30">
        <v>28</v>
      </c>
      <c r="B30" s="1">
        <f t="shared" si="2"/>
        <v>0.85000000000000031</v>
      </c>
      <c r="C30" s="1">
        <f t="shared" si="1"/>
        <v>0.28431372549019607</v>
      </c>
    </row>
    <row r="31" spans="1:18" x14ac:dyDescent="0.2">
      <c r="A31">
        <v>29</v>
      </c>
      <c r="B31" s="1">
        <f t="shared" si="2"/>
        <v>0.8350000000000003</v>
      </c>
      <c r="C31" s="1">
        <f t="shared" si="1"/>
        <v>0.29411764705882354</v>
      </c>
    </row>
    <row r="32" spans="1:18" x14ac:dyDescent="0.2">
      <c r="A32">
        <v>30</v>
      </c>
      <c r="B32" s="1">
        <f t="shared" si="2"/>
        <v>0.82000000000000028</v>
      </c>
      <c r="C32" s="1">
        <f t="shared" si="1"/>
        <v>0.30392156862745096</v>
      </c>
    </row>
    <row r="33" spans="1:3" x14ac:dyDescent="0.2">
      <c r="A33">
        <v>31</v>
      </c>
      <c r="B33" s="1">
        <f t="shared" si="2"/>
        <v>0.80500000000000027</v>
      </c>
      <c r="C33" s="1">
        <f t="shared" si="1"/>
        <v>0.31372549019607843</v>
      </c>
    </row>
    <row r="34" spans="1:3" x14ac:dyDescent="0.2">
      <c r="A34">
        <v>32</v>
      </c>
      <c r="B34" s="1">
        <f t="shared" si="2"/>
        <v>0.79000000000000026</v>
      </c>
      <c r="C34" s="1">
        <f t="shared" si="1"/>
        <v>0.3235294117647059</v>
      </c>
    </row>
    <row r="35" spans="1:3" x14ac:dyDescent="0.2">
      <c r="A35">
        <v>33</v>
      </c>
      <c r="B35" s="1">
        <f t="shared" si="2"/>
        <v>0.77500000000000024</v>
      </c>
      <c r="C35" s="1">
        <f t="shared" ref="C35:C66" si="3">((A35+1)/(COUNT($A$3:$A$102)+2))</f>
        <v>0.33333333333333331</v>
      </c>
    </row>
    <row r="36" spans="1:3" x14ac:dyDescent="0.2">
      <c r="A36">
        <v>34</v>
      </c>
      <c r="B36" s="1">
        <f t="shared" si="2"/>
        <v>0.76000000000000023</v>
      </c>
      <c r="C36" s="1">
        <f t="shared" si="3"/>
        <v>0.34313725490196079</v>
      </c>
    </row>
    <row r="37" spans="1:3" x14ac:dyDescent="0.2">
      <c r="A37">
        <v>35</v>
      </c>
      <c r="B37" s="1">
        <f t="shared" si="2"/>
        <v>0.74500000000000022</v>
      </c>
      <c r="C37" s="1">
        <f t="shared" si="3"/>
        <v>0.35294117647058826</v>
      </c>
    </row>
    <row r="38" spans="1:3" x14ac:dyDescent="0.2">
      <c r="A38">
        <v>36</v>
      </c>
      <c r="B38" s="1">
        <f t="shared" si="2"/>
        <v>0.7300000000000002</v>
      </c>
      <c r="C38" s="1">
        <f t="shared" si="3"/>
        <v>0.36274509803921567</v>
      </c>
    </row>
    <row r="39" spans="1:3" x14ac:dyDescent="0.2">
      <c r="A39">
        <v>37</v>
      </c>
      <c r="B39" s="1">
        <f t="shared" si="2"/>
        <v>0.71500000000000019</v>
      </c>
      <c r="C39" s="1">
        <f t="shared" si="3"/>
        <v>0.37254901960784315</v>
      </c>
    </row>
    <row r="40" spans="1:3" x14ac:dyDescent="0.2">
      <c r="A40">
        <v>38</v>
      </c>
      <c r="B40" s="1">
        <f t="shared" si="2"/>
        <v>0.70000000000000018</v>
      </c>
      <c r="C40" s="1">
        <f t="shared" si="3"/>
        <v>0.38235294117647056</v>
      </c>
    </row>
    <row r="41" spans="1:3" x14ac:dyDescent="0.2">
      <c r="A41">
        <v>39</v>
      </c>
      <c r="B41" s="1">
        <f t="shared" si="2"/>
        <v>0.68500000000000016</v>
      </c>
      <c r="C41" s="1">
        <f t="shared" si="3"/>
        <v>0.39215686274509803</v>
      </c>
    </row>
    <row r="42" spans="1:3" x14ac:dyDescent="0.2">
      <c r="A42">
        <v>40</v>
      </c>
      <c r="B42" s="1">
        <f t="shared" si="2"/>
        <v>0.67000000000000015</v>
      </c>
      <c r="C42" s="1">
        <f t="shared" si="3"/>
        <v>0.40196078431372551</v>
      </c>
    </row>
    <row r="43" spans="1:3" x14ac:dyDescent="0.2">
      <c r="A43">
        <v>41</v>
      </c>
      <c r="B43" s="1">
        <f t="shared" si="2"/>
        <v>0.65500000000000014</v>
      </c>
      <c r="C43" s="1">
        <f t="shared" si="3"/>
        <v>0.41176470588235292</v>
      </c>
    </row>
    <row r="44" spans="1:3" x14ac:dyDescent="0.2">
      <c r="A44">
        <v>42</v>
      </c>
      <c r="B44" s="1">
        <f t="shared" si="2"/>
        <v>0.64000000000000012</v>
      </c>
      <c r="C44" s="1">
        <f t="shared" si="3"/>
        <v>0.42156862745098039</v>
      </c>
    </row>
    <row r="45" spans="1:3" x14ac:dyDescent="0.2">
      <c r="A45">
        <v>43</v>
      </c>
      <c r="B45" s="1">
        <f t="shared" si="2"/>
        <v>0.62500000000000011</v>
      </c>
      <c r="C45" s="1">
        <f t="shared" si="3"/>
        <v>0.43137254901960786</v>
      </c>
    </row>
    <row r="46" spans="1:3" x14ac:dyDescent="0.2">
      <c r="A46">
        <v>44</v>
      </c>
      <c r="B46" s="1">
        <f t="shared" si="2"/>
        <v>0.6100000000000001</v>
      </c>
      <c r="C46" s="1">
        <f t="shared" si="3"/>
        <v>0.44117647058823528</v>
      </c>
    </row>
    <row r="47" spans="1:3" x14ac:dyDescent="0.2">
      <c r="A47">
        <v>45</v>
      </c>
      <c r="B47" s="1">
        <f t="shared" si="2"/>
        <v>0.59500000000000008</v>
      </c>
      <c r="C47" s="1">
        <f t="shared" si="3"/>
        <v>0.45098039215686275</v>
      </c>
    </row>
    <row r="48" spans="1:3" x14ac:dyDescent="0.2">
      <c r="A48">
        <v>46</v>
      </c>
      <c r="B48" s="1">
        <f t="shared" si="2"/>
        <v>0.58000000000000007</v>
      </c>
      <c r="C48" s="1">
        <f t="shared" si="3"/>
        <v>0.46078431372549017</v>
      </c>
    </row>
    <row r="49" spans="1:3" x14ac:dyDescent="0.2">
      <c r="A49">
        <v>47</v>
      </c>
      <c r="B49" s="1">
        <f t="shared" si="2"/>
        <v>0.56500000000000006</v>
      </c>
      <c r="C49" s="1">
        <f t="shared" si="3"/>
        <v>0.47058823529411764</v>
      </c>
    </row>
    <row r="50" spans="1:3" x14ac:dyDescent="0.2">
      <c r="A50">
        <v>48</v>
      </c>
      <c r="B50" s="1">
        <f t="shared" si="2"/>
        <v>0.55000000000000004</v>
      </c>
      <c r="C50" s="1">
        <f t="shared" si="3"/>
        <v>0.48039215686274511</v>
      </c>
    </row>
    <row r="51" spans="1:3" x14ac:dyDescent="0.2">
      <c r="A51">
        <v>49</v>
      </c>
      <c r="B51" s="1">
        <f>B52+0.015</f>
        <v>0.53500000000000003</v>
      </c>
      <c r="C51" s="1">
        <f t="shared" si="3"/>
        <v>0.49019607843137253</v>
      </c>
    </row>
    <row r="52" spans="1:3" x14ac:dyDescent="0.2">
      <c r="A52">
        <v>50</v>
      </c>
      <c r="B52" s="1">
        <f t="shared" ref="B52:B58" si="4">B53+0.065</f>
        <v>0.52</v>
      </c>
      <c r="C52" s="1">
        <f t="shared" si="3"/>
        <v>0.5</v>
      </c>
    </row>
    <row r="53" spans="1:3" x14ac:dyDescent="0.2">
      <c r="A53">
        <v>51</v>
      </c>
      <c r="B53" s="1">
        <f t="shared" si="4"/>
        <v>0.45500000000000002</v>
      </c>
      <c r="C53" s="1">
        <f t="shared" si="3"/>
        <v>0.50980392156862742</v>
      </c>
    </row>
    <row r="54" spans="1:3" x14ac:dyDescent="0.2">
      <c r="A54">
        <v>52</v>
      </c>
      <c r="B54" s="1">
        <f t="shared" si="4"/>
        <v>0.39</v>
      </c>
      <c r="C54" s="1">
        <f t="shared" si="3"/>
        <v>0.51960784313725494</v>
      </c>
    </row>
    <row r="55" spans="1:3" x14ac:dyDescent="0.2">
      <c r="A55">
        <v>53</v>
      </c>
      <c r="B55" s="1">
        <f t="shared" si="4"/>
        <v>0.32500000000000001</v>
      </c>
      <c r="C55" s="1">
        <f t="shared" si="3"/>
        <v>0.52941176470588236</v>
      </c>
    </row>
    <row r="56" spans="1:3" x14ac:dyDescent="0.2">
      <c r="A56">
        <v>54</v>
      </c>
      <c r="B56" s="1">
        <f t="shared" si="4"/>
        <v>0.26</v>
      </c>
      <c r="C56" s="1">
        <f t="shared" si="3"/>
        <v>0.53921568627450978</v>
      </c>
    </row>
    <row r="57" spans="1:3" x14ac:dyDescent="0.2">
      <c r="A57">
        <v>55</v>
      </c>
      <c r="B57" s="1">
        <f t="shared" si="4"/>
        <v>0.19500000000000001</v>
      </c>
      <c r="C57" s="1">
        <f t="shared" si="3"/>
        <v>0.5490196078431373</v>
      </c>
    </row>
    <row r="58" spans="1:3" x14ac:dyDescent="0.2">
      <c r="A58">
        <v>56</v>
      </c>
      <c r="B58" s="1">
        <f t="shared" si="4"/>
        <v>0.13</v>
      </c>
      <c r="C58" s="1">
        <f t="shared" si="3"/>
        <v>0.55882352941176472</v>
      </c>
    </row>
    <row r="59" spans="1:3" x14ac:dyDescent="0.2">
      <c r="A59">
        <v>57</v>
      </c>
      <c r="B59" s="1">
        <v>6.5000000000000002E-2</v>
      </c>
      <c r="C59" s="1">
        <f t="shared" si="3"/>
        <v>0.56862745098039214</v>
      </c>
    </row>
    <row r="60" spans="1:3" x14ac:dyDescent="0.2">
      <c r="A60">
        <v>58</v>
      </c>
      <c r="B60" s="1">
        <v>0</v>
      </c>
      <c r="C60" s="1">
        <f t="shared" si="3"/>
        <v>0.57843137254901966</v>
      </c>
    </row>
    <row r="61" spans="1:3" x14ac:dyDescent="0.2">
      <c r="A61">
        <v>58</v>
      </c>
      <c r="B61" s="1">
        <v>0</v>
      </c>
      <c r="C61" s="1">
        <f t="shared" si="3"/>
        <v>0.57843137254901966</v>
      </c>
    </row>
    <row r="62" spans="1:3" x14ac:dyDescent="0.2">
      <c r="A62">
        <v>58</v>
      </c>
      <c r="B62" s="1">
        <v>0</v>
      </c>
      <c r="C62" s="1">
        <f t="shared" si="3"/>
        <v>0.57843137254901966</v>
      </c>
    </row>
    <row r="63" spans="1:3" x14ac:dyDescent="0.2">
      <c r="A63">
        <v>58</v>
      </c>
      <c r="B63" s="1">
        <v>0</v>
      </c>
      <c r="C63" s="1">
        <f t="shared" si="3"/>
        <v>0.57843137254901966</v>
      </c>
    </row>
    <row r="64" spans="1:3" x14ac:dyDescent="0.2">
      <c r="A64">
        <v>58</v>
      </c>
      <c r="B64" s="1">
        <v>0</v>
      </c>
      <c r="C64" s="1">
        <f t="shared" si="3"/>
        <v>0.57843137254901966</v>
      </c>
    </row>
    <row r="65" spans="1:3" x14ac:dyDescent="0.2">
      <c r="A65">
        <v>58</v>
      </c>
      <c r="B65" s="1">
        <v>0</v>
      </c>
      <c r="C65" s="1">
        <f t="shared" si="3"/>
        <v>0.57843137254901966</v>
      </c>
    </row>
    <row r="66" spans="1:3" x14ac:dyDescent="0.2">
      <c r="A66">
        <v>58</v>
      </c>
      <c r="B66" s="1">
        <v>0</v>
      </c>
      <c r="C66" s="1">
        <f t="shared" si="3"/>
        <v>0.57843137254901966</v>
      </c>
    </row>
    <row r="67" spans="1:3" x14ac:dyDescent="0.2">
      <c r="A67">
        <v>58</v>
      </c>
      <c r="B67" s="1">
        <v>0</v>
      </c>
      <c r="C67" s="1">
        <f t="shared" ref="C67:C102" si="5">((A67+1)/(COUNT($A$3:$A$102)+2))</f>
        <v>0.57843137254901966</v>
      </c>
    </row>
    <row r="68" spans="1:3" x14ac:dyDescent="0.2">
      <c r="A68">
        <v>58</v>
      </c>
      <c r="B68" s="1">
        <v>0</v>
      </c>
      <c r="C68" s="1">
        <f t="shared" si="5"/>
        <v>0.57843137254901966</v>
      </c>
    </row>
    <row r="69" spans="1:3" x14ac:dyDescent="0.2">
      <c r="A69">
        <v>58</v>
      </c>
      <c r="B69" s="1">
        <v>0</v>
      </c>
      <c r="C69" s="1">
        <f t="shared" si="5"/>
        <v>0.57843137254901966</v>
      </c>
    </row>
    <row r="70" spans="1:3" x14ac:dyDescent="0.2">
      <c r="A70">
        <v>58</v>
      </c>
      <c r="B70" s="1">
        <v>0</v>
      </c>
      <c r="C70" s="1">
        <f t="shared" si="5"/>
        <v>0.57843137254901966</v>
      </c>
    </row>
    <row r="71" spans="1:3" x14ac:dyDescent="0.2">
      <c r="A71">
        <v>58</v>
      </c>
      <c r="B71" s="1">
        <v>0</v>
      </c>
      <c r="C71" s="1">
        <f t="shared" si="5"/>
        <v>0.57843137254901966</v>
      </c>
    </row>
    <row r="72" spans="1:3" x14ac:dyDescent="0.2">
      <c r="A72">
        <v>58</v>
      </c>
      <c r="B72" s="1">
        <v>0</v>
      </c>
      <c r="C72" s="1">
        <f t="shared" si="5"/>
        <v>0.57843137254901966</v>
      </c>
    </row>
    <row r="73" spans="1:3" x14ac:dyDescent="0.2">
      <c r="A73">
        <v>58</v>
      </c>
      <c r="B73" s="1">
        <v>0</v>
      </c>
      <c r="C73" s="1">
        <f t="shared" si="5"/>
        <v>0.57843137254901966</v>
      </c>
    </row>
    <row r="74" spans="1:3" x14ac:dyDescent="0.2">
      <c r="A74">
        <v>58</v>
      </c>
      <c r="B74" s="1">
        <v>0</v>
      </c>
      <c r="C74" s="1">
        <f t="shared" si="5"/>
        <v>0.57843137254901966</v>
      </c>
    </row>
    <row r="75" spans="1:3" x14ac:dyDescent="0.2">
      <c r="A75">
        <v>58</v>
      </c>
      <c r="B75" s="1">
        <v>0</v>
      </c>
      <c r="C75" s="1">
        <f t="shared" si="5"/>
        <v>0.57843137254901966</v>
      </c>
    </row>
    <row r="76" spans="1:3" x14ac:dyDescent="0.2">
      <c r="A76">
        <v>58</v>
      </c>
      <c r="B76" s="1">
        <v>0</v>
      </c>
      <c r="C76" s="1">
        <f t="shared" si="5"/>
        <v>0.57843137254901966</v>
      </c>
    </row>
    <row r="77" spans="1:3" x14ac:dyDescent="0.2">
      <c r="A77">
        <v>58</v>
      </c>
      <c r="B77" s="1">
        <v>0</v>
      </c>
      <c r="C77" s="1">
        <f t="shared" si="5"/>
        <v>0.57843137254901966</v>
      </c>
    </row>
    <row r="78" spans="1:3" x14ac:dyDescent="0.2">
      <c r="A78">
        <v>58</v>
      </c>
      <c r="B78" s="1">
        <v>0</v>
      </c>
      <c r="C78" s="1">
        <f t="shared" si="5"/>
        <v>0.57843137254901966</v>
      </c>
    </row>
    <row r="79" spans="1:3" x14ac:dyDescent="0.2">
      <c r="A79">
        <v>58</v>
      </c>
      <c r="B79" s="1">
        <v>0</v>
      </c>
      <c r="C79" s="1">
        <f t="shared" si="5"/>
        <v>0.57843137254901966</v>
      </c>
    </row>
    <row r="80" spans="1:3" x14ac:dyDescent="0.2">
      <c r="A80">
        <v>58</v>
      </c>
      <c r="B80" s="1">
        <v>0</v>
      </c>
      <c r="C80" s="1">
        <f t="shared" si="5"/>
        <v>0.57843137254901966</v>
      </c>
    </row>
    <row r="81" spans="1:3" x14ac:dyDescent="0.2">
      <c r="A81">
        <v>58</v>
      </c>
      <c r="B81" s="1">
        <v>0</v>
      </c>
      <c r="C81" s="1">
        <f t="shared" si="5"/>
        <v>0.57843137254901966</v>
      </c>
    </row>
    <row r="82" spans="1:3" x14ac:dyDescent="0.2">
      <c r="A82">
        <v>58</v>
      </c>
      <c r="B82" s="1">
        <v>0</v>
      </c>
      <c r="C82" s="1">
        <f t="shared" si="5"/>
        <v>0.57843137254901966</v>
      </c>
    </row>
    <row r="83" spans="1:3" x14ac:dyDescent="0.2">
      <c r="A83">
        <v>58</v>
      </c>
      <c r="B83" s="1">
        <v>0</v>
      </c>
      <c r="C83" s="1">
        <f t="shared" si="5"/>
        <v>0.57843137254901966</v>
      </c>
    </row>
    <row r="84" spans="1:3" x14ac:dyDescent="0.2">
      <c r="A84">
        <v>58</v>
      </c>
      <c r="B84" s="1">
        <v>0</v>
      </c>
      <c r="C84" s="1">
        <f t="shared" si="5"/>
        <v>0.57843137254901966</v>
      </c>
    </row>
    <row r="85" spans="1:3" x14ac:dyDescent="0.2">
      <c r="A85">
        <v>58</v>
      </c>
      <c r="B85" s="1">
        <v>0</v>
      </c>
      <c r="C85" s="1">
        <f t="shared" si="5"/>
        <v>0.57843137254901966</v>
      </c>
    </row>
    <row r="86" spans="1:3" x14ac:dyDescent="0.2">
      <c r="A86">
        <v>58</v>
      </c>
      <c r="B86" s="1">
        <v>0</v>
      </c>
      <c r="C86" s="1">
        <f t="shared" si="5"/>
        <v>0.57843137254901966</v>
      </c>
    </row>
    <row r="87" spans="1:3" x14ac:dyDescent="0.2">
      <c r="A87">
        <v>58</v>
      </c>
      <c r="B87" s="1">
        <v>0</v>
      </c>
      <c r="C87" s="1">
        <f t="shared" si="5"/>
        <v>0.57843137254901966</v>
      </c>
    </row>
    <row r="88" spans="1:3" x14ac:dyDescent="0.2">
      <c r="A88">
        <v>58</v>
      </c>
      <c r="B88" s="1">
        <v>0</v>
      </c>
      <c r="C88" s="1">
        <f t="shared" si="5"/>
        <v>0.57843137254901966</v>
      </c>
    </row>
    <row r="89" spans="1:3" x14ac:dyDescent="0.2">
      <c r="A89">
        <v>58</v>
      </c>
      <c r="B89" s="1">
        <v>0</v>
      </c>
      <c r="C89" s="1">
        <f t="shared" si="5"/>
        <v>0.57843137254901966</v>
      </c>
    </row>
    <row r="90" spans="1:3" x14ac:dyDescent="0.2">
      <c r="A90">
        <v>58</v>
      </c>
      <c r="B90" s="1">
        <v>0</v>
      </c>
      <c r="C90" s="1">
        <f t="shared" si="5"/>
        <v>0.57843137254901966</v>
      </c>
    </row>
    <row r="91" spans="1:3" x14ac:dyDescent="0.2">
      <c r="A91">
        <v>58</v>
      </c>
      <c r="B91" s="1">
        <v>0</v>
      </c>
      <c r="C91" s="1">
        <f t="shared" si="5"/>
        <v>0.57843137254901966</v>
      </c>
    </row>
    <row r="92" spans="1:3" x14ac:dyDescent="0.2">
      <c r="A92">
        <v>58</v>
      </c>
      <c r="B92" s="1">
        <v>0</v>
      </c>
      <c r="C92" s="1">
        <f t="shared" si="5"/>
        <v>0.57843137254901966</v>
      </c>
    </row>
    <row r="93" spans="1:3" x14ac:dyDescent="0.2">
      <c r="A93">
        <v>58</v>
      </c>
      <c r="B93" s="1">
        <v>0</v>
      </c>
      <c r="C93" s="1">
        <f t="shared" si="5"/>
        <v>0.57843137254901966</v>
      </c>
    </row>
    <row r="94" spans="1:3" x14ac:dyDescent="0.2">
      <c r="A94">
        <v>58</v>
      </c>
      <c r="B94" s="1">
        <v>0</v>
      </c>
      <c r="C94" s="1">
        <f t="shared" si="5"/>
        <v>0.57843137254901966</v>
      </c>
    </row>
    <row r="95" spans="1:3" x14ac:dyDescent="0.2">
      <c r="A95">
        <v>58</v>
      </c>
      <c r="B95" s="1">
        <v>0</v>
      </c>
      <c r="C95" s="1">
        <f t="shared" si="5"/>
        <v>0.57843137254901966</v>
      </c>
    </row>
    <row r="96" spans="1:3" x14ac:dyDescent="0.2">
      <c r="A96">
        <v>58</v>
      </c>
      <c r="B96" s="1">
        <v>0</v>
      </c>
      <c r="C96" s="1">
        <f t="shared" si="5"/>
        <v>0.57843137254901966</v>
      </c>
    </row>
    <row r="97" spans="1:3" x14ac:dyDescent="0.2">
      <c r="A97">
        <v>58</v>
      </c>
      <c r="B97" s="1">
        <v>0</v>
      </c>
      <c r="C97" s="1">
        <f t="shared" si="5"/>
        <v>0.57843137254901966</v>
      </c>
    </row>
    <row r="98" spans="1:3" x14ac:dyDescent="0.2">
      <c r="A98">
        <v>58</v>
      </c>
      <c r="B98" s="1">
        <v>0</v>
      </c>
      <c r="C98" s="1">
        <f t="shared" si="5"/>
        <v>0.57843137254901966</v>
      </c>
    </row>
    <row r="99" spans="1:3" x14ac:dyDescent="0.2">
      <c r="A99">
        <v>58</v>
      </c>
      <c r="B99" s="1">
        <v>0</v>
      </c>
      <c r="C99" s="1">
        <f t="shared" si="5"/>
        <v>0.57843137254901966</v>
      </c>
    </row>
    <row r="100" spans="1:3" x14ac:dyDescent="0.2">
      <c r="A100">
        <v>58</v>
      </c>
      <c r="B100" s="1">
        <v>0</v>
      </c>
      <c r="C100" s="1">
        <f t="shared" si="5"/>
        <v>0.57843137254901966</v>
      </c>
    </row>
    <row r="101" spans="1:3" x14ac:dyDescent="0.2">
      <c r="A101">
        <v>58</v>
      </c>
      <c r="B101" s="1">
        <v>0</v>
      </c>
      <c r="C101" s="1">
        <f t="shared" si="5"/>
        <v>0.57843137254901966</v>
      </c>
    </row>
    <row r="102" spans="1:3" x14ac:dyDescent="0.2">
      <c r="A102">
        <v>58</v>
      </c>
      <c r="B102" s="1">
        <v>0</v>
      </c>
      <c r="C102" s="1">
        <f t="shared" si="5"/>
        <v>0.57843137254901966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C68E-2A3D-444B-8131-76F18E97BFAF}">
  <dimension ref="A1:R102"/>
  <sheetViews>
    <sheetView zoomScaleNormal="100" workbookViewId="0">
      <selection activeCell="C3" sqref="C3"/>
    </sheetView>
  </sheetViews>
  <sheetFormatPr baseColWidth="10" defaultColWidth="10.6640625" defaultRowHeight="16" x14ac:dyDescent="0.2"/>
  <cols>
    <col min="11" max="13" width="10.6640625" style="1"/>
    <col min="14" max="14" width="10.6640625" style="1" customWidth="1"/>
    <col min="15" max="16" width="9.33203125" customWidth="1"/>
    <col min="17" max="17" width="12.1640625" customWidth="1"/>
  </cols>
  <sheetData>
    <row r="1" spans="1:18" x14ac:dyDescent="0.2">
      <c r="B1" s="1" t="s">
        <v>11</v>
      </c>
      <c r="C1" s="1"/>
    </row>
    <row r="2" spans="1:18" x14ac:dyDescent="0.2">
      <c r="A2" t="s">
        <v>1</v>
      </c>
      <c r="B2" s="1" t="s">
        <v>0</v>
      </c>
      <c r="C2" s="1" t="s">
        <v>2</v>
      </c>
      <c r="E2" s="1">
        <f>0.5/15</f>
        <v>3.3333333333333333E-2</v>
      </c>
      <c r="F2" s="1">
        <f>0.4/7</f>
        <v>5.7142857142857148E-2</v>
      </c>
    </row>
    <row r="3" spans="1:18" x14ac:dyDescent="0.2">
      <c r="A3">
        <v>1</v>
      </c>
      <c r="B3" s="1">
        <f t="shared" ref="B3:B18" si="0">B4+$F$5</f>
        <v>2.4652801120448191</v>
      </c>
      <c r="C3" s="1">
        <f t="shared" ref="C3:C34" si="1">((A3+1)/(COUNT($A$3:$A$102)+2))</f>
        <v>1.9607843137254902E-2</v>
      </c>
      <c r="E3" s="1">
        <f>0.5/35</f>
        <v>1.4285714285714285E-2</v>
      </c>
      <c r="F3">
        <f>0.4/17</f>
        <v>2.3529411764705882E-2</v>
      </c>
    </row>
    <row r="4" spans="1:18" x14ac:dyDescent="0.2">
      <c r="A4">
        <v>2</v>
      </c>
      <c r="B4" s="1">
        <f t="shared" si="0"/>
        <v>2.4319467787114859</v>
      </c>
      <c r="C4" s="1">
        <f t="shared" si="1"/>
        <v>2.9411764705882353E-2</v>
      </c>
      <c r="E4" s="1">
        <f>0.52/8</f>
        <v>6.5000000000000002E-2</v>
      </c>
      <c r="F4">
        <f>0.7/60</f>
        <v>1.1666666666666665E-2</v>
      </c>
    </row>
    <row r="5" spans="1:18" x14ac:dyDescent="0.2">
      <c r="A5">
        <v>3</v>
      </c>
      <c r="B5" s="1">
        <f t="shared" si="0"/>
        <v>2.3986134453781527</v>
      </c>
      <c r="C5" s="1">
        <f t="shared" si="1"/>
        <v>3.9215686274509803E-2</v>
      </c>
      <c r="F5">
        <f>0.6/18</f>
        <v>3.3333333333333333E-2</v>
      </c>
    </row>
    <row r="6" spans="1:18" x14ac:dyDescent="0.2">
      <c r="A6">
        <v>4</v>
      </c>
      <c r="B6" s="1">
        <f t="shared" si="0"/>
        <v>2.3652801120448195</v>
      </c>
      <c r="C6" s="1">
        <f t="shared" si="1"/>
        <v>4.9019607843137254E-2</v>
      </c>
      <c r="F6" s="1"/>
      <c r="K6"/>
    </row>
    <row r="7" spans="1:18" x14ac:dyDescent="0.2">
      <c r="A7">
        <v>5</v>
      </c>
      <c r="B7" s="1">
        <f t="shared" si="0"/>
        <v>2.3319467787114863</v>
      </c>
      <c r="C7" s="1">
        <f t="shared" si="1"/>
        <v>5.8823529411764705E-2</v>
      </c>
      <c r="K7"/>
    </row>
    <row r="8" spans="1:18" x14ac:dyDescent="0.2">
      <c r="A8">
        <v>6</v>
      </c>
      <c r="B8" s="1">
        <f t="shared" si="0"/>
        <v>2.298613445378153</v>
      </c>
      <c r="C8" s="1">
        <f t="shared" si="1"/>
        <v>6.8627450980392163E-2</v>
      </c>
      <c r="K8"/>
    </row>
    <row r="9" spans="1:18" x14ac:dyDescent="0.2">
      <c r="A9">
        <v>7</v>
      </c>
      <c r="B9" s="1">
        <f t="shared" si="0"/>
        <v>2.2652801120448198</v>
      </c>
      <c r="C9" s="1">
        <f t="shared" si="1"/>
        <v>7.8431372549019607E-2</v>
      </c>
      <c r="K9"/>
    </row>
    <row r="10" spans="1:18" x14ac:dyDescent="0.2">
      <c r="A10">
        <v>8</v>
      </c>
      <c r="B10" s="1">
        <f t="shared" si="0"/>
        <v>2.2319467787114866</v>
      </c>
      <c r="C10" s="1">
        <f t="shared" si="1"/>
        <v>8.8235294117647065E-2</v>
      </c>
      <c r="K10"/>
    </row>
    <row r="11" spans="1:18" x14ac:dyDescent="0.2">
      <c r="A11">
        <v>9</v>
      </c>
      <c r="B11" s="1">
        <f t="shared" si="0"/>
        <v>2.1986134453781534</v>
      </c>
      <c r="C11" s="1">
        <f t="shared" si="1"/>
        <v>9.8039215686274508E-2</v>
      </c>
      <c r="K11"/>
    </row>
    <row r="12" spans="1:18" x14ac:dyDescent="0.2">
      <c r="A12">
        <v>10</v>
      </c>
      <c r="B12" s="1">
        <f t="shared" si="0"/>
        <v>2.1652801120448202</v>
      </c>
      <c r="C12" s="1">
        <f t="shared" si="1"/>
        <v>0.10784313725490197</v>
      </c>
      <c r="K12"/>
    </row>
    <row r="13" spans="1:18" x14ac:dyDescent="0.2">
      <c r="A13">
        <v>11</v>
      </c>
      <c r="B13" s="1">
        <f t="shared" si="0"/>
        <v>2.131946778711487</v>
      </c>
      <c r="C13" s="1">
        <f t="shared" si="1"/>
        <v>0.11764705882352941</v>
      </c>
      <c r="K13"/>
      <c r="Q13" s="2"/>
      <c r="R13" s="1"/>
    </row>
    <row r="14" spans="1:18" x14ac:dyDescent="0.2">
      <c r="A14">
        <v>12</v>
      </c>
      <c r="B14" s="1">
        <f t="shared" si="0"/>
        <v>2.0986134453781538</v>
      </c>
      <c r="C14" s="1">
        <f t="shared" si="1"/>
        <v>0.12745098039215685</v>
      </c>
      <c r="K14"/>
      <c r="Q14" s="2"/>
      <c r="R14" s="1"/>
    </row>
    <row r="15" spans="1:18" x14ac:dyDescent="0.2">
      <c r="A15">
        <v>13</v>
      </c>
      <c r="B15" s="1">
        <f t="shared" si="0"/>
        <v>2.0652801120448205</v>
      </c>
      <c r="C15" s="1">
        <f t="shared" si="1"/>
        <v>0.13725490196078433</v>
      </c>
      <c r="K15"/>
      <c r="Q15" s="2"/>
      <c r="R15" s="1"/>
    </row>
    <row r="16" spans="1:18" x14ac:dyDescent="0.2">
      <c r="A16">
        <v>14</v>
      </c>
      <c r="B16" s="1">
        <f t="shared" si="0"/>
        <v>2.0319467787114873</v>
      </c>
      <c r="C16" s="1">
        <f t="shared" si="1"/>
        <v>0.14705882352941177</v>
      </c>
      <c r="K16"/>
      <c r="Q16" s="2"/>
      <c r="R16" s="1"/>
    </row>
    <row r="17" spans="1:18" x14ac:dyDescent="0.2">
      <c r="A17">
        <v>15</v>
      </c>
      <c r="B17" s="1">
        <f t="shared" si="0"/>
        <v>1.9986134453781539</v>
      </c>
      <c r="C17" s="1">
        <f t="shared" si="1"/>
        <v>0.15686274509803921</v>
      </c>
      <c r="K17"/>
      <c r="Q17" s="2"/>
      <c r="R17" s="1"/>
    </row>
    <row r="18" spans="1:18" x14ac:dyDescent="0.2">
      <c r="A18">
        <v>16</v>
      </c>
      <c r="B18" s="1">
        <f t="shared" si="0"/>
        <v>1.9652801120448204</v>
      </c>
      <c r="C18" s="1">
        <f t="shared" si="1"/>
        <v>0.16666666666666666</v>
      </c>
      <c r="K18"/>
      <c r="O18" s="3"/>
      <c r="P18" s="3"/>
      <c r="Q18" s="2"/>
      <c r="R18" s="1"/>
    </row>
    <row r="19" spans="1:18" x14ac:dyDescent="0.2">
      <c r="A19">
        <v>17</v>
      </c>
      <c r="B19" s="1">
        <f>B20+$F$5</f>
        <v>1.931946778711487</v>
      </c>
      <c r="C19" s="1">
        <f t="shared" si="1"/>
        <v>0.17647058823529413</v>
      </c>
      <c r="K19"/>
    </row>
    <row r="20" spans="1:18" x14ac:dyDescent="0.2">
      <c r="A20">
        <v>18</v>
      </c>
      <c r="B20" s="1">
        <f t="shared" ref="B20:B75" si="2">B21+$F$4</f>
        <v>1.8986134453781536</v>
      </c>
      <c r="C20" s="1">
        <f t="shared" si="1"/>
        <v>0.18627450980392157</v>
      </c>
      <c r="K20"/>
    </row>
    <row r="21" spans="1:18" x14ac:dyDescent="0.2">
      <c r="A21">
        <v>19</v>
      </c>
      <c r="B21" s="1">
        <f t="shared" si="2"/>
        <v>1.8869467787114869</v>
      </c>
      <c r="C21" s="1">
        <f t="shared" si="1"/>
        <v>0.19607843137254902</v>
      </c>
      <c r="K21"/>
    </row>
    <row r="22" spans="1:18" x14ac:dyDescent="0.2">
      <c r="A22">
        <v>20</v>
      </c>
      <c r="B22" s="1">
        <f t="shared" si="2"/>
        <v>1.8752801120448201</v>
      </c>
      <c r="C22" s="1">
        <f t="shared" si="1"/>
        <v>0.20588235294117646</v>
      </c>
      <c r="K22"/>
    </row>
    <row r="23" spans="1:18" x14ac:dyDescent="0.2">
      <c r="A23">
        <v>21</v>
      </c>
      <c r="B23" s="1">
        <f t="shared" si="2"/>
        <v>1.8636134453781534</v>
      </c>
      <c r="C23" s="1">
        <f t="shared" si="1"/>
        <v>0.21568627450980393</v>
      </c>
      <c r="K23"/>
    </row>
    <row r="24" spans="1:18" x14ac:dyDescent="0.2">
      <c r="A24">
        <v>22</v>
      </c>
      <c r="B24" s="1">
        <f t="shared" si="2"/>
        <v>1.8519467787114867</v>
      </c>
      <c r="C24" s="1">
        <f t="shared" si="1"/>
        <v>0.22549019607843138</v>
      </c>
      <c r="K24"/>
    </row>
    <row r="25" spans="1:18" x14ac:dyDescent="0.2">
      <c r="A25">
        <v>23</v>
      </c>
      <c r="B25" s="1">
        <f t="shared" si="2"/>
        <v>1.84028011204482</v>
      </c>
      <c r="C25" s="1">
        <f t="shared" si="1"/>
        <v>0.23529411764705882</v>
      </c>
      <c r="K25"/>
    </row>
    <row r="26" spans="1:18" x14ac:dyDescent="0.2">
      <c r="A26">
        <v>24</v>
      </c>
      <c r="B26" s="1">
        <f t="shared" si="2"/>
        <v>1.8286134453781533</v>
      </c>
      <c r="C26" s="1">
        <f t="shared" si="1"/>
        <v>0.24509803921568626</v>
      </c>
      <c r="K26"/>
    </row>
    <row r="27" spans="1:18" x14ac:dyDescent="0.2">
      <c r="A27">
        <v>25</v>
      </c>
      <c r="B27" s="1">
        <f t="shared" si="2"/>
        <v>1.8169467787114866</v>
      </c>
      <c r="C27" s="1">
        <f t="shared" si="1"/>
        <v>0.25490196078431371</v>
      </c>
      <c r="K27"/>
    </row>
    <row r="28" spans="1:18" x14ac:dyDescent="0.2">
      <c r="A28">
        <v>26</v>
      </c>
      <c r="B28" s="1">
        <f t="shared" si="2"/>
        <v>1.8052801120448199</v>
      </c>
      <c r="C28" s="1">
        <f t="shared" si="1"/>
        <v>0.26470588235294118</v>
      </c>
      <c r="K28"/>
    </row>
    <row r="29" spans="1:18" x14ac:dyDescent="0.2">
      <c r="A29">
        <v>27</v>
      </c>
      <c r="B29" s="1">
        <f t="shared" si="2"/>
        <v>1.7936134453781531</v>
      </c>
      <c r="C29" s="1">
        <f t="shared" si="1"/>
        <v>0.27450980392156865</v>
      </c>
      <c r="K29"/>
    </row>
    <row r="30" spans="1:18" x14ac:dyDescent="0.2">
      <c r="A30">
        <v>28</v>
      </c>
      <c r="B30" s="1">
        <f t="shared" si="2"/>
        <v>1.7819467787114864</v>
      </c>
      <c r="C30" s="1">
        <f t="shared" si="1"/>
        <v>0.28431372549019607</v>
      </c>
      <c r="K30"/>
    </row>
    <row r="31" spans="1:18" x14ac:dyDescent="0.2">
      <c r="A31">
        <v>29</v>
      </c>
      <c r="B31" s="1">
        <f t="shared" si="2"/>
        <v>1.7702801120448197</v>
      </c>
      <c r="C31" s="1">
        <f t="shared" si="1"/>
        <v>0.29411764705882354</v>
      </c>
    </row>
    <row r="32" spans="1:18" x14ac:dyDescent="0.2">
      <c r="A32">
        <v>30</v>
      </c>
      <c r="B32" s="1">
        <f t="shared" si="2"/>
        <v>1.758613445378153</v>
      </c>
      <c r="C32" s="1">
        <f t="shared" si="1"/>
        <v>0.30392156862745096</v>
      </c>
    </row>
    <row r="33" spans="1:3" x14ac:dyDescent="0.2">
      <c r="A33">
        <v>31</v>
      </c>
      <c r="B33" s="1">
        <f t="shared" si="2"/>
        <v>1.7469467787114863</v>
      </c>
      <c r="C33" s="1">
        <f t="shared" si="1"/>
        <v>0.31372549019607843</v>
      </c>
    </row>
    <row r="34" spans="1:3" x14ac:dyDescent="0.2">
      <c r="A34">
        <v>32</v>
      </c>
      <c r="B34" s="1">
        <f t="shared" si="2"/>
        <v>1.7352801120448196</v>
      </c>
      <c r="C34" s="1">
        <f t="shared" si="1"/>
        <v>0.3235294117647059</v>
      </c>
    </row>
    <row r="35" spans="1:3" x14ac:dyDescent="0.2">
      <c r="A35">
        <v>33</v>
      </c>
      <c r="B35" s="1">
        <f t="shared" si="2"/>
        <v>1.7236134453781529</v>
      </c>
      <c r="C35" s="1">
        <f t="shared" ref="C35:C66" si="3">((A35+1)/(COUNT($A$3:$A$102)+2))</f>
        <v>0.33333333333333331</v>
      </c>
    </row>
    <row r="36" spans="1:3" x14ac:dyDescent="0.2">
      <c r="A36">
        <v>34</v>
      </c>
      <c r="B36" s="1">
        <f t="shared" si="2"/>
        <v>1.7119467787114862</v>
      </c>
      <c r="C36" s="1">
        <f t="shared" si="3"/>
        <v>0.34313725490196079</v>
      </c>
    </row>
    <row r="37" spans="1:3" x14ac:dyDescent="0.2">
      <c r="A37">
        <v>35</v>
      </c>
      <c r="B37" s="1">
        <f t="shared" si="2"/>
        <v>1.7002801120448194</v>
      </c>
      <c r="C37" s="1">
        <f t="shared" si="3"/>
        <v>0.35294117647058826</v>
      </c>
    </row>
    <row r="38" spans="1:3" x14ac:dyDescent="0.2">
      <c r="A38">
        <v>36</v>
      </c>
      <c r="B38" s="1">
        <f t="shared" si="2"/>
        <v>1.6886134453781527</v>
      </c>
      <c r="C38" s="1">
        <f t="shared" si="3"/>
        <v>0.36274509803921567</v>
      </c>
    </row>
    <row r="39" spans="1:3" x14ac:dyDescent="0.2">
      <c r="A39">
        <v>37</v>
      </c>
      <c r="B39" s="1">
        <f t="shared" si="2"/>
        <v>1.676946778711486</v>
      </c>
      <c r="C39" s="1">
        <f t="shared" si="3"/>
        <v>0.37254901960784315</v>
      </c>
    </row>
    <row r="40" spans="1:3" x14ac:dyDescent="0.2">
      <c r="A40">
        <v>38</v>
      </c>
      <c r="B40" s="1">
        <f t="shared" si="2"/>
        <v>1.6652801120448193</v>
      </c>
      <c r="C40" s="1">
        <f t="shared" si="3"/>
        <v>0.38235294117647056</v>
      </c>
    </row>
    <row r="41" spans="1:3" x14ac:dyDescent="0.2">
      <c r="A41">
        <v>39</v>
      </c>
      <c r="B41" s="1">
        <f t="shared" si="2"/>
        <v>1.6536134453781526</v>
      </c>
      <c r="C41" s="1">
        <f t="shared" si="3"/>
        <v>0.39215686274509803</v>
      </c>
    </row>
    <row r="42" spans="1:3" x14ac:dyDescent="0.2">
      <c r="A42">
        <v>40</v>
      </c>
      <c r="B42" s="1">
        <f t="shared" si="2"/>
        <v>1.6419467787114859</v>
      </c>
      <c r="C42" s="1">
        <f t="shared" si="3"/>
        <v>0.40196078431372551</v>
      </c>
    </row>
    <row r="43" spans="1:3" x14ac:dyDescent="0.2">
      <c r="A43">
        <v>41</v>
      </c>
      <c r="B43" s="1">
        <f t="shared" si="2"/>
        <v>1.6302801120448192</v>
      </c>
      <c r="C43" s="1">
        <f t="shared" si="3"/>
        <v>0.41176470588235292</v>
      </c>
    </row>
    <row r="44" spans="1:3" x14ac:dyDescent="0.2">
      <c r="A44">
        <v>42</v>
      </c>
      <c r="B44" s="1">
        <f t="shared" si="2"/>
        <v>1.6186134453781524</v>
      </c>
      <c r="C44" s="1">
        <f t="shared" si="3"/>
        <v>0.42156862745098039</v>
      </c>
    </row>
    <row r="45" spans="1:3" x14ac:dyDescent="0.2">
      <c r="A45">
        <v>43</v>
      </c>
      <c r="B45" s="1">
        <f t="shared" si="2"/>
        <v>1.6069467787114857</v>
      </c>
      <c r="C45" s="1">
        <f t="shared" si="3"/>
        <v>0.43137254901960786</v>
      </c>
    </row>
    <row r="46" spans="1:3" x14ac:dyDescent="0.2">
      <c r="A46">
        <v>44</v>
      </c>
      <c r="B46" s="1">
        <f t="shared" si="2"/>
        <v>1.595280112044819</v>
      </c>
      <c r="C46" s="1">
        <f t="shared" si="3"/>
        <v>0.44117647058823528</v>
      </c>
    </row>
    <row r="47" spans="1:3" x14ac:dyDescent="0.2">
      <c r="A47">
        <v>45</v>
      </c>
      <c r="B47" s="1">
        <f t="shared" si="2"/>
        <v>1.5836134453781523</v>
      </c>
      <c r="C47" s="1">
        <f t="shared" si="3"/>
        <v>0.45098039215686275</v>
      </c>
    </row>
    <row r="48" spans="1:3" x14ac:dyDescent="0.2">
      <c r="A48">
        <v>46</v>
      </c>
      <c r="B48" s="1">
        <f t="shared" si="2"/>
        <v>1.5719467787114856</v>
      </c>
      <c r="C48" s="1">
        <f t="shared" si="3"/>
        <v>0.46078431372549017</v>
      </c>
    </row>
    <row r="49" spans="1:3" x14ac:dyDescent="0.2">
      <c r="A49">
        <v>47</v>
      </c>
      <c r="B49" s="1">
        <f t="shared" si="2"/>
        <v>1.5602801120448189</v>
      </c>
      <c r="C49" s="1">
        <f t="shared" si="3"/>
        <v>0.47058823529411764</v>
      </c>
    </row>
    <row r="50" spans="1:3" x14ac:dyDescent="0.2">
      <c r="A50">
        <v>48</v>
      </c>
      <c r="B50" s="1">
        <f t="shared" si="2"/>
        <v>1.5486134453781522</v>
      </c>
      <c r="C50" s="1">
        <f t="shared" si="3"/>
        <v>0.48039215686274511</v>
      </c>
    </row>
    <row r="51" spans="1:3" x14ac:dyDescent="0.2">
      <c r="A51">
        <v>49</v>
      </c>
      <c r="B51" s="1">
        <f t="shared" si="2"/>
        <v>1.5369467787114854</v>
      </c>
      <c r="C51" s="1">
        <f t="shared" si="3"/>
        <v>0.49019607843137253</v>
      </c>
    </row>
    <row r="52" spans="1:3" x14ac:dyDescent="0.2">
      <c r="A52">
        <v>50</v>
      </c>
      <c r="B52" s="1">
        <f t="shared" si="2"/>
        <v>1.5252801120448187</v>
      </c>
      <c r="C52" s="1">
        <f t="shared" si="3"/>
        <v>0.5</v>
      </c>
    </row>
    <row r="53" spans="1:3" x14ac:dyDescent="0.2">
      <c r="A53">
        <v>51</v>
      </c>
      <c r="B53" s="1">
        <f t="shared" si="2"/>
        <v>1.513613445378152</v>
      </c>
      <c r="C53" s="1">
        <f t="shared" si="3"/>
        <v>0.50980392156862742</v>
      </c>
    </row>
    <row r="54" spans="1:3" x14ac:dyDescent="0.2">
      <c r="A54">
        <v>52</v>
      </c>
      <c r="B54" s="1">
        <f t="shared" si="2"/>
        <v>1.5019467787114853</v>
      </c>
      <c r="C54" s="1">
        <f t="shared" si="3"/>
        <v>0.51960784313725494</v>
      </c>
    </row>
    <row r="55" spans="1:3" x14ac:dyDescent="0.2">
      <c r="A55">
        <v>53</v>
      </c>
      <c r="B55" s="1">
        <f t="shared" si="2"/>
        <v>1.4902801120448186</v>
      </c>
      <c r="C55" s="1">
        <f t="shared" si="3"/>
        <v>0.52941176470588236</v>
      </c>
    </row>
    <row r="56" spans="1:3" x14ac:dyDescent="0.2">
      <c r="A56">
        <v>54</v>
      </c>
      <c r="B56" s="1">
        <f t="shared" si="2"/>
        <v>1.4786134453781519</v>
      </c>
      <c r="C56" s="1">
        <f t="shared" si="3"/>
        <v>0.53921568627450978</v>
      </c>
    </row>
    <row r="57" spans="1:3" x14ac:dyDescent="0.2">
      <c r="A57">
        <v>55</v>
      </c>
      <c r="B57" s="1">
        <f t="shared" si="2"/>
        <v>1.4669467787114852</v>
      </c>
      <c r="C57" s="1">
        <f t="shared" si="3"/>
        <v>0.5490196078431373</v>
      </c>
    </row>
    <row r="58" spans="1:3" x14ac:dyDescent="0.2">
      <c r="A58">
        <v>56</v>
      </c>
      <c r="B58" s="1">
        <f t="shared" si="2"/>
        <v>1.4552801120448184</v>
      </c>
      <c r="C58" s="1">
        <f t="shared" si="3"/>
        <v>0.55882352941176472</v>
      </c>
    </row>
    <row r="59" spans="1:3" x14ac:dyDescent="0.2">
      <c r="A59">
        <v>57</v>
      </c>
      <c r="B59" s="1">
        <f t="shared" si="2"/>
        <v>1.4436134453781517</v>
      </c>
      <c r="C59" s="1">
        <f t="shared" si="3"/>
        <v>0.56862745098039214</v>
      </c>
    </row>
    <row r="60" spans="1:3" x14ac:dyDescent="0.2">
      <c r="A60">
        <v>58</v>
      </c>
      <c r="B60" s="1">
        <f t="shared" si="2"/>
        <v>1.431946778711485</v>
      </c>
      <c r="C60" s="1">
        <f t="shared" si="3"/>
        <v>0.57843137254901966</v>
      </c>
    </row>
    <row r="61" spans="1:3" x14ac:dyDescent="0.2">
      <c r="A61">
        <v>59</v>
      </c>
      <c r="B61" s="1">
        <f t="shared" si="2"/>
        <v>1.4202801120448183</v>
      </c>
      <c r="C61" s="1">
        <f t="shared" si="3"/>
        <v>0.58823529411764708</v>
      </c>
    </row>
    <row r="62" spans="1:3" x14ac:dyDescent="0.2">
      <c r="A62">
        <v>60</v>
      </c>
      <c r="B62" s="1">
        <f t="shared" si="2"/>
        <v>1.4086134453781516</v>
      </c>
      <c r="C62" s="1">
        <f t="shared" si="3"/>
        <v>0.59803921568627449</v>
      </c>
    </row>
    <row r="63" spans="1:3" x14ac:dyDescent="0.2">
      <c r="A63">
        <v>61</v>
      </c>
      <c r="B63" s="1">
        <f t="shared" si="2"/>
        <v>1.3969467787114849</v>
      </c>
      <c r="C63" s="1">
        <f t="shared" si="3"/>
        <v>0.60784313725490191</v>
      </c>
    </row>
    <row r="64" spans="1:3" x14ac:dyDescent="0.2">
      <c r="A64">
        <v>62</v>
      </c>
      <c r="B64" s="1">
        <f t="shared" si="2"/>
        <v>1.3852801120448182</v>
      </c>
      <c r="C64" s="1">
        <f t="shared" si="3"/>
        <v>0.61764705882352944</v>
      </c>
    </row>
    <row r="65" spans="1:3" x14ac:dyDescent="0.2">
      <c r="A65">
        <v>63</v>
      </c>
      <c r="B65" s="1">
        <f t="shared" si="2"/>
        <v>1.3736134453781514</v>
      </c>
      <c r="C65" s="1">
        <f t="shared" si="3"/>
        <v>0.62745098039215685</v>
      </c>
    </row>
    <row r="66" spans="1:3" x14ac:dyDescent="0.2">
      <c r="A66">
        <v>64</v>
      </c>
      <c r="B66" s="1">
        <f t="shared" si="2"/>
        <v>1.3619467787114847</v>
      </c>
      <c r="C66" s="1">
        <f t="shared" si="3"/>
        <v>0.63725490196078427</v>
      </c>
    </row>
    <row r="67" spans="1:3" x14ac:dyDescent="0.2">
      <c r="A67">
        <v>65</v>
      </c>
      <c r="B67" s="1">
        <f t="shared" si="2"/>
        <v>1.350280112044818</v>
      </c>
      <c r="C67" s="1">
        <f t="shared" ref="C67:C102" si="4">((A67+1)/(COUNT($A$3:$A$102)+2))</f>
        <v>0.6470588235294118</v>
      </c>
    </row>
    <row r="68" spans="1:3" x14ac:dyDescent="0.2">
      <c r="A68">
        <v>66</v>
      </c>
      <c r="B68" s="1">
        <f t="shared" si="2"/>
        <v>1.3386134453781513</v>
      </c>
      <c r="C68" s="1">
        <f t="shared" si="4"/>
        <v>0.65686274509803921</v>
      </c>
    </row>
    <row r="69" spans="1:3" x14ac:dyDescent="0.2">
      <c r="A69">
        <v>67</v>
      </c>
      <c r="B69" s="1">
        <f t="shared" si="2"/>
        <v>1.3269467787114846</v>
      </c>
      <c r="C69" s="1">
        <f t="shared" si="4"/>
        <v>0.66666666666666663</v>
      </c>
    </row>
    <row r="70" spans="1:3" x14ac:dyDescent="0.2">
      <c r="A70">
        <v>68</v>
      </c>
      <c r="B70" s="1">
        <f t="shared" si="2"/>
        <v>1.3152801120448179</v>
      </c>
      <c r="C70" s="1">
        <f t="shared" si="4"/>
        <v>0.67647058823529416</v>
      </c>
    </row>
    <row r="71" spans="1:3" x14ac:dyDescent="0.2">
      <c r="A71">
        <v>69</v>
      </c>
      <c r="B71" s="1">
        <f t="shared" si="2"/>
        <v>1.3036134453781512</v>
      </c>
      <c r="C71" s="1">
        <f t="shared" si="4"/>
        <v>0.68627450980392157</v>
      </c>
    </row>
    <row r="72" spans="1:3" x14ac:dyDescent="0.2">
      <c r="A72">
        <v>70</v>
      </c>
      <c r="B72" s="1">
        <f t="shared" si="2"/>
        <v>1.2919467787114844</v>
      </c>
      <c r="C72" s="1">
        <f t="shared" si="4"/>
        <v>0.69607843137254899</v>
      </c>
    </row>
    <row r="73" spans="1:3" x14ac:dyDescent="0.2">
      <c r="A73">
        <v>71</v>
      </c>
      <c r="B73" s="1">
        <f t="shared" si="2"/>
        <v>1.2802801120448177</v>
      </c>
      <c r="C73" s="1">
        <f t="shared" si="4"/>
        <v>0.70588235294117652</v>
      </c>
    </row>
    <row r="74" spans="1:3" x14ac:dyDescent="0.2">
      <c r="A74">
        <v>72</v>
      </c>
      <c r="B74" s="1">
        <f t="shared" si="2"/>
        <v>1.268613445378151</v>
      </c>
      <c r="C74" s="1">
        <f t="shared" si="4"/>
        <v>0.71568627450980393</v>
      </c>
    </row>
    <row r="75" spans="1:3" x14ac:dyDescent="0.2">
      <c r="A75">
        <v>73</v>
      </c>
      <c r="B75" s="1">
        <f t="shared" si="2"/>
        <v>1.2569467787114843</v>
      </c>
      <c r="C75" s="1">
        <f t="shared" si="4"/>
        <v>0.72549019607843135</v>
      </c>
    </row>
    <row r="76" spans="1:3" x14ac:dyDescent="0.2">
      <c r="A76">
        <v>74</v>
      </c>
      <c r="B76" s="1">
        <f>B77+$F$4</f>
        <v>1.2452801120448176</v>
      </c>
      <c r="C76" s="1">
        <f t="shared" si="4"/>
        <v>0.73529411764705888</v>
      </c>
    </row>
    <row r="77" spans="1:3" x14ac:dyDescent="0.2">
      <c r="A77">
        <v>75</v>
      </c>
      <c r="B77" s="1">
        <f t="shared" ref="B77:B91" si="5">B78+$F$3</f>
        <v>1.2336134453781509</v>
      </c>
      <c r="C77" s="1">
        <f t="shared" si="4"/>
        <v>0.74509803921568629</v>
      </c>
    </row>
    <row r="78" spans="1:3" x14ac:dyDescent="0.2">
      <c r="A78">
        <v>76</v>
      </c>
      <c r="B78" s="1">
        <f t="shared" si="5"/>
        <v>1.2100840336134451</v>
      </c>
      <c r="C78" s="1">
        <f t="shared" si="4"/>
        <v>0.75490196078431371</v>
      </c>
    </row>
    <row r="79" spans="1:3" x14ac:dyDescent="0.2">
      <c r="A79">
        <v>77</v>
      </c>
      <c r="B79" s="1">
        <f t="shared" si="5"/>
        <v>1.1865546218487393</v>
      </c>
      <c r="C79" s="1">
        <f t="shared" si="4"/>
        <v>0.76470588235294112</v>
      </c>
    </row>
    <row r="80" spans="1:3" x14ac:dyDescent="0.2">
      <c r="A80">
        <v>78</v>
      </c>
      <c r="B80" s="1">
        <f t="shared" si="5"/>
        <v>1.1630252100840335</v>
      </c>
      <c r="C80" s="1">
        <f t="shared" si="4"/>
        <v>0.77450980392156865</v>
      </c>
    </row>
    <row r="81" spans="1:3" x14ac:dyDescent="0.2">
      <c r="A81">
        <v>79</v>
      </c>
      <c r="B81" s="1">
        <f t="shared" si="5"/>
        <v>1.1394957983193277</v>
      </c>
      <c r="C81" s="1">
        <f t="shared" si="4"/>
        <v>0.78431372549019607</v>
      </c>
    </row>
    <row r="82" spans="1:3" x14ac:dyDescent="0.2">
      <c r="A82">
        <v>80</v>
      </c>
      <c r="B82" s="1">
        <f t="shared" si="5"/>
        <v>1.1159663865546219</v>
      </c>
      <c r="C82" s="1">
        <f t="shared" si="4"/>
        <v>0.79411764705882348</v>
      </c>
    </row>
    <row r="83" spans="1:3" x14ac:dyDescent="0.2">
      <c r="A83">
        <v>81</v>
      </c>
      <c r="B83" s="1">
        <f t="shared" si="5"/>
        <v>1.0924369747899161</v>
      </c>
      <c r="C83" s="1">
        <f t="shared" si="4"/>
        <v>0.80392156862745101</v>
      </c>
    </row>
    <row r="84" spans="1:3" x14ac:dyDescent="0.2">
      <c r="A84">
        <v>82</v>
      </c>
      <c r="B84" s="1">
        <f t="shared" si="5"/>
        <v>1.0689075630252103</v>
      </c>
      <c r="C84" s="1">
        <f t="shared" si="4"/>
        <v>0.81372549019607843</v>
      </c>
    </row>
    <row r="85" spans="1:3" x14ac:dyDescent="0.2">
      <c r="A85">
        <v>83</v>
      </c>
      <c r="B85" s="1">
        <f t="shared" si="5"/>
        <v>1.0453781512605045</v>
      </c>
      <c r="C85" s="1">
        <f t="shared" si="4"/>
        <v>0.82352941176470584</v>
      </c>
    </row>
    <row r="86" spans="1:3" x14ac:dyDescent="0.2">
      <c r="A86">
        <v>84</v>
      </c>
      <c r="B86" s="1">
        <f t="shared" si="5"/>
        <v>1.0218487394957987</v>
      </c>
      <c r="C86" s="1">
        <f t="shared" si="4"/>
        <v>0.83333333333333337</v>
      </c>
    </row>
    <row r="87" spans="1:3" x14ac:dyDescent="0.2">
      <c r="A87">
        <v>85</v>
      </c>
      <c r="B87" s="1">
        <f t="shared" si="5"/>
        <v>0.99831932773109278</v>
      </c>
      <c r="C87" s="1">
        <f t="shared" si="4"/>
        <v>0.84313725490196079</v>
      </c>
    </row>
    <row r="88" spans="1:3" x14ac:dyDescent="0.2">
      <c r="A88">
        <v>86</v>
      </c>
      <c r="B88" s="1">
        <f t="shared" si="5"/>
        <v>0.97478991596638687</v>
      </c>
      <c r="C88" s="1">
        <f t="shared" si="4"/>
        <v>0.8529411764705882</v>
      </c>
    </row>
    <row r="89" spans="1:3" x14ac:dyDescent="0.2">
      <c r="A89">
        <v>87</v>
      </c>
      <c r="B89" s="1">
        <f t="shared" si="5"/>
        <v>0.95126050420168096</v>
      </c>
      <c r="C89" s="1">
        <f t="shared" si="4"/>
        <v>0.86274509803921573</v>
      </c>
    </row>
    <row r="90" spans="1:3" x14ac:dyDescent="0.2">
      <c r="A90">
        <v>88</v>
      </c>
      <c r="B90" s="1">
        <f t="shared" si="5"/>
        <v>0.92773109243697505</v>
      </c>
      <c r="C90" s="1">
        <f t="shared" si="4"/>
        <v>0.87254901960784315</v>
      </c>
    </row>
    <row r="91" spans="1:3" x14ac:dyDescent="0.2">
      <c r="A91">
        <v>89</v>
      </c>
      <c r="B91" s="1">
        <f t="shared" si="5"/>
        <v>0.90420168067226914</v>
      </c>
      <c r="C91" s="1">
        <f t="shared" si="4"/>
        <v>0.88235294117647056</v>
      </c>
    </row>
    <row r="92" spans="1:3" x14ac:dyDescent="0.2">
      <c r="A92">
        <v>90</v>
      </c>
      <c r="B92" s="1">
        <f>B93+$F$3</f>
        <v>0.88067226890756323</v>
      </c>
      <c r="C92" s="1">
        <f t="shared" si="4"/>
        <v>0.89215686274509809</v>
      </c>
    </row>
    <row r="93" spans="1:3" x14ac:dyDescent="0.2">
      <c r="A93">
        <v>91</v>
      </c>
      <c r="B93" s="1">
        <f t="shared" ref="B93:B99" si="6">B94+$F$2</f>
        <v>0.85714285714285732</v>
      </c>
      <c r="C93" s="1">
        <f t="shared" si="4"/>
        <v>0.90196078431372551</v>
      </c>
    </row>
    <row r="94" spans="1:3" x14ac:dyDescent="0.2">
      <c r="A94">
        <v>92</v>
      </c>
      <c r="B94" s="1">
        <f t="shared" si="6"/>
        <v>0.80000000000000016</v>
      </c>
      <c r="C94" s="1">
        <f t="shared" si="4"/>
        <v>0.91176470588235292</v>
      </c>
    </row>
    <row r="95" spans="1:3" x14ac:dyDescent="0.2">
      <c r="A95">
        <v>93</v>
      </c>
      <c r="B95" s="1">
        <f t="shared" si="6"/>
        <v>0.74285714285714299</v>
      </c>
      <c r="C95" s="1">
        <f t="shared" si="4"/>
        <v>0.92156862745098034</v>
      </c>
    </row>
    <row r="96" spans="1:3" x14ac:dyDescent="0.2">
      <c r="A96">
        <v>94</v>
      </c>
      <c r="B96" s="1">
        <f t="shared" si="6"/>
        <v>0.68571428571428583</v>
      </c>
      <c r="C96" s="1">
        <f t="shared" si="4"/>
        <v>0.93137254901960786</v>
      </c>
    </row>
    <row r="97" spans="1:3" x14ac:dyDescent="0.2">
      <c r="A97">
        <v>95</v>
      </c>
      <c r="B97" s="1">
        <f t="shared" si="6"/>
        <v>0.62857142857142867</v>
      </c>
      <c r="C97" s="1">
        <f t="shared" si="4"/>
        <v>0.94117647058823528</v>
      </c>
    </row>
    <row r="98" spans="1:3" x14ac:dyDescent="0.2">
      <c r="A98">
        <v>96</v>
      </c>
      <c r="B98" s="1">
        <f t="shared" si="6"/>
        <v>0.57142857142857151</v>
      </c>
      <c r="C98" s="1">
        <f t="shared" si="4"/>
        <v>0.9509803921568627</v>
      </c>
    </row>
    <row r="99" spans="1:3" x14ac:dyDescent="0.2">
      <c r="A99">
        <v>97</v>
      </c>
      <c r="B99" s="1">
        <f t="shared" si="6"/>
        <v>0.51428571428571435</v>
      </c>
      <c r="C99" s="1">
        <f t="shared" si="4"/>
        <v>0.96078431372549022</v>
      </c>
    </row>
    <row r="100" spans="1:3" x14ac:dyDescent="0.2">
      <c r="A100">
        <v>98</v>
      </c>
      <c r="B100" s="1">
        <f>B101+$F$2</f>
        <v>0.45714285714285718</v>
      </c>
      <c r="C100" s="1">
        <f t="shared" si="4"/>
        <v>0.97058823529411764</v>
      </c>
    </row>
    <row r="101" spans="1:3" x14ac:dyDescent="0.2">
      <c r="A101">
        <v>99</v>
      </c>
      <c r="B101" s="1">
        <v>0.4</v>
      </c>
      <c r="C101" s="1">
        <f t="shared" si="4"/>
        <v>0.98039215686274506</v>
      </c>
    </row>
    <row r="102" spans="1:3" x14ac:dyDescent="0.2">
      <c r="A102">
        <v>100</v>
      </c>
      <c r="B102" s="1">
        <v>0</v>
      </c>
      <c r="C102" s="1">
        <f t="shared" si="4"/>
        <v>0.99019607843137258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FE03-BFE7-8447-B556-6739EAB41C5B}">
  <dimension ref="A1:F28"/>
  <sheetViews>
    <sheetView zoomScaleNormal="100" workbookViewId="0">
      <selection activeCell="G29" sqref="G29"/>
    </sheetView>
  </sheetViews>
  <sheetFormatPr baseColWidth="10" defaultColWidth="10.6640625" defaultRowHeight="16" x14ac:dyDescent="0.2"/>
  <cols>
    <col min="1" max="1" width="23.1640625" customWidth="1"/>
    <col min="4" max="4" width="11.5" bestFit="1" customWidth="1"/>
    <col min="6" max="6" width="11.6640625" bestFit="1" customWidth="1"/>
  </cols>
  <sheetData>
    <row r="1" spans="1:6" ht="52" customHeight="1" thickBot="1" x14ac:dyDescent="0.25">
      <c r="A1" s="29" t="s">
        <v>76</v>
      </c>
      <c r="B1" s="12" t="s">
        <v>65</v>
      </c>
      <c r="C1" s="12" t="s">
        <v>72</v>
      </c>
      <c r="D1" s="12" t="s">
        <v>66</v>
      </c>
      <c r="E1" s="28" t="s">
        <v>64</v>
      </c>
      <c r="F1" s="12" t="s">
        <v>67</v>
      </c>
    </row>
    <row r="2" spans="1:6" x14ac:dyDescent="0.2">
      <c r="A2" s="4" t="s">
        <v>56</v>
      </c>
      <c r="B2" s="14">
        <v>450</v>
      </c>
      <c r="C2" s="14">
        <f t="shared" ref="C2:C9" si="0">D2*B2</f>
        <v>450000</v>
      </c>
      <c r="D2" s="14">
        <v>1000</v>
      </c>
      <c r="E2" s="14">
        <v>180</v>
      </c>
      <c r="F2" s="14">
        <f t="shared" ref="F2:F9" si="1">E2*D2</f>
        <v>180000</v>
      </c>
    </row>
    <row r="3" spans="1:6" x14ac:dyDescent="0.2">
      <c r="A3" s="4" t="s">
        <v>57</v>
      </c>
      <c r="B3" s="14">
        <v>20</v>
      </c>
      <c r="C3" s="14">
        <v>20</v>
      </c>
      <c r="D3" s="14">
        <v>0</v>
      </c>
      <c r="E3" s="14">
        <v>200000</v>
      </c>
      <c r="F3" s="14">
        <f t="shared" si="1"/>
        <v>0</v>
      </c>
    </row>
    <row r="4" spans="1:6" x14ac:dyDescent="0.2">
      <c r="A4" s="4" t="s">
        <v>50</v>
      </c>
      <c r="B4" s="14">
        <v>2300</v>
      </c>
      <c r="C4" s="14">
        <f>D4*B4</f>
        <v>575000</v>
      </c>
      <c r="D4" s="14">
        <v>250</v>
      </c>
      <c r="E4" s="14">
        <v>1000</v>
      </c>
      <c r="F4" s="14">
        <f t="shared" si="1"/>
        <v>250000</v>
      </c>
    </row>
    <row r="5" spans="1:6" x14ac:dyDescent="0.2">
      <c r="A5" s="4" t="s">
        <v>51</v>
      </c>
      <c r="B5" s="14">
        <v>1800</v>
      </c>
      <c r="C5" s="14">
        <f t="shared" si="0"/>
        <v>18000000</v>
      </c>
      <c r="D5" s="14">
        <v>10000</v>
      </c>
      <c r="E5" s="14">
        <v>100</v>
      </c>
      <c r="F5" s="14">
        <f t="shared" si="1"/>
        <v>1000000</v>
      </c>
    </row>
    <row r="6" spans="1:6" x14ac:dyDescent="0.2">
      <c r="A6" s="4" t="s">
        <v>52</v>
      </c>
      <c r="B6" s="14">
        <v>2800</v>
      </c>
      <c r="C6" s="14">
        <f t="shared" si="0"/>
        <v>2800000</v>
      </c>
      <c r="D6" s="14">
        <v>1000</v>
      </c>
      <c r="E6" s="14">
        <v>10</v>
      </c>
      <c r="F6" s="14">
        <f t="shared" si="1"/>
        <v>10000</v>
      </c>
    </row>
    <row r="7" spans="1:6" x14ac:dyDescent="0.2">
      <c r="A7" s="4" t="s">
        <v>53</v>
      </c>
      <c r="B7" s="14">
        <v>2100</v>
      </c>
      <c r="C7" s="14">
        <f t="shared" si="0"/>
        <v>42000000</v>
      </c>
      <c r="D7" s="14">
        <v>20000</v>
      </c>
      <c r="E7" s="14">
        <v>50</v>
      </c>
      <c r="F7" s="14">
        <f t="shared" si="1"/>
        <v>1000000</v>
      </c>
    </row>
    <row r="8" spans="1:6" x14ac:dyDescent="0.2">
      <c r="A8" s="4" t="s">
        <v>54</v>
      </c>
      <c r="B8" s="14">
        <v>1600</v>
      </c>
      <c r="C8" s="14">
        <f t="shared" si="0"/>
        <v>1600000</v>
      </c>
      <c r="D8" s="14">
        <v>1000</v>
      </c>
      <c r="E8" s="14">
        <v>20</v>
      </c>
      <c r="F8" s="14">
        <f t="shared" si="1"/>
        <v>20000</v>
      </c>
    </row>
    <row r="9" spans="1:6" ht="17" thickBot="1" x14ac:dyDescent="0.25">
      <c r="A9" s="13" t="s">
        <v>55</v>
      </c>
      <c r="B9" s="15">
        <v>1100</v>
      </c>
      <c r="C9" s="15">
        <f t="shared" si="0"/>
        <v>11000000</v>
      </c>
      <c r="D9" s="15">
        <v>10000</v>
      </c>
      <c r="E9" s="15">
        <v>5</v>
      </c>
      <c r="F9" s="15">
        <f t="shared" si="1"/>
        <v>50000</v>
      </c>
    </row>
    <row r="10" spans="1:6" ht="17" thickTop="1" x14ac:dyDescent="0.2">
      <c r="E10" t="s">
        <v>63</v>
      </c>
      <c r="F10" s="14">
        <f>SUM(F2:F9)</f>
        <v>2510000</v>
      </c>
    </row>
    <row r="12" spans="1:6" ht="35" thickBot="1" x14ac:dyDescent="0.25">
      <c r="A12" s="29" t="s">
        <v>77</v>
      </c>
      <c r="B12" s="11" t="s">
        <v>68</v>
      </c>
      <c r="C12" s="12" t="s">
        <v>71</v>
      </c>
      <c r="D12" s="28" t="s">
        <v>70</v>
      </c>
      <c r="E12" s="27" t="s">
        <v>69</v>
      </c>
    </row>
    <row r="13" spans="1:6" x14ac:dyDescent="0.2">
      <c r="A13" s="4" t="s">
        <v>56</v>
      </c>
      <c r="B13" s="25">
        <v>0.3</v>
      </c>
      <c r="C13" s="14">
        <f t="shared" ref="C13:C14" si="2">B2+(B13*B2)</f>
        <v>585</v>
      </c>
      <c r="D13" s="30">
        <v>0</v>
      </c>
      <c r="E13" s="14">
        <f t="shared" ref="E13:E14" si="3">(D13*F2)</f>
        <v>0</v>
      </c>
      <c r="F13" t="s">
        <v>74</v>
      </c>
    </row>
    <row r="14" spans="1:6" x14ac:dyDescent="0.2">
      <c r="A14" s="4" t="s">
        <v>57</v>
      </c>
      <c r="B14" s="25">
        <v>1</v>
      </c>
      <c r="C14" s="14">
        <f t="shared" si="2"/>
        <v>40</v>
      </c>
      <c r="D14" s="30">
        <v>0</v>
      </c>
      <c r="E14" s="14">
        <f t="shared" si="3"/>
        <v>0</v>
      </c>
    </row>
    <row r="15" spans="1:6" x14ac:dyDescent="0.2">
      <c r="A15" s="4" t="s">
        <v>50</v>
      </c>
      <c r="B15" s="25">
        <v>0.2</v>
      </c>
      <c r="C15" s="14">
        <f>B4+(B15*B4)</f>
        <v>2760</v>
      </c>
      <c r="D15" s="23">
        <v>0.2</v>
      </c>
      <c r="E15" s="14">
        <f>(D15*F4)</f>
        <v>50000</v>
      </c>
    </row>
    <row r="16" spans="1:6" x14ac:dyDescent="0.2">
      <c r="A16" s="4" t="s">
        <v>51</v>
      </c>
      <c r="B16" s="25">
        <v>-0.2</v>
      </c>
      <c r="C16" s="14">
        <f t="shared" ref="C16:C19" si="4">B5+(B16*B5)</f>
        <v>1440</v>
      </c>
      <c r="D16" s="23">
        <v>0.3</v>
      </c>
      <c r="E16" s="14">
        <f t="shared" ref="E16:E20" si="5">(D16*F5)</f>
        <v>300000</v>
      </c>
    </row>
    <row r="17" spans="1:5" x14ac:dyDescent="0.2">
      <c r="A17" s="4" t="s">
        <v>52</v>
      </c>
      <c r="B17" s="25">
        <v>0.2</v>
      </c>
      <c r="C17" s="14">
        <f t="shared" si="4"/>
        <v>3360</v>
      </c>
      <c r="D17" s="23">
        <v>0.2</v>
      </c>
      <c r="E17" s="14">
        <f t="shared" si="5"/>
        <v>2000</v>
      </c>
    </row>
    <row r="18" spans="1:5" x14ac:dyDescent="0.2">
      <c r="A18" s="4" t="s">
        <v>53</v>
      </c>
      <c r="B18" s="25">
        <v>-0.2</v>
      </c>
      <c r="C18" s="14">
        <f t="shared" si="4"/>
        <v>1680</v>
      </c>
      <c r="D18" s="23">
        <v>0.3</v>
      </c>
      <c r="E18" s="14">
        <f t="shared" si="5"/>
        <v>300000</v>
      </c>
    </row>
    <row r="19" spans="1:5" x14ac:dyDescent="0.2">
      <c r="A19" s="4" t="s">
        <v>54</v>
      </c>
      <c r="B19" s="25">
        <v>0.2</v>
      </c>
      <c r="C19" s="14">
        <f t="shared" si="4"/>
        <v>1920</v>
      </c>
      <c r="D19" s="23">
        <v>0</v>
      </c>
      <c r="E19" s="14">
        <f t="shared" si="5"/>
        <v>0</v>
      </c>
    </row>
    <row r="20" spans="1:5" ht="17" thickBot="1" x14ac:dyDescent="0.25">
      <c r="A20" s="13" t="s">
        <v>55</v>
      </c>
      <c r="B20" s="26">
        <v>-0.2</v>
      </c>
      <c r="C20" s="15">
        <f>B9+(B20*B9)</f>
        <v>880</v>
      </c>
      <c r="D20" s="24">
        <v>0</v>
      </c>
      <c r="E20" s="15">
        <f t="shared" si="5"/>
        <v>0</v>
      </c>
    </row>
    <row r="21" spans="1:5" ht="17" thickTop="1" x14ac:dyDescent="0.2">
      <c r="D21" t="s">
        <v>63</v>
      </c>
      <c r="E21" s="20">
        <f>SUM(E13:E20)</f>
        <v>652000</v>
      </c>
    </row>
    <row r="23" spans="1:5" ht="35" thickBot="1" x14ac:dyDescent="0.25">
      <c r="A23" s="29" t="s">
        <v>78</v>
      </c>
      <c r="B23" s="12" t="s">
        <v>73</v>
      </c>
      <c r="C23" s="28" t="s">
        <v>75</v>
      </c>
    </row>
    <row r="24" spans="1:5" x14ac:dyDescent="0.2">
      <c r="A24" s="4" t="s">
        <v>58</v>
      </c>
      <c r="B24" s="14">
        <v>600</v>
      </c>
      <c r="C24" s="14">
        <v>180000</v>
      </c>
      <c r="D24" t="s">
        <v>74</v>
      </c>
    </row>
    <row r="25" spans="1:5" x14ac:dyDescent="0.2">
      <c r="A25" s="4" t="s">
        <v>79</v>
      </c>
      <c r="B25" s="14">
        <v>120</v>
      </c>
      <c r="C25" s="14">
        <v>200000</v>
      </c>
      <c r="D25" t="s">
        <v>74</v>
      </c>
    </row>
    <row r="26" spans="1:5" x14ac:dyDescent="0.2">
      <c r="A26" s="4" t="s">
        <v>80</v>
      </c>
      <c r="B26" s="14">
        <v>180</v>
      </c>
      <c r="C26" s="14">
        <v>200000</v>
      </c>
    </row>
    <row r="27" spans="1:5" ht="17" thickBot="1" x14ac:dyDescent="0.25">
      <c r="A27" s="13" t="s">
        <v>59</v>
      </c>
      <c r="B27" s="15">
        <v>800</v>
      </c>
      <c r="C27" s="15">
        <v>500000</v>
      </c>
    </row>
    <row r="28" spans="1:5" ht="17" thickTop="1" x14ac:dyDescent="0.2">
      <c r="B28" t="s">
        <v>63</v>
      </c>
      <c r="C28" s="14">
        <f>SUM(C24:C27)</f>
        <v>1080000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CF05-86EE-6741-8109-B5A268E03691}">
  <dimension ref="A1:B7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20" t="s">
        <v>61</v>
      </c>
      <c r="B1" s="20" t="s">
        <v>62</v>
      </c>
    </row>
    <row r="2" spans="1:2" x14ac:dyDescent="0.2">
      <c r="A2" s="20">
        <v>90</v>
      </c>
      <c r="B2" s="20">
        <v>931138</v>
      </c>
    </row>
    <row r="3" spans="1:2" x14ac:dyDescent="0.2">
      <c r="A3" s="35">
        <v>110</v>
      </c>
      <c r="B3" s="20">
        <v>122421.757812</v>
      </c>
    </row>
    <row r="4" spans="1:2" x14ac:dyDescent="0.2">
      <c r="A4" s="35">
        <v>120</v>
      </c>
      <c r="B4" s="20">
        <v>47518.199219000002</v>
      </c>
    </row>
    <row r="5" spans="1:2" x14ac:dyDescent="0.2">
      <c r="A5" s="35">
        <v>130</v>
      </c>
      <c r="B5" s="20">
        <v>15271.980469</v>
      </c>
    </row>
    <row r="6" spans="1:2" x14ac:dyDescent="0.2">
      <c r="A6" s="35">
        <v>135</v>
      </c>
      <c r="B6" s="20">
        <v>6307.3198240000002</v>
      </c>
    </row>
    <row r="7" spans="1:2" x14ac:dyDescent="0.2">
      <c r="A7" s="35">
        <v>140</v>
      </c>
      <c r="B7" s="2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28</vt:i4>
      </vt:variant>
    </vt:vector>
  </HeadingPairs>
  <TitlesOfParts>
    <vt:vector size="37" baseType="lpstr">
      <vt:lpstr>Shortage Distributions</vt:lpstr>
      <vt:lpstr>Results_Raw</vt:lpstr>
      <vt:lpstr>Results_Volume</vt:lpstr>
      <vt:lpstr>Results_Cost</vt:lpstr>
      <vt:lpstr>Low</vt:lpstr>
      <vt:lpstr>Mid</vt:lpstr>
      <vt:lpstr>High</vt:lpstr>
      <vt:lpstr>Actions</vt:lpstr>
      <vt:lpstr>Shortage WTP</vt:lpstr>
      <vt:lpstr>EX_OPTION_ci</vt:lpstr>
      <vt:lpstr>L_DESAL_ci</vt:lpstr>
      <vt:lpstr>L_DESAL_exp_ci</vt:lpstr>
      <vt:lpstr>L_DESAL_qf</vt:lpstr>
      <vt:lpstr>L_GW_ci</vt:lpstr>
      <vt:lpstr>L_GW_qf</vt:lpstr>
      <vt:lpstr>L_GWR_ci</vt:lpstr>
      <vt:lpstr>L_GWR_exp_ci</vt:lpstr>
      <vt:lpstr>L_REC_ci</vt:lpstr>
      <vt:lpstr>L_REC_exp_ci</vt:lpstr>
      <vt:lpstr>L_REC_qf</vt:lpstr>
      <vt:lpstr>LS_RESTRICT_ci</vt:lpstr>
      <vt:lpstr>LS_RETRO_ci</vt:lpstr>
      <vt:lpstr>LS_RETRO_exp_ci</vt:lpstr>
      <vt:lpstr>LS_RETRO_qf</vt:lpstr>
      <vt:lpstr>OPTION_ci</vt:lpstr>
      <vt:lpstr>OPTION_exp_ci</vt:lpstr>
      <vt:lpstr>OPTION_qf</vt:lpstr>
      <vt:lpstr>S_DESAL_ci</vt:lpstr>
      <vt:lpstr>S_DESAL_exp_ci</vt:lpstr>
      <vt:lpstr>S_DESAL_qf</vt:lpstr>
      <vt:lpstr>S_GWR_ci</vt:lpstr>
      <vt:lpstr>S_GWR_exp_ci</vt:lpstr>
      <vt:lpstr>S_GWR_qf</vt:lpstr>
      <vt:lpstr>S_REC_ci</vt:lpstr>
      <vt:lpstr>S_REC_exp_ci</vt:lpstr>
      <vt:lpstr>S_REC_qf</vt:lpstr>
      <vt:lpstr>SPOT_ci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2021-01-25T17:36:41Z</dcterms:created>
  <dcterms:modified xsi:type="dcterms:W3CDTF">2021-02-16T21:18:15Z</dcterms:modified>
</cp:coreProperties>
</file>