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/Dropbox/My Mac (WLA-MBP.local)/Documents/courses/ECI249/project/"/>
    </mc:Choice>
  </mc:AlternateContent>
  <xr:revisionPtr revIDLastSave="0" documentId="13_ncr:1_{23728E36-221D-0C4B-8195-AD96ED45BBAC}" xr6:coauthVersionLast="46" xr6:coauthVersionMax="46" xr10:uidLastSave="{00000000-0000-0000-0000-000000000000}"/>
  <bookViews>
    <workbookView xWindow="1480" yWindow="500" windowWidth="23680" windowHeight="20340" activeTab="8" xr2:uid="{2EE1E68C-00F5-244C-9F08-38694E87EB54}"/>
  </bookViews>
  <sheets>
    <sheet name="Shortage Distributions" sheetId="4" r:id="rId1"/>
    <sheet name="Results_Raw" sheetId="9" r:id="rId2"/>
    <sheet name="Sheet5" sheetId="13" r:id="rId3"/>
    <sheet name="Results_Volume" sheetId="11" r:id="rId4"/>
    <sheet name="Results_Cost" sheetId="10" r:id="rId5"/>
    <sheet name="Low" sheetId="8" r:id="rId6"/>
    <sheet name="Mid" sheetId="1" r:id="rId7"/>
    <sheet name="High" sheetId="7" r:id="rId8"/>
    <sheet name="Actions" sheetId="2" r:id="rId9"/>
  </sheets>
  <definedNames>
    <definedName name="EX_OPTION_ci">Actions!$C$15</definedName>
    <definedName name="EX_OPTION_qf">Actions!$D$15</definedName>
    <definedName name="L_DESAL_ci">Actions!$C$7</definedName>
    <definedName name="L_DESAL_qf">Actions!$D$7</definedName>
    <definedName name="L_GW_ci">Actions!$C$9</definedName>
    <definedName name="L_GW_qf">Actions!$D$9</definedName>
    <definedName name="L_GWR_ci">Actions!$C$9</definedName>
    <definedName name="L_REC_ci">Actions!$C$5</definedName>
    <definedName name="L_REC_qf">Actions!$D$5</definedName>
    <definedName name="LS_RESTRICT_ci">Actions!$C$14</definedName>
    <definedName name="LS_RESTRICT_qf">Actions!$D$14</definedName>
    <definedName name="LS_RETRO_ci">Actions!$C$2</definedName>
    <definedName name="LS_RETRO_qf">Actions!$D$2</definedName>
    <definedName name="OPTION_ci">Actions!$C$3</definedName>
    <definedName name="OPTION_qf">Actions!$D$3</definedName>
    <definedName name="S_DESAL_ci">Actions!$C$6</definedName>
    <definedName name="S_DESAL_qf">Actions!$D$6</definedName>
    <definedName name="S_GWR_ci">Actions!$C$8</definedName>
    <definedName name="S_GWR_qf">Actions!$D$8</definedName>
    <definedName name="S_REC_ci">Actions!$C$4</definedName>
    <definedName name="S_REC_qf">Actions!$D$4</definedName>
    <definedName name="SPOT_ci">Actions!$C$16</definedName>
    <definedName name="SPOT_qf">Actions!$D$16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1" l="1"/>
  <c r="F9" i="11"/>
  <c r="G9" i="11"/>
  <c r="H9" i="11"/>
  <c r="E9" i="11"/>
  <c r="E5" i="10"/>
  <c r="E2" i="10" s="1"/>
  <c r="E6" i="10"/>
  <c r="E7" i="10"/>
  <c r="E8" i="10"/>
  <c r="E9" i="10"/>
  <c r="E10" i="10"/>
  <c r="E11" i="10"/>
  <c r="E12" i="10"/>
  <c r="E16" i="10"/>
  <c r="E3" i="10" s="1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F6" i="11"/>
  <c r="G6" i="11"/>
  <c r="H6" i="11"/>
  <c r="E6" i="11"/>
  <c r="E5" i="11"/>
  <c r="E7" i="11"/>
  <c r="E8" i="11"/>
  <c r="E10" i="11"/>
  <c r="E11" i="11"/>
  <c r="E12" i="11"/>
  <c r="E16" i="11"/>
  <c r="E3" i="11" s="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G6" i="10"/>
  <c r="H6" i="10"/>
  <c r="F6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8" i="10"/>
  <c r="H38" i="10"/>
  <c r="G39" i="10"/>
  <c r="H39" i="10"/>
  <c r="G40" i="10"/>
  <c r="H40" i="10"/>
  <c r="G41" i="10"/>
  <c r="H41" i="10"/>
  <c r="G42" i="10"/>
  <c r="H42" i="10"/>
  <c r="G43" i="10"/>
  <c r="H43" i="10"/>
  <c r="G44" i="10"/>
  <c r="H44" i="10"/>
  <c r="G45" i="10"/>
  <c r="H45" i="10"/>
  <c r="G46" i="10"/>
  <c r="H46" i="10"/>
  <c r="G47" i="10"/>
  <c r="H47" i="10"/>
  <c r="G48" i="10"/>
  <c r="H48" i="10"/>
  <c r="G49" i="10"/>
  <c r="H49" i="10"/>
  <c r="G50" i="10"/>
  <c r="H50" i="10"/>
  <c r="G51" i="10"/>
  <c r="H51" i="10"/>
  <c r="G52" i="10"/>
  <c r="H52" i="10"/>
  <c r="G53" i="10"/>
  <c r="H53" i="10"/>
  <c r="G54" i="10"/>
  <c r="H54" i="10"/>
  <c r="G55" i="10"/>
  <c r="H55" i="10"/>
  <c r="G56" i="10"/>
  <c r="H56" i="10"/>
  <c r="G57" i="10"/>
  <c r="H57" i="10"/>
  <c r="G58" i="10"/>
  <c r="H58" i="10"/>
  <c r="G59" i="10"/>
  <c r="H59" i="10"/>
  <c r="G60" i="10"/>
  <c r="H60" i="10"/>
  <c r="G61" i="10"/>
  <c r="H61" i="10"/>
  <c r="G62" i="10"/>
  <c r="H62" i="10"/>
  <c r="G63" i="10"/>
  <c r="H63" i="10"/>
  <c r="G64" i="10"/>
  <c r="H64" i="10"/>
  <c r="G65" i="10"/>
  <c r="H65" i="10"/>
  <c r="G66" i="10"/>
  <c r="H66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G50" i="11"/>
  <c r="H50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6" i="2"/>
  <c r="C16" i="2"/>
  <c r="F15" i="2"/>
  <c r="C15" i="2"/>
  <c r="F14" i="2"/>
  <c r="C14" i="2"/>
  <c r="G5" i="11"/>
  <c r="H5" i="11"/>
  <c r="G7" i="11"/>
  <c r="H7" i="11"/>
  <c r="G8" i="11"/>
  <c r="G2" i="11" s="1"/>
  <c r="H8" i="11"/>
  <c r="G10" i="11"/>
  <c r="H10" i="11"/>
  <c r="G11" i="11"/>
  <c r="H11" i="11"/>
  <c r="G12" i="11"/>
  <c r="H12" i="11"/>
  <c r="F12" i="11"/>
  <c r="F11" i="11"/>
  <c r="F10" i="11"/>
  <c r="F8" i="11"/>
  <c r="F7" i="11"/>
  <c r="F5" i="11"/>
  <c r="H10" i="4"/>
  <c r="I3" i="4" a="1"/>
  <c r="I3" i="4" s="1"/>
  <c r="J3" i="4" s="1"/>
  <c r="I4" i="4" a="1"/>
  <c r="I4" i="4" s="1"/>
  <c r="J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J10" i="4" s="1"/>
  <c r="H6" i="4"/>
  <c r="H5" i="4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F4" i="7"/>
  <c r="B76" i="7" s="1"/>
  <c r="B75" i="7" s="1"/>
  <c r="B74" i="7" s="1"/>
  <c r="B73" i="7" s="1"/>
  <c r="B72" i="7" s="1"/>
  <c r="B71" i="7" s="1"/>
  <c r="B70" i="7" s="1"/>
  <c r="B69" i="7" s="1"/>
  <c r="B68" i="7" s="1"/>
  <c r="B67" i="7" s="1"/>
  <c r="B66" i="7" s="1"/>
  <c r="B65" i="7" s="1"/>
  <c r="B64" i="7" s="1"/>
  <c r="B63" i="7" s="1"/>
  <c r="B62" i="7" s="1"/>
  <c r="B61" i="7" s="1"/>
  <c r="B60" i="7" s="1"/>
  <c r="B59" i="7" s="1"/>
  <c r="B58" i="7" s="1"/>
  <c r="B57" i="7" s="1"/>
  <c r="B56" i="7" s="1"/>
  <c r="B55" i="7" s="1"/>
  <c r="B54" i="7" s="1"/>
  <c r="B53" i="7" s="1"/>
  <c r="B52" i="7" s="1"/>
  <c r="B51" i="7" s="1"/>
  <c r="B50" i="7" s="1"/>
  <c r="B49" i="7" s="1"/>
  <c r="B48" i="7" s="1"/>
  <c r="B47" i="7" s="1"/>
  <c r="B46" i="7" s="1"/>
  <c r="B45" i="7" s="1"/>
  <c r="B44" i="7" s="1"/>
  <c r="B43" i="7" s="1"/>
  <c r="B42" i="7" s="1"/>
  <c r="B41" i="7" s="1"/>
  <c r="B40" i="7" s="1"/>
  <c r="B39" i="7" s="1"/>
  <c r="B38" i="7" s="1"/>
  <c r="B37" i="7" s="1"/>
  <c r="B36" i="7" s="1"/>
  <c r="B35" i="7" s="1"/>
  <c r="B34" i="7" s="1"/>
  <c r="B33" i="7" s="1"/>
  <c r="B32" i="7" s="1"/>
  <c r="B31" i="7" s="1"/>
  <c r="B30" i="7" s="1"/>
  <c r="B29" i="7" s="1"/>
  <c r="B28" i="7" s="1"/>
  <c r="B27" i="7" s="1"/>
  <c r="B26" i="7" s="1"/>
  <c r="B25" i="7" s="1"/>
  <c r="B24" i="7" s="1"/>
  <c r="B23" i="7" s="1"/>
  <c r="B22" i="7" s="1"/>
  <c r="B21" i="7" s="1"/>
  <c r="B20" i="7" s="1"/>
  <c r="B19" i="7" s="1"/>
  <c r="B18" i="7" s="1"/>
  <c r="B17" i="7" s="1"/>
  <c r="B16" i="7" s="1"/>
  <c r="B15" i="7" s="1"/>
  <c r="B14" i="7" s="1"/>
  <c r="B13" i="7" s="1"/>
  <c r="B12" i="7" s="1"/>
  <c r="B11" i="7" s="1"/>
  <c r="B10" i="7" s="1"/>
  <c r="B9" i="7" s="1"/>
  <c r="B8" i="7" s="1"/>
  <c r="B7" i="7" s="1"/>
  <c r="B6" i="7" s="1"/>
  <c r="B5" i="7" s="1"/>
  <c r="B4" i="7" s="1"/>
  <c r="B3" i="7" s="1"/>
  <c r="F5" i="7"/>
  <c r="F2" i="7"/>
  <c r="F3" i="7"/>
  <c r="B100" i="7"/>
  <c r="B99" i="7" s="1"/>
  <c r="B98" i="7" s="1"/>
  <c r="B97" i="7" s="1"/>
  <c r="B96" i="7" s="1"/>
  <c r="B95" i="7" s="1"/>
  <c r="B94" i="7" s="1"/>
  <c r="B93" i="7" s="1"/>
  <c r="B92" i="7" s="1"/>
  <c r="B91" i="7" s="1"/>
  <c r="B90" i="7" s="1"/>
  <c r="B89" i="7" s="1"/>
  <c r="B88" i="7" s="1"/>
  <c r="B87" i="7" s="1"/>
  <c r="B86" i="7" s="1"/>
  <c r="B85" i="7" s="1"/>
  <c r="B84" i="7" s="1"/>
  <c r="B83" i="7" s="1"/>
  <c r="B82" i="7" s="1"/>
  <c r="B81" i="7" s="1"/>
  <c r="B80" i="7" s="1"/>
  <c r="B79" i="7" s="1"/>
  <c r="B78" i="7" s="1"/>
  <c r="B77" i="7" s="1"/>
  <c r="E4" i="4" a="1"/>
  <c r="E4" i="4"/>
  <c r="E5" i="4" a="1"/>
  <c r="E5" i="4" s="1"/>
  <c r="E6" i="4" a="1"/>
  <c r="E6" i="4" s="1"/>
  <c r="E7" i="4" a="1"/>
  <c r="E7" i="4" s="1"/>
  <c r="E8" i="4" a="1"/>
  <c r="E8" i="4" s="1"/>
  <c r="E9" i="4" a="1"/>
  <c r="E9" i="4" s="1"/>
  <c r="E3" i="4" a="1"/>
  <c r="E3" i="4" s="1"/>
  <c r="C86" i="8"/>
  <c r="C3" i="8"/>
  <c r="C45" i="8"/>
  <c r="C61" i="8"/>
  <c r="B17" i="8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E2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E4" i="7"/>
  <c r="C4" i="7"/>
  <c r="E3" i="7"/>
  <c r="C3" i="7"/>
  <c r="E2" i="7"/>
  <c r="C9" i="4"/>
  <c r="C8" i="4" s="1"/>
  <c r="C3" i="1"/>
  <c r="E1" i="10" l="1"/>
  <c r="E1" i="11"/>
  <c r="G3" i="11"/>
  <c r="G1" i="11" s="1"/>
  <c r="H3" i="11"/>
  <c r="H2" i="11"/>
  <c r="F3" i="11"/>
  <c r="F2" i="11"/>
  <c r="F3" i="10"/>
  <c r="G3" i="10"/>
  <c r="H3" i="10"/>
  <c r="F17" i="2"/>
  <c r="J5" i="4"/>
  <c r="J8" i="4"/>
  <c r="J9" i="4"/>
  <c r="J6" i="4"/>
  <c r="J7" i="4"/>
  <c r="D8" i="4"/>
  <c r="C7" i="4"/>
  <c r="D9" i="4"/>
  <c r="C4" i="2"/>
  <c r="F8" i="2"/>
  <c r="F9" i="2"/>
  <c r="F3" i="2"/>
  <c r="F4" i="2"/>
  <c r="F5" i="2"/>
  <c r="F6" i="2"/>
  <c r="F7" i="2"/>
  <c r="F2" i="2"/>
  <c r="C5" i="2"/>
  <c r="C6" i="2"/>
  <c r="C7" i="2"/>
  <c r="C8" i="2"/>
  <c r="C9" i="2"/>
  <c r="C2" i="2"/>
  <c r="C3" i="2"/>
  <c r="E2" i="1"/>
  <c r="E3" i="1"/>
  <c r="B58" i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E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F1" i="11" l="1"/>
  <c r="H1" i="11"/>
  <c r="G9" i="10"/>
  <c r="F9" i="10"/>
  <c r="H9" i="10"/>
  <c r="F5" i="10"/>
  <c r="G5" i="10"/>
  <c r="H5" i="10"/>
  <c r="G11" i="10"/>
  <c r="H11" i="10"/>
  <c r="F11" i="10"/>
  <c r="F10" i="10"/>
  <c r="G10" i="10"/>
  <c r="H10" i="10"/>
  <c r="H7" i="10"/>
  <c r="G7" i="10"/>
  <c r="F7" i="10"/>
  <c r="H8" i="10"/>
  <c r="F8" i="10"/>
  <c r="G8" i="10"/>
  <c r="H12" i="10"/>
  <c r="F12" i="10"/>
  <c r="G12" i="10"/>
  <c r="C6" i="4"/>
  <c r="D7" i="4"/>
  <c r="B16" i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F10" i="2"/>
  <c r="F2" i="10" l="1"/>
  <c r="F1" i="10" s="1"/>
  <c r="G2" i="10"/>
  <c r="G1" i="10" s="1"/>
  <c r="H2" i="10"/>
  <c r="H1" i="10" s="1"/>
  <c r="H9" i="4"/>
  <c r="F10" i="4"/>
  <c r="H8" i="4"/>
  <c r="D6" i="4"/>
  <c r="C5" i="4"/>
  <c r="F9" i="4" l="1"/>
  <c r="C4" i="4"/>
  <c r="D5" i="4"/>
  <c r="H7" i="4"/>
  <c r="F8" i="4"/>
  <c r="F7" i="4" l="1"/>
  <c r="D4" i="4"/>
  <c r="C3" i="4"/>
  <c r="D3" i="4" s="1"/>
  <c r="H3" i="4" l="1"/>
  <c r="F3" i="4"/>
  <c r="F4" i="4"/>
  <c r="H4" i="4"/>
  <c r="F6" i="4"/>
  <c r="F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<sst xmlns="http://schemas.openxmlformats.org/spreadsheetml/2006/main" count="811" uniqueCount="78">
  <si>
    <t>Sh</t>
  </si>
  <si>
    <t>Rank</t>
  </si>
  <si>
    <t>P (r+1/n+2)</t>
  </si>
  <si>
    <t>&lt;=0</t>
  </si>
  <si>
    <t>f(p)</t>
  </si>
  <si>
    <t>F(p)</t>
  </si>
  <si>
    <t>$$c_i$$</t>
  </si>
  <si>
    <r>
      <t>$$L_{i}$$</t>
    </r>
    <r>
      <rPr>
        <sz val="12"/>
        <color theme="1"/>
        <rFont val="Calibri"/>
        <family val="2"/>
        <scheme val="minor"/>
      </rPr>
      <t xml:space="preserve"> max volume</t>
    </r>
  </si>
  <si>
    <t>Long-Term Measure, $$i$$</t>
  </si>
  <si>
    <t>$$q$$ (af/yr)</t>
  </si>
  <si>
    <t>$$c$$
($/af)</t>
  </si>
  <si>
    <r>
      <t xml:space="preserve">$$L_i$$
</t>
    </r>
    <r>
      <rPr>
        <sz val="12"/>
        <color theme="1"/>
        <rFont val="Calibri"/>
        <family val="2"/>
        <scheme val="minor"/>
      </rPr>
      <t>max count</t>
    </r>
  </si>
  <si>
    <t>No Shortage</t>
  </si>
  <si>
    <t>Shortage Level</t>
  </si>
  <si>
    <t>Mid-Point</t>
  </si>
  <si>
    <t>Shortage Discretization</t>
  </si>
  <si>
    <t>Mid</t>
  </si>
  <si>
    <t>High</t>
  </si>
  <si>
    <t>Low</t>
  </si>
  <si>
    <t>Bound (&lt;=)</t>
  </si>
  <si>
    <t>Stage1</t>
  </si>
  <si>
    <t xml:space="preserve"> Root</t>
  </si>
  <si>
    <t xml:space="preserve"> LT_ACTION</t>
  </si>
  <si>
    <t xml:space="preserve"> LS_RETRO</t>
  </si>
  <si>
    <t xml:space="preserve"> L_DESAL</t>
  </si>
  <si>
    <t xml:space="preserve"> L_GWR</t>
  </si>
  <si>
    <t xml:space="preserve"> L_REC</t>
  </si>
  <si>
    <t xml:space="preserve"> OPTION</t>
  </si>
  <si>
    <t xml:space="preserve"> S_DESAL</t>
  </si>
  <si>
    <t xml:space="preserve"> S_GWR</t>
  </si>
  <si>
    <t xml:space="preserve"> S_REC</t>
  </si>
  <si>
    <t>Stage2</t>
  </si>
  <si>
    <t xml:space="preserve"> P1</t>
  </si>
  <si>
    <t xml:space="preserve"> MT_ACTION</t>
  </si>
  <si>
    <t xml:space="preserve"> NA</t>
  </si>
  <si>
    <t xml:space="preserve"> P2</t>
  </si>
  <si>
    <t xml:space="preserve"> P3</t>
  </si>
  <si>
    <t>Stage3</t>
  </si>
  <si>
    <t xml:space="preserve"> NoShortage_P1</t>
  </si>
  <si>
    <t xml:space="preserve"> ST_Q</t>
  </si>
  <si>
    <t xml:space="preserve"> EX_OPTION</t>
  </si>
  <si>
    <t xml:space="preserve"> LS_RESTRICT</t>
  </si>
  <si>
    <t xml:space="preserve"> SPOT</t>
  </si>
  <si>
    <t xml:space="preserve"> NoShortage_P2</t>
  </si>
  <si>
    <t xml:space="preserve"> NoShortage_P3</t>
  </si>
  <si>
    <t xml:space="preserve"> S1_P1</t>
  </si>
  <si>
    <t xml:space="preserve"> S1_P2</t>
  </si>
  <si>
    <t xml:space="preserve"> S1_P3</t>
  </si>
  <si>
    <t xml:space="preserve"> S2_P1</t>
  </si>
  <si>
    <t xml:space="preserve"> S2_P2</t>
  </si>
  <si>
    <t xml:space="preserve"> S2_P3</t>
  </si>
  <si>
    <t xml:space="preserve"> S3_P1</t>
  </si>
  <si>
    <t xml:space="preserve"> S3_P2</t>
  </si>
  <si>
    <t xml:space="preserve"> S3_P3</t>
  </si>
  <si>
    <t xml:space="preserve"> S4_P2</t>
  </si>
  <si>
    <t xml:space="preserve"> S4_P3</t>
  </si>
  <si>
    <t xml:space="preserve"> S5_P3</t>
  </si>
  <si>
    <t xml:space="preserve"> S6_P3</t>
  </si>
  <si>
    <t xml:space="preserve"> S7_P3</t>
  </si>
  <si>
    <t>Short-Term Measure, $$i$$</t>
  </si>
  <si>
    <t>Exercise Dry Year Option</t>
  </si>
  <si>
    <t>Recycling (S)</t>
  </si>
  <si>
    <t>Recycling (L)</t>
  </si>
  <si>
    <t>Desalination (S)</t>
  </si>
  <si>
    <t>Desalination (L)</t>
  </si>
  <si>
    <t>GW Recovery (S)</t>
  </si>
  <si>
    <t>GW Recovery (L)</t>
  </si>
  <si>
    <t>Landscape Retrofitting</t>
  </si>
  <si>
    <t>Dry Year Option Contracts</t>
  </si>
  <si>
    <t>Landscape Restrictions</t>
  </si>
  <si>
    <t>Spot Market Purchase</t>
  </si>
  <si>
    <t>equal</t>
  </si>
  <si>
    <t>0.2-0.6-0.2</t>
  </si>
  <si>
    <t>0.05-0.9-0.05</t>
  </si>
  <si>
    <t>0.01-0.98-0.01</t>
  </si>
  <si>
    <t>capacity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</si>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</sst>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"/>
    <numFmt numFmtId="165" formatCode="0.0000"/>
    <numFmt numFmtId="179" formatCode="_(&quot;$&quot;* #,##0_);_(&quot;$&quot;* \(#,##0\);_(&quot;$&quot;* &quot;-&quot;??_);_(@_)"/>
    <numFmt numFmtId="180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44" fontId="0" fillId="0" borderId="0" xfId="1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/>
    <xf numFmtId="3" fontId="0" fillId="0" borderId="0" xfId="0" applyNumberFormat="1" applyAlignment="1"/>
    <xf numFmtId="3" fontId="0" fillId="0" borderId="2" xfId="0" applyNumberFormat="1" applyBorder="1" applyAlignment="1"/>
    <xf numFmtId="2" fontId="0" fillId="0" borderId="0" xfId="0" applyNumberFormat="1"/>
    <xf numFmtId="44" fontId="0" fillId="0" borderId="0" xfId="0" applyNumberFormat="1"/>
    <xf numFmtId="2" fontId="0" fillId="0" borderId="0" xfId="1" applyNumberFormat="1" applyFont="1"/>
    <xf numFmtId="179" fontId="0" fillId="0" borderId="0" xfId="1" applyNumberFormat="1" applyFont="1"/>
    <xf numFmtId="179" fontId="2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18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99"/>
      <color rgb="FFFF9900"/>
      <color rgb="FF009999"/>
      <color rgb="FFCC0000"/>
      <color rgb="FF000000"/>
      <color rgb="FFED7D3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0944881889764"/>
          <c:y val="0.10910617221234442"/>
          <c:w val="0.75802614093893173"/>
          <c:h val="0.7401046482092964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High!$B$1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High!$B$3:$B$102</c:f>
              <c:numCache>
                <c:formatCode>0.000</c:formatCode>
                <c:ptCount val="100"/>
                <c:pt idx="0">
                  <c:v>2.4652801120448191</c:v>
                </c:pt>
                <c:pt idx="1">
                  <c:v>2.4319467787114859</c:v>
                </c:pt>
                <c:pt idx="2">
                  <c:v>2.3986134453781527</c:v>
                </c:pt>
                <c:pt idx="3">
                  <c:v>2.3652801120448195</c:v>
                </c:pt>
                <c:pt idx="4">
                  <c:v>2.3319467787114863</c:v>
                </c:pt>
                <c:pt idx="5">
                  <c:v>2.298613445378153</c:v>
                </c:pt>
                <c:pt idx="6">
                  <c:v>2.2652801120448198</c:v>
                </c:pt>
                <c:pt idx="7">
                  <c:v>2.2319467787114866</c:v>
                </c:pt>
                <c:pt idx="8">
                  <c:v>2.1986134453781534</c:v>
                </c:pt>
                <c:pt idx="9">
                  <c:v>2.1652801120448202</c:v>
                </c:pt>
                <c:pt idx="10">
                  <c:v>2.131946778711487</c:v>
                </c:pt>
                <c:pt idx="11">
                  <c:v>2.0986134453781538</c:v>
                </c:pt>
                <c:pt idx="12">
                  <c:v>2.0652801120448205</c:v>
                </c:pt>
                <c:pt idx="13">
                  <c:v>2.0319467787114873</c:v>
                </c:pt>
                <c:pt idx="14">
                  <c:v>1.9986134453781539</c:v>
                </c:pt>
                <c:pt idx="15">
                  <c:v>1.9652801120448204</c:v>
                </c:pt>
                <c:pt idx="16">
                  <c:v>1.931946778711487</c:v>
                </c:pt>
                <c:pt idx="17">
                  <c:v>1.8986134453781536</c:v>
                </c:pt>
                <c:pt idx="18">
                  <c:v>1.8869467787114869</c:v>
                </c:pt>
                <c:pt idx="19">
                  <c:v>1.8752801120448201</c:v>
                </c:pt>
                <c:pt idx="20">
                  <c:v>1.8636134453781534</c:v>
                </c:pt>
                <c:pt idx="21">
                  <c:v>1.8519467787114867</c:v>
                </c:pt>
                <c:pt idx="22">
                  <c:v>1.84028011204482</c:v>
                </c:pt>
                <c:pt idx="23">
                  <c:v>1.8286134453781533</c:v>
                </c:pt>
                <c:pt idx="24">
                  <c:v>1.8169467787114866</c:v>
                </c:pt>
                <c:pt idx="25">
                  <c:v>1.8052801120448199</c:v>
                </c:pt>
                <c:pt idx="26">
                  <c:v>1.7936134453781531</c:v>
                </c:pt>
                <c:pt idx="27">
                  <c:v>1.7819467787114864</c:v>
                </c:pt>
                <c:pt idx="28">
                  <c:v>1.7702801120448197</c:v>
                </c:pt>
                <c:pt idx="29">
                  <c:v>1.758613445378153</c:v>
                </c:pt>
                <c:pt idx="30">
                  <c:v>1.7469467787114863</c:v>
                </c:pt>
                <c:pt idx="31">
                  <c:v>1.7352801120448196</c:v>
                </c:pt>
                <c:pt idx="32">
                  <c:v>1.7236134453781529</c:v>
                </c:pt>
                <c:pt idx="33">
                  <c:v>1.7119467787114862</c:v>
                </c:pt>
                <c:pt idx="34">
                  <c:v>1.7002801120448194</c:v>
                </c:pt>
                <c:pt idx="35">
                  <c:v>1.6886134453781527</c:v>
                </c:pt>
                <c:pt idx="36">
                  <c:v>1.676946778711486</c:v>
                </c:pt>
                <c:pt idx="37">
                  <c:v>1.6652801120448193</c:v>
                </c:pt>
                <c:pt idx="38">
                  <c:v>1.6536134453781526</c:v>
                </c:pt>
                <c:pt idx="39">
                  <c:v>1.6419467787114859</c:v>
                </c:pt>
                <c:pt idx="40">
                  <c:v>1.6302801120448192</c:v>
                </c:pt>
                <c:pt idx="41">
                  <c:v>1.6186134453781524</c:v>
                </c:pt>
                <c:pt idx="42">
                  <c:v>1.6069467787114857</c:v>
                </c:pt>
                <c:pt idx="43">
                  <c:v>1.595280112044819</c:v>
                </c:pt>
                <c:pt idx="44">
                  <c:v>1.5836134453781523</c:v>
                </c:pt>
                <c:pt idx="45">
                  <c:v>1.5719467787114856</c:v>
                </c:pt>
                <c:pt idx="46">
                  <c:v>1.5602801120448189</c:v>
                </c:pt>
                <c:pt idx="47">
                  <c:v>1.5486134453781522</c:v>
                </c:pt>
                <c:pt idx="48">
                  <c:v>1.5369467787114854</c:v>
                </c:pt>
                <c:pt idx="49">
                  <c:v>1.5252801120448187</c:v>
                </c:pt>
                <c:pt idx="50">
                  <c:v>1.513613445378152</c:v>
                </c:pt>
                <c:pt idx="51">
                  <c:v>1.5019467787114853</c:v>
                </c:pt>
                <c:pt idx="52">
                  <c:v>1.4902801120448186</c:v>
                </c:pt>
                <c:pt idx="53">
                  <c:v>1.4786134453781519</c:v>
                </c:pt>
                <c:pt idx="54">
                  <c:v>1.4669467787114852</c:v>
                </c:pt>
                <c:pt idx="55">
                  <c:v>1.4552801120448184</c:v>
                </c:pt>
                <c:pt idx="56">
                  <c:v>1.4436134453781517</c:v>
                </c:pt>
                <c:pt idx="57">
                  <c:v>1.431946778711485</c:v>
                </c:pt>
                <c:pt idx="58">
                  <c:v>1.4202801120448183</c:v>
                </c:pt>
                <c:pt idx="59">
                  <c:v>1.4086134453781516</c:v>
                </c:pt>
                <c:pt idx="60">
                  <c:v>1.3969467787114849</c:v>
                </c:pt>
                <c:pt idx="61">
                  <c:v>1.3852801120448182</c:v>
                </c:pt>
                <c:pt idx="62">
                  <c:v>1.3736134453781514</c:v>
                </c:pt>
                <c:pt idx="63">
                  <c:v>1.3619467787114847</c:v>
                </c:pt>
                <c:pt idx="64">
                  <c:v>1.350280112044818</c:v>
                </c:pt>
                <c:pt idx="65">
                  <c:v>1.3386134453781513</c:v>
                </c:pt>
                <c:pt idx="66">
                  <c:v>1.3269467787114846</c:v>
                </c:pt>
                <c:pt idx="67">
                  <c:v>1.3152801120448179</c:v>
                </c:pt>
                <c:pt idx="68">
                  <c:v>1.3036134453781512</c:v>
                </c:pt>
                <c:pt idx="69">
                  <c:v>1.2919467787114844</c:v>
                </c:pt>
                <c:pt idx="70">
                  <c:v>1.2802801120448177</c:v>
                </c:pt>
                <c:pt idx="71">
                  <c:v>1.268613445378151</c:v>
                </c:pt>
                <c:pt idx="72">
                  <c:v>1.2569467787114843</c:v>
                </c:pt>
                <c:pt idx="73">
                  <c:v>1.2452801120448176</c:v>
                </c:pt>
                <c:pt idx="74">
                  <c:v>1.2336134453781509</c:v>
                </c:pt>
                <c:pt idx="75">
                  <c:v>1.2100840336134451</c:v>
                </c:pt>
                <c:pt idx="76">
                  <c:v>1.1865546218487393</c:v>
                </c:pt>
                <c:pt idx="77">
                  <c:v>1.1630252100840335</c:v>
                </c:pt>
                <c:pt idx="78">
                  <c:v>1.1394957983193277</c:v>
                </c:pt>
                <c:pt idx="79">
                  <c:v>1.1159663865546219</c:v>
                </c:pt>
                <c:pt idx="80">
                  <c:v>1.0924369747899161</c:v>
                </c:pt>
                <c:pt idx="81">
                  <c:v>1.0689075630252103</c:v>
                </c:pt>
                <c:pt idx="82">
                  <c:v>1.0453781512605045</c:v>
                </c:pt>
                <c:pt idx="83">
                  <c:v>1.0218487394957987</c:v>
                </c:pt>
                <c:pt idx="84">
                  <c:v>0.99831932773109278</c:v>
                </c:pt>
                <c:pt idx="85">
                  <c:v>0.97478991596638687</c:v>
                </c:pt>
                <c:pt idx="86">
                  <c:v>0.95126050420168096</c:v>
                </c:pt>
                <c:pt idx="87">
                  <c:v>0.92773109243697505</c:v>
                </c:pt>
                <c:pt idx="88">
                  <c:v>0.90420168067226914</c:v>
                </c:pt>
                <c:pt idx="89">
                  <c:v>0.88067226890756323</c:v>
                </c:pt>
                <c:pt idx="90">
                  <c:v>0.85714285714285732</c:v>
                </c:pt>
                <c:pt idx="91">
                  <c:v>0.80000000000000016</c:v>
                </c:pt>
                <c:pt idx="92">
                  <c:v>0.74285714285714299</c:v>
                </c:pt>
                <c:pt idx="93">
                  <c:v>0.68571428571428583</c:v>
                </c:pt>
                <c:pt idx="94">
                  <c:v>0.62857142857142867</c:v>
                </c:pt>
                <c:pt idx="95">
                  <c:v>0.57142857142857151</c:v>
                </c:pt>
                <c:pt idx="96">
                  <c:v>0.51428571428571435</c:v>
                </c:pt>
                <c:pt idx="97">
                  <c:v>0.45714285714285718</c:v>
                </c:pt>
                <c:pt idx="98">
                  <c:v>0.4</c:v>
                </c:pt>
                <c:pt idx="99">
                  <c:v>0</c:v>
                </c:pt>
              </c:numCache>
            </c:numRef>
          </c:xVal>
          <c:yVal>
            <c:numRef>
              <c:f>High!$C$3:$C$102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0.58823529411764708</c:v>
                </c:pt>
                <c:pt idx="59">
                  <c:v>0.59803921568627449</c:v>
                </c:pt>
                <c:pt idx="60">
                  <c:v>0.60784313725490191</c:v>
                </c:pt>
                <c:pt idx="61">
                  <c:v>0.61764705882352944</c:v>
                </c:pt>
                <c:pt idx="62">
                  <c:v>0.62745098039215685</c:v>
                </c:pt>
                <c:pt idx="63">
                  <c:v>0.63725490196078427</c:v>
                </c:pt>
                <c:pt idx="64">
                  <c:v>0.6470588235294118</c:v>
                </c:pt>
                <c:pt idx="65">
                  <c:v>0.65686274509803921</c:v>
                </c:pt>
                <c:pt idx="66">
                  <c:v>0.66666666666666663</c:v>
                </c:pt>
                <c:pt idx="67">
                  <c:v>0.67647058823529416</c:v>
                </c:pt>
                <c:pt idx="68">
                  <c:v>0.68627450980392157</c:v>
                </c:pt>
                <c:pt idx="69">
                  <c:v>0.69607843137254899</c:v>
                </c:pt>
                <c:pt idx="70">
                  <c:v>0.70588235294117652</c:v>
                </c:pt>
                <c:pt idx="71">
                  <c:v>0.71568627450980393</c:v>
                </c:pt>
                <c:pt idx="72">
                  <c:v>0.72549019607843135</c:v>
                </c:pt>
                <c:pt idx="73">
                  <c:v>0.73529411764705888</c:v>
                </c:pt>
                <c:pt idx="74">
                  <c:v>0.74509803921568629</c:v>
                </c:pt>
                <c:pt idx="75">
                  <c:v>0.75490196078431371</c:v>
                </c:pt>
                <c:pt idx="76">
                  <c:v>0.76470588235294112</c:v>
                </c:pt>
                <c:pt idx="77">
                  <c:v>0.77450980392156865</c:v>
                </c:pt>
                <c:pt idx="78">
                  <c:v>0.78431372549019607</c:v>
                </c:pt>
                <c:pt idx="79">
                  <c:v>0.79411764705882348</c:v>
                </c:pt>
                <c:pt idx="80">
                  <c:v>0.80392156862745101</c:v>
                </c:pt>
                <c:pt idx="81">
                  <c:v>0.81372549019607843</c:v>
                </c:pt>
                <c:pt idx="82">
                  <c:v>0.82352941176470584</c:v>
                </c:pt>
                <c:pt idx="83">
                  <c:v>0.83333333333333337</c:v>
                </c:pt>
                <c:pt idx="84">
                  <c:v>0.84313725490196079</c:v>
                </c:pt>
                <c:pt idx="85">
                  <c:v>0.8529411764705882</c:v>
                </c:pt>
                <c:pt idx="86">
                  <c:v>0.86274509803921573</c:v>
                </c:pt>
                <c:pt idx="87">
                  <c:v>0.87254901960784315</c:v>
                </c:pt>
                <c:pt idx="88">
                  <c:v>0.88235294117647056</c:v>
                </c:pt>
                <c:pt idx="89">
                  <c:v>0.89215686274509809</c:v>
                </c:pt>
                <c:pt idx="90">
                  <c:v>0.90196078431372551</c:v>
                </c:pt>
                <c:pt idx="91">
                  <c:v>0.91176470588235292</c:v>
                </c:pt>
                <c:pt idx="92">
                  <c:v>0.92156862745098034</c:v>
                </c:pt>
                <c:pt idx="93">
                  <c:v>0.93137254901960786</c:v>
                </c:pt>
                <c:pt idx="94">
                  <c:v>0.94117647058823528</c:v>
                </c:pt>
                <c:pt idx="95">
                  <c:v>0.9509803921568627</c:v>
                </c:pt>
                <c:pt idx="96">
                  <c:v>0.96078431372549022</c:v>
                </c:pt>
                <c:pt idx="97">
                  <c:v>0.97058823529411764</c:v>
                </c:pt>
                <c:pt idx="98">
                  <c:v>0.98039215686274506</c:v>
                </c:pt>
                <c:pt idx="99">
                  <c:v>0.99019607843137258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1B-4F57-AAAF-170F15F24723}"/>
            </c:ext>
          </c:extLst>
        </c:ser>
        <c:ser>
          <c:idx val="0"/>
          <c:order val="1"/>
          <c:tx>
            <c:strRef>
              <c:f>Mid!$B$1</c:f>
              <c:strCache>
                <c:ptCount val="1"/>
                <c:pt idx="0">
                  <c:v>Mid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Mid!$B$3:$B$102</c:f>
              <c:numCache>
                <c:formatCode>0.000</c:formatCode>
                <c:ptCount val="100"/>
                <c:pt idx="0">
                  <c:v>1.5116666666666683</c:v>
                </c:pt>
                <c:pt idx="1">
                  <c:v>1.4783333333333348</c:v>
                </c:pt>
                <c:pt idx="2">
                  <c:v>1.4450000000000014</c:v>
                </c:pt>
                <c:pt idx="3">
                  <c:v>1.411666666666668</c:v>
                </c:pt>
                <c:pt idx="4">
                  <c:v>1.3783333333333345</c:v>
                </c:pt>
                <c:pt idx="5">
                  <c:v>1.3450000000000011</c:v>
                </c:pt>
                <c:pt idx="6">
                  <c:v>1.3116666666666676</c:v>
                </c:pt>
                <c:pt idx="7">
                  <c:v>1.2783333333333342</c:v>
                </c:pt>
                <c:pt idx="8">
                  <c:v>1.2450000000000008</c:v>
                </c:pt>
                <c:pt idx="9">
                  <c:v>1.2116666666666673</c:v>
                </c:pt>
                <c:pt idx="10">
                  <c:v>1.1783333333333339</c:v>
                </c:pt>
                <c:pt idx="11">
                  <c:v>1.1450000000000005</c:v>
                </c:pt>
                <c:pt idx="12">
                  <c:v>1.111666666666667</c:v>
                </c:pt>
                <c:pt idx="13">
                  <c:v>1.0783333333333336</c:v>
                </c:pt>
                <c:pt idx="14">
                  <c:v>1.0450000000000002</c:v>
                </c:pt>
                <c:pt idx="15">
                  <c:v>1.0300000000000002</c:v>
                </c:pt>
                <c:pt idx="16">
                  <c:v>1.0150000000000003</c:v>
                </c:pt>
                <c:pt idx="17">
                  <c:v>1.0000000000000004</c:v>
                </c:pt>
                <c:pt idx="18">
                  <c:v>0.98500000000000043</c:v>
                </c:pt>
                <c:pt idx="19">
                  <c:v>0.97000000000000042</c:v>
                </c:pt>
                <c:pt idx="20">
                  <c:v>0.9550000000000004</c:v>
                </c:pt>
                <c:pt idx="21">
                  <c:v>0.94000000000000039</c:v>
                </c:pt>
                <c:pt idx="22">
                  <c:v>0.92500000000000038</c:v>
                </c:pt>
                <c:pt idx="23">
                  <c:v>0.91000000000000036</c:v>
                </c:pt>
                <c:pt idx="24">
                  <c:v>0.89500000000000035</c:v>
                </c:pt>
                <c:pt idx="25">
                  <c:v>0.88000000000000034</c:v>
                </c:pt>
                <c:pt idx="26">
                  <c:v>0.86500000000000032</c:v>
                </c:pt>
                <c:pt idx="27">
                  <c:v>0.85000000000000031</c:v>
                </c:pt>
                <c:pt idx="28">
                  <c:v>0.8350000000000003</c:v>
                </c:pt>
                <c:pt idx="29">
                  <c:v>0.82000000000000028</c:v>
                </c:pt>
                <c:pt idx="30">
                  <c:v>0.80500000000000027</c:v>
                </c:pt>
                <c:pt idx="31">
                  <c:v>0.79000000000000026</c:v>
                </c:pt>
                <c:pt idx="32">
                  <c:v>0.77500000000000024</c:v>
                </c:pt>
                <c:pt idx="33">
                  <c:v>0.76000000000000023</c:v>
                </c:pt>
                <c:pt idx="34">
                  <c:v>0.74500000000000022</c:v>
                </c:pt>
                <c:pt idx="35">
                  <c:v>0.7300000000000002</c:v>
                </c:pt>
                <c:pt idx="36">
                  <c:v>0.71500000000000019</c:v>
                </c:pt>
                <c:pt idx="37">
                  <c:v>0.70000000000000018</c:v>
                </c:pt>
                <c:pt idx="38">
                  <c:v>0.68500000000000016</c:v>
                </c:pt>
                <c:pt idx="39">
                  <c:v>0.67000000000000015</c:v>
                </c:pt>
                <c:pt idx="40">
                  <c:v>0.65500000000000014</c:v>
                </c:pt>
                <c:pt idx="41">
                  <c:v>0.64000000000000012</c:v>
                </c:pt>
                <c:pt idx="42">
                  <c:v>0.62500000000000011</c:v>
                </c:pt>
                <c:pt idx="43">
                  <c:v>0.6100000000000001</c:v>
                </c:pt>
                <c:pt idx="44">
                  <c:v>0.59500000000000008</c:v>
                </c:pt>
                <c:pt idx="45">
                  <c:v>0.58000000000000007</c:v>
                </c:pt>
                <c:pt idx="46">
                  <c:v>0.56500000000000006</c:v>
                </c:pt>
                <c:pt idx="47">
                  <c:v>0.55000000000000004</c:v>
                </c:pt>
                <c:pt idx="48">
                  <c:v>0.53500000000000003</c:v>
                </c:pt>
                <c:pt idx="49">
                  <c:v>0.52</c:v>
                </c:pt>
                <c:pt idx="50">
                  <c:v>0.45500000000000002</c:v>
                </c:pt>
                <c:pt idx="51">
                  <c:v>0.39</c:v>
                </c:pt>
                <c:pt idx="52">
                  <c:v>0.32500000000000001</c:v>
                </c:pt>
                <c:pt idx="53">
                  <c:v>0.26</c:v>
                </c:pt>
                <c:pt idx="54">
                  <c:v>0.19500000000000001</c:v>
                </c:pt>
                <c:pt idx="55">
                  <c:v>0.13</c:v>
                </c:pt>
                <c:pt idx="56">
                  <c:v>6.5000000000000002E-2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Mid!$C$3:$C$102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0.57843137254901966</c:v>
                </c:pt>
                <c:pt idx="59">
                  <c:v>0.57843137254901966</c:v>
                </c:pt>
                <c:pt idx="60">
                  <c:v>0.57843137254901966</c:v>
                </c:pt>
                <c:pt idx="61">
                  <c:v>0.57843137254901966</c:v>
                </c:pt>
                <c:pt idx="62">
                  <c:v>0.57843137254901966</c:v>
                </c:pt>
                <c:pt idx="63">
                  <c:v>0.57843137254901966</c:v>
                </c:pt>
                <c:pt idx="64">
                  <c:v>0.57843137254901966</c:v>
                </c:pt>
                <c:pt idx="65">
                  <c:v>0.57843137254901966</c:v>
                </c:pt>
                <c:pt idx="66">
                  <c:v>0.57843137254901966</c:v>
                </c:pt>
                <c:pt idx="67">
                  <c:v>0.57843137254901966</c:v>
                </c:pt>
                <c:pt idx="68">
                  <c:v>0.57843137254901966</c:v>
                </c:pt>
                <c:pt idx="69">
                  <c:v>0.57843137254901966</c:v>
                </c:pt>
                <c:pt idx="70">
                  <c:v>0.57843137254901966</c:v>
                </c:pt>
                <c:pt idx="71">
                  <c:v>0.57843137254901966</c:v>
                </c:pt>
                <c:pt idx="72">
                  <c:v>0.57843137254901966</c:v>
                </c:pt>
                <c:pt idx="73">
                  <c:v>0.57843137254901966</c:v>
                </c:pt>
                <c:pt idx="74">
                  <c:v>0.57843137254901966</c:v>
                </c:pt>
                <c:pt idx="75">
                  <c:v>0.57843137254901966</c:v>
                </c:pt>
                <c:pt idx="76">
                  <c:v>0.57843137254901966</c:v>
                </c:pt>
                <c:pt idx="77">
                  <c:v>0.57843137254901966</c:v>
                </c:pt>
                <c:pt idx="78">
                  <c:v>0.57843137254901966</c:v>
                </c:pt>
                <c:pt idx="79">
                  <c:v>0.57843137254901966</c:v>
                </c:pt>
                <c:pt idx="80">
                  <c:v>0.57843137254901966</c:v>
                </c:pt>
                <c:pt idx="81">
                  <c:v>0.57843137254901966</c:v>
                </c:pt>
                <c:pt idx="82">
                  <c:v>0.57843137254901966</c:v>
                </c:pt>
                <c:pt idx="83">
                  <c:v>0.57843137254901966</c:v>
                </c:pt>
                <c:pt idx="84">
                  <c:v>0.57843137254901966</c:v>
                </c:pt>
                <c:pt idx="85">
                  <c:v>0.57843137254901966</c:v>
                </c:pt>
                <c:pt idx="86">
                  <c:v>0.57843137254901966</c:v>
                </c:pt>
                <c:pt idx="87">
                  <c:v>0.57843137254901966</c:v>
                </c:pt>
                <c:pt idx="88">
                  <c:v>0.57843137254901966</c:v>
                </c:pt>
                <c:pt idx="89">
                  <c:v>0.57843137254901966</c:v>
                </c:pt>
                <c:pt idx="90">
                  <c:v>0.57843137254901966</c:v>
                </c:pt>
                <c:pt idx="91">
                  <c:v>0.57843137254901966</c:v>
                </c:pt>
                <c:pt idx="92">
                  <c:v>0.57843137254901966</c:v>
                </c:pt>
                <c:pt idx="93">
                  <c:v>0.57843137254901966</c:v>
                </c:pt>
                <c:pt idx="94">
                  <c:v>0.57843137254901966</c:v>
                </c:pt>
                <c:pt idx="95">
                  <c:v>0.57843137254901966</c:v>
                </c:pt>
                <c:pt idx="96">
                  <c:v>0.57843137254901966</c:v>
                </c:pt>
                <c:pt idx="97">
                  <c:v>0.57843137254901966</c:v>
                </c:pt>
                <c:pt idx="98">
                  <c:v>0.57843137254901966</c:v>
                </c:pt>
                <c:pt idx="99">
                  <c:v>0.57843137254901966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1B-4F57-AAAF-170F15F24723}"/>
            </c:ext>
          </c:extLst>
        </c:ser>
        <c:ser>
          <c:idx val="1"/>
          <c:order val="2"/>
          <c:tx>
            <c:strRef>
              <c:f>Low!$B$1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Low!$B$3:$B$102</c:f>
              <c:numCache>
                <c:formatCode>0.000</c:formatCode>
                <c:ptCount val="100"/>
                <c:pt idx="0">
                  <c:v>0.99999999999999989</c:v>
                </c:pt>
                <c:pt idx="1">
                  <c:v>0.93333333333333324</c:v>
                </c:pt>
                <c:pt idx="2">
                  <c:v>0.86666666666666659</c:v>
                </c:pt>
                <c:pt idx="3">
                  <c:v>0.79999999999999993</c:v>
                </c:pt>
                <c:pt idx="4">
                  <c:v>0.73333333333333328</c:v>
                </c:pt>
                <c:pt idx="5">
                  <c:v>0.66666666666666663</c:v>
                </c:pt>
                <c:pt idx="6">
                  <c:v>0.6</c:v>
                </c:pt>
                <c:pt idx="7">
                  <c:v>0.53333333333333333</c:v>
                </c:pt>
                <c:pt idx="8">
                  <c:v>0.46666666666666662</c:v>
                </c:pt>
                <c:pt idx="9">
                  <c:v>0.39999999999999997</c:v>
                </c:pt>
                <c:pt idx="10">
                  <c:v>0.33333333333333331</c:v>
                </c:pt>
                <c:pt idx="11">
                  <c:v>0.26666666666666666</c:v>
                </c:pt>
                <c:pt idx="12">
                  <c:v>0.2</c:v>
                </c:pt>
                <c:pt idx="13">
                  <c:v>0.13333333333333333</c:v>
                </c:pt>
                <c:pt idx="14">
                  <c:v>6.6666666666666666E-2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Low!$C$3:$C$102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0.16666666666666666</c:v>
                </c:pt>
                <c:pt idx="91">
                  <c:v>0.16666666666666666</c:v>
                </c:pt>
                <c:pt idx="92">
                  <c:v>0.16666666666666666</c:v>
                </c:pt>
                <c:pt idx="93">
                  <c:v>0.16666666666666666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0.16666666666666666</c:v>
                </c:pt>
                <c:pt idx="97">
                  <c:v>0.16666666666666666</c:v>
                </c:pt>
                <c:pt idx="98">
                  <c:v>0.16666666666666666</c:v>
                </c:pt>
                <c:pt idx="99">
                  <c:v>0.16666666666666666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1B-4F57-AAAF-170F15F24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4864"/>
        <c:axId val="1413946752"/>
      </c:scatterChart>
      <c:valAx>
        <c:axId val="881804864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 (MAF)</a:t>
                </a:r>
              </a:p>
            </c:rich>
          </c:tx>
          <c:layout>
            <c:manualLayout>
              <c:xMode val="edge"/>
              <c:yMode val="edge"/>
              <c:x val="0.4348928883889514"/>
              <c:y val="0.92587782575565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46752"/>
        <c:crosses val="autoZero"/>
        <c:crossBetween val="midCat"/>
      </c:valAx>
      <c:valAx>
        <c:axId val="1413946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F(SH)</a:t>
                </a:r>
              </a:p>
            </c:rich>
          </c:tx>
          <c:layout>
            <c:manualLayout>
              <c:xMode val="edge"/>
              <c:yMode val="edge"/>
              <c:x val="2.6475535016561216E-2"/>
              <c:y val="0.37977214566929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4864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346819452446497"/>
          <c:y val="0.16448598130841122"/>
          <c:w val="0.18531293344429509"/>
          <c:h val="0.16018821437642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53066580963096"/>
          <c:y val="5.5169658620822966E-2"/>
          <c:w val="0.82126905565375752"/>
          <c:h val="0.6482665566967796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'Shortage Distributions'!$I$1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val>
            <c:numRef>
              <c:f>'Shortage Distributions'!$J$3:$J$10</c:f>
              <c:numCache>
                <c:formatCode>0.00</c:formatCode>
                <c:ptCount val="8"/>
                <c:pt idx="0">
                  <c:v>2.9411764705882353E-2</c:v>
                </c:pt>
                <c:pt idx="1">
                  <c:v>0.14705882352941177</c:v>
                </c:pt>
                <c:pt idx="2">
                  <c:v>0.22549019607843138</c:v>
                </c:pt>
                <c:pt idx="3">
                  <c:v>0.31372549019607843</c:v>
                </c:pt>
                <c:pt idx="4">
                  <c:v>0.18627450980392157</c:v>
                </c:pt>
                <c:pt idx="5">
                  <c:v>8.8235294117647078E-2</c:v>
                </c:pt>
                <c:pt idx="6">
                  <c:v>2.9411764705882359E-2</c:v>
                </c:pt>
                <c:pt idx="7">
                  <c:v>9.8039215686274161E-3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C-4237-82A2-13979027E8D1}"/>
            </c:ext>
          </c:extLst>
        </c:ser>
        <c:ser>
          <c:idx val="1"/>
          <c:order val="1"/>
          <c:tx>
            <c:strRef>
              <c:f>'Shortage Distributions'!$G$1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</c:v>
                </c:pt>
                <c:pt idx="2">
                  <c:v>1.69</c:v>
                </c:pt>
                <c:pt idx="3">
                  <c:v>1.31</c:v>
                </c:pt>
                <c:pt idx="4">
                  <c:v>0.94</c:v>
                </c:pt>
                <c:pt idx="5">
                  <c:v>0.56</c:v>
                </c:pt>
                <c:pt idx="6">
                  <c:v>0.19</c:v>
                </c:pt>
                <c:pt idx="7">
                  <c:v>&lt;=0</c:v>
                </c:pt>
              </c:strCache>
            </c:strRef>
          </c:cat>
          <c:val>
            <c:numRef>
              <c:f>'Shortage Distributions'!$H$3:$H$10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7.8431372549019607E-2</c:v>
                </c:pt>
                <c:pt idx="4">
                  <c:v>0.15686274509803921</c:v>
                </c:pt>
                <c:pt idx="5">
                  <c:v>0.24509803921568629</c:v>
                </c:pt>
                <c:pt idx="6">
                  <c:v>7.8431372549019607E-2</c:v>
                </c:pt>
                <c:pt idx="7">
                  <c:v>0.44117647058823528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C-4237-82A2-13979027E8D1}"/>
            </c:ext>
          </c:extLst>
        </c:ser>
        <c:ser>
          <c:idx val="0"/>
          <c:order val="2"/>
          <c:tx>
            <c:strRef>
              <c:f>'Shortage Distributions'!$E$1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</c:v>
                </c:pt>
                <c:pt idx="2">
                  <c:v>1.69</c:v>
                </c:pt>
                <c:pt idx="3">
                  <c:v>1.31</c:v>
                </c:pt>
                <c:pt idx="4">
                  <c:v>0.94</c:v>
                </c:pt>
                <c:pt idx="5">
                  <c:v>0.56</c:v>
                </c:pt>
                <c:pt idx="6">
                  <c:v>0.19</c:v>
                </c:pt>
                <c:pt idx="7">
                  <c:v>&lt;=0</c:v>
                </c:pt>
              </c:strCache>
            </c:strRef>
          </c:cat>
          <c:val>
            <c:numRef>
              <c:f>'Shortage Distributions'!$F$3:$F$10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2.9411764705882353E-2</c:v>
                </c:pt>
                <c:pt idx="5">
                  <c:v>5.8823529411764712E-2</c:v>
                </c:pt>
                <c:pt idx="6">
                  <c:v>5.8823529411764705E-2</c:v>
                </c:pt>
                <c:pt idx="7">
                  <c:v>0.8529411764705882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C-4237-82A2-13979027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4258912"/>
        <c:axId val="904319232"/>
      </c:barChart>
      <c:catAx>
        <c:axId val="90425891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</a:t>
                </a:r>
                <a:r>
                  <a:rPr lang="en-US" baseline="0"/>
                  <a:t> (MAF)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10210210210208"/>
              <c:y val="0.93442413347849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19232"/>
        <c:crosses val="autoZero"/>
        <c:auto val="1"/>
        <c:lblAlgn val="ctr"/>
        <c:lblOffset val="100"/>
        <c:noMultiLvlLbl val="0"/>
      </c:catAx>
      <c:valAx>
        <c:axId val="904319232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f(SH)</a:t>
                </a:r>
              </a:p>
            </c:rich>
          </c:tx>
          <c:layout>
            <c:manualLayout>
              <c:xMode val="edge"/>
              <c:yMode val="edge"/>
              <c:x val="6.8182355583930408E-3"/>
              <c:y val="0.30398308732308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5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Sheet5!$B$1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Sheet5!$A$2:$A$7</c:f>
              <c:numCache>
                <c:formatCode>#,##0</c:formatCode>
                <c:ptCount val="6"/>
                <c:pt idx="0">
                  <c:v>88.779999000000004</c:v>
                </c:pt>
                <c:pt idx="1">
                  <c:v>108.800003</c:v>
                </c:pt>
                <c:pt idx="2">
                  <c:v>118.80999799999999</c:v>
                </c:pt>
                <c:pt idx="3">
                  <c:v>128.83000200000001</c:v>
                </c:pt>
                <c:pt idx="4">
                  <c:v>133.83000200000001</c:v>
                </c:pt>
                <c:pt idx="5">
                  <c:v>138.83999600000001</c:v>
                </c:pt>
              </c:numCache>
            </c:numRef>
          </c:cat>
          <c:val>
            <c:numRef>
              <c:f>Sheet5!$B$2:$B$7</c:f>
              <c:numCache>
                <c:formatCode>#,##0</c:formatCode>
                <c:ptCount val="6"/>
                <c:pt idx="0">
                  <c:v>931138</c:v>
                </c:pt>
                <c:pt idx="1">
                  <c:v>122421.757812</c:v>
                </c:pt>
                <c:pt idx="2">
                  <c:v>47518.199219000002</c:v>
                </c:pt>
                <c:pt idx="3">
                  <c:v>15271.980469</c:v>
                </c:pt>
                <c:pt idx="4">
                  <c:v>6307.3198240000002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6B49-83ED-46601FFC4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621583"/>
        <c:axId val="1570141455"/>
      </c:lineChart>
      <c:catAx>
        <c:axId val="157062158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141455"/>
        <c:crosses val="autoZero"/>
        <c:auto val="1"/>
        <c:lblAlgn val="ctr"/>
        <c:lblOffset val="100"/>
        <c:noMultiLvlLbl val="0"/>
      </c:catAx>
      <c:valAx>
        <c:axId val="157014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25400</xdr:rowOff>
    </xdr:from>
    <xdr:to>
      <xdr:col>7</xdr:col>
      <xdr:colOff>114300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F2E34-E2CB-4114-B976-CCB7CB9EE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12</xdr:row>
      <xdr:rowOff>38100</xdr:rowOff>
    </xdr:from>
    <xdr:to>
      <xdr:col>13</xdr:col>
      <xdr:colOff>520700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71022-F1B2-420C-B3E9-D181F661E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</xdr:row>
      <xdr:rowOff>177800</xdr:rowOff>
    </xdr:from>
    <xdr:to>
      <xdr:col>11</xdr:col>
      <xdr:colOff>12700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221A-AB26-6D44-B9DD-6AA1F374B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E7C97E5-D2C6-4E21-BF19-7370F6C6A41F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80162</xdr:colOff>
      <xdr:row>29</xdr:row>
      <xdr:rowOff>101600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F1925EC-53D2-44AC-A69E-74C3D140ACB0}"/>
            </a:ext>
          </a:extLst>
        </xdr:cNvPr>
        <xdr:cNvGrpSpPr/>
      </xdr:nvGrpSpPr>
      <xdr:grpSpPr>
        <a:xfrm>
          <a:off x="3263900" y="1454150"/>
          <a:ext cx="6569862" cy="4540250"/>
          <a:chOff x="2984500" y="863600"/>
          <a:chExt cx="6569862" cy="44005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926A9ACB-E151-4A48-87A3-1DE35B2E7586}"/>
              </a:ext>
            </a:extLst>
          </xdr:cNvPr>
          <xdr:cNvGrpSpPr/>
        </xdr:nvGrpSpPr>
        <xdr:grpSpPr>
          <a:xfrm>
            <a:off x="2984500" y="863600"/>
            <a:ext cx="6569862" cy="4400550"/>
            <a:chOff x="63500" y="0"/>
            <a:chExt cx="6582459" cy="4400550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1A5BA52-081B-4FFC-86F6-A42C07EE553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A5C05C09-2492-466D-8A17-8F9DC902A258}"/>
                </a:ext>
              </a:extLst>
            </xdr:cNvPr>
            <xdr:cNvCxnSpPr/>
          </xdr:nvCxnSpPr>
          <xdr:spPr>
            <a:xfrm>
              <a:off x="711225" y="1873250"/>
              <a:ext cx="5848056" cy="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" name="Freeform: Shape 5">
              <a:extLst>
                <a:ext uri="{FF2B5EF4-FFF2-40B4-BE49-F238E27FC236}">
                  <a16:creationId xmlns:a16="http://schemas.microsoft.com/office/drawing/2014/main" id="{361CC855-A650-436C-B1ED-5ACCCE28B46A}"/>
                </a:ext>
              </a:extLst>
            </xdr:cNvPr>
            <xdr:cNvSpPr/>
          </xdr:nvSpPr>
          <xdr:spPr>
            <a:xfrm>
              <a:off x="793739" y="1873250"/>
              <a:ext cx="898477" cy="9017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359955" h="1382168">
                  <a:moveTo>
                    <a:pt x="3359955" y="12700"/>
                  </a:moveTo>
                  <a:lnTo>
                    <a:pt x="725615" y="1084089"/>
                  </a:lnTo>
                  <a:lnTo>
                    <a:pt x="0" y="1382168"/>
                  </a:lnTo>
                  <a:cubicBezTo>
                    <a:pt x="2117" y="937668"/>
                    <a:pt x="24089" y="444500"/>
                    <a:pt x="26206" y="0"/>
                  </a:cubicBezTo>
                  <a:lnTo>
                    <a:pt x="3359955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  <a:ln>
              <a:noFill/>
            </a:ln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D90E47D0-C361-4750-AA24-2C0D34DC4F46}"/>
                </a:ext>
              </a:extLst>
            </xdr:cNvPr>
            <xdr:cNvCxnSpPr/>
          </xdr:nvCxnSpPr>
          <xdr:spPr>
            <a:xfrm flipH="1">
              <a:off x="1671664" y="1708150"/>
              <a:ext cx="14191" cy="163195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Freeform: Shape 10">
            <a:extLst>
              <a:ext uri="{FF2B5EF4-FFF2-40B4-BE49-F238E27FC236}">
                <a16:creationId xmlns:a16="http://schemas.microsoft.com/office/drawing/2014/main" id="{3FEE851A-E853-4C4B-ACDA-CC980C3EE029}"/>
              </a:ext>
            </a:extLst>
          </xdr:cNvPr>
          <xdr:cNvSpPr/>
        </xdr:nvSpPr>
        <xdr:spPr>
          <a:xfrm>
            <a:off x="3898900" y="1638300"/>
            <a:ext cx="5441950" cy="1873250"/>
          </a:xfrm>
          <a:custGeom>
            <a:avLst/>
            <a:gdLst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74295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69850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5441950" h="1873250">
                <a:moveTo>
                  <a:pt x="5435600" y="0"/>
                </a:moveTo>
                <a:lnTo>
                  <a:pt x="5289550" y="393700"/>
                </a:lnTo>
                <a:lnTo>
                  <a:pt x="5010150" y="673100"/>
                </a:lnTo>
                <a:lnTo>
                  <a:pt x="4070350" y="977900"/>
                </a:lnTo>
                <a:lnTo>
                  <a:pt x="3181350" y="1098550"/>
                </a:lnTo>
                <a:lnTo>
                  <a:pt x="1695450" y="1339850"/>
                </a:lnTo>
                <a:lnTo>
                  <a:pt x="393700" y="1663700"/>
                </a:lnTo>
                <a:lnTo>
                  <a:pt x="0" y="1873250"/>
                </a:lnTo>
                <a:lnTo>
                  <a:pt x="698500" y="1111250"/>
                </a:lnTo>
                <a:lnTo>
                  <a:pt x="3149600" y="1092200"/>
                </a:lnTo>
                <a:lnTo>
                  <a:pt x="5441950" y="1104900"/>
                </a:lnTo>
                <a:cubicBezTo>
                  <a:pt x="5439833" y="738717"/>
                  <a:pt x="5437717" y="372533"/>
                  <a:pt x="5435600" y="0"/>
                </a:cubicBezTo>
                <a:close/>
              </a:path>
            </a:pathLst>
          </a:custGeom>
          <a:solidFill>
            <a:srgbClr val="006699">
              <a:alpha val="4902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				</a:t>
            </a:r>
            <a:r>
              <a:rPr lang="en-US" sz="1100" baseline="0"/>
              <a:t>            </a:t>
            </a:r>
            <a:r>
              <a:rPr lang="en-US" sz="1100"/>
              <a:t>New</a:t>
            </a:r>
            <a:r>
              <a:rPr lang="en-US" sz="1100" baseline="0"/>
              <a:t> Storage Balance</a:t>
            </a:r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27E6D90-95F8-4E2B-B007-7EDBE1F0ED99}"/>
              </a:ext>
            </a:extLst>
          </xdr:cNvPr>
          <xdr:cNvSpPr txBox="1"/>
        </xdr:nvSpPr>
        <xdr:spPr>
          <a:xfrm>
            <a:off x="7600950" y="863600"/>
            <a:ext cx="1730987" cy="264560"/>
          </a:xfrm>
          <a:prstGeom prst="rect">
            <a:avLst/>
          </a:prstGeom>
          <a:noFill/>
          <a:ln w="28575">
            <a:solidFill>
              <a:srgbClr val="00B05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Low</a:t>
            </a:r>
            <a:r>
              <a:rPr lang="en-US" sz="1100" baseline="0"/>
              <a:t> Demand / High Supply</a:t>
            </a:r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AA6531E-5E9D-8D4F-A449-B4B0E1D66B2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67359</xdr:colOff>
      <xdr:row>29</xdr:row>
      <xdr:rowOff>107950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97E625F-48A4-42CE-A6CA-4D81031B0EEB}"/>
            </a:ext>
          </a:extLst>
        </xdr:cNvPr>
        <xdr:cNvGrpSpPr/>
      </xdr:nvGrpSpPr>
      <xdr:grpSpPr>
        <a:xfrm>
          <a:off x="3263900" y="1454150"/>
          <a:ext cx="6582459" cy="4546600"/>
          <a:chOff x="2984500" y="857250"/>
          <a:chExt cx="6582459" cy="44069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4F42A19A-3309-455C-BC17-5A527C57553E}"/>
              </a:ext>
            </a:extLst>
          </xdr:cNvPr>
          <xdr:cNvGrpSpPr/>
        </xdr:nvGrpSpPr>
        <xdr:grpSpPr>
          <a:xfrm>
            <a:off x="2984500" y="863600"/>
            <a:ext cx="6582459" cy="4400550"/>
            <a:chOff x="63500" y="0"/>
            <a:chExt cx="6582459" cy="4400550"/>
          </a:xfrm>
        </xdr:grpSpPr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DDEA18EC-03A6-48A0-8B1A-43146947DAF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1" name="Freeform: Shape 70">
              <a:extLst>
                <a:ext uri="{FF2B5EF4-FFF2-40B4-BE49-F238E27FC236}">
                  <a16:creationId xmlns:a16="http://schemas.microsoft.com/office/drawing/2014/main" id="{61DD6510-C3D9-485B-BCE6-907B8EBF5AA1}"/>
                </a:ext>
              </a:extLst>
            </xdr:cNvPr>
            <xdr:cNvSpPr/>
          </xdr:nvSpPr>
          <xdr:spPr>
            <a:xfrm>
              <a:off x="3835400" y="584200"/>
              <a:ext cx="2609850" cy="1377950"/>
            </a:xfrm>
            <a:custGeom>
              <a:avLst/>
              <a:gdLst>
                <a:gd name="connsiteX0" fmla="*/ 0 w 2609850"/>
                <a:gd name="connsiteY0" fmla="*/ 1276350 h 1276350"/>
                <a:gd name="connsiteX1" fmla="*/ 1219200 w 2609850"/>
                <a:gd name="connsiteY1" fmla="*/ 1092200 h 1276350"/>
                <a:gd name="connsiteX2" fmla="*/ 2038350 w 2609850"/>
                <a:gd name="connsiteY2" fmla="*/ 831850 h 1276350"/>
                <a:gd name="connsiteX3" fmla="*/ 2178050 w 2609850"/>
                <a:gd name="connsiteY3" fmla="*/ 806450 h 1276350"/>
                <a:gd name="connsiteX4" fmla="*/ 2603500 w 2609850"/>
                <a:gd name="connsiteY4" fmla="*/ 819150 h 1276350"/>
                <a:gd name="connsiteX5" fmla="*/ 2609850 w 2609850"/>
                <a:gd name="connsiteY5" fmla="*/ 0 h 1276350"/>
                <a:gd name="connsiteX6" fmla="*/ 1949450 w 2609850"/>
                <a:gd name="connsiteY6" fmla="*/ 819150 h 1276350"/>
                <a:gd name="connsiteX7" fmla="*/ 311150 w 2609850"/>
                <a:gd name="connsiteY7" fmla="*/ 819150 h 1276350"/>
                <a:gd name="connsiteX8" fmla="*/ 0 w 2609850"/>
                <a:gd name="connsiteY8" fmla="*/ 1276350 h 1276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609850" h="1276350">
                  <a:moveTo>
                    <a:pt x="0" y="1276350"/>
                  </a:moveTo>
                  <a:lnTo>
                    <a:pt x="1219200" y="1092200"/>
                  </a:lnTo>
                  <a:lnTo>
                    <a:pt x="2038350" y="831850"/>
                  </a:lnTo>
                  <a:lnTo>
                    <a:pt x="2178050" y="806450"/>
                  </a:lnTo>
                  <a:lnTo>
                    <a:pt x="2603500" y="819150"/>
                  </a:lnTo>
                  <a:cubicBezTo>
                    <a:pt x="2605617" y="546100"/>
                    <a:pt x="2607733" y="273050"/>
                    <a:pt x="2609850" y="0"/>
                  </a:cubicBezTo>
                  <a:lnTo>
                    <a:pt x="1949450" y="819150"/>
                  </a:lnTo>
                  <a:lnTo>
                    <a:pt x="311150" y="819150"/>
                  </a:lnTo>
                  <a:lnTo>
                    <a:pt x="0" y="1276350"/>
                  </a:lnTo>
                  <a:close/>
                </a:path>
              </a:pathLst>
            </a:custGeom>
            <a:solidFill>
              <a:srgbClr val="006699">
                <a:alpha val="50196"/>
              </a:srgb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100"/>
                <a:t>         New Storage</a:t>
              </a:r>
              <a:r>
                <a:rPr lang="en-US" sz="1100" baseline="0"/>
                <a:t> Balance</a:t>
              </a:r>
              <a:endParaRPr lang="en-US" sz="1100"/>
            </a:p>
          </xdr:txBody>
        </xdr:sp>
        <xdr:sp macro="" textlink="">
          <xdr:nvSpPr>
            <xdr:cNvPr id="72" name="Freeform: Shape 71">
              <a:extLst>
                <a:ext uri="{FF2B5EF4-FFF2-40B4-BE49-F238E27FC236}">
                  <a16:creationId xmlns:a16="http://schemas.microsoft.com/office/drawing/2014/main" id="{CD4A8F66-138F-4EC8-8139-3CAE6BFC8590}"/>
                </a:ext>
              </a:extLst>
            </xdr:cNvPr>
            <xdr:cNvSpPr/>
          </xdr:nvSpPr>
          <xdr:spPr>
            <a:xfrm>
              <a:off x="800100" y="1454150"/>
              <a:ext cx="3340100" cy="13335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340100" h="1333500">
                  <a:moveTo>
                    <a:pt x="3340100" y="12700"/>
                  </a:moveTo>
                  <a:lnTo>
                    <a:pt x="3016250" y="501650"/>
                  </a:lnTo>
                  <a:lnTo>
                    <a:pt x="863600" y="869950"/>
                  </a:lnTo>
                  <a:lnTo>
                    <a:pt x="0" y="1333500"/>
                  </a:lnTo>
                  <a:cubicBezTo>
                    <a:pt x="2117" y="889000"/>
                    <a:pt x="4233" y="444500"/>
                    <a:pt x="6350" y="0"/>
                  </a:cubicBezTo>
                  <a:lnTo>
                    <a:pt x="3340100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</xdr:grp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DB43F640-0785-4363-86C9-8D99E272AD18}"/>
              </a:ext>
            </a:extLst>
          </xdr:cNvPr>
          <xdr:cNvCxnSpPr/>
        </xdr:nvCxnSpPr>
        <xdr:spPr>
          <a:xfrm>
            <a:off x="7060951" y="2165350"/>
            <a:ext cx="0" cy="210820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3CD212A-A74D-42C7-B57F-FA29B281B932}"/>
              </a:ext>
            </a:extLst>
          </xdr:cNvPr>
          <xdr:cNvCxnSpPr/>
        </xdr:nvCxnSpPr>
        <xdr:spPr>
          <a:xfrm>
            <a:off x="3638550" y="2317750"/>
            <a:ext cx="5836864" cy="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827506AD-AF6F-4A7C-82BB-C9DA316569F2}"/>
              </a:ext>
            </a:extLst>
          </xdr:cNvPr>
          <xdr:cNvSpPr txBox="1"/>
        </xdr:nvSpPr>
        <xdr:spPr>
          <a:xfrm>
            <a:off x="7569200" y="857250"/>
            <a:ext cx="1848263" cy="264560"/>
          </a:xfrm>
          <a:prstGeom prst="rect">
            <a:avLst/>
          </a:prstGeom>
          <a:noFill/>
          <a:ln w="28575">
            <a:solidFill>
              <a:schemeClr val="accent2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Mid</a:t>
            </a:r>
            <a:r>
              <a:rPr lang="en-US" sz="1100" baseline="0"/>
              <a:t> Demand / ~Same Supply</a:t>
            </a:r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BFB5704-6F41-4D27-BF97-57D8C57C6942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19050</xdr:rowOff>
    </xdr:from>
    <xdr:to>
      <xdr:col>12</xdr:col>
      <xdr:colOff>80162</xdr:colOff>
      <xdr:row>29</xdr:row>
      <xdr:rowOff>95250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9DE657F-27F7-40E9-8F03-1B99D794875B}"/>
            </a:ext>
          </a:extLst>
        </xdr:cNvPr>
        <xdr:cNvGrpSpPr/>
      </xdr:nvGrpSpPr>
      <xdr:grpSpPr>
        <a:xfrm>
          <a:off x="3263900" y="1441450"/>
          <a:ext cx="6569862" cy="4546600"/>
          <a:chOff x="3797300" y="1250950"/>
          <a:chExt cx="6569862" cy="4406900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5B4B81F0-E97C-4787-A534-51E3875E153A}"/>
              </a:ext>
            </a:extLst>
          </xdr:cNvPr>
          <xdr:cNvGrpSpPr/>
        </xdr:nvGrpSpPr>
        <xdr:grpSpPr>
          <a:xfrm>
            <a:off x="3797300" y="1257300"/>
            <a:ext cx="6569862" cy="4400550"/>
            <a:chOff x="63500" y="0"/>
            <a:chExt cx="6582459" cy="4400550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4974F5D-E1CB-4627-A7B7-78ED6B706FF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CE0ADE84-CFB0-4378-9419-F4E9F6859986}"/>
                </a:ext>
              </a:extLst>
            </xdr:cNvPr>
            <xdr:cNvCxnSpPr/>
          </xdr:nvCxnSpPr>
          <xdr:spPr>
            <a:xfrm>
              <a:off x="698500" y="660400"/>
              <a:ext cx="5848056" cy="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Freeform: Shape 13">
              <a:extLst>
                <a:ext uri="{FF2B5EF4-FFF2-40B4-BE49-F238E27FC236}">
                  <a16:creationId xmlns:a16="http://schemas.microsoft.com/office/drawing/2014/main" id="{6B258FFE-1F77-42B6-95B6-7D65CE3D5255}"/>
                </a:ext>
              </a:extLst>
            </xdr:cNvPr>
            <xdr:cNvSpPr/>
          </xdr:nvSpPr>
          <xdr:spPr>
            <a:xfrm>
              <a:off x="793739" y="655984"/>
              <a:ext cx="5644661" cy="2118965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21061243 w 21061243"/>
                <a:gd name="connsiteY0" fmla="*/ 0 h 3228582"/>
                <a:gd name="connsiteX1" fmla="*/ 725615 w 21061243"/>
                <a:gd name="connsiteY1" fmla="*/ 293050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21061243 w 21061243"/>
                <a:gd name="connsiteY5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12781608 w 21061243"/>
                <a:gd name="connsiteY5" fmla="*/ 727054 h 3228582"/>
                <a:gd name="connsiteX6" fmla="*/ 21061243 w 21061243"/>
                <a:gd name="connsiteY6" fmla="*/ 0 h 3228582"/>
                <a:gd name="connsiteX0" fmla="*/ 21061243 w 21061243"/>
                <a:gd name="connsiteY0" fmla="*/ 12698 h 3241280"/>
                <a:gd name="connsiteX1" fmla="*/ 9647637 w 21061243"/>
                <a:gd name="connsiteY1" fmla="*/ 2018511 h 3241280"/>
                <a:gd name="connsiteX2" fmla="*/ 2860322 w 21061243"/>
                <a:gd name="connsiteY2" fmla="*/ 2598865 h 3241280"/>
                <a:gd name="connsiteX3" fmla="*/ 0 w 21061243"/>
                <a:gd name="connsiteY3" fmla="*/ 3241280 h 3241280"/>
                <a:gd name="connsiteX4" fmla="*/ 26206 w 21061243"/>
                <a:gd name="connsiteY4" fmla="*/ 1859112 h 3241280"/>
                <a:gd name="connsiteX5" fmla="*/ 52860 w 21061243"/>
                <a:gd name="connsiteY5" fmla="*/ 0 h 3241280"/>
                <a:gd name="connsiteX6" fmla="*/ 21061243 w 21061243"/>
                <a:gd name="connsiteY6" fmla="*/ 12698 h 3241280"/>
                <a:gd name="connsiteX0" fmla="*/ 21061243 w 21061243"/>
                <a:gd name="connsiteY0" fmla="*/ 12698 h 3241280"/>
                <a:gd name="connsiteX1" fmla="*/ 16445585 w 21061243"/>
                <a:gd name="connsiteY1" fmla="*/ 798153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1061243 w 21061243"/>
                <a:gd name="connsiteY0" fmla="*/ 12698 h 3241280"/>
                <a:gd name="connsiteX1" fmla="*/ 20276105 w 21061243"/>
                <a:gd name="connsiteY1" fmla="*/ 885756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0609198 w 20609198"/>
                <a:gd name="connsiteY0" fmla="*/ 2965 h 3241280"/>
                <a:gd name="connsiteX1" fmla="*/ 20276105 w 20609198"/>
                <a:gd name="connsiteY1" fmla="*/ 885756 h 3241280"/>
                <a:gd name="connsiteX2" fmla="*/ 16302832 w 20609198"/>
                <a:gd name="connsiteY2" fmla="*/ 1508705 h 3241280"/>
                <a:gd name="connsiteX3" fmla="*/ 12312347 w 20609198"/>
                <a:gd name="connsiteY3" fmla="*/ 1862774 h 3241280"/>
                <a:gd name="connsiteX4" fmla="*/ 2860322 w 20609198"/>
                <a:gd name="connsiteY4" fmla="*/ 2598865 h 3241280"/>
                <a:gd name="connsiteX5" fmla="*/ 0 w 20609198"/>
                <a:gd name="connsiteY5" fmla="*/ 3241280 h 3241280"/>
                <a:gd name="connsiteX6" fmla="*/ 26206 w 20609198"/>
                <a:gd name="connsiteY6" fmla="*/ 1859112 h 3241280"/>
                <a:gd name="connsiteX7" fmla="*/ 52860 w 20609198"/>
                <a:gd name="connsiteY7" fmla="*/ 0 h 3241280"/>
                <a:gd name="connsiteX8" fmla="*/ 20609198 w 20609198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6302832 w 20632990"/>
                <a:gd name="connsiteY2" fmla="*/ 1508705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88708 w 20632990"/>
                <a:gd name="connsiteY3" fmla="*/ 1528172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8872374 w 20632990"/>
                <a:gd name="connsiteY1" fmla="*/ 1275099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20061981 w 20632990"/>
                <a:gd name="connsiteY2" fmla="*/ 856555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8919962 w 20632990"/>
                <a:gd name="connsiteY2" fmla="*/ 1323767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1108827"/>
                <a:gd name="connsiteY0" fmla="*/ 2965 h 3241280"/>
                <a:gd name="connsiteX1" fmla="*/ 21108827 w 21108827"/>
                <a:gd name="connsiteY1" fmla="*/ 584015 h 3241280"/>
                <a:gd name="connsiteX2" fmla="*/ 18919962 w 21108827"/>
                <a:gd name="connsiteY2" fmla="*/ 1323767 h 3241280"/>
                <a:gd name="connsiteX3" fmla="*/ 16064916 w 21108827"/>
                <a:gd name="connsiteY3" fmla="*/ 1674175 h 3241280"/>
                <a:gd name="connsiteX4" fmla="*/ 3859588 w 21108827"/>
                <a:gd name="connsiteY4" fmla="*/ 2443128 h 3241280"/>
                <a:gd name="connsiteX5" fmla="*/ 0 w 21108827"/>
                <a:gd name="connsiteY5" fmla="*/ 3241280 h 3241280"/>
                <a:gd name="connsiteX6" fmla="*/ 26206 w 21108827"/>
                <a:gd name="connsiteY6" fmla="*/ 1859112 h 3241280"/>
                <a:gd name="connsiteX7" fmla="*/ 52860 w 21108827"/>
                <a:gd name="connsiteY7" fmla="*/ 0 h 3241280"/>
                <a:gd name="connsiteX8" fmla="*/ 20632990 w 21108827"/>
                <a:gd name="connsiteY8" fmla="*/ 2965 h 3241280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8919962 w 21108827"/>
                <a:gd name="connsiteY2" fmla="*/ 1340270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9681308 w 21108827"/>
                <a:gd name="connsiteY2" fmla="*/ 1203999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1108831 w 21108831"/>
                <a:gd name="connsiteY0" fmla="*/ 0 h 3248049"/>
                <a:gd name="connsiteX1" fmla="*/ 21108827 w 21108831"/>
                <a:gd name="connsiteY1" fmla="*/ 590784 h 3248049"/>
                <a:gd name="connsiteX2" fmla="*/ 19681308 w 21108831"/>
                <a:gd name="connsiteY2" fmla="*/ 1194265 h 3248049"/>
                <a:gd name="connsiteX3" fmla="*/ 16064916 w 21108831"/>
                <a:gd name="connsiteY3" fmla="*/ 1680944 h 3248049"/>
                <a:gd name="connsiteX4" fmla="*/ 3859588 w 21108831"/>
                <a:gd name="connsiteY4" fmla="*/ 2449897 h 3248049"/>
                <a:gd name="connsiteX5" fmla="*/ 0 w 21108831"/>
                <a:gd name="connsiteY5" fmla="*/ 3248049 h 3248049"/>
                <a:gd name="connsiteX6" fmla="*/ 26206 w 21108831"/>
                <a:gd name="connsiteY6" fmla="*/ 1865881 h 3248049"/>
                <a:gd name="connsiteX7" fmla="*/ 52860 w 21108831"/>
                <a:gd name="connsiteY7" fmla="*/ 6769 h 3248049"/>
                <a:gd name="connsiteX8" fmla="*/ 21108831 w 21108831"/>
                <a:gd name="connsiteY8" fmla="*/ 0 h 32480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1108831" h="3248049">
                  <a:moveTo>
                    <a:pt x="21108831" y="0"/>
                  </a:moveTo>
                  <a:cubicBezTo>
                    <a:pt x="21108830" y="196928"/>
                    <a:pt x="21108828" y="393856"/>
                    <a:pt x="21108827" y="590784"/>
                  </a:cubicBezTo>
                  <a:lnTo>
                    <a:pt x="19681308" y="1194265"/>
                  </a:lnTo>
                  <a:lnTo>
                    <a:pt x="16064916" y="1680944"/>
                  </a:lnTo>
                  <a:lnTo>
                    <a:pt x="3859588" y="2449897"/>
                  </a:lnTo>
                  <a:lnTo>
                    <a:pt x="0" y="3248049"/>
                  </a:lnTo>
                  <a:cubicBezTo>
                    <a:pt x="2117" y="2803549"/>
                    <a:pt x="24089" y="2310381"/>
                    <a:pt x="26206" y="1865881"/>
                  </a:cubicBezTo>
                  <a:lnTo>
                    <a:pt x="52860" y="6769"/>
                  </a:lnTo>
                  <a:lnTo>
                    <a:pt x="21108831" y="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178FFC40-1E9B-4E28-9160-C8FCC24D0ED0}"/>
                </a:ext>
              </a:extLst>
            </xdr:cNvPr>
            <xdr:cNvCxnSpPr/>
          </xdr:nvCxnSpPr>
          <xdr:spPr>
            <a:xfrm flipH="1">
              <a:off x="6444762" y="609600"/>
              <a:ext cx="6362" cy="275590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D63DFAF-A7A8-4034-93FC-A020D500BBB6}"/>
              </a:ext>
            </a:extLst>
          </xdr:cNvPr>
          <xdr:cNvSpPr txBox="1"/>
        </xdr:nvSpPr>
        <xdr:spPr>
          <a:xfrm>
            <a:off x="8585200" y="1250950"/>
            <a:ext cx="1730987" cy="264560"/>
          </a:xfrm>
          <a:prstGeom prst="rect">
            <a:avLst/>
          </a:prstGeom>
          <a:noFill/>
          <a:ln w="28575">
            <a:solidFill>
              <a:srgbClr val="C0000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High</a:t>
            </a:r>
            <a:r>
              <a:rPr lang="en-US" sz="1100" baseline="0"/>
              <a:t> Demand / Low Supply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D4F-3135-4BBC-B023-1FF980C88CC4}">
  <dimension ref="B1:J11"/>
  <sheetViews>
    <sheetView workbookViewId="0">
      <selection activeCell="H10" sqref="H3:H10"/>
    </sheetView>
  </sheetViews>
  <sheetFormatPr baseColWidth="10" defaultColWidth="8.83203125" defaultRowHeight="16" x14ac:dyDescent="0.2"/>
  <cols>
    <col min="2" max="2" width="20" customWidth="1"/>
    <col min="3" max="3" width="10.33203125" customWidth="1"/>
  </cols>
  <sheetData>
    <row r="1" spans="2:10" x14ac:dyDescent="0.2">
      <c r="E1" t="s">
        <v>18</v>
      </c>
      <c r="G1" t="s">
        <v>16</v>
      </c>
      <c r="I1" t="s">
        <v>17</v>
      </c>
    </row>
    <row r="2" spans="2:10" x14ac:dyDescent="0.2">
      <c r="B2" s="1" t="s">
        <v>13</v>
      </c>
      <c r="C2" s="7" t="s">
        <v>19</v>
      </c>
      <c r="D2" s="7" t="s">
        <v>14</v>
      </c>
      <c r="E2" s="7" t="s">
        <v>5</v>
      </c>
      <c r="F2" s="7" t="s">
        <v>4</v>
      </c>
      <c r="G2" s="7" t="s">
        <v>5</v>
      </c>
      <c r="H2" s="7" t="s">
        <v>4</v>
      </c>
      <c r="I2" s="7" t="s">
        <v>5</v>
      </c>
      <c r="J2" s="7" t="s">
        <v>4</v>
      </c>
    </row>
    <row r="3" spans="2:10" x14ac:dyDescent="0.2">
      <c r="B3" s="5">
        <v>7</v>
      </c>
      <c r="C3" s="7">
        <f t="shared" ref="C3:C8" si="0">C4+$C$11</f>
        <v>2.625</v>
      </c>
      <c r="D3" s="6">
        <f t="shared" ref="D3:D9" si="1">C3-$C$11/2</f>
        <v>2.4375</v>
      </c>
      <c r="E3" s="8" cm="1">
        <f t="array" ref="E3">IF(MATCH(FALSE,Low!$B$3:$B$102&gt;$D3,0)=1,0,INDEX(Low!$C$3:$C$102,MATCH(FALSE,Low!$B$3:$B$102&gt;$D3,0)))</f>
        <v>0</v>
      </c>
      <c r="F3" s="8">
        <f>E3</f>
        <v>0</v>
      </c>
      <c r="G3" s="8" cm="1">
        <f t="array" ref="G3">IF(MATCH(FALSE,Mid!$B$3:$B$102&gt;$D3,0)=1,0,INDEX(Mid!$C$3:$C$102,MATCH(FALSE,Mid!$B$3:$B$102&gt;$D3,0)))</f>
        <v>0</v>
      </c>
      <c r="H3" s="6">
        <f>G3</f>
        <v>0</v>
      </c>
      <c r="I3" s="8" cm="1">
        <f t="array" ref="I3">IF(MATCH(FALSE,High!$B$3:$B$102&gt;=$D3,0)=1,0,INDEX(High!$C$3:$C$102,MATCH(FALSE,High!$B$3:$B$102&gt;=$D3,0)))</f>
        <v>2.9411764705882353E-2</v>
      </c>
      <c r="J3" s="8">
        <f>I3</f>
        <v>2.9411764705882353E-2</v>
      </c>
    </row>
    <row r="4" spans="2:10" x14ac:dyDescent="0.2">
      <c r="B4" s="5">
        <v>6</v>
      </c>
      <c r="C4" s="7">
        <f t="shared" si="0"/>
        <v>2.25</v>
      </c>
      <c r="D4" s="8">
        <f t="shared" si="1"/>
        <v>2.0625</v>
      </c>
      <c r="E4" s="8" cm="1">
        <f t="array" ref="E4">IF(MATCH(FALSE,Low!$B$3:$B$102&gt;$D4,0)=1,0,INDEX(Low!$C$3:$C$102,MATCH(FALSE,Low!$B$3:$B$102&gt;$D4,0)))</f>
        <v>0</v>
      </c>
      <c r="F4" s="8">
        <f>E4</f>
        <v>0</v>
      </c>
      <c r="G4" s="8" cm="1">
        <f t="array" ref="G4">IF(MATCH(FALSE,Mid!$B$3:$B$102&gt;$D4,0)=1,0,INDEX(Mid!$C$3:$C$102,MATCH(FALSE,Mid!$B$3:$B$102&gt;$D4,0)))</f>
        <v>0</v>
      </c>
      <c r="H4" s="6">
        <f>G4</f>
        <v>0</v>
      </c>
      <c r="I4" s="8" cm="1">
        <f t="array" ref="I4">IF(MATCH(FALSE,High!$B$3:$B$102&gt;$D4,0)=1,0,INDEX(High!$C$3:$C$102,MATCH(FALSE,High!$B$3:$B$102&gt;$D4,0)))</f>
        <v>0.14705882352941177</v>
      </c>
      <c r="J4" s="8">
        <f>I4</f>
        <v>0.14705882352941177</v>
      </c>
    </row>
    <row r="5" spans="2:10" x14ac:dyDescent="0.2">
      <c r="B5" s="5">
        <v>5</v>
      </c>
      <c r="C5" s="7">
        <f t="shared" si="0"/>
        <v>1.875</v>
      </c>
      <c r="D5" s="8">
        <f t="shared" si="1"/>
        <v>1.6875</v>
      </c>
      <c r="E5" s="8" cm="1">
        <f t="array" ref="E5">IF(MATCH(FALSE,Low!$B$3:$B$102&gt;$D5,0)=1,0,INDEX(Low!$C$3:$C$102,MATCH(FALSE,Low!$B$3:$B$102&gt;$D5,0)))</f>
        <v>0</v>
      </c>
      <c r="F5" s="8">
        <f t="shared" ref="F5:F10" si="2">E5-E4</f>
        <v>0</v>
      </c>
      <c r="G5" s="8" cm="1">
        <f t="array" ref="G5">IF(MATCH(FALSE,Mid!$B$3:$B$102&gt;$D5,0)=1,0,INDEX(Mid!$C$3:$C$102,MATCH(FALSE,Mid!$B$3:$B$102&gt;$D5,0)))</f>
        <v>0</v>
      </c>
      <c r="H5" s="6">
        <f>G5-G4</f>
        <v>0</v>
      </c>
      <c r="I5" s="8" cm="1">
        <f t="array" ref="I5">IF(MATCH(FALSE,High!$B$3:$B$102&gt;$D5,0)=1,0,INDEX(High!$C$3:$C$102,MATCH(FALSE,High!$B$3:$B$102&gt;$D5,0)))</f>
        <v>0.37254901960784315</v>
      </c>
      <c r="J5" s="8">
        <f t="shared" ref="J5:J10" si="3">I5-I4</f>
        <v>0.22549019607843138</v>
      </c>
    </row>
    <row r="6" spans="2:10" x14ac:dyDescent="0.2">
      <c r="B6" s="5">
        <v>4</v>
      </c>
      <c r="C6" s="7">
        <f t="shared" si="0"/>
        <v>1.5</v>
      </c>
      <c r="D6" s="8">
        <f t="shared" si="1"/>
        <v>1.3125</v>
      </c>
      <c r="E6" s="8" cm="1">
        <f t="array" ref="E6">IF(MATCH(FALSE,Low!$B$3:$B$102&gt;$D6,0)=1,0,INDEX(Low!$C$3:$C$102,MATCH(FALSE,Low!$B$3:$B$102&gt;$D6,0)))</f>
        <v>0</v>
      </c>
      <c r="F6" s="8">
        <f t="shared" si="2"/>
        <v>0</v>
      </c>
      <c r="G6" s="8" cm="1">
        <f t="array" ref="G6">IF(MATCH(FALSE,Mid!$B$3:$B$102&gt;$D6,0)=1,0,INDEX(Mid!$C$3:$C$102,MATCH(FALSE,Mid!$B$3:$B$102&gt;$D6,0)))</f>
        <v>7.8431372549019607E-2</v>
      </c>
      <c r="H6" s="6">
        <f>G6-G5</f>
        <v>7.8431372549019607E-2</v>
      </c>
      <c r="I6" s="8" cm="1">
        <f t="array" ref="I6">IF(MATCH(FALSE,High!$B$3:$B$102&gt;$D6,0)=1,0,INDEX(High!$C$3:$C$102,MATCH(FALSE,High!$B$3:$B$102&gt;$D6,0)))</f>
        <v>0.68627450980392157</v>
      </c>
      <c r="J6" s="8">
        <f t="shared" si="3"/>
        <v>0.31372549019607843</v>
      </c>
    </row>
    <row r="7" spans="2:10" x14ac:dyDescent="0.2">
      <c r="B7" s="5">
        <v>3</v>
      </c>
      <c r="C7" s="7">
        <f t="shared" si="0"/>
        <v>1.125</v>
      </c>
      <c r="D7" s="8">
        <f t="shared" si="1"/>
        <v>0.9375</v>
      </c>
      <c r="E7" s="8" cm="1">
        <f t="array" ref="E7">IF(MATCH(FALSE,Low!$B$3:$B$102&gt;$D7,0)=1,0,INDEX(Low!$C$3:$C$102,MATCH(FALSE,Low!$B$3:$B$102&gt;$D7,0)))</f>
        <v>2.9411764705882353E-2</v>
      </c>
      <c r="F7" s="8">
        <f t="shared" si="2"/>
        <v>2.9411764705882353E-2</v>
      </c>
      <c r="G7" s="8" cm="1">
        <f t="array" ref="G7">IF(MATCH(FALSE,Mid!$B$3:$B$102&gt;$D7,0)=1,0,INDEX(Mid!$C$3:$C$102,MATCH(FALSE,Mid!$B$3:$B$102&gt;$D7,0)))</f>
        <v>0.23529411764705882</v>
      </c>
      <c r="H7" s="6">
        <f t="shared" ref="H5:H10" si="4">G7-G6</f>
        <v>0.15686274509803921</v>
      </c>
      <c r="I7" s="8" cm="1">
        <f t="array" ref="I7">IF(MATCH(FALSE,High!$B$3:$B$102&gt;$D7,0)=1,0,INDEX(High!$C$3:$C$102,MATCH(FALSE,High!$B$3:$B$102&gt;$D7,0)))</f>
        <v>0.87254901960784315</v>
      </c>
      <c r="J7" s="8">
        <f t="shared" si="3"/>
        <v>0.18627450980392157</v>
      </c>
    </row>
    <row r="8" spans="2:10" x14ac:dyDescent="0.2">
      <c r="B8" s="5">
        <v>2</v>
      </c>
      <c r="C8" s="7">
        <f t="shared" si="0"/>
        <v>0.75</v>
      </c>
      <c r="D8" s="8">
        <f t="shared" si="1"/>
        <v>0.5625</v>
      </c>
      <c r="E8" s="8" cm="1">
        <f t="array" ref="E8">IF(MATCH(FALSE,Low!$B$3:$B$102&gt;$D8,0)=1,0,INDEX(Low!$C$3:$C$102,MATCH(FALSE,Low!$B$3:$B$102&gt;$D8,0)))</f>
        <v>8.8235294117647065E-2</v>
      </c>
      <c r="F8" s="8">
        <f t="shared" si="2"/>
        <v>5.8823529411764712E-2</v>
      </c>
      <c r="G8" s="8" cm="1">
        <f t="array" ref="G8">IF(MATCH(FALSE,Mid!$B$3:$B$102&gt;$D8,0)=1,0,INDEX(Mid!$C$3:$C$102,MATCH(FALSE,Mid!$B$3:$B$102&gt;$D8,0)))</f>
        <v>0.48039215686274511</v>
      </c>
      <c r="H8" s="6">
        <f t="shared" si="4"/>
        <v>0.24509803921568629</v>
      </c>
      <c r="I8" s="8" cm="1">
        <f t="array" ref="I8">IF(MATCH(FALSE,High!$B$3:$B$102&gt;$D8,0)=1,0,INDEX(High!$C$3:$C$102,MATCH(FALSE,High!$B$3:$B$102&gt;$D8,0)))</f>
        <v>0.96078431372549022</v>
      </c>
      <c r="J8" s="8">
        <f t="shared" si="3"/>
        <v>8.8235294117647078E-2</v>
      </c>
    </row>
    <row r="9" spans="2:10" x14ac:dyDescent="0.2">
      <c r="B9" s="5">
        <v>1</v>
      </c>
      <c r="C9" s="7">
        <f>$C$11</f>
        <v>0.375</v>
      </c>
      <c r="D9" s="8">
        <f t="shared" si="1"/>
        <v>0.1875</v>
      </c>
      <c r="E9" s="8" cm="1">
        <f t="array" ref="E9">IF(MATCH(FALSE,Low!$B$3:$B$102&gt;$D9,0)=1,0,INDEX(Low!$C$3:$C$102,MATCH(FALSE,Low!$B$3:$B$102&gt;$D9,0)))</f>
        <v>0.14705882352941177</v>
      </c>
      <c r="F9" s="8">
        <f t="shared" si="2"/>
        <v>5.8823529411764705E-2</v>
      </c>
      <c r="G9" s="8" cm="1">
        <f t="array" ref="G9">IF(MATCH(FALSE,Mid!$B$3:$B$102&gt;$D9,0)=1,0,INDEX(Mid!$C$3:$C$102,MATCH(FALSE,Mid!$B$3:$B$102&gt;$D9,0)))</f>
        <v>0.55882352941176472</v>
      </c>
      <c r="H9" s="6">
        <f t="shared" si="4"/>
        <v>7.8431372549019607E-2</v>
      </c>
      <c r="I9" s="8" cm="1">
        <f t="array" ref="I9">IF(MATCH(FALSE,High!$B$3:$B$102&gt;$D9,0)=1,0,INDEX(High!$C$3:$C$102,MATCH(FALSE,High!$B$3:$B$102&gt;$D9,0)))</f>
        <v>0.99019607843137258</v>
      </c>
      <c r="J9" s="8">
        <f t="shared" si="3"/>
        <v>2.9411764705882359E-2</v>
      </c>
    </row>
    <row r="10" spans="2:10" x14ac:dyDescent="0.2">
      <c r="B10" s="6" t="s">
        <v>12</v>
      </c>
      <c r="C10" s="7" t="s">
        <v>3</v>
      </c>
      <c r="D10" s="8" t="s">
        <v>3</v>
      </c>
      <c r="E10" s="8">
        <v>1</v>
      </c>
      <c r="F10" s="8">
        <f t="shared" si="2"/>
        <v>0.8529411764705882</v>
      </c>
      <c r="G10" s="8">
        <v>1</v>
      </c>
      <c r="H10" s="6">
        <f>G10-G9</f>
        <v>0.44117647058823528</v>
      </c>
      <c r="I10" s="8">
        <v>1</v>
      </c>
      <c r="J10" s="8">
        <f>I10-I9</f>
        <v>9.8039215686274161E-3</v>
      </c>
    </row>
    <row r="11" spans="2:10" x14ac:dyDescent="0.2">
      <c r="B11" s="1" t="s">
        <v>15</v>
      </c>
      <c r="C11">
        <v>0.375</v>
      </c>
      <c r="E11" s="2"/>
      <c r="F11" s="1"/>
    </row>
  </sheetData>
  <pageMargins left="0.7" right="0.7" top="0.75" bottom="0.75" header="0.3" footer="0.3"/>
  <ignoredErrors>
    <ignoredError sqref="F3:F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44B-1E99-E44A-8E46-DF1C114BAE97}">
  <dimension ref="A1:H63"/>
  <sheetViews>
    <sheetView workbookViewId="0">
      <selection activeCell="I15" sqref="I15"/>
    </sheetView>
  </sheetViews>
  <sheetFormatPr baseColWidth="10" defaultRowHeight="16" x14ac:dyDescent="0.2"/>
  <sheetData>
    <row r="1" spans="1:8" x14ac:dyDescent="0.2">
      <c r="E1" t="s">
        <v>74</v>
      </c>
      <c r="F1" t="s">
        <v>73</v>
      </c>
      <c r="G1" t="s">
        <v>72</v>
      </c>
      <c r="H1" t="s">
        <v>71</v>
      </c>
    </row>
    <row r="2" spans="1:8" x14ac:dyDescent="0.2">
      <c r="A2" s="9" t="s">
        <v>20</v>
      </c>
      <c r="B2" s="9" t="s">
        <v>21</v>
      </c>
      <c r="C2" s="9" t="s">
        <v>22</v>
      </c>
      <c r="D2" s="9" t="s">
        <v>23</v>
      </c>
      <c r="E2">
        <v>359.99999999999898</v>
      </c>
      <c r="F2">
        <v>360</v>
      </c>
      <c r="G2">
        <v>360</v>
      </c>
      <c r="H2">
        <v>360</v>
      </c>
    </row>
    <row r="3" spans="1:8" x14ac:dyDescent="0.2">
      <c r="A3" s="9" t="s">
        <v>20</v>
      </c>
      <c r="B3" s="9" t="s">
        <v>21</v>
      </c>
      <c r="C3" s="9" t="s">
        <v>22</v>
      </c>
      <c r="D3" s="9" t="s">
        <v>24</v>
      </c>
      <c r="E3">
        <v>3.9999999999999898</v>
      </c>
      <c r="F3">
        <v>3</v>
      </c>
      <c r="G3">
        <v>2</v>
      </c>
      <c r="H3">
        <v>1</v>
      </c>
    </row>
    <row r="4" spans="1:8" x14ac:dyDescent="0.2">
      <c r="A4" s="9" t="s">
        <v>20</v>
      </c>
      <c r="B4" s="9" t="s">
        <v>21</v>
      </c>
      <c r="C4" s="9" t="s">
        <v>22</v>
      </c>
      <c r="D4" s="9" t="s">
        <v>25</v>
      </c>
      <c r="E4">
        <v>4.9999999999999902</v>
      </c>
      <c r="F4">
        <v>5</v>
      </c>
      <c r="G4">
        <v>4.9999999999999902</v>
      </c>
      <c r="H4">
        <v>5</v>
      </c>
    </row>
    <row r="5" spans="1:8" x14ac:dyDescent="0.2">
      <c r="A5" s="9" t="s">
        <v>20</v>
      </c>
      <c r="B5" s="9" t="s">
        <v>21</v>
      </c>
      <c r="C5" s="9" t="s">
        <v>22</v>
      </c>
      <c r="D5" s="9" t="s">
        <v>26</v>
      </c>
      <c r="E5">
        <v>100</v>
      </c>
      <c r="F5">
        <v>100</v>
      </c>
      <c r="G5">
        <v>99.999999999999901</v>
      </c>
      <c r="H5">
        <v>100</v>
      </c>
    </row>
    <row r="6" spans="1:8" x14ac:dyDescent="0.2">
      <c r="A6" s="9" t="s">
        <v>20</v>
      </c>
      <c r="B6" s="9" t="s">
        <v>21</v>
      </c>
      <c r="C6" s="9" t="s">
        <v>22</v>
      </c>
      <c r="D6" s="9" t="s">
        <v>27</v>
      </c>
      <c r="E6">
        <v>433999.99999999901</v>
      </c>
      <c r="F6">
        <v>443017</v>
      </c>
      <c r="G6">
        <v>471000</v>
      </c>
      <c r="H6">
        <v>488322</v>
      </c>
    </row>
    <row r="7" spans="1:8" x14ac:dyDescent="0.2">
      <c r="A7" s="9" t="s">
        <v>20</v>
      </c>
      <c r="B7" s="9" t="s">
        <v>21</v>
      </c>
      <c r="C7" s="9" t="s">
        <v>22</v>
      </c>
      <c r="D7" s="9" t="s">
        <v>28</v>
      </c>
      <c r="E7">
        <v>0</v>
      </c>
      <c r="F7">
        <v>0</v>
      </c>
      <c r="G7">
        <v>0</v>
      </c>
      <c r="H7">
        <v>0</v>
      </c>
    </row>
    <row r="8" spans="1:8" x14ac:dyDescent="0.2">
      <c r="A8" s="9" t="s">
        <v>20</v>
      </c>
      <c r="B8" s="9" t="s">
        <v>21</v>
      </c>
      <c r="C8" s="9" t="s">
        <v>22</v>
      </c>
      <c r="D8" s="9" t="s">
        <v>29</v>
      </c>
      <c r="E8">
        <v>15.999999999999901</v>
      </c>
      <c r="F8">
        <v>20</v>
      </c>
      <c r="G8">
        <v>19</v>
      </c>
      <c r="H8">
        <v>20</v>
      </c>
    </row>
    <row r="9" spans="1:8" x14ac:dyDescent="0.2">
      <c r="A9" s="9" t="s">
        <v>20</v>
      </c>
      <c r="B9" s="9" t="s">
        <v>21</v>
      </c>
      <c r="C9" s="9" t="s">
        <v>22</v>
      </c>
      <c r="D9" s="9" t="s">
        <v>30</v>
      </c>
      <c r="E9">
        <v>0</v>
      </c>
      <c r="F9">
        <v>28</v>
      </c>
      <c r="G9">
        <v>0</v>
      </c>
      <c r="H9">
        <v>7</v>
      </c>
    </row>
    <row r="10" spans="1:8" x14ac:dyDescent="0.2">
      <c r="A10" s="9" t="s">
        <v>31</v>
      </c>
      <c r="B10" s="9" t="s">
        <v>32</v>
      </c>
      <c r="C10" s="9" t="s">
        <v>33</v>
      </c>
      <c r="D10" s="9" t="s">
        <v>34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9" t="s">
        <v>31</v>
      </c>
      <c r="B11" s="9" t="s">
        <v>35</v>
      </c>
      <c r="C11" s="9" t="s">
        <v>33</v>
      </c>
      <c r="D11" s="9" t="s">
        <v>34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9" t="s">
        <v>31</v>
      </c>
      <c r="B12" s="9" t="s">
        <v>36</v>
      </c>
      <c r="C12" s="9" t="s">
        <v>33</v>
      </c>
      <c r="D12" s="9" t="s">
        <v>34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9" t="s">
        <v>37</v>
      </c>
      <c r="B13" s="9" t="s">
        <v>38</v>
      </c>
      <c r="C13" s="9" t="s">
        <v>39</v>
      </c>
      <c r="D13" s="9" t="s">
        <v>40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9" t="s">
        <v>37</v>
      </c>
      <c r="B14" s="9" t="s">
        <v>38</v>
      </c>
      <c r="C14" s="9" t="s">
        <v>39</v>
      </c>
      <c r="D14" s="9" t="s">
        <v>41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9" t="s">
        <v>37</v>
      </c>
      <c r="B15" s="9" t="s">
        <v>38</v>
      </c>
      <c r="C15" s="9" t="s">
        <v>39</v>
      </c>
      <c r="D15" s="9" t="s">
        <v>42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9" t="s">
        <v>37</v>
      </c>
      <c r="B16" s="9" t="s">
        <v>43</v>
      </c>
      <c r="C16" s="9" t="s">
        <v>39</v>
      </c>
      <c r="D16" s="9" t="s">
        <v>40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9" t="s">
        <v>37</v>
      </c>
      <c r="B17" s="9" t="s">
        <v>43</v>
      </c>
      <c r="C17" s="9" t="s">
        <v>39</v>
      </c>
      <c r="D17" s="9" t="s">
        <v>41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9" t="s">
        <v>37</v>
      </c>
      <c r="B18" s="9" t="s">
        <v>43</v>
      </c>
      <c r="C18" s="9" t="s">
        <v>39</v>
      </c>
      <c r="D18" s="9" t="s">
        <v>42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9" t="s">
        <v>37</v>
      </c>
      <c r="B19" s="9" t="s">
        <v>44</v>
      </c>
      <c r="C19" s="9" t="s">
        <v>39</v>
      </c>
      <c r="D19" s="9" t="s">
        <v>40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9" t="s">
        <v>37</v>
      </c>
      <c r="B20" s="9" t="s">
        <v>44</v>
      </c>
      <c r="C20" s="9" t="s">
        <v>39</v>
      </c>
      <c r="D20" s="9" t="s">
        <v>41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9" t="s">
        <v>37</v>
      </c>
      <c r="B21" s="9" t="s">
        <v>44</v>
      </c>
      <c r="C21" s="9" t="s">
        <v>39</v>
      </c>
      <c r="D21" s="9" t="s">
        <v>42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9" t="s">
        <v>37</v>
      </c>
      <c r="B22" s="9" t="s">
        <v>45</v>
      </c>
      <c r="C22" s="9" t="s">
        <v>39</v>
      </c>
      <c r="D22" s="9" t="s">
        <v>40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9" t="s">
        <v>37</v>
      </c>
      <c r="B23" s="9" t="s">
        <v>45</v>
      </c>
      <c r="C23" s="9" t="s">
        <v>39</v>
      </c>
      <c r="D23" s="9" t="s">
        <v>41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9" t="s">
        <v>37</v>
      </c>
      <c r="B24" s="9" t="s">
        <v>45</v>
      </c>
      <c r="C24" s="9" t="s">
        <v>39</v>
      </c>
      <c r="D24" s="9" t="s">
        <v>42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9" t="s">
        <v>37</v>
      </c>
      <c r="B25" s="9" t="s">
        <v>46</v>
      </c>
      <c r="C25" s="9" t="s">
        <v>39</v>
      </c>
      <c r="D25" s="9" t="s">
        <v>40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9" t="s">
        <v>37</v>
      </c>
      <c r="B26" s="9" t="s">
        <v>46</v>
      </c>
      <c r="C26" s="9" t="s">
        <v>39</v>
      </c>
      <c r="D26" s="9" t="s">
        <v>41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9" t="s">
        <v>37</v>
      </c>
      <c r="B27" s="9" t="s">
        <v>46</v>
      </c>
      <c r="C27" s="9" t="s">
        <v>39</v>
      </c>
      <c r="D27" s="9" t="s">
        <v>42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9" t="s">
        <v>37</v>
      </c>
      <c r="B28" s="9" t="s">
        <v>47</v>
      </c>
      <c r="C28" s="9" t="s">
        <v>39</v>
      </c>
      <c r="D28" s="9" t="s">
        <v>40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9" t="s">
        <v>37</v>
      </c>
      <c r="B29" s="9" t="s">
        <v>47</v>
      </c>
      <c r="C29" s="9" t="s">
        <v>39</v>
      </c>
      <c r="D29" s="9" t="s">
        <v>41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9" t="s">
        <v>37</v>
      </c>
      <c r="B30" s="9" t="s">
        <v>47</v>
      </c>
      <c r="C30" s="9" t="s">
        <v>39</v>
      </c>
      <c r="D30" s="9" t="s">
        <v>42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9" t="s">
        <v>37</v>
      </c>
      <c r="B31" s="9" t="s">
        <v>48</v>
      </c>
      <c r="C31" s="9" t="s">
        <v>39</v>
      </c>
      <c r="D31" s="9" t="s">
        <v>40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9" t="s">
        <v>37</v>
      </c>
      <c r="B32" s="9" t="s">
        <v>48</v>
      </c>
      <c r="C32" s="9" t="s">
        <v>39</v>
      </c>
      <c r="D32" s="9" t="s">
        <v>41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9" t="s">
        <v>37</v>
      </c>
      <c r="B33" s="9" t="s">
        <v>48</v>
      </c>
      <c r="C33" s="9" t="s">
        <v>39</v>
      </c>
      <c r="D33" s="9" t="s">
        <v>42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9" t="s">
        <v>37</v>
      </c>
      <c r="B34" s="9" t="s">
        <v>49</v>
      </c>
      <c r="C34" s="9" t="s">
        <v>39</v>
      </c>
      <c r="D34" s="9" t="s">
        <v>40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9" t="s">
        <v>37</v>
      </c>
      <c r="B35" s="9" t="s">
        <v>49</v>
      </c>
      <c r="C35" s="9" t="s">
        <v>39</v>
      </c>
      <c r="D35" s="9" t="s">
        <v>41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9" t="s">
        <v>37</v>
      </c>
      <c r="B36" s="9" t="s">
        <v>49</v>
      </c>
      <c r="C36" s="9" t="s">
        <v>39</v>
      </c>
      <c r="D36" s="9" t="s">
        <v>42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9" t="s">
        <v>37</v>
      </c>
      <c r="B37" s="9" t="s">
        <v>50</v>
      </c>
      <c r="C37" s="9" t="s">
        <v>39</v>
      </c>
      <c r="D37" s="9" t="s">
        <v>40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9" t="s">
        <v>37</v>
      </c>
      <c r="B38" s="9" t="s">
        <v>50</v>
      </c>
      <c r="C38" s="9" t="s">
        <v>39</v>
      </c>
      <c r="D38" s="9" t="s">
        <v>41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9" t="s">
        <v>37</v>
      </c>
      <c r="B39" s="9" t="s">
        <v>50</v>
      </c>
      <c r="C39" s="9" t="s">
        <v>39</v>
      </c>
      <c r="D39" s="9" t="s">
        <v>42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9" t="s">
        <v>37</v>
      </c>
      <c r="B40" s="9" t="s">
        <v>51</v>
      </c>
      <c r="C40" s="9" t="s">
        <v>39</v>
      </c>
      <c r="D40" s="9" t="s">
        <v>40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9" t="s">
        <v>37</v>
      </c>
      <c r="B41" s="9" t="s">
        <v>51</v>
      </c>
      <c r="C41" s="9" t="s">
        <v>39</v>
      </c>
      <c r="D41" s="9" t="s">
        <v>41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9" t="s">
        <v>37</v>
      </c>
      <c r="B42" s="9" t="s">
        <v>51</v>
      </c>
      <c r="C42" s="9" t="s">
        <v>39</v>
      </c>
      <c r="D42" s="9" t="s">
        <v>42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9" t="s">
        <v>37</v>
      </c>
      <c r="B43" s="9" t="s">
        <v>52</v>
      </c>
      <c r="C43" s="9" t="s">
        <v>39</v>
      </c>
      <c r="D43" s="9" t="s">
        <v>40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9" t="s">
        <v>37</v>
      </c>
      <c r="B44" s="9" t="s">
        <v>52</v>
      </c>
      <c r="C44" s="9" t="s">
        <v>39</v>
      </c>
      <c r="D44" s="9" t="s">
        <v>41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9" t="s">
        <v>37</v>
      </c>
      <c r="B45" s="9" t="s">
        <v>52</v>
      </c>
      <c r="C45" s="9" t="s">
        <v>39</v>
      </c>
      <c r="D45" s="9" t="s">
        <v>42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9" t="s">
        <v>37</v>
      </c>
      <c r="B46" s="9" t="s">
        <v>53</v>
      </c>
      <c r="C46" s="9" t="s">
        <v>39</v>
      </c>
      <c r="D46" s="9" t="s">
        <v>40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9" t="s">
        <v>37</v>
      </c>
      <c r="B47" s="9" t="s">
        <v>53</v>
      </c>
      <c r="C47" s="9" t="s">
        <v>39</v>
      </c>
      <c r="D47" s="9" t="s">
        <v>41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9" t="s">
        <v>37</v>
      </c>
      <c r="B48" s="9" t="s">
        <v>53</v>
      </c>
      <c r="C48" s="9" t="s">
        <v>39</v>
      </c>
      <c r="D48" s="9" t="s">
        <v>42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9" t="s">
        <v>37</v>
      </c>
      <c r="B49" s="9" t="s">
        <v>54</v>
      </c>
      <c r="C49" s="9" t="s">
        <v>39</v>
      </c>
      <c r="D49" s="9" t="s">
        <v>40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9" t="s">
        <v>37</v>
      </c>
      <c r="B50" s="9" t="s">
        <v>54</v>
      </c>
      <c r="C50" s="9" t="s">
        <v>39</v>
      </c>
      <c r="D50" s="9" t="s">
        <v>41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9" t="s">
        <v>37</v>
      </c>
      <c r="B51" s="9" t="s">
        <v>54</v>
      </c>
      <c r="C51" s="9" t="s">
        <v>39</v>
      </c>
      <c r="D51" s="9" t="s">
        <v>42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9" t="s">
        <v>37</v>
      </c>
      <c r="B52" s="9" t="s">
        <v>55</v>
      </c>
      <c r="C52" s="9" t="s">
        <v>39</v>
      </c>
      <c r="D52" s="9" t="s">
        <v>40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9" t="s">
        <v>37</v>
      </c>
      <c r="B53" s="9" t="s">
        <v>55</v>
      </c>
      <c r="C53" s="9" t="s">
        <v>39</v>
      </c>
      <c r="D53" s="9" t="s">
        <v>41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9" t="s">
        <v>37</v>
      </c>
      <c r="B54" s="9" t="s">
        <v>55</v>
      </c>
      <c r="C54" s="9" t="s">
        <v>39</v>
      </c>
      <c r="D54" s="9" t="s">
        <v>42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9" t="s">
        <v>37</v>
      </c>
      <c r="B55" s="9" t="s">
        <v>56</v>
      </c>
      <c r="C55" s="9" t="s">
        <v>39</v>
      </c>
      <c r="D55" s="9" t="s">
        <v>40</v>
      </c>
      <c r="E55">
        <v>184000</v>
      </c>
      <c r="F55">
        <v>192999.99999999901</v>
      </c>
      <c r="G55">
        <v>221000</v>
      </c>
      <c r="H55">
        <v>238250</v>
      </c>
    </row>
    <row r="56" spans="1:8" x14ac:dyDescent="0.2">
      <c r="A56" s="9" t="s">
        <v>37</v>
      </c>
      <c r="B56" s="9" t="s">
        <v>56</v>
      </c>
      <c r="C56" s="9" t="s">
        <v>39</v>
      </c>
      <c r="D56" s="9" t="s">
        <v>41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9" t="s">
        <v>37</v>
      </c>
      <c r="B57" s="9" t="s">
        <v>56</v>
      </c>
      <c r="C57" s="9" t="s">
        <v>39</v>
      </c>
      <c r="D57" s="9" t="s">
        <v>42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9" t="s">
        <v>37</v>
      </c>
      <c r="B58" s="9" t="s">
        <v>57</v>
      </c>
      <c r="C58" s="9" t="s">
        <v>39</v>
      </c>
      <c r="D58" s="9" t="s">
        <v>40</v>
      </c>
      <c r="E58">
        <v>434000</v>
      </c>
      <c r="F58">
        <v>443017</v>
      </c>
      <c r="G58">
        <v>471000</v>
      </c>
      <c r="H58">
        <v>488322</v>
      </c>
    </row>
    <row r="59" spans="1:8" x14ac:dyDescent="0.2">
      <c r="A59" s="9" t="s">
        <v>37</v>
      </c>
      <c r="B59" s="9" t="s">
        <v>57</v>
      </c>
      <c r="C59" s="9" t="s">
        <v>39</v>
      </c>
      <c r="D59" s="9" t="s">
        <v>41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9" t="s">
        <v>37</v>
      </c>
      <c r="B60" s="9" t="s">
        <v>57</v>
      </c>
      <c r="C60" s="9" t="s">
        <v>39</v>
      </c>
      <c r="D60" s="9" t="s">
        <v>42</v>
      </c>
      <c r="E60">
        <v>120000</v>
      </c>
      <c r="F60">
        <v>119983</v>
      </c>
      <c r="G60">
        <v>120000</v>
      </c>
      <c r="H60">
        <v>119928</v>
      </c>
    </row>
    <row r="61" spans="1:8" x14ac:dyDescent="0.2">
      <c r="A61" s="9" t="s">
        <v>37</v>
      </c>
      <c r="B61" s="9" t="s">
        <v>58</v>
      </c>
      <c r="C61" s="9" t="s">
        <v>39</v>
      </c>
      <c r="D61" s="9" t="s">
        <v>40</v>
      </c>
      <c r="E61">
        <v>433999.99999999901</v>
      </c>
      <c r="F61">
        <v>443017</v>
      </c>
      <c r="G61">
        <v>471000</v>
      </c>
      <c r="H61">
        <v>488322</v>
      </c>
    </row>
    <row r="62" spans="1:8" x14ac:dyDescent="0.2">
      <c r="A62" s="9" t="s">
        <v>37</v>
      </c>
      <c r="B62" s="9" t="s">
        <v>58</v>
      </c>
      <c r="C62" s="9" t="s">
        <v>39</v>
      </c>
      <c r="D62" s="9" t="s">
        <v>41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9" t="s">
        <v>37</v>
      </c>
      <c r="B63" s="9" t="s">
        <v>58</v>
      </c>
      <c r="C63" s="9" t="s">
        <v>39</v>
      </c>
      <c r="D63" s="9" t="s">
        <v>42</v>
      </c>
      <c r="E63">
        <v>500000</v>
      </c>
      <c r="F63">
        <v>499983</v>
      </c>
      <c r="G63">
        <v>500000</v>
      </c>
      <c r="H63">
        <v>499928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CF05-86EE-6741-8109-B5A268E03691}">
  <dimension ref="A1:B7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s="21" t="s">
        <v>75</v>
      </c>
      <c r="B1" s="21" t="s">
        <v>76</v>
      </c>
    </row>
    <row r="2" spans="1:2" x14ac:dyDescent="0.2">
      <c r="A2" s="21">
        <v>88.779999000000004</v>
      </c>
      <c r="B2" s="21">
        <v>931138</v>
      </c>
    </row>
    <row r="3" spans="1:2" x14ac:dyDescent="0.2">
      <c r="A3" s="21">
        <v>108.800003</v>
      </c>
      <c r="B3" s="21">
        <v>122421.757812</v>
      </c>
    </row>
    <row r="4" spans="1:2" x14ac:dyDescent="0.2">
      <c r="A4" s="21">
        <v>118.80999799999999</v>
      </c>
      <c r="B4" s="21">
        <v>47518.199219000002</v>
      </c>
    </row>
    <row r="5" spans="1:2" x14ac:dyDescent="0.2">
      <c r="A5" s="21">
        <v>128.83000200000001</v>
      </c>
      <c r="B5" s="21">
        <v>15271.980469</v>
      </c>
    </row>
    <row r="6" spans="1:2" x14ac:dyDescent="0.2">
      <c r="A6" s="21">
        <v>133.83000200000001</v>
      </c>
      <c r="B6" s="21">
        <v>6307.3198240000002</v>
      </c>
    </row>
    <row r="7" spans="1:2" x14ac:dyDescent="0.2">
      <c r="A7" s="21">
        <v>138.83999600000001</v>
      </c>
      <c r="B7" s="2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8A0F-29C4-9343-86FD-84B0F936178E}">
  <dimension ref="A1:M66"/>
  <sheetViews>
    <sheetView workbookViewId="0">
      <selection activeCell="I10" sqref="I10"/>
    </sheetView>
  </sheetViews>
  <sheetFormatPr baseColWidth="10" defaultRowHeight="16" x14ac:dyDescent="0.2"/>
  <cols>
    <col min="10" max="10" width="12.6640625" bestFit="1" customWidth="1"/>
  </cols>
  <sheetData>
    <row r="1" spans="1:8" x14ac:dyDescent="0.2">
      <c r="E1" s="16">
        <f>E2+E3</f>
        <v>3.1779999999999977</v>
      </c>
      <c r="F1" s="16">
        <f>F2+F3</f>
        <v>3.1959999999999993</v>
      </c>
      <c r="G1" s="16">
        <f t="shared" ref="G1:I1" si="0">G2+G3</f>
        <v>3.2519999999999989</v>
      </c>
      <c r="H1" s="16">
        <f t="shared" si="0"/>
        <v>3.2865000000000002</v>
      </c>
    </row>
    <row r="2" spans="1:8" x14ac:dyDescent="0.2">
      <c r="E2" s="18">
        <f>SUM(E5:E12)/1000000</f>
        <v>1.5059999999999987</v>
      </c>
      <c r="F2" s="18">
        <f>SUM(F5:F12)/1000000</f>
        <v>1.4970000000000001</v>
      </c>
      <c r="G2" s="18">
        <f>SUM(G5:G12)/1000000</f>
        <v>1.4689999999999988</v>
      </c>
      <c r="H2" s="18">
        <f>SUM(H5:H12)/1000000</f>
        <v>1.4517500000000001</v>
      </c>
    </row>
    <row r="3" spans="1:8" x14ac:dyDescent="0.2">
      <c r="E3" s="18">
        <f>SUM(E16:E66)/1000000</f>
        <v>1.671999999999999</v>
      </c>
      <c r="F3" s="18">
        <f>SUM(F16:F66)/1000000</f>
        <v>1.6989999999999992</v>
      </c>
      <c r="G3" s="18">
        <f>SUM(G16:G66)/1000000</f>
        <v>1.7829999999999999</v>
      </c>
      <c r="H3" s="18">
        <f>SUM(H16:H66)/1000000</f>
        <v>1.8347500000000001</v>
      </c>
    </row>
    <row r="4" spans="1:8" x14ac:dyDescent="0.2">
      <c r="E4" t="s">
        <v>74</v>
      </c>
      <c r="F4" t="s">
        <v>73</v>
      </c>
      <c r="G4" t="s">
        <v>72</v>
      </c>
      <c r="H4" t="s">
        <v>71</v>
      </c>
    </row>
    <row r="5" spans="1:8" x14ac:dyDescent="0.2">
      <c r="A5" s="9" t="s">
        <v>20</v>
      </c>
      <c r="B5" s="9" t="s">
        <v>21</v>
      </c>
      <c r="C5" s="9" t="s">
        <v>22</v>
      </c>
      <c r="D5" s="9" t="s">
        <v>23</v>
      </c>
      <c r="E5" s="21">
        <f>Results_Raw!E2*LS_RETRO_qf</f>
        <v>359999.99999999895</v>
      </c>
      <c r="F5" s="21">
        <f>Results_Raw!F2*LS_RETRO_qf</f>
        <v>360000</v>
      </c>
      <c r="G5" s="21">
        <f>Results_Raw!G2*LS_RETRO_qf</f>
        <v>360000</v>
      </c>
      <c r="H5" s="21">
        <f>Results_Raw!H2*LS_RETRO_qf</f>
        <v>360000</v>
      </c>
    </row>
    <row r="6" spans="1:8" x14ac:dyDescent="0.2">
      <c r="A6" s="9" t="s">
        <v>20</v>
      </c>
      <c r="B6" s="9" t="s">
        <v>21</v>
      </c>
      <c r="C6" s="9" t="s">
        <v>22</v>
      </c>
      <c r="D6" s="9" t="s">
        <v>24</v>
      </c>
      <c r="E6" s="21">
        <f>Results_Raw!E3*L_DESAL_qf</f>
        <v>79999.999999999796</v>
      </c>
      <c r="F6" s="21">
        <f>Results_Raw!F3*L_DESAL_qf</f>
        <v>60000</v>
      </c>
      <c r="G6" s="21">
        <f>Results_Raw!G3*L_DESAL_qf</f>
        <v>40000</v>
      </c>
      <c r="H6" s="21">
        <f>Results_Raw!H3*L_DESAL_qf</f>
        <v>20000</v>
      </c>
    </row>
    <row r="7" spans="1:8" x14ac:dyDescent="0.2">
      <c r="A7" s="9" t="s">
        <v>20</v>
      </c>
      <c r="B7" s="9" t="s">
        <v>21</v>
      </c>
      <c r="C7" s="9" t="s">
        <v>22</v>
      </c>
      <c r="D7" s="9" t="s">
        <v>25</v>
      </c>
      <c r="E7" s="21">
        <f>Results_Raw!E4*L_GW_qf</f>
        <v>49999.999999999905</v>
      </c>
      <c r="F7" s="21">
        <f>Results_Raw!F4*L_GW_qf</f>
        <v>50000</v>
      </c>
      <c r="G7" s="21">
        <f>Results_Raw!G4*L_GW_qf</f>
        <v>49999.999999999905</v>
      </c>
      <c r="H7" s="21">
        <f>Results_Raw!H4*L_GW_qf</f>
        <v>50000</v>
      </c>
    </row>
    <row r="8" spans="1:8" x14ac:dyDescent="0.2">
      <c r="A8" s="9" t="s">
        <v>20</v>
      </c>
      <c r="B8" s="9" t="s">
        <v>21</v>
      </c>
      <c r="C8" s="9" t="s">
        <v>22</v>
      </c>
      <c r="D8" s="9" t="s">
        <v>26</v>
      </c>
      <c r="E8" s="21">
        <f>Results_Raw!E5*L_REC_qf</f>
        <v>1000000</v>
      </c>
      <c r="F8" s="21">
        <f>Results_Raw!F5*L_REC_qf</f>
        <v>1000000</v>
      </c>
      <c r="G8" s="21">
        <f>Results_Raw!G5*L_REC_qf</f>
        <v>999999.99999999895</v>
      </c>
      <c r="H8" s="21">
        <f>Results_Raw!H5*L_REC_qf</f>
        <v>1000000</v>
      </c>
    </row>
    <row r="9" spans="1:8" x14ac:dyDescent="0.2">
      <c r="A9" s="9" t="s">
        <v>20</v>
      </c>
      <c r="B9" s="9" t="s">
        <v>21</v>
      </c>
      <c r="C9" s="9" t="s">
        <v>22</v>
      </c>
      <c r="D9" s="9" t="s">
        <v>27</v>
      </c>
      <c r="E9" s="21">
        <f>Results_Raw!E6*0</f>
        <v>0</v>
      </c>
      <c r="F9" s="21">
        <f>Results_Raw!F6*0</f>
        <v>0</v>
      </c>
      <c r="G9" s="21">
        <f>Results_Raw!G6*0</f>
        <v>0</v>
      </c>
      <c r="H9" s="21">
        <f>Results_Raw!H6*0</f>
        <v>0</v>
      </c>
    </row>
    <row r="10" spans="1:8" x14ac:dyDescent="0.2">
      <c r="A10" s="9" t="s">
        <v>20</v>
      </c>
      <c r="B10" s="9" t="s">
        <v>21</v>
      </c>
      <c r="C10" s="9" t="s">
        <v>22</v>
      </c>
      <c r="D10" s="9" t="s">
        <v>28</v>
      </c>
      <c r="E10" s="21">
        <f>Results_Raw!E7*S_DESAL_qf</f>
        <v>0</v>
      </c>
      <c r="F10" s="21">
        <f>Results_Raw!F7*S_DESAL_qf</f>
        <v>0</v>
      </c>
      <c r="G10" s="21">
        <f>Results_Raw!G7*S_DESAL_qf</f>
        <v>0</v>
      </c>
      <c r="H10" s="21">
        <f>Results_Raw!H7*S_DESAL_qf</f>
        <v>0</v>
      </c>
    </row>
    <row r="11" spans="1:8" x14ac:dyDescent="0.2">
      <c r="A11" s="9" t="s">
        <v>20</v>
      </c>
      <c r="B11" s="9" t="s">
        <v>21</v>
      </c>
      <c r="C11" s="9" t="s">
        <v>22</v>
      </c>
      <c r="D11" s="9" t="s">
        <v>29</v>
      </c>
      <c r="E11" s="21">
        <f>Results_Raw!E8*S_GWR_qf</f>
        <v>15999.9999999999</v>
      </c>
      <c r="F11" s="21">
        <f>Results_Raw!F8*S_GWR_qf</f>
        <v>20000</v>
      </c>
      <c r="G11" s="21">
        <f>Results_Raw!G8*S_GWR_qf</f>
        <v>19000</v>
      </c>
      <c r="H11" s="21">
        <f>Results_Raw!H8*S_GWR_qf</f>
        <v>20000</v>
      </c>
    </row>
    <row r="12" spans="1:8" x14ac:dyDescent="0.2">
      <c r="A12" s="9" t="s">
        <v>20</v>
      </c>
      <c r="B12" s="9" t="s">
        <v>21</v>
      </c>
      <c r="C12" s="9" t="s">
        <v>22</v>
      </c>
      <c r="D12" s="9" t="s">
        <v>30</v>
      </c>
      <c r="E12" s="21">
        <f>Results_Raw!E9*S_REC_qf</f>
        <v>0</v>
      </c>
      <c r="F12" s="21">
        <f>Results_Raw!F9*S_REC_qf</f>
        <v>7000</v>
      </c>
      <c r="G12" s="21">
        <f>Results_Raw!G9*S_REC_qf</f>
        <v>0</v>
      </c>
      <c r="H12" s="21">
        <f>Results_Raw!H9*S_REC_qf</f>
        <v>1750</v>
      </c>
    </row>
    <row r="13" spans="1:8" x14ac:dyDescent="0.2">
      <c r="A13" s="9" t="s">
        <v>31</v>
      </c>
      <c r="B13" s="9" t="s">
        <v>32</v>
      </c>
      <c r="C13" s="9" t="s">
        <v>33</v>
      </c>
      <c r="D13" s="9" t="s">
        <v>34</v>
      </c>
      <c r="E13" s="21">
        <v>0</v>
      </c>
      <c r="F13" s="21">
        <v>0</v>
      </c>
      <c r="G13" s="22">
        <v>0</v>
      </c>
      <c r="H13" s="21">
        <v>0</v>
      </c>
    </row>
    <row r="14" spans="1:8" x14ac:dyDescent="0.2">
      <c r="A14" s="9" t="s">
        <v>31</v>
      </c>
      <c r="B14" s="9" t="s">
        <v>35</v>
      </c>
      <c r="C14" s="9" t="s">
        <v>33</v>
      </c>
      <c r="D14" s="9" t="s">
        <v>34</v>
      </c>
      <c r="E14" s="21">
        <v>0</v>
      </c>
      <c r="F14" s="21">
        <v>0</v>
      </c>
      <c r="G14" s="22">
        <v>0</v>
      </c>
      <c r="H14" s="21">
        <v>0</v>
      </c>
    </row>
    <row r="15" spans="1:8" x14ac:dyDescent="0.2">
      <c r="A15" s="9" t="s">
        <v>31</v>
      </c>
      <c r="B15" s="9" t="s">
        <v>36</v>
      </c>
      <c r="C15" s="9" t="s">
        <v>33</v>
      </c>
      <c r="D15" s="9" t="s">
        <v>34</v>
      </c>
      <c r="E15" s="21">
        <v>0</v>
      </c>
      <c r="F15" s="21">
        <v>0</v>
      </c>
      <c r="G15" s="22">
        <v>0</v>
      </c>
      <c r="H15" s="21">
        <v>0</v>
      </c>
    </row>
    <row r="16" spans="1:8" x14ac:dyDescent="0.2">
      <c r="A16" s="9" t="s">
        <v>37</v>
      </c>
      <c r="B16" s="9" t="s">
        <v>38</v>
      </c>
      <c r="C16" s="9" t="s">
        <v>39</v>
      </c>
      <c r="D16" s="9" t="s">
        <v>40</v>
      </c>
      <c r="E16" s="21">
        <f>Results_Raw!E13*EX_OPTION_qf</f>
        <v>0</v>
      </c>
      <c r="F16" s="21">
        <f>Results_Raw!F13*EX_OPTION_qf</f>
        <v>0</v>
      </c>
      <c r="G16" s="22">
        <v>0</v>
      </c>
      <c r="H16" s="21">
        <v>0</v>
      </c>
    </row>
    <row r="17" spans="1:8" x14ac:dyDescent="0.2">
      <c r="A17" s="9" t="s">
        <v>37</v>
      </c>
      <c r="B17" s="9" t="s">
        <v>38</v>
      </c>
      <c r="C17" s="9" t="s">
        <v>39</v>
      </c>
      <c r="D17" s="9" t="s">
        <v>41</v>
      </c>
      <c r="E17" s="21">
        <f>Results_Raw!E14*LS_RESTRICT_qf</f>
        <v>0</v>
      </c>
      <c r="F17" s="21">
        <f>Results_Raw!F14*LS_RESTRICT_qf</f>
        <v>0</v>
      </c>
      <c r="G17" s="22">
        <v>0</v>
      </c>
      <c r="H17" s="21">
        <v>0</v>
      </c>
    </row>
    <row r="18" spans="1:8" x14ac:dyDescent="0.2">
      <c r="A18" s="9" t="s">
        <v>37</v>
      </c>
      <c r="B18" s="9" t="s">
        <v>38</v>
      </c>
      <c r="C18" s="9" t="s">
        <v>39</v>
      </c>
      <c r="D18" s="9" t="s">
        <v>42</v>
      </c>
      <c r="E18" s="21">
        <f>Results_Raw!E15*SPOT_qf</f>
        <v>0</v>
      </c>
      <c r="F18" s="21">
        <f>Results_Raw!F15*SPOT_qf</f>
        <v>0</v>
      </c>
      <c r="G18" s="22">
        <v>0</v>
      </c>
      <c r="H18" s="21">
        <v>0</v>
      </c>
    </row>
    <row r="19" spans="1:8" x14ac:dyDescent="0.2">
      <c r="A19" s="9" t="s">
        <v>37</v>
      </c>
      <c r="B19" s="9" t="s">
        <v>43</v>
      </c>
      <c r="C19" s="9" t="s">
        <v>39</v>
      </c>
      <c r="D19" s="9" t="s">
        <v>40</v>
      </c>
      <c r="E19" s="21">
        <f>Results_Raw!E16*EX_OPTION_qf</f>
        <v>0</v>
      </c>
      <c r="F19" s="21">
        <f>Results_Raw!F16*EX_OPTION_qf</f>
        <v>0</v>
      </c>
      <c r="G19" s="22">
        <v>0</v>
      </c>
      <c r="H19" s="21">
        <v>0</v>
      </c>
    </row>
    <row r="20" spans="1:8" x14ac:dyDescent="0.2">
      <c r="A20" s="9" t="s">
        <v>37</v>
      </c>
      <c r="B20" s="9" t="s">
        <v>43</v>
      </c>
      <c r="C20" s="9" t="s">
        <v>39</v>
      </c>
      <c r="D20" s="9" t="s">
        <v>41</v>
      </c>
      <c r="E20" s="21">
        <f>Results_Raw!E17*LS_RESTRICT_qf</f>
        <v>0</v>
      </c>
      <c r="F20" s="21">
        <f>Results_Raw!F17*LS_RESTRICT_qf</f>
        <v>0</v>
      </c>
      <c r="G20" s="22">
        <v>0</v>
      </c>
      <c r="H20" s="21">
        <v>0</v>
      </c>
    </row>
    <row r="21" spans="1:8" x14ac:dyDescent="0.2">
      <c r="A21" s="9" t="s">
        <v>37</v>
      </c>
      <c r="B21" s="9" t="s">
        <v>43</v>
      </c>
      <c r="C21" s="9" t="s">
        <v>39</v>
      </c>
      <c r="D21" s="9" t="s">
        <v>42</v>
      </c>
      <c r="E21" s="21">
        <f>Results_Raw!E18*SPOT_qf</f>
        <v>0</v>
      </c>
      <c r="F21" s="21">
        <f>Results_Raw!F18*SPOT_qf</f>
        <v>0</v>
      </c>
      <c r="G21" s="22">
        <v>0</v>
      </c>
      <c r="H21" s="21">
        <v>0</v>
      </c>
    </row>
    <row r="22" spans="1:8" x14ac:dyDescent="0.2">
      <c r="A22" s="9" t="s">
        <v>37</v>
      </c>
      <c r="B22" s="9" t="s">
        <v>44</v>
      </c>
      <c r="C22" s="9" t="s">
        <v>39</v>
      </c>
      <c r="D22" s="9" t="s">
        <v>40</v>
      </c>
      <c r="E22" s="21">
        <f>Results_Raw!E19*EX_OPTION_qf</f>
        <v>0</v>
      </c>
      <c r="F22" s="21">
        <f>Results_Raw!F19*EX_OPTION_qf</f>
        <v>0</v>
      </c>
      <c r="G22" s="22">
        <v>0</v>
      </c>
      <c r="H22" s="21">
        <v>0</v>
      </c>
    </row>
    <row r="23" spans="1:8" x14ac:dyDescent="0.2">
      <c r="A23" s="9" t="s">
        <v>37</v>
      </c>
      <c r="B23" s="9" t="s">
        <v>44</v>
      </c>
      <c r="C23" s="9" t="s">
        <v>39</v>
      </c>
      <c r="D23" s="9" t="s">
        <v>41</v>
      </c>
      <c r="E23" s="21">
        <f>Results_Raw!E20*LS_RESTRICT_qf</f>
        <v>0</v>
      </c>
      <c r="F23" s="21">
        <f>Results_Raw!F20*LS_RESTRICT_qf</f>
        <v>0</v>
      </c>
      <c r="G23" s="22">
        <v>0</v>
      </c>
      <c r="H23" s="21">
        <v>0</v>
      </c>
    </row>
    <row r="24" spans="1:8" x14ac:dyDescent="0.2">
      <c r="A24" s="9" t="s">
        <v>37</v>
      </c>
      <c r="B24" s="9" t="s">
        <v>44</v>
      </c>
      <c r="C24" s="9" t="s">
        <v>39</v>
      </c>
      <c r="D24" s="9" t="s">
        <v>42</v>
      </c>
      <c r="E24" s="21">
        <f>Results_Raw!E21*SPOT_qf</f>
        <v>0</v>
      </c>
      <c r="F24" s="21">
        <f>Results_Raw!F21*SPOT_qf</f>
        <v>0</v>
      </c>
      <c r="G24" s="22">
        <v>0</v>
      </c>
      <c r="H24" s="21">
        <v>0</v>
      </c>
    </row>
    <row r="25" spans="1:8" x14ac:dyDescent="0.2">
      <c r="A25" s="9" t="s">
        <v>37</v>
      </c>
      <c r="B25" s="9" t="s">
        <v>45</v>
      </c>
      <c r="C25" s="9" t="s">
        <v>39</v>
      </c>
      <c r="D25" s="9" t="s">
        <v>40</v>
      </c>
      <c r="E25" s="21">
        <f>Results_Raw!E22*EX_OPTION_qf</f>
        <v>0</v>
      </c>
      <c r="F25" s="21">
        <f>Results_Raw!F22*EX_OPTION_qf</f>
        <v>0</v>
      </c>
      <c r="G25" s="21">
        <f>Results_Raw!G22*EX_OPTION_qf</f>
        <v>0</v>
      </c>
      <c r="H25" s="21">
        <f>Results_Raw!H22*EX_OPTION_qf</f>
        <v>0</v>
      </c>
    </row>
    <row r="26" spans="1:8" x14ac:dyDescent="0.2">
      <c r="A26" s="9" t="s">
        <v>37</v>
      </c>
      <c r="B26" s="9" t="s">
        <v>45</v>
      </c>
      <c r="C26" s="9" t="s">
        <v>39</v>
      </c>
      <c r="D26" s="9" t="s">
        <v>41</v>
      </c>
      <c r="E26" s="21">
        <f>Results_Raw!E23*LS_RESTRICT_qf</f>
        <v>0</v>
      </c>
      <c r="F26" s="21">
        <f>Results_Raw!F23*LS_RESTRICT_qf</f>
        <v>0</v>
      </c>
      <c r="G26" s="21">
        <f>Results_Raw!G23*LS_RESTRICT_qf</f>
        <v>0</v>
      </c>
      <c r="H26" s="21">
        <f>Results_Raw!H23*LS_RESTRICT_qf</f>
        <v>0</v>
      </c>
    </row>
    <row r="27" spans="1:8" x14ac:dyDescent="0.2">
      <c r="A27" s="9" t="s">
        <v>37</v>
      </c>
      <c r="B27" s="9" t="s">
        <v>45</v>
      </c>
      <c r="C27" s="9" t="s">
        <v>39</v>
      </c>
      <c r="D27" s="9" t="s">
        <v>42</v>
      </c>
      <c r="E27" s="21">
        <f>Results_Raw!E24*SPOT_qf</f>
        <v>0</v>
      </c>
      <c r="F27" s="21">
        <f>Results_Raw!F24*SPOT_qf</f>
        <v>0</v>
      </c>
      <c r="G27" s="21">
        <f>Results_Raw!G24*SPOT_qf</f>
        <v>0</v>
      </c>
      <c r="H27" s="21">
        <f>Results_Raw!H24*SPOT_qf</f>
        <v>0</v>
      </c>
    </row>
    <row r="28" spans="1:8" x14ac:dyDescent="0.2">
      <c r="A28" s="9" t="s">
        <v>37</v>
      </c>
      <c r="B28" s="9" t="s">
        <v>46</v>
      </c>
      <c r="C28" s="9" t="s">
        <v>39</v>
      </c>
      <c r="D28" s="9" t="s">
        <v>40</v>
      </c>
      <c r="E28" s="21">
        <f>Results_Raw!E25*EX_OPTION_qf</f>
        <v>0</v>
      </c>
      <c r="F28" s="21">
        <f>Results_Raw!F25*EX_OPTION_qf</f>
        <v>0</v>
      </c>
      <c r="G28" s="21">
        <f>Results_Raw!G25*EX_OPTION_qf</f>
        <v>0</v>
      </c>
      <c r="H28" s="21">
        <f>Results_Raw!H25*EX_OPTION_qf</f>
        <v>0</v>
      </c>
    </row>
    <row r="29" spans="1:8" x14ac:dyDescent="0.2">
      <c r="A29" s="9" t="s">
        <v>37</v>
      </c>
      <c r="B29" s="9" t="s">
        <v>46</v>
      </c>
      <c r="C29" s="9" t="s">
        <v>39</v>
      </c>
      <c r="D29" s="9" t="s">
        <v>41</v>
      </c>
      <c r="E29" s="21">
        <f>Results_Raw!E26*LS_RESTRICT_qf</f>
        <v>0</v>
      </c>
      <c r="F29" s="21">
        <f>Results_Raw!F26*LS_RESTRICT_qf</f>
        <v>0</v>
      </c>
      <c r="G29" s="21">
        <f>Results_Raw!G26*LS_RESTRICT_qf</f>
        <v>0</v>
      </c>
      <c r="H29" s="21">
        <f>Results_Raw!H26*LS_RESTRICT_qf</f>
        <v>0</v>
      </c>
    </row>
    <row r="30" spans="1:8" x14ac:dyDescent="0.2">
      <c r="A30" s="9" t="s">
        <v>37</v>
      </c>
      <c r="B30" s="9" t="s">
        <v>46</v>
      </c>
      <c r="C30" s="9" t="s">
        <v>39</v>
      </c>
      <c r="D30" s="9" t="s">
        <v>42</v>
      </c>
      <c r="E30" s="21">
        <f>Results_Raw!E27*SPOT_qf</f>
        <v>0</v>
      </c>
      <c r="F30" s="21">
        <f>Results_Raw!F27*SPOT_qf</f>
        <v>0</v>
      </c>
      <c r="G30" s="21">
        <f>Results_Raw!G27*SPOT_qf</f>
        <v>0</v>
      </c>
      <c r="H30" s="21">
        <f>Results_Raw!H27*SPOT_qf</f>
        <v>0</v>
      </c>
    </row>
    <row r="31" spans="1:8" x14ac:dyDescent="0.2">
      <c r="A31" s="9" t="s">
        <v>37</v>
      </c>
      <c r="B31" s="9" t="s">
        <v>47</v>
      </c>
      <c r="C31" s="9" t="s">
        <v>39</v>
      </c>
      <c r="D31" s="9" t="s">
        <v>40</v>
      </c>
      <c r="E31" s="21">
        <f>Results_Raw!E28*EX_OPTION_qf</f>
        <v>0</v>
      </c>
      <c r="F31" s="21">
        <f>Results_Raw!F28*EX_OPTION_qf</f>
        <v>0</v>
      </c>
      <c r="G31" s="21">
        <f>Results_Raw!G28*EX_OPTION_qf</f>
        <v>0</v>
      </c>
      <c r="H31" s="21">
        <f>Results_Raw!H28*EX_OPTION_qf</f>
        <v>0</v>
      </c>
    </row>
    <row r="32" spans="1:8" x14ac:dyDescent="0.2">
      <c r="A32" s="9" t="s">
        <v>37</v>
      </c>
      <c r="B32" s="9" t="s">
        <v>47</v>
      </c>
      <c r="C32" s="9" t="s">
        <v>39</v>
      </c>
      <c r="D32" s="9" t="s">
        <v>41</v>
      </c>
      <c r="E32" s="21">
        <f>Results_Raw!E29*LS_RESTRICT_qf</f>
        <v>0</v>
      </c>
      <c r="F32" s="21">
        <f>Results_Raw!F29*LS_RESTRICT_qf</f>
        <v>0</v>
      </c>
      <c r="G32" s="21">
        <f>Results_Raw!G29*LS_RESTRICT_qf</f>
        <v>0</v>
      </c>
      <c r="H32" s="21">
        <f>Results_Raw!H29*LS_RESTRICT_qf</f>
        <v>0</v>
      </c>
    </row>
    <row r="33" spans="1:8" x14ac:dyDescent="0.2">
      <c r="A33" s="9" t="s">
        <v>37</v>
      </c>
      <c r="B33" s="9" t="s">
        <v>47</v>
      </c>
      <c r="C33" s="9" t="s">
        <v>39</v>
      </c>
      <c r="D33" s="9" t="s">
        <v>42</v>
      </c>
      <c r="E33" s="21">
        <f>Results_Raw!E30*SPOT_qf</f>
        <v>0</v>
      </c>
      <c r="F33" s="21">
        <f>Results_Raw!F30*SPOT_qf</f>
        <v>0</v>
      </c>
      <c r="G33" s="21">
        <f>Results_Raw!G30*SPOT_qf</f>
        <v>0</v>
      </c>
      <c r="H33" s="21">
        <f>Results_Raw!H30*SPOT_qf</f>
        <v>0</v>
      </c>
    </row>
    <row r="34" spans="1:8" x14ac:dyDescent="0.2">
      <c r="A34" s="9" t="s">
        <v>37</v>
      </c>
      <c r="B34" s="9" t="s">
        <v>48</v>
      </c>
      <c r="C34" s="9" t="s">
        <v>39</v>
      </c>
      <c r="D34" s="9" t="s">
        <v>40</v>
      </c>
      <c r="E34" s="21">
        <f>Results_Raw!E31*EX_OPTION_qf</f>
        <v>0</v>
      </c>
      <c r="F34" s="21">
        <f>Results_Raw!F31*EX_OPTION_qf</f>
        <v>0</v>
      </c>
      <c r="G34" s="21">
        <f>Results_Raw!G31*EX_OPTION_qf</f>
        <v>0</v>
      </c>
      <c r="H34" s="21">
        <f>Results_Raw!H31*EX_OPTION_qf</f>
        <v>0</v>
      </c>
    </row>
    <row r="35" spans="1:8" x14ac:dyDescent="0.2">
      <c r="A35" s="9" t="s">
        <v>37</v>
      </c>
      <c r="B35" s="9" t="s">
        <v>48</v>
      </c>
      <c r="C35" s="9" t="s">
        <v>39</v>
      </c>
      <c r="D35" s="9" t="s">
        <v>41</v>
      </c>
      <c r="E35" s="21">
        <f>Results_Raw!E32*LS_RESTRICT_qf</f>
        <v>0</v>
      </c>
      <c r="F35" s="21">
        <f>Results_Raw!F32*LS_RESTRICT_qf</f>
        <v>0</v>
      </c>
      <c r="G35" s="21">
        <f>Results_Raw!G32*LS_RESTRICT_qf</f>
        <v>0</v>
      </c>
      <c r="H35" s="21">
        <f>Results_Raw!H32*LS_RESTRICT_qf</f>
        <v>0</v>
      </c>
    </row>
    <row r="36" spans="1:8" x14ac:dyDescent="0.2">
      <c r="A36" s="9" t="s">
        <v>37</v>
      </c>
      <c r="B36" s="9" t="s">
        <v>48</v>
      </c>
      <c r="C36" s="9" t="s">
        <v>39</v>
      </c>
      <c r="D36" s="9" t="s">
        <v>42</v>
      </c>
      <c r="E36" s="21">
        <f>Results_Raw!E33*SPOT_qf</f>
        <v>0</v>
      </c>
      <c r="F36" s="21">
        <f>Results_Raw!F33*SPOT_qf</f>
        <v>0</v>
      </c>
      <c r="G36" s="21">
        <f>Results_Raw!G33*SPOT_qf</f>
        <v>0</v>
      </c>
      <c r="H36" s="21">
        <f>Results_Raw!H33*SPOT_qf</f>
        <v>0</v>
      </c>
    </row>
    <row r="37" spans="1:8" x14ac:dyDescent="0.2">
      <c r="A37" s="9" t="s">
        <v>37</v>
      </c>
      <c r="B37" s="9" t="s">
        <v>49</v>
      </c>
      <c r="C37" s="9" t="s">
        <v>39</v>
      </c>
      <c r="D37" s="9" t="s">
        <v>40</v>
      </c>
      <c r="E37" s="21">
        <f>Results_Raw!E34*EX_OPTION_qf</f>
        <v>0</v>
      </c>
      <c r="F37" s="21">
        <f>Results_Raw!F34*EX_OPTION_qf</f>
        <v>0</v>
      </c>
      <c r="G37" s="21">
        <f>Results_Raw!G34*EX_OPTION_qf</f>
        <v>0</v>
      </c>
      <c r="H37" s="21">
        <f>Results_Raw!H34*EX_OPTION_qf</f>
        <v>0</v>
      </c>
    </row>
    <row r="38" spans="1:8" x14ac:dyDescent="0.2">
      <c r="A38" s="9" t="s">
        <v>37</v>
      </c>
      <c r="B38" s="9" t="s">
        <v>49</v>
      </c>
      <c r="C38" s="9" t="s">
        <v>39</v>
      </c>
      <c r="D38" s="9" t="s">
        <v>41</v>
      </c>
      <c r="E38" s="21">
        <f>Results_Raw!E35*LS_RESTRICT_qf</f>
        <v>0</v>
      </c>
      <c r="F38" s="21">
        <f>Results_Raw!F35*LS_RESTRICT_qf</f>
        <v>0</v>
      </c>
      <c r="G38" s="21">
        <f>Results_Raw!G35*LS_RESTRICT_qf</f>
        <v>0</v>
      </c>
      <c r="H38" s="21">
        <f>Results_Raw!H35*LS_RESTRICT_qf</f>
        <v>0</v>
      </c>
    </row>
    <row r="39" spans="1:8" x14ac:dyDescent="0.2">
      <c r="A39" s="9" t="s">
        <v>37</v>
      </c>
      <c r="B39" s="9" t="s">
        <v>49</v>
      </c>
      <c r="C39" s="9" t="s">
        <v>39</v>
      </c>
      <c r="D39" s="9" t="s">
        <v>42</v>
      </c>
      <c r="E39" s="21">
        <f>Results_Raw!E36*SPOT_qf</f>
        <v>0</v>
      </c>
      <c r="F39" s="21">
        <f>Results_Raw!F36*SPOT_qf</f>
        <v>0</v>
      </c>
      <c r="G39" s="21">
        <f>Results_Raw!G36*SPOT_qf</f>
        <v>0</v>
      </c>
      <c r="H39" s="21">
        <f>Results_Raw!H36*SPOT_qf</f>
        <v>0</v>
      </c>
    </row>
    <row r="40" spans="1:8" x14ac:dyDescent="0.2">
      <c r="A40" s="9" t="s">
        <v>37</v>
      </c>
      <c r="B40" s="9" t="s">
        <v>50</v>
      </c>
      <c r="C40" s="9" t="s">
        <v>39</v>
      </c>
      <c r="D40" s="9" t="s">
        <v>40</v>
      </c>
      <c r="E40" s="21">
        <f>Results_Raw!E37*EX_OPTION_qf</f>
        <v>0</v>
      </c>
      <c r="F40" s="21">
        <f>Results_Raw!F37*EX_OPTION_qf</f>
        <v>0</v>
      </c>
      <c r="G40" s="21">
        <f>Results_Raw!G37*EX_OPTION_qf</f>
        <v>0</v>
      </c>
      <c r="H40" s="21">
        <f>Results_Raw!H37*EX_OPTION_qf</f>
        <v>0</v>
      </c>
    </row>
    <row r="41" spans="1:8" x14ac:dyDescent="0.2">
      <c r="A41" s="9" t="s">
        <v>37</v>
      </c>
      <c r="B41" s="9" t="s">
        <v>50</v>
      </c>
      <c r="C41" s="9" t="s">
        <v>39</v>
      </c>
      <c r="D41" s="9" t="s">
        <v>41</v>
      </c>
      <c r="E41" s="21">
        <f>Results_Raw!E38*LS_RESTRICT_qf</f>
        <v>0</v>
      </c>
      <c r="F41" s="21">
        <f>Results_Raw!F38*LS_RESTRICT_qf</f>
        <v>0</v>
      </c>
      <c r="G41" s="21">
        <f>Results_Raw!G38*LS_RESTRICT_qf</f>
        <v>0</v>
      </c>
      <c r="H41" s="21">
        <f>Results_Raw!H38*LS_RESTRICT_qf</f>
        <v>0</v>
      </c>
    </row>
    <row r="42" spans="1:8" x14ac:dyDescent="0.2">
      <c r="A42" s="9" t="s">
        <v>37</v>
      </c>
      <c r="B42" s="9" t="s">
        <v>50</v>
      </c>
      <c r="C42" s="9" t="s">
        <v>39</v>
      </c>
      <c r="D42" s="9" t="s">
        <v>42</v>
      </c>
      <c r="E42" s="21">
        <f>Results_Raw!E39*SPOT_qf</f>
        <v>0</v>
      </c>
      <c r="F42" s="21">
        <f>Results_Raw!F39*SPOT_qf</f>
        <v>0</v>
      </c>
      <c r="G42" s="21">
        <f>Results_Raw!G39*SPOT_qf</f>
        <v>0</v>
      </c>
      <c r="H42" s="21">
        <f>Results_Raw!H39*SPOT_qf</f>
        <v>0</v>
      </c>
    </row>
    <row r="43" spans="1:8" x14ac:dyDescent="0.2">
      <c r="A43" s="9" t="s">
        <v>37</v>
      </c>
      <c r="B43" s="9" t="s">
        <v>51</v>
      </c>
      <c r="C43" s="9" t="s">
        <v>39</v>
      </c>
      <c r="D43" s="9" t="s">
        <v>40</v>
      </c>
      <c r="E43" s="21">
        <f>Results_Raw!E40*EX_OPTION_qf</f>
        <v>0</v>
      </c>
      <c r="F43" s="21">
        <f>Results_Raw!F40*EX_OPTION_qf</f>
        <v>0</v>
      </c>
      <c r="G43" s="21">
        <f>Results_Raw!G40*EX_OPTION_qf</f>
        <v>0</v>
      </c>
      <c r="H43" s="21">
        <f>Results_Raw!H40*EX_OPTION_qf</f>
        <v>0</v>
      </c>
    </row>
    <row r="44" spans="1:8" x14ac:dyDescent="0.2">
      <c r="A44" s="9" t="s">
        <v>37</v>
      </c>
      <c r="B44" s="9" t="s">
        <v>51</v>
      </c>
      <c r="C44" s="9" t="s">
        <v>39</v>
      </c>
      <c r="D44" s="9" t="s">
        <v>41</v>
      </c>
      <c r="E44" s="21">
        <f>Results_Raw!E41*LS_RESTRICT_qf</f>
        <v>0</v>
      </c>
      <c r="F44" s="21">
        <f>Results_Raw!F41*LS_RESTRICT_qf</f>
        <v>0</v>
      </c>
      <c r="G44" s="21">
        <f>Results_Raw!G41*LS_RESTRICT_qf</f>
        <v>0</v>
      </c>
      <c r="H44" s="21">
        <f>Results_Raw!H41*LS_RESTRICT_qf</f>
        <v>0</v>
      </c>
    </row>
    <row r="45" spans="1:8" x14ac:dyDescent="0.2">
      <c r="A45" s="9" t="s">
        <v>37</v>
      </c>
      <c r="B45" s="9" t="s">
        <v>51</v>
      </c>
      <c r="C45" s="9" t="s">
        <v>39</v>
      </c>
      <c r="D45" s="9" t="s">
        <v>42</v>
      </c>
      <c r="E45" s="21">
        <f>Results_Raw!E42*SPOT_qf</f>
        <v>0</v>
      </c>
      <c r="F45" s="21">
        <f>Results_Raw!F42*SPOT_qf</f>
        <v>0</v>
      </c>
      <c r="G45" s="21">
        <f>Results_Raw!G42*SPOT_qf</f>
        <v>0</v>
      </c>
      <c r="H45" s="21">
        <f>Results_Raw!H42*SPOT_qf</f>
        <v>0</v>
      </c>
    </row>
    <row r="46" spans="1:8" x14ac:dyDescent="0.2">
      <c r="A46" s="9" t="s">
        <v>37</v>
      </c>
      <c r="B46" s="9" t="s">
        <v>52</v>
      </c>
      <c r="C46" s="9" t="s">
        <v>39</v>
      </c>
      <c r="D46" s="9" t="s">
        <v>40</v>
      </c>
      <c r="E46" s="21">
        <f>Results_Raw!E43*EX_OPTION_qf</f>
        <v>0</v>
      </c>
      <c r="F46" s="21">
        <f>Results_Raw!F43*EX_OPTION_qf</f>
        <v>0</v>
      </c>
      <c r="G46" s="21">
        <f>Results_Raw!G43*EX_OPTION_qf</f>
        <v>0</v>
      </c>
      <c r="H46" s="21">
        <f>Results_Raw!H43*EX_OPTION_qf</f>
        <v>0</v>
      </c>
    </row>
    <row r="47" spans="1:8" x14ac:dyDescent="0.2">
      <c r="A47" s="9" t="s">
        <v>37</v>
      </c>
      <c r="B47" s="9" t="s">
        <v>52</v>
      </c>
      <c r="C47" s="9" t="s">
        <v>39</v>
      </c>
      <c r="D47" s="9" t="s">
        <v>41</v>
      </c>
      <c r="E47" s="21">
        <f>Results_Raw!E44*LS_RESTRICT_qf</f>
        <v>0</v>
      </c>
      <c r="F47" s="21">
        <f>Results_Raw!F44*LS_RESTRICT_qf</f>
        <v>0</v>
      </c>
      <c r="G47" s="21">
        <f>Results_Raw!G44*LS_RESTRICT_qf</f>
        <v>0</v>
      </c>
      <c r="H47" s="21">
        <f>Results_Raw!H44*LS_RESTRICT_qf</f>
        <v>0</v>
      </c>
    </row>
    <row r="48" spans="1:8" x14ac:dyDescent="0.2">
      <c r="A48" s="9" t="s">
        <v>37</v>
      </c>
      <c r="B48" s="9" t="s">
        <v>52</v>
      </c>
      <c r="C48" s="9" t="s">
        <v>39</v>
      </c>
      <c r="D48" s="9" t="s">
        <v>42</v>
      </c>
      <c r="E48" s="21">
        <f>Results_Raw!E45*SPOT_qf</f>
        <v>0</v>
      </c>
      <c r="F48" s="21">
        <f>Results_Raw!F45*SPOT_qf</f>
        <v>0</v>
      </c>
      <c r="G48" s="21">
        <f>Results_Raw!G45*SPOT_qf</f>
        <v>0</v>
      </c>
      <c r="H48" s="21">
        <f>Results_Raw!H45*SPOT_qf</f>
        <v>0</v>
      </c>
    </row>
    <row r="49" spans="1:13" x14ac:dyDescent="0.2">
      <c r="A49" s="9" t="s">
        <v>37</v>
      </c>
      <c r="B49" s="9" t="s">
        <v>53</v>
      </c>
      <c r="C49" s="9" t="s">
        <v>39</v>
      </c>
      <c r="D49" s="9" t="s">
        <v>40</v>
      </c>
      <c r="E49" s="21">
        <f>Results_Raw!E46*EX_OPTION_qf</f>
        <v>0</v>
      </c>
      <c r="F49" s="21">
        <f>Results_Raw!F46*EX_OPTION_qf</f>
        <v>0</v>
      </c>
      <c r="G49" s="21">
        <f>Results_Raw!G46*EX_OPTION_qf</f>
        <v>0</v>
      </c>
      <c r="H49" s="21">
        <f>Results_Raw!H46*EX_OPTION_qf</f>
        <v>0</v>
      </c>
    </row>
    <row r="50" spans="1:13" x14ac:dyDescent="0.2">
      <c r="A50" s="9" t="s">
        <v>37</v>
      </c>
      <c r="B50" s="9" t="s">
        <v>53</v>
      </c>
      <c r="C50" s="9" t="s">
        <v>39</v>
      </c>
      <c r="D50" s="9" t="s">
        <v>41</v>
      </c>
      <c r="E50" s="21">
        <f>Results_Raw!E47*LS_RESTRICT_qf</f>
        <v>0</v>
      </c>
      <c r="F50" s="21">
        <f>Results_Raw!F47*LS_RESTRICT_qf</f>
        <v>0</v>
      </c>
      <c r="G50" s="21">
        <f>Results_Raw!G47*LS_RESTRICT_qf</f>
        <v>0</v>
      </c>
      <c r="H50" s="21">
        <f>Results_Raw!H47*LS_RESTRICT_qf</f>
        <v>0</v>
      </c>
    </row>
    <row r="51" spans="1:13" x14ac:dyDescent="0.2">
      <c r="A51" s="9" t="s">
        <v>37</v>
      </c>
      <c r="B51" s="9" t="s">
        <v>53</v>
      </c>
      <c r="C51" s="9" t="s">
        <v>39</v>
      </c>
      <c r="D51" s="9" t="s">
        <v>42</v>
      </c>
      <c r="E51" s="21">
        <f>Results_Raw!E48*SPOT_qf</f>
        <v>0</v>
      </c>
      <c r="F51" s="21">
        <f>Results_Raw!F48*SPOT_qf</f>
        <v>0</v>
      </c>
      <c r="G51" s="21">
        <f>Results_Raw!G48*SPOT_qf</f>
        <v>0</v>
      </c>
      <c r="H51" s="21">
        <f>Results_Raw!H48*SPOT_qf</f>
        <v>0</v>
      </c>
    </row>
    <row r="52" spans="1:13" x14ac:dyDescent="0.2">
      <c r="A52" s="9" t="s">
        <v>37</v>
      </c>
      <c r="B52" s="9" t="s">
        <v>54</v>
      </c>
      <c r="C52" s="9" t="s">
        <v>39</v>
      </c>
      <c r="D52" s="9" t="s">
        <v>40</v>
      </c>
      <c r="E52" s="21">
        <f>Results_Raw!E49*EX_OPTION_qf</f>
        <v>0</v>
      </c>
      <c r="F52" s="21">
        <f>Results_Raw!F49*EX_OPTION_qf</f>
        <v>0</v>
      </c>
      <c r="G52" s="21">
        <f>Results_Raw!G49*EX_OPTION_qf</f>
        <v>0</v>
      </c>
      <c r="H52" s="21">
        <f>Results_Raw!H49*EX_OPTION_qf</f>
        <v>0</v>
      </c>
    </row>
    <row r="53" spans="1:13" x14ac:dyDescent="0.2">
      <c r="A53" s="9" t="s">
        <v>37</v>
      </c>
      <c r="B53" s="9" t="s">
        <v>54</v>
      </c>
      <c r="C53" s="9" t="s">
        <v>39</v>
      </c>
      <c r="D53" s="9" t="s">
        <v>41</v>
      </c>
      <c r="E53" s="21">
        <f>Results_Raw!E50*LS_RESTRICT_qf</f>
        <v>0</v>
      </c>
      <c r="F53" s="21">
        <f>Results_Raw!F50*LS_RESTRICT_qf</f>
        <v>0</v>
      </c>
      <c r="G53" s="21">
        <f>Results_Raw!G50*LS_RESTRICT_qf</f>
        <v>0</v>
      </c>
      <c r="H53" s="21">
        <f>Results_Raw!H50*LS_RESTRICT_qf</f>
        <v>0</v>
      </c>
    </row>
    <row r="54" spans="1:13" x14ac:dyDescent="0.2">
      <c r="A54" s="9" t="s">
        <v>37</v>
      </c>
      <c r="B54" s="9" t="s">
        <v>54</v>
      </c>
      <c r="C54" s="9" t="s">
        <v>39</v>
      </c>
      <c r="D54" s="9" t="s">
        <v>42</v>
      </c>
      <c r="E54" s="21">
        <f>Results_Raw!E51*SPOT_qf</f>
        <v>0</v>
      </c>
      <c r="F54" s="21">
        <f>Results_Raw!F51*SPOT_qf</f>
        <v>0</v>
      </c>
      <c r="G54" s="21">
        <f>Results_Raw!G51*SPOT_qf</f>
        <v>0</v>
      </c>
      <c r="H54" s="21">
        <f>Results_Raw!H51*SPOT_qf</f>
        <v>0</v>
      </c>
    </row>
    <row r="55" spans="1:13" x14ac:dyDescent="0.2">
      <c r="A55" s="9" t="s">
        <v>37</v>
      </c>
      <c r="B55" s="9" t="s">
        <v>55</v>
      </c>
      <c r="C55" s="9" t="s">
        <v>39</v>
      </c>
      <c r="D55" s="9" t="s">
        <v>40</v>
      </c>
      <c r="E55" s="21">
        <f>Results_Raw!E52*EX_OPTION_qf</f>
        <v>0</v>
      </c>
      <c r="F55" s="21">
        <f>Results_Raw!F52*EX_OPTION_qf</f>
        <v>0</v>
      </c>
      <c r="G55" s="21">
        <f>Results_Raw!G52*EX_OPTION_qf</f>
        <v>0</v>
      </c>
      <c r="H55" s="21">
        <f>Results_Raw!H52*EX_OPTION_qf</f>
        <v>0</v>
      </c>
    </row>
    <row r="56" spans="1:13" x14ac:dyDescent="0.2">
      <c r="A56" s="9" t="s">
        <v>37</v>
      </c>
      <c r="B56" s="9" t="s">
        <v>55</v>
      </c>
      <c r="C56" s="9" t="s">
        <v>39</v>
      </c>
      <c r="D56" s="9" t="s">
        <v>41</v>
      </c>
      <c r="E56" s="21">
        <f>Results_Raw!E53*LS_RESTRICT_qf</f>
        <v>0</v>
      </c>
      <c r="F56" s="21">
        <f>Results_Raw!F53*LS_RESTRICT_qf</f>
        <v>0</v>
      </c>
      <c r="G56" s="21">
        <f>Results_Raw!G53*LS_RESTRICT_qf</f>
        <v>0</v>
      </c>
      <c r="H56" s="21">
        <f>Results_Raw!H53*LS_RESTRICT_qf</f>
        <v>0</v>
      </c>
    </row>
    <row r="57" spans="1:13" x14ac:dyDescent="0.2">
      <c r="A57" s="9" t="s">
        <v>37</v>
      </c>
      <c r="B57" s="9" t="s">
        <v>55</v>
      </c>
      <c r="C57" s="9" t="s">
        <v>39</v>
      </c>
      <c r="D57" s="9" t="s">
        <v>42</v>
      </c>
      <c r="E57" s="21">
        <f>Results_Raw!E54*SPOT_qf</f>
        <v>0</v>
      </c>
      <c r="F57" s="21">
        <f>Results_Raw!F54*SPOT_qf</f>
        <v>0</v>
      </c>
      <c r="G57" s="21">
        <f>Results_Raw!G54*SPOT_qf</f>
        <v>0</v>
      </c>
      <c r="H57" s="21">
        <f>Results_Raw!H54*SPOT_qf</f>
        <v>0</v>
      </c>
    </row>
    <row r="58" spans="1:13" x14ac:dyDescent="0.2">
      <c r="A58" s="9" t="s">
        <v>37</v>
      </c>
      <c r="B58" s="9" t="s">
        <v>56</v>
      </c>
      <c r="C58" s="9" t="s">
        <v>39</v>
      </c>
      <c r="D58" s="9" t="s">
        <v>40</v>
      </c>
      <c r="E58" s="21">
        <f>Results_Raw!E55*EX_OPTION_qf</f>
        <v>184000</v>
      </c>
      <c r="F58" s="21">
        <f>Results_Raw!F55*EX_OPTION_qf</f>
        <v>192999.99999999901</v>
      </c>
      <c r="G58" s="21">
        <f>Results_Raw!G55*EX_OPTION_qf</f>
        <v>221000</v>
      </c>
      <c r="H58" s="21">
        <f>Results_Raw!H55*EX_OPTION_qf</f>
        <v>238250</v>
      </c>
      <c r="J58" s="21"/>
      <c r="K58" s="21"/>
      <c r="L58" s="21"/>
      <c r="M58" s="21"/>
    </row>
    <row r="59" spans="1:13" x14ac:dyDescent="0.2">
      <c r="A59" s="9" t="s">
        <v>37</v>
      </c>
      <c r="B59" s="9" t="s">
        <v>56</v>
      </c>
      <c r="C59" s="9" t="s">
        <v>39</v>
      </c>
      <c r="D59" s="9" t="s">
        <v>41</v>
      </c>
      <c r="E59" s="21">
        <f>Results_Raw!E56*LS_RESTRICT_qf</f>
        <v>0</v>
      </c>
      <c r="F59" s="21">
        <f>Results_Raw!F56*LS_RESTRICT_qf</f>
        <v>0</v>
      </c>
      <c r="G59" s="21">
        <f>Results_Raw!G56*LS_RESTRICT_qf</f>
        <v>0</v>
      </c>
      <c r="H59" s="21">
        <f>Results_Raw!H56*LS_RESTRICT_qf</f>
        <v>0</v>
      </c>
      <c r="J59" s="23"/>
      <c r="K59" s="23"/>
      <c r="L59" s="23"/>
      <c r="M59" s="23"/>
    </row>
    <row r="60" spans="1:13" x14ac:dyDescent="0.2">
      <c r="A60" s="9" t="s">
        <v>37</v>
      </c>
      <c r="B60" s="9" t="s">
        <v>56</v>
      </c>
      <c r="C60" s="9" t="s">
        <v>39</v>
      </c>
      <c r="D60" s="9" t="s">
        <v>42</v>
      </c>
      <c r="E60" s="21">
        <f>Results_Raw!E57*SPOT_qf</f>
        <v>0</v>
      </c>
      <c r="F60" s="21">
        <f>Results_Raw!F57*SPOT_qf</f>
        <v>0</v>
      </c>
      <c r="G60" s="21">
        <f>Results_Raw!G57*SPOT_qf</f>
        <v>0</v>
      </c>
      <c r="H60" s="21">
        <f>Results_Raw!H57*SPOT_qf</f>
        <v>0</v>
      </c>
    </row>
    <row r="61" spans="1:13" x14ac:dyDescent="0.2">
      <c r="A61" s="9" t="s">
        <v>37</v>
      </c>
      <c r="B61" s="9" t="s">
        <v>57</v>
      </c>
      <c r="C61" s="9" t="s">
        <v>39</v>
      </c>
      <c r="D61" s="9" t="s">
        <v>40</v>
      </c>
      <c r="E61" s="21">
        <f>Results_Raw!E58*EX_OPTION_qf</f>
        <v>434000</v>
      </c>
      <c r="F61" s="21">
        <f>Results_Raw!F58*EX_OPTION_qf</f>
        <v>443017</v>
      </c>
      <c r="G61" s="21">
        <f>Results_Raw!G58*EX_OPTION_qf</f>
        <v>471000</v>
      </c>
      <c r="H61" s="21">
        <f>Results_Raw!H58*EX_OPTION_qf</f>
        <v>488322</v>
      </c>
    </row>
    <row r="62" spans="1:13" x14ac:dyDescent="0.2">
      <c r="A62" s="9" t="s">
        <v>37</v>
      </c>
      <c r="B62" s="9" t="s">
        <v>57</v>
      </c>
      <c r="C62" s="9" t="s">
        <v>39</v>
      </c>
      <c r="D62" s="9" t="s">
        <v>41</v>
      </c>
      <c r="E62" s="21">
        <f>Results_Raw!E59*LS_RESTRICT_qf</f>
        <v>0</v>
      </c>
      <c r="F62" s="21">
        <f>Results_Raw!F59*LS_RESTRICT_qf</f>
        <v>0</v>
      </c>
      <c r="G62" s="21">
        <f>Results_Raw!G59*LS_RESTRICT_qf</f>
        <v>0</v>
      </c>
      <c r="H62" s="21">
        <f>Results_Raw!H59*LS_RESTRICT_qf</f>
        <v>0</v>
      </c>
    </row>
    <row r="63" spans="1:13" x14ac:dyDescent="0.2">
      <c r="A63" s="9" t="s">
        <v>37</v>
      </c>
      <c r="B63" s="9" t="s">
        <v>57</v>
      </c>
      <c r="C63" s="9" t="s">
        <v>39</v>
      </c>
      <c r="D63" s="9" t="s">
        <v>42</v>
      </c>
      <c r="E63" s="21">
        <f>Results_Raw!E60*SPOT_qf</f>
        <v>120000</v>
      </c>
      <c r="F63" s="21">
        <f>Results_Raw!F60*SPOT_qf</f>
        <v>119983</v>
      </c>
      <c r="G63" s="21">
        <f>Results_Raw!G60*SPOT_qf</f>
        <v>120000</v>
      </c>
      <c r="H63" s="21">
        <f>Results_Raw!H60*SPOT_qf</f>
        <v>119928</v>
      </c>
    </row>
    <row r="64" spans="1:13" x14ac:dyDescent="0.2">
      <c r="A64" s="9" t="s">
        <v>37</v>
      </c>
      <c r="B64" s="9" t="s">
        <v>58</v>
      </c>
      <c r="C64" s="9" t="s">
        <v>39</v>
      </c>
      <c r="D64" s="9" t="s">
        <v>40</v>
      </c>
      <c r="E64" s="21">
        <f>Results_Raw!E61*EX_OPTION_qf</f>
        <v>433999.99999999901</v>
      </c>
      <c r="F64" s="21">
        <f>Results_Raw!F61*EX_OPTION_qf</f>
        <v>443017</v>
      </c>
      <c r="G64" s="21">
        <f>Results_Raw!G61*EX_OPTION_qf</f>
        <v>471000</v>
      </c>
      <c r="H64" s="21">
        <f>Results_Raw!H61*EX_OPTION_qf</f>
        <v>488322</v>
      </c>
    </row>
    <row r="65" spans="1:8" x14ac:dyDescent="0.2">
      <c r="A65" s="9" t="s">
        <v>37</v>
      </c>
      <c r="B65" s="9" t="s">
        <v>58</v>
      </c>
      <c r="C65" s="9" t="s">
        <v>39</v>
      </c>
      <c r="D65" s="9" t="s">
        <v>41</v>
      </c>
      <c r="E65" s="21">
        <f>Results_Raw!E62*LS_RESTRICT_qf</f>
        <v>0</v>
      </c>
      <c r="F65" s="21">
        <f>Results_Raw!F62*LS_RESTRICT_qf</f>
        <v>0</v>
      </c>
      <c r="G65" s="21">
        <f>Results_Raw!G62*LS_RESTRICT_qf</f>
        <v>0</v>
      </c>
      <c r="H65" s="21">
        <f>Results_Raw!H62*LS_RESTRICT_qf</f>
        <v>0</v>
      </c>
    </row>
    <row r="66" spans="1:8" x14ac:dyDescent="0.2">
      <c r="A66" s="9" t="s">
        <v>37</v>
      </c>
      <c r="B66" s="9" t="s">
        <v>58</v>
      </c>
      <c r="C66" s="9" t="s">
        <v>39</v>
      </c>
      <c r="D66" s="9" t="s">
        <v>42</v>
      </c>
      <c r="E66" s="21">
        <f>Results_Raw!E63*SPOT_qf</f>
        <v>500000</v>
      </c>
      <c r="F66" s="21">
        <f>Results_Raw!F63*SPOT_qf</f>
        <v>499983</v>
      </c>
      <c r="G66" s="21">
        <f>Results_Raw!G63*SPOT_qf</f>
        <v>500000</v>
      </c>
      <c r="H66" s="21">
        <f>Results_Raw!H63*SPOT_qf</f>
        <v>499928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6BD-75DA-6845-ACCF-C43403F163A1}">
  <dimension ref="A1:H66"/>
  <sheetViews>
    <sheetView workbookViewId="0">
      <selection activeCell="I6" sqref="I6"/>
    </sheetView>
  </sheetViews>
  <sheetFormatPr baseColWidth="10" defaultRowHeight="16" x14ac:dyDescent="0.2"/>
  <cols>
    <col min="5" max="8" width="17.6640625" bestFit="1" customWidth="1"/>
  </cols>
  <sheetData>
    <row r="1" spans="1:8" x14ac:dyDescent="0.2">
      <c r="E1" s="17">
        <f>E2+E3</f>
        <v>3036.4799999999982</v>
      </c>
      <c r="F1" s="17">
        <f>F2+F3</f>
        <v>3033.3705399999994</v>
      </c>
      <c r="G1" s="17">
        <f t="shared" ref="G1:H1" si="0">G2+G3</f>
        <v>3024.6199999999981</v>
      </c>
      <c r="H1" s="17">
        <f t="shared" si="0"/>
        <v>3019.6846399999999</v>
      </c>
    </row>
    <row r="2" spans="1:8" x14ac:dyDescent="0.2">
      <c r="E2" s="10">
        <f>SUM(E5:E12)/1000000</f>
        <v>2219.2799999999988</v>
      </c>
      <c r="F2" s="10">
        <f>SUM(F5:F12)/1000000</f>
        <v>2199.9603400000001</v>
      </c>
      <c r="G2" s="10">
        <f>SUM(G5:G12)/1000000</f>
        <v>2140.8199999999979</v>
      </c>
      <c r="H2" s="10">
        <f>SUM(H5:H12)/1000000</f>
        <v>2104.79144</v>
      </c>
    </row>
    <row r="3" spans="1:8" x14ac:dyDescent="0.2">
      <c r="E3" s="10">
        <f>SUM(E16:E66)/1000000</f>
        <v>817.19999999999936</v>
      </c>
      <c r="F3" s="10">
        <f>SUM(F16:F66)/1000000</f>
        <v>833.41019999999935</v>
      </c>
      <c r="G3" s="10">
        <f>SUM(G16:G66)/1000000</f>
        <v>883.8</v>
      </c>
      <c r="H3" s="10">
        <f>SUM(H16:H66)/1000000</f>
        <v>914.89319999999998</v>
      </c>
    </row>
    <row r="4" spans="1:8" x14ac:dyDescent="0.2">
      <c r="E4" t="s">
        <v>74</v>
      </c>
      <c r="F4" t="s">
        <v>73</v>
      </c>
      <c r="G4" t="s">
        <v>72</v>
      </c>
      <c r="H4" t="s">
        <v>71</v>
      </c>
    </row>
    <row r="5" spans="1:8" x14ac:dyDescent="0.2">
      <c r="A5" s="9" t="s">
        <v>20</v>
      </c>
      <c r="B5" s="9" t="s">
        <v>21</v>
      </c>
      <c r="C5" s="9" t="s">
        <v>22</v>
      </c>
      <c r="D5" s="9" t="s">
        <v>23</v>
      </c>
      <c r="E5" s="19">
        <f>Results_Raw!E2*LS_RETRO_ci</f>
        <v>161999999.99999955</v>
      </c>
      <c r="F5" s="19">
        <f>Results_Raw!F2*LS_RETRO_ci</f>
        <v>162000000</v>
      </c>
      <c r="G5" s="19">
        <f>Results_Raw!G2*LS_RETRO_ci</f>
        <v>162000000</v>
      </c>
      <c r="H5" s="19">
        <f>Results_Raw!H2*LS_RETRO_ci</f>
        <v>162000000</v>
      </c>
    </row>
    <row r="6" spans="1:8" x14ac:dyDescent="0.2">
      <c r="A6" s="9" t="s">
        <v>20</v>
      </c>
      <c r="B6" s="9" t="s">
        <v>21</v>
      </c>
      <c r="C6" s="9" t="s">
        <v>22</v>
      </c>
      <c r="D6" s="9" t="s">
        <v>24</v>
      </c>
      <c r="E6" s="19">
        <f>Results_Raw!E3*L_DESAL_ci</f>
        <v>167999999.99999958</v>
      </c>
      <c r="F6" s="19">
        <f>Results_Raw!F3*L_DESAL_ci</f>
        <v>126000000</v>
      </c>
      <c r="G6" s="19">
        <f>Results_Raw!G3*L_DESAL_ci</f>
        <v>84000000</v>
      </c>
      <c r="H6" s="19">
        <f>Results_Raw!H3*L_DESAL_ci</f>
        <v>42000000</v>
      </c>
    </row>
    <row r="7" spans="1:8" x14ac:dyDescent="0.2">
      <c r="A7" s="9" t="s">
        <v>20</v>
      </c>
      <c r="B7" s="9" t="s">
        <v>21</v>
      </c>
      <c r="C7" s="9" t="s">
        <v>22</v>
      </c>
      <c r="D7" s="9" t="s">
        <v>25</v>
      </c>
      <c r="E7" s="19">
        <f>Results_Raw!E4*L_GW_ci</f>
        <v>54999999.999999896</v>
      </c>
      <c r="F7" s="19">
        <f>Results_Raw!F4*L_GW_ci</f>
        <v>55000000</v>
      </c>
      <c r="G7" s="19">
        <f>Results_Raw!G4*L_GW_ci</f>
        <v>54999999.999999896</v>
      </c>
      <c r="H7" s="19">
        <f>Results_Raw!H4*L_GW_ci</f>
        <v>55000000</v>
      </c>
    </row>
    <row r="8" spans="1:8" x14ac:dyDescent="0.2">
      <c r="A8" s="9" t="s">
        <v>20</v>
      </c>
      <c r="B8" s="9" t="s">
        <v>21</v>
      </c>
      <c r="C8" s="9" t="s">
        <v>22</v>
      </c>
      <c r="D8" s="9" t="s">
        <v>26</v>
      </c>
      <c r="E8" s="19">
        <f>Results_Raw!E5*L_REC_ci</f>
        <v>1800000000</v>
      </c>
      <c r="F8" s="19">
        <f>Results_Raw!F5*L_REC_ci</f>
        <v>1800000000</v>
      </c>
      <c r="G8" s="19">
        <f>Results_Raw!G5*L_REC_ci</f>
        <v>1799999999.9999981</v>
      </c>
      <c r="H8" s="19">
        <f>Results_Raw!H5*L_REC_ci</f>
        <v>1800000000</v>
      </c>
    </row>
    <row r="9" spans="1:8" x14ac:dyDescent="0.2">
      <c r="A9" s="9" t="s">
        <v>20</v>
      </c>
      <c r="B9" s="9" t="s">
        <v>21</v>
      </c>
      <c r="C9" s="9" t="s">
        <v>22</v>
      </c>
      <c r="D9" s="9" t="s">
        <v>27</v>
      </c>
      <c r="E9" s="19">
        <f>Results_Raw!E6*OPTION_ci</f>
        <v>8679999.9999999795</v>
      </c>
      <c r="F9" s="19">
        <f>Results_Raw!F6*OPTION_ci</f>
        <v>8860340</v>
      </c>
      <c r="G9" s="19">
        <f>Results_Raw!G6*OPTION_ci</f>
        <v>9420000</v>
      </c>
      <c r="H9" s="19">
        <f>Results_Raw!H6*OPTION_ci</f>
        <v>9766440</v>
      </c>
    </row>
    <row r="10" spans="1:8" x14ac:dyDescent="0.2">
      <c r="A10" s="9" t="s">
        <v>20</v>
      </c>
      <c r="B10" s="9" t="s">
        <v>21</v>
      </c>
      <c r="C10" s="9" t="s">
        <v>22</v>
      </c>
      <c r="D10" s="9" t="s">
        <v>28</v>
      </c>
      <c r="E10" s="19">
        <f>Results_Raw!E7*S_DESAL_ci</f>
        <v>0</v>
      </c>
      <c r="F10" s="19">
        <f>Results_Raw!F7*S_DESAL_ci</f>
        <v>0</v>
      </c>
      <c r="G10" s="19">
        <f>Results_Raw!G7*S_DESAL_ci</f>
        <v>0</v>
      </c>
      <c r="H10" s="19">
        <f>Results_Raw!H7*S_DESAL_ci</f>
        <v>0</v>
      </c>
    </row>
    <row r="11" spans="1:8" x14ac:dyDescent="0.2">
      <c r="A11" s="9" t="s">
        <v>20</v>
      </c>
      <c r="B11" s="9" t="s">
        <v>21</v>
      </c>
      <c r="C11" s="9" t="s">
        <v>22</v>
      </c>
      <c r="D11" s="9" t="s">
        <v>29</v>
      </c>
      <c r="E11" s="19">
        <f>Results_Raw!E8*S_GWR_ci</f>
        <v>25599999.99999984</v>
      </c>
      <c r="F11" s="19">
        <f>Results_Raw!F8*S_GWR_ci</f>
        <v>32000000</v>
      </c>
      <c r="G11" s="19">
        <f>Results_Raw!G8*S_GWR_ci</f>
        <v>30400000</v>
      </c>
      <c r="H11" s="19">
        <f>Results_Raw!H8*S_GWR_ci</f>
        <v>32000000</v>
      </c>
    </row>
    <row r="12" spans="1:8" x14ac:dyDescent="0.2">
      <c r="A12" s="9" t="s">
        <v>20</v>
      </c>
      <c r="B12" s="9" t="s">
        <v>21</v>
      </c>
      <c r="C12" s="9" t="s">
        <v>22</v>
      </c>
      <c r="D12" s="9" t="s">
        <v>30</v>
      </c>
      <c r="E12" s="19">
        <f>Results_Raw!E9*S_REC_ci</f>
        <v>0</v>
      </c>
      <c r="F12" s="19">
        <f>Results_Raw!F9*S_REC_ci</f>
        <v>16100000</v>
      </c>
      <c r="G12" s="19">
        <f>Results_Raw!G9*S_REC_ci</f>
        <v>0</v>
      </c>
      <c r="H12" s="19">
        <f>Results_Raw!H9*S_REC_ci</f>
        <v>4025000</v>
      </c>
    </row>
    <row r="13" spans="1:8" x14ac:dyDescent="0.2">
      <c r="A13" s="9" t="s">
        <v>31</v>
      </c>
      <c r="B13" s="9" t="s">
        <v>32</v>
      </c>
      <c r="C13" s="9" t="s">
        <v>33</v>
      </c>
      <c r="D13" s="9" t="s">
        <v>34</v>
      </c>
      <c r="E13" s="19">
        <v>0</v>
      </c>
      <c r="F13" s="19">
        <v>0</v>
      </c>
      <c r="G13" s="20">
        <v>0</v>
      </c>
      <c r="H13" s="19">
        <v>0</v>
      </c>
    </row>
    <row r="14" spans="1:8" x14ac:dyDescent="0.2">
      <c r="A14" s="9" t="s">
        <v>31</v>
      </c>
      <c r="B14" s="9" t="s">
        <v>35</v>
      </c>
      <c r="C14" s="9" t="s">
        <v>33</v>
      </c>
      <c r="D14" s="9" t="s">
        <v>34</v>
      </c>
      <c r="E14" s="19">
        <v>0</v>
      </c>
      <c r="F14" s="19">
        <v>0</v>
      </c>
      <c r="G14" s="20">
        <v>0</v>
      </c>
      <c r="H14" s="19">
        <v>0</v>
      </c>
    </row>
    <row r="15" spans="1:8" x14ac:dyDescent="0.2">
      <c r="A15" s="9" t="s">
        <v>31</v>
      </c>
      <c r="B15" s="9" t="s">
        <v>36</v>
      </c>
      <c r="C15" s="9" t="s">
        <v>33</v>
      </c>
      <c r="D15" s="9" t="s">
        <v>34</v>
      </c>
      <c r="E15" s="19">
        <v>0</v>
      </c>
      <c r="F15" s="19">
        <v>0</v>
      </c>
      <c r="G15" s="20">
        <v>0</v>
      </c>
      <c r="H15" s="19">
        <v>0</v>
      </c>
    </row>
    <row r="16" spans="1:8" x14ac:dyDescent="0.2">
      <c r="A16" s="9" t="s">
        <v>37</v>
      </c>
      <c r="B16" s="9" t="s">
        <v>38</v>
      </c>
      <c r="C16" s="9" t="s">
        <v>39</v>
      </c>
      <c r="D16" s="9" t="s">
        <v>40</v>
      </c>
      <c r="E16" s="19">
        <f>Results_Raw!E14*EX_OPTION_ci</f>
        <v>0</v>
      </c>
      <c r="F16" s="19">
        <f>Results_Raw!F14*EX_OPTION_ci</f>
        <v>0</v>
      </c>
      <c r="G16" s="19">
        <f>Results_Raw!G14*EX_OPTION_ci</f>
        <v>0</v>
      </c>
      <c r="H16" s="19">
        <f>Results_Raw!H14*EX_OPTION_ci</f>
        <v>0</v>
      </c>
    </row>
    <row r="17" spans="1:8" x14ac:dyDescent="0.2">
      <c r="A17" s="9" t="s">
        <v>37</v>
      </c>
      <c r="B17" s="9" t="s">
        <v>38</v>
      </c>
      <c r="C17" s="9" t="s">
        <v>39</v>
      </c>
      <c r="D17" s="9" t="s">
        <v>41</v>
      </c>
      <c r="E17" s="19">
        <f>Results_Raw!E15*LS_RESTRICT_ci</f>
        <v>0</v>
      </c>
      <c r="F17" s="19">
        <f>Results_Raw!F15*LS_RESTRICT_ci</f>
        <v>0</v>
      </c>
      <c r="G17" s="19">
        <f>Results_Raw!G15*LS_RESTRICT_ci</f>
        <v>0</v>
      </c>
      <c r="H17" s="19">
        <f>Results_Raw!H15*LS_RESTRICT_ci</f>
        <v>0</v>
      </c>
    </row>
    <row r="18" spans="1:8" x14ac:dyDescent="0.2">
      <c r="A18" s="9" t="s">
        <v>37</v>
      </c>
      <c r="B18" s="9" t="s">
        <v>38</v>
      </c>
      <c r="C18" s="9" t="s">
        <v>39</v>
      </c>
      <c r="D18" s="9" t="s">
        <v>42</v>
      </c>
      <c r="E18" s="19">
        <f>Results_Raw!E16*SPOT_ci</f>
        <v>0</v>
      </c>
      <c r="F18" s="19">
        <f>Results_Raw!F16*SPOT_ci</f>
        <v>0</v>
      </c>
      <c r="G18" s="19">
        <f>Results_Raw!G16*SPOT_ci</f>
        <v>0</v>
      </c>
      <c r="H18" s="19">
        <f>Results_Raw!H16*SPOT_ci</f>
        <v>0</v>
      </c>
    </row>
    <row r="19" spans="1:8" x14ac:dyDescent="0.2">
      <c r="A19" s="9" t="s">
        <v>37</v>
      </c>
      <c r="B19" s="9" t="s">
        <v>43</v>
      </c>
      <c r="C19" s="9" t="s">
        <v>39</v>
      </c>
      <c r="D19" s="9" t="s">
        <v>40</v>
      </c>
      <c r="E19" s="19">
        <f>Results_Raw!E17*EX_OPTION_ci</f>
        <v>0</v>
      </c>
      <c r="F19" s="19">
        <f>Results_Raw!F17*EX_OPTION_ci</f>
        <v>0</v>
      </c>
      <c r="G19" s="19">
        <f>Results_Raw!G17*EX_OPTION_ci</f>
        <v>0</v>
      </c>
      <c r="H19" s="19">
        <f>Results_Raw!H17*EX_OPTION_ci</f>
        <v>0</v>
      </c>
    </row>
    <row r="20" spans="1:8" x14ac:dyDescent="0.2">
      <c r="A20" s="9" t="s">
        <v>37</v>
      </c>
      <c r="B20" s="9" t="s">
        <v>43</v>
      </c>
      <c r="C20" s="9" t="s">
        <v>39</v>
      </c>
      <c r="D20" s="9" t="s">
        <v>41</v>
      </c>
      <c r="E20" s="19">
        <f>Results_Raw!E18*LS_RESTRICT_ci</f>
        <v>0</v>
      </c>
      <c r="F20" s="19">
        <f>Results_Raw!F18*LS_RESTRICT_ci</f>
        <v>0</v>
      </c>
      <c r="G20" s="19">
        <f>Results_Raw!G18*LS_RESTRICT_ci</f>
        <v>0</v>
      </c>
      <c r="H20" s="19">
        <f>Results_Raw!H18*LS_RESTRICT_ci</f>
        <v>0</v>
      </c>
    </row>
    <row r="21" spans="1:8" x14ac:dyDescent="0.2">
      <c r="A21" s="9" t="s">
        <v>37</v>
      </c>
      <c r="B21" s="9" t="s">
        <v>43</v>
      </c>
      <c r="C21" s="9" t="s">
        <v>39</v>
      </c>
      <c r="D21" s="9" t="s">
        <v>42</v>
      </c>
      <c r="E21" s="19">
        <f>Results_Raw!E19*SPOT_ci</f>
        <v>0</v>
      </c>
      <c r="F21" s="19">
        <f>Results_Raw!F19*SPOT_ci</f>
        <v>0</v>
      </c>
      <c r="G21" s="19">
        <f>Results_Raw!G19*SPOT_ci</f>
        <v>0</v>
      </c>
      <c r="H21" s="19">
        <f>Results_Raw!H19*SPOT_ci</f>
        <v>0</v>
      </c>
    </row>
    <row r="22" spans="1:8" x14ac:dyDescent="0.2">
      <c r="A22" s="9" t="s">
        <v>37</v>
      </c>
      <c r="B22" s="9" t="s">
        <v>44</v>
      </c>
      <c r="C22" s="9" t="s">
        <v>39</v>
      </c>
      <c r="D22" s="9" t="s">
        <v>40</v>
      </c>
      <c r="E22" s="19">
        <f>Results_Raw!E20*EX_OPTION_ci</f>
        <v>0</v>
      </c>
      <c r="F22" s="19">
        <f>Results_Raw!F20*EX_OPTION_ci</f>
        <v>0</v>
      </c>
      <c r="G22" s="19">
        <f>Results_Raw!G20*EX_OPTION_ci</f>
        <v>0</v>
      </c>
      <c r="H22" s="19">
        <f>Results_Raw!H20*EX_OPTION_ci</f>
        <v>0</v>
      </c>
    </row>
    <row r="23" spans="1:8" x14ac:dyDescent="0.2">
      <c r="A23" s="9" t="s">
        <v>37</v>
      </c>
      <c r="B23" s="9" t="s">
        <v>44</v>
      </c>
      <c r="C23" s="9" t="s">
        <v>39</v>
      </c>
      <c r="D23" s="9" t="s">
        <v>41</v>
      </c>
      <c r="E23" s="19">
        <f>Results_Raw!E21*LS_RESTRICT_ci</f>
        <v>0</v>
      </c>
      <c r="F23" s="19">
        <f>Results_Raw!F21*LS_RESTRICT_ci</f>
        <v>0</v>
      </c>
      <c r="G23" s="19">
        <f>Results_Raw!G21*LS_RESTRICT_ci</f>
        <v>0</v>
      </c>
      <c r="H23" s="19">
        <f>Results_Raw!H21*LS_RESTRICT_ci</f>
        <v>0</v>
      </c>
    </row>
    <row r="24" spans="1:8" x14ac:dyDescent="0.2">
      <c r="A24" s="9" t="s">
        <v>37</v>
      </c>
      <c r="B24" s="9" t="s">
        <v>44</v>
      </c>
      <c r="C24" s="9" t="s">
        <v>39</v>
      </c>
      <c r="D24" s="9" t="s">
        <v>42</v>
      </c>
      <c r="E24" s="19">
        <f>Results_Raw!E22*SPOT_ci</f>
        <v>0</v>
      </c>
      <c r="F24" s="19">
        <f>Results_Raw!F22*SPOT_ci</f>
        <v>0</v>
      </c>
      <c r="G24" s="19">
        <f>Results_Raw!G22*SPOT_ci</f>
        <v>0</v>
      </c>
      <c r="H24" s="19">
        <f>Results_Raw!H22*SPOT_ci</f>
        <v>0</v>
      </c>
    </row>
    <row r="25" spans="1:8" x14ac:dyDescent="0.2">
      <c r="A25" s="9" t="s">
        <v>37</v>
      </c>
      <c r="B25" s="9" t="s">
        <v>45</v>
      </c>
      <c r="C25" s="9" t="s">
        <v>39</v>
      </c>
      <c r="D25" s="9" t="s">
        <v>40</v>
      </c>
      <c r="E25" s="19">
        <f>Results_Raw!E23*EX_OPTION_ci</f>
        <v>0</v>
      </c>
      <c r="F25" s="19">
        <f>Results_Raw!F23*EX_OPTION_ci</f>
        <v>0</v>
      </c>
      <c r="G25" s="19">
        <f>Results_Raw!G23*EX_OPTION_ci</f>
        <v>0</v>
      </c>
      <c r="H25" s="19">
        <f>Results_Raw!H23*EX_OPTION_ci</f>
        <v>0</v>
      </c>
    </row>
    <row r="26" spans="1:8" x14ac:dyDescent="0.2">
      <c r="A26" s="9" t="s">
        <v>37</v>
      </c>
      <c r="B26" s="9" t="s">
        <v>45</v>
      </c>
      <c r="C26" s="9" t="s">
        <v>39</v>
      </c>
      <c r="D26" s="9" t="s">
        <v>41</v>
      </c>
      <c r="E26" s="19">
        <f>Results_Raw!E24*LS_RESTRICT_ci</f>
        <v>0</v>
      </c>
      <c r="F26" s="19">
        <f>Results_Raw!F24*LS_RESTRICT_ci</f>
        <v>0</v>
      </c>
      <c r="G26" s="19">
        <f>Results_Raw!G24*LS_RESTRICT_ci</f>
        <v>0</v>
      </c>
      <c r="H26" s="19">
        <f>Results_Raw!H24*LS_RESTRICT_ci</f>
        <v>0</v>
      </c>
    </row>
    <row r="27" spans="1:8" x14ac:dyDescent="0.2">
      <c r="A27" s="9" t="s">
        <v>37</v>
      </c>
      <c r="B27" s="9" t="s">
        <v>45</v>
      </c>
      <c r="C27" s="9" t="s">
        <v>39</v>
      </c>
      <c r="D27" s="9" t="s">
        <v>42</v>
      </c>
      <c r="E27" s="19">
        <f>Results_Raw!E25*SPOT_ci</f>
        <v>0</v>
      </c>
      <c r="F27" s="19">
        <f>Results_Raw!F25*SPOT_ci</f>
        <v>0</v>
      </c>
      <c r="G27" s="19">
        <f>Results_Raw!G25*SPOT_ci</f>
        <v>0</v>
      </c>
      <c r="H27" s="19">
        <f>Results_Raw!H25*SPOT_ci</f>
        <v>0</v>
      </c>
    </row>
    <row r="28" spans="1:8" x14ac:dyDescent="0.2">
      <c r="A28" s="9" t="s">
        <v>37</v>
      </c>
      <c r="B28" s="9" t="s">
        <v>46</v>
      </c>
      <c r="C28" s="9" t="s">
        <v>39</v>
      </c>
      <c r="D28" s="9" t="s">
        <v>40</v>
      </c>
      <c r="E28" s="19">
        <f>Results_Raw!E26*EX_OPTION_ci</f>
        <v>0</v>
      </c>
      <c r="F28" s="19">
        <f>Results_Raw!F26*EX_OPTION_ci</f>
        <v>0</v>
      </c>
      <c r="G28" s="19">
        <f>Results_Raw!G26*EX_OPTION_ci</f>
        <v>0</v>
      </c>
      <c r="H28" s="19">
        <f>Results_Raw!H26*EX_OPTION_ci</f>
        <v>0</v>
      </c>
    </row>
    <row r="29" spans="1:8" x14ac:dyDescent="0.2">
      <c r="A29" s="9" t="s">
        <v>37</v>
      </c>
      <c r="B29" s="9" t="s">
        <v>46</v>
      </c>
      <c r="C29" s="9" t="s">
        <v>39</v>
      </c>
      <c r="D29" s="9" t="s">
        <v>41</v>
      </c>
      <c r="E29" s="19">
        <f>Results_Raw!E27*LS_RESTRICT_ci</f>
        <v>0</v>
      </c>
      <c r="F29" s="19">
        <f>Results_Raw!F27*LS_RESTRICT_ci</f>
        <v>0</v>
      </c>
      <c r="G29" s="19">
        <f>Results_Raw!G27*LS_RESTRICT_ci</f>
        <v>0</v>
      </c>
      <c r="H29" s="19">
        <f>Results_Raw!H27*LS_RESTRICT_ci</f>
        <v>0</v>
      </c>
    </row>
    <row r="30" spans="1:8" x14ac:dyDescent="0.2">
      <c r="A30" s="9" t="s">
        <v>37</v>
      </c>
      <c r="B30" s="9" t="s">
        <v>46</v>
      </c>
      <c r="C30" s="9" t="s">
        <v>39</v>
      </c>
      <c r="D30" s="9" t="s">
        <v>42</v>
      </c>
      <c r="E30" s="19">
        <f>Results_Raw!E28*SPOT_ci</f>
        <v>0</v>
      </c>
      <c r="F30" s="19">
        <f>Results_Raw!F28*SPOT_ci</f>
        <v>0</v>
      </c>
      <c r="G30" s="19">
        <f>Results_Raw!G28*SPOT_ci</f>
        <v>0</v>
      </c>
      <c r="H30" s="19">
        <f>Results_Raw!H28*SPOT_ci</f>
        <v>0</v>
      </c>
    </row>
    <row r="31" spans="1:8" x14ac:dyDescent="0.2">
      <c r="A31" s="9" t="s">
        <v>37</v>
      </c>
      <c r="B31" s="9" t="s">
        <v>47</v>
      </c>
      <c r="C31" s="9" t="s">
        <v>39</v>
      </c>
      <c r="D31" s="9" t="s">
        <v>40</v>
      </c>
      <c r="E31" s="19">
        <f>Results_Raw!E29*EX_OPTION_ci</f>
        <v>0</v>
      </c>
      <c r="F31" s="19">
        <f>Results_Raw!F29*EX_OPTION_ci</f>
        <v>0</v>
      </c>
      <c r="G31" s="19">
        <f>Results_Raw!G29*EX_OPTION_ci</f>
        <v>0</v>
      </c>
      <c r="H31" s="19">
        <f>Results_Raw!H29*EX_OPTION_ci</f>
        <v>0</v>
      </c>
    </row>
    <row r="32" spans="1:8" x14ac:dyDescent="0.2">
      <c r="A32" s="9" t="s">
        <v>37</v>
      </c>
      <c r="B32" s="9" t="s">
        <v>47</v>
      </c>
      <c r="C32" s="9" t="s">
        <v>39</v>
      </c>
      <c r="D32" s="9" t="s">
        <v>41</v>
      </c>
      <c r="E32" s="19">
        <f>Results_Raw!E30*LS_RESTRICT_ci</f>
        <v>0</v>
      </c>
      <c r="F32" s="19">
        <f>Results_Raw!F30*LS_RESTRICT_ci</f>
        <v>0</v>
      </c>
      <c r="G32" s="19">
        <f>Results_Raw!G30*LS_RESTRICT_ci</f>
        <v>0</v>
      </c>
      <c r="H32" s="19">
        <f>Results_Raw!H30*LS_RESTRICT_ci</f>
        <v>0</v>
      </c>
    </row>
    <row r="33" spans="1:8" x14ac:dyDescent="0.2">
      <c r="A33" s="9" t="s">
        <v>37</v>
      </c>
      <c r="B33" s="9" t="s">
        <v>47</v>
      </c>
      <c r="C33" s="9" t="s">
        <v>39</v>
      </c>
      <c r="D33" s="9" t="s">
        <v>42</v>
      </c>
      <c r="E33" s="19">
        <f>Results_Raw!E31*SPOT_ci</f>
        <v>0</v>
      </c>
      <c r="F33" s="19">
        <f>Results_Raw!F31*SPOT_ci</f>
        <v>0</v>
      </c>
      <c r="G33" s="19">
        <f>Results_Raw!G31*SPOT_ci</f>
        <v>0</v>
      </c>
      <c r="H33" s="19">
        <f>Results_Raw!H31*SPOT_ci</f>
        <v>0</v>
      </c>
    </row>
    <row r="34" spans="1:8" x14ac:dyDescent="0.2">
      <c r="A34" s="9" t="s">
        <v>37</v>
      </c>
      <c r="B34" s="9" t="s">
        <v>48</v>
      </c>
      <c r="C34" s="9" t="s">
        <v>39</v>
      </c>
      <c r="D34" s="9" t="s">
        <v>40</v>
      </c>
      <c r="E34" s="19">
        <f>Results_Raw!E32*EX_OPTION_ci</f>
        <v>0</v>
      </c>
      <c r="F34" s="19">
        <f>Results_Raw!F32*EX_OPTION_ci</f>
        <v>0</v>
      </c>
      <c r="G34" s="19">
        <f>Results_Raw!G32*EX_OPTION_ci</f>
        <v>0</v>
      </c>
      <c r="H34" s="19">
        <f>Results_Raw!H32*EX_OPTION_ci</f>
        <v>0</v>
      </c>
    </row>
    <row r="35" spans="1:8" x14ac:dyDescent="0.2">
      <c r="A35" s="9" t="s">
        <v>37</v>
      </c>
      <c r="B35" s="9" t="s">
        <v>48</v>
      </c>
      <c r="C35" s="9" t="s">
        <v>39</v>
      </c>
      <c r="D35" s="9" t="s">
        <v>41</v>
      </c>
      <c r="E35" s="19">
        <f>Results_Raw!E33*LS_RESTRICT_ci</f>
        <v>0</v>
      </c>
      <c r="F35" s="19">
        <f>Results_Raw!F33*LS_RESTRICT_ci</f>
        <v>0</v>
      </c>
      <c r="G35" s="19">
        <f>Results_Raw!G33*LS_RESTRICT_ci</f>
        <v>0</v>
      </c>
      <c r="H35" s="19">
        <f>Results_Raw!H33*LS_RESTRICT_ci</f>
        <v>0</v>
      </c>
    </row>
    <row r="36" spans="1:8" x14ac:dyDescent="0.2">
      <c r="A36" s="9" t="s">
        <v>37</v>
      </c>
      <c r="B36" s="9" t="s">
        <v>48</v>
      </c>
      <c r="C36" s="9" t="s">
        <v>39</v>
      </c>
      <c r="D36" s="9" t="s">
        <v>42</v>
      </c>
      <c r="E36" s="19">
        <f>Results_Raw!E34*SPOT_ci</f>
        <v>0</v>
      </c>
      <c r="F36" s="19">
        <f>Results_Raw!F34*SPOT_ci</f>
        <v>0</v>
      </c>
      <c r="G36" s="19">
        <f>Results_Raw!G34*SPOT_ci</f>
        <v>0</v>
      </c>
      <c r="H36" s="19">
        <f>Results_Raw!H34*SPOT_ci</f>
        <v>0</v>
      </c>
    </row>
    <row r="37" spans="1:8" x14ac:dyDescent="0.2">
      <c r="A37" s="9" t="s">
        <v>37</v>
      </c>
      <c r="B37" s="9" t="s">
        <v>49</v>
      </c>
      <c r="C37" s="9" t="s">
        <v>39</v>
      </c>
      <c r="D37" s="9" t="s">
        <v>40</v>
      </c>
      <c r="E37" s="19">
        <f>Results_Raw!E35*EX_OPTION_ci</f>
        <v>0</v>
      </c>
      <c r="F37" s="19">
        <f>Results_Raw!F35*EX_OPTION_ci</f>
        <v>0</v>
      </c>
      <c r="G37" s="19">
        <f>Results_Raw!G35*EX_OPTION_ci</f>
        <v>0</v>
      </c>
      <c r="H37" s="19">
        <f>Results_Raw!H35*EX_OPTION_ci</f>
        <v>0</v>
      </c>
    </row>
    <row r="38" spans="1:8" x14ac:dyDescent="0.2">
      <c r="A38" s="9" t="s">
        <v>37</v>
      </c>
      <c r="B38" s="9" t="s">
        <v>49</v>
      </c>
      <c r="C38" s="9" t="s">
        <v>39</v>
      </c>
      <c r="D38" s="9" t="s">
        <v>41</v>
      </c>
      <c r="E38" s="19">
        <f>Results_Raw!E36*LS_RESTRICT_ci</f>
        <v>0</v>
      </c>
      <c r="F38" s="19">
        <f>Results_Raw!F36*LS_RESTRICT_ci</f>
        <v>0</v>
      </c>
      <c r="G38" s="19">
        <f>Results_Raw!G36*LS_RESTRICT_ci</f>
        <v>0</v>
      </c>
      <c r="H38" s="19">
        <f>Results_Raw!H36*LS_RESTRICT_ci</f>
        <v>0</v>
      </c>
    </row>
    <row r="39" spans="1:8" x14ac:dyDescent="0.2">
      <c r="A39" s="9" t="s">
        <v>37</v>
      </c>
      <c r="B39" s="9" t="s">
        <v>49</v>
      </c>
      <c r="C39" s="9" t="s">
        <v>39</v>
      </c>
      <c r="D39" s="9" t="s">
        <v>42</v>
      </c>
      <c r="E39" s="19">
        <f>Results_Raw!E37*SPOT_ci</f>
        <v>0</v>
      </c>
      <c r="F39" s="19">
        <f>Results_Raw!F37*SPOT_ci</f>
        <v>0</v>
      </c>
      <c r="G39" s="19">
        <f>Results_Raw!G37*SPOT_ci</f>
        <v>0</v>
      </c>
      <c r="H39" s="19">
        <f>Results_Raw!H37*SPOT_ci</f>
        <v>0</v>
      </c>
    </row>
    <row r="40" spans="1:8" x14ac:dyDescent="0.2">
      <c r="A40" s="9" t="s">
        <v>37</v>
      </c>
      <c r="B40" s="9" t="s">
        <v>50</v>
      </c>
      <c r="C40" s="9" t="s">
        <v>39</v>
      </c>
      <c r="D40" s="9" t="s">
        <v>40</v>
      </c>
      <c r="E40" s="19">
        <f>Results_Raw!E38*EX_OPTION_ci</f>
        <v>0</v>
      </c>
      <c r="F40" s="19">
        <f>Results_Raw!F38*EX_OPTION_ci</f>
        <v>0</v>
      </c>
      <c r="G40" s="19">
        <f>Results_Raw!G38*EX_OPTION_ci</f>
        <v>0</v>
      </c>
      <c r="H40" s="19">
        <f>Results_Raw!H38*EX_OPTION_ci</f>
        <v>0</v>
      </c>
    </row>
    <row r="41" spans="1:8" x14ac:dyDescent="0.2">
      <c r="A41" s="9" t="s">
        <v>37</v>
      </c>
      <c r="B41" s="9" t="s">
        <v>50</v>
      </c>
      <c r="C41" s="9" t="s">
        <v>39</v>
      </c>
      <c r="D41" s="9" t="s">
        <v>41</v>
      </c>
      <c r="E41" s="19">
        <f>Results_Raw!E39*LS_RESTRICT_ci</f>
        <v>0</v>
      </c>
      <c r="F41" s="19">
        <f>Results_Raw!F39*LS_RESTRICT_ci</f>
        <v>0</v>
      </c>
      <c r="G41" s="19">
        <f>Results_Raw!G39*LS_RESTRICT_ci</f>
        <v>0</v>
      </c>
      <c r="H41" s="19">
        <f>Results_Raw!H39*LS_RESTRICT_ci</f>
        <v>0</v>
      </c>
    </row>
    <row r="42" spans="1:8" x14ac:dyDescent="0.2">
      <c r="A42" s="9" t="s">
        <v>37</v>
      </c>
      <c r="B42" s="9" t="s">
        <v>50</v>
      </c>
      <c r="C42" s="9" t="s">
        <v>39</v>
      </c>
      <c r="D42" s="9" t="s">
        <v>42</v>
      </c>
      <c r="E42" s="19">
        <f>Results_Raw!E40*SPOT_ci</f>
        <v>0</v>
      </c>
      <c r="F42" s="19">
        <f>Results_Raw!F40*SPOT_ci</f>
        <v>0</v>
      </c>
      <c r="G42" s="19">
        <f>Results_Raw!G40*SPOT_ci</f>
        <v>0</v>
      </c>
      <c r="H42" s="19">
        <f>Results_Raw!H40*SPOT_ci</f>
        <v>0</v>
      </c>
    </row>
    <row r="43" spans="1:8" x14ac:dyDescent="0.2">
      <c r="A43" s="9" t="s">
        <v>37</v>
      </c>
      <c r="B43" s="9" t="s">
        <v>51</v>
      </c>
      <c r="C43" s="9" t="s">
        <v>39</v>
      </c>
      <c r="D43" s="9" t="s">
        <v>40</v>
      </c>
      <c r="E43" s="19">
        <f>Results_Raw!E41*EX_OPTION_ci</f>
        <v>0</v>
      </c>
      <c r="F43" s="19">
        <f>Results_Raw!F41*EX_OPTION_ci</f>
        <v>0</v>
      </c>
      <c r="G43" s="19">
        <f>Results_Raw!G41*EX_OPTION_ci</f>
        <v>0</v>
      </c>
      <c r="H43" s="19">
        <f>Results_Raw!H41*EX_OPTION_ci</f>
        <v>0</v>
      </c>
    </row>
    <row r="44" spans="1:8" x14ac:dyDescent="0.2">
      <c r="A44" s="9" t="s">
        <v>37</v>
      </c>
      <c r="B44" s="9" t="s">
        <v>51</v>
      </c>
      <c r="C44" s="9" t="s">
        <v>39</v>
      </c>
      <c r="D44" s="9" t="s">
        <v>41</v>
      </c>
      <c r="E44" s="19">
        <f>Results_Raw!E42*LS_RESTRICT_ci</f>
        <v>0</v>
      </c>
      <c r="F44" s="19">
        <f>Results_Raw!F42*LS_RESTRICT_ci</f>
        <v>0</v>
      </c>
      <c r="G44" s="19">
        <f>Results_Raw!G42*LS_RESTRICT_ci</f>
        <v>0</v>
      </c>
      <c r="H44" s="19">
        <f>Results_Raw!H42*LS_RESTRICT_ci</f>
        <v>0</v>
      </c>
    </row>
    <row r="45" spans="1:8" x14ac:dyDescent="0.2">
      <c r="A45" s="9" t="s">
        <v>37</v>
      </c>
      <c r="B45" s="9" t="s">
        <v>51</v>
      </c>
      <c r="C45" s="9" t="s">
        <v>39</v>
      </c>
      <c r="D45" s="9" t="s">
        <v>42</v>
      </c>
      <c r="E45" s="19">
        <f>Results_Raw!E43*SPOT_ci</f>
        <v>0</v>
      </c>
      <c r="F45" s="19">
        <f>Results_Raw!F43*SPOT_ci</f>
        <v>0</v>
      </c>
      <c r="G45" s="19">
        <f>Results_Raw!G43*SPOT_ci</f>
        <v>0</v>
      </c>
      <c r="H45" s="19">
        <f>Results_Raw!H43*SPOT_ci</f>
        <v>0</v>
      </c>
    </row>
    <row r="46" spans="1:8" x14ac:dyDescent="0.2">
      <c r="A46" s="9" t="s">
        <v>37</v>
      </c>
      <c r="B46" s="9" t="s">
        <v>52</v>
      </c>
      <c r="C46" s="9" t="s">
        <v>39</v>
      </c>
      <c r="D46" s="9" t="s">
        <v>40</v>
      </c>
      <c r="E46" s="19">
        <f>Results_Raw!E44*EX_OPTION_ci</f>
        <v>0</v>
      </c>
      <c r="F46" s="19">
        <f>Results_Raw!F44*EX_OPTION_ci</f>
        <v>0</v>
      </c>
      <c r="G46" s="19">
        <f>Results_Raw!G44*EX_OPTION_ci</f>
        <v>0</v>
      </c>
      <c r="H46" s="19">
        <f>Results_Raw!H44*EX_OPTION_ci</f>
        <v>0</v>
      </c>
    </row>
    <row r="47" spans="1:8" x14ac:dyDescent="0.2">
      <c r="A47" s="9" t="s">
        <v>37</v>
      </c>
      <c r="B47" s="9" t="s">
        <v>52</v>
      </c>
      <c r="C47" s="9" t="s">
        <v>39</v>
      </c>
      <c r="D47" s="9" t="s">
        <v>41</v>
      </c>
      <c r="E47" s="19">
        <f>Results_Raw!E45*LS_RESTRICT_ci</f>
        <v>0</v>
      </c>
      <c r="F47" s="19">
        <f>Results_Raw!F45*LS_RESTRICT_ci</f>
        <v>0</v>
      </c>
      <c r="G47" s="19">
        <f>Results_Raw!G45*LS_RESTRICT_ci</f>
        <v>0</v>
      </c>
      <c r="H47" s="19">
        <f>Results_Raw!H45*LS_RESTRICT_ci</f>
        <v>0</v>
      </c>
    </row>
    <row r="48" spans="1:8" x14ac:dyDescent="0.2">
      <c r="A48" s="9" t="s">
        <v>37</v>
      </c>
      <c r="B48" s="9" t="s">
        <v>52</v>
      </c>
      <c r="C48" s="9" t="s">
        <v>39</v>
      </c>
      <c r="D48" s="9" t="s">
        <v>42</v>
      </c>
      <c r="E48" s="19">
        <f>Results_Raw!E46*SPOT_ci</f>
        <v>0</v>
      </c>
      <c r="F48" s="19">
        <f>Results_Raw!F46*SPOT_ci</f>
        <v>0</v>
      </c>
      <c r="G48" s="19">
        <f>Results_Raw!G46*SPOT_ci</f>
        <v>0</v>
      </c>
      <c r="H48" s="19">
        <f>Results_Raw!H46*SPOT_ci</f>
        <v>0</v>
      </c>
    </row>
    <row r="49" spans="1:8" x14ac:dyDescent="0.2">
      <c r="A49" s="9" t="s">
        <v>37</v>
      </c>
      <c r="B49" s="9" t="s">
        <v>53</v>
      </c>
      <c r="C49" s="9" t="s">
        <v>39</v>
      </c>
      <c r="D49" s="9" t="s">
        <v>40</v>
      </c>
      <c r="E49" s="19">
        <f>Results_Raw!E47*EX_OPTION_ci</f>
        <v>0</v>
      </c>
      <c r="F49" s="19">
        <f>Results_Raw!F47*EX_OPTION_ci</f>
        <v>0</v>
      </c>
      <c r="G49" s="19">
        <f>Results_Raw!G47*EX_OPTION_ci</f>
        <v>0</v>
      </c>
      <c r="H49" s="19">
        <f>Results_Raw!H47*EX_OPTION_ci</f>
        <v>0</v>
      </c>
    </row>
    <row r="50" spans="1:8" x14ac:dyDescent="0.2">
      <c r="A50" s="9" t="s">
        <v>37</v>
      </c>
      <c r="B50" s="9" t="s">
        <v>53</v>
      </c>
      <c r="C50" s="9" t="s">
        <v>39</v>
      </c>
      <c r="D50" s="9" t="s">
        <v>41</v>
      </c>
      <c r="E50" s="19">
        <f>Results_Raw!E48*LS_RESTRICT_ci</f>
        <v>0</v>
      </c>
      <c r="F50" s="19">
        <f>Results_Raw!F48*LS_RESTRICT_ci</f>
        <v>0</v>
      </c>
      <c r="G50" s="19">
        <f>Results_Raw!G48*LS_RESTRICT_ci</f>
        <v>0</v>
      </c>
      <c r="H50" s="19">
        <f>Results_Raw!H48*LS_RESTRICT_ci</f>
        <v>0</v>
      </c>
    </row>
    <row r="51" spans="1:8" x14ac:dyDescent="0.2">
      <c r="A51" s="9" t="s">
        <v>37</v>
      </c>
      <c r="B51" s="9" t="s">
        <v>53</v>
      </c>
      <c r="C51" s="9" t="s">
        <v>39</v>
      </c>
      <c r="D51" s="9" t="s">
        <v>42</v>
      </c>
      <c r="E51" s="19">
        <f>Results_Raw!E49*SPOT_ci</f>
        <v>0</v>
      </c>
      <c r="F51" s="19">
        <f>Results_Raw!F49*SPOT_ci</f>
        <v>0</v>
      </c>
      <c r="G51" s="19">
        <f>Results_Raw!G49*SPOT_ci</f>
        <v>0</v>
      </c>
      <c r="H51" s="19">
        <f>Results_Raw!H49*SPOT_ci</f>
        <v>0</v>
      </c>
    </row>
    <row r="52" spans="1:8" x14ac:dyDescent="0.2">
      <c r="A52" s="9" t="s">
        <v>37</v>
      </c>
      <c r="B52" s="9" t="s">
        <v>54</v>
      </c>
      <c r="C52" s="9" t="s">
        <v>39</v>
      </c>
      <c r="D52" s="9" t="s">
        <v>40</v>
      </c>
      <c r="E52" s="19">
        <f>Results_Raw!E50*EX_OPTION_ci</f>
        <v>0</v>
      </c>
      <c r="F52" s="19">
        <f>Results_Raw!F50*EX_OPTION_ci</f>
        <v>0</v>
      </c>
      <c r="G52" s="19">
        <f>Results_Raw!G50*EX_OPTION_ci</f>
        <v>0</v>
      </c>
      <c r="H52" s="19">
        <f>Results_Raw!H50*EX_OPTION_ci</f>
        <v>0</v>
      </c>
    </row>
    <row r="53" spans="1:8" x14ac:dyDescent="0.2">
      <c r="A53" s="9" t="s">
        <v>37</v>
      </c>
      <c r="B53" s="9" t="s">
        <v>54</v>
      </c>
      <c r="C53" s="9" t="s">
        <v>39</v>
      </c>
      <c r="D53" s="9" t="s">
        <v>41</v>
      </c>
      <c r="E53" s="19">
        <f>Results_Raw!E51*LS_RESTRICT_ci</f>
        <v>0</v>
      </c>
      <c r="F53" s="19">
        <f>Results_Raw!F51*LS_RESTRICT_ci</f>
        <v>0</v>
      </c>
      <c r="G53" s="19">
        <f>Results_Raw!G51*LS_RESTRICT_ci</f>
        <v>0</v>
      </c>
      <c r="H53" s="19">
        <f>Results_Raw!H51*LS_RESTRICT_ci</f>
        <v>0</v>
      </c>
    </row>
    <row r="54" spans="1:8" x14ac:dyDescent="0.2">
      <c r="A54" s="9" t="s">
        <v>37</v>
      </c>
      <c r="B54" s="9" t="s">
        <v>54</v>
      </c>
      <c r="C54" s="9" t="s">
        <v>39</v>
      </c>
      <c r="D54" s="9" t="s">
        <v>42</v>
      </c>
      <c r="E54" s="19">
        <f>Results_Raw!E52*SPOT_ci</f>
        <v>0</v>
      </c>
      <c r="F54" s="19">
        <f>Results_Raw!F52*SPOT_ci</f>
        <v>0</v>
      </c>
      <c r="G54" s="19">
        <f>Results_Raw!G52*SPOT_ci</f>
        <v>0</v>
      </c>
      <c r="H54" s="19">
        <f>Results_Raw!H52*SPOT_ci</f>
        <v>0</v>
      </c>
    </row>
    <row r="55" spans="1:8" x14ac:dyDescent="0.2">
      <c r="A55" s="9" t="s">
        <v>37</v>
      </c>
      <c r="B55" s="9" t="s">
        <v>55</v>
      </c>
      <c r="C55" s="9" t="s">
        <v>39</v>
      </c>
      <c r="D55" s="9" t="s">
        <v>40</v>
      </c>
      <c r="E55" s="19">
        <f>Results_Raw!E53*EX_OPTION_ci</f>
        <v>0</v>
      </c>
      <c r="F55" s="19">
        <f>Results_Raw!F53*EX_OPTION_ci</f>
        <v>0</v>
      </c>
      <c r="G55" s="19">
        <f>Results_Raw!G53*EX_OPTION_ci</f>
        <v>0</v>
      </c>
      <c r="H55" s="19">
        <f>Results_Raw!H53*EX_OPTION_ci</f>
        <v>0</v>
      </c>
    </row>
    <row r="56" spans="1:8" x14ac:dyDescent="0.2">
      <c r="A56" s="9" t="s">
        <v>37</v>
      </c>
      <c r="B56" s="9" t="s">
        <v>55</v>
      </c>
      <c r="C56" s="9" t="s">
        <v>39</v>
      </c>
      <c r="D56" s="9" t="s">
        <v>41</v>
      </c>
      <c r="E56" s="19">
        <f>Results_Raw!E54*LS_RESTRICT_ci</f>
        <v>0</v>
      </c>
      <c r="F56" s="19">
        <f>Results_Raw!F54*LS_RESTRICT_ci</f>
        <v>0</v>
      </c>
      <c r="G56" s="19">
        <f>Results_Raw!G54*LS_RESTRICT_ci</f>
        <v>0</v>
      </c>
      <c r="H56" s="19">
        <f>Results_Raw!H54*LS_RESTRICT_ci</f>
        <v>0</v>
      </c>
    </row>
    <row r="57" spans="1:8" x14ac:dyDescent="0.2">
      <c r="A57" s="9" t="s">
        <v>37</v>
      </c>
      <c r="B57" s="9" t="s">
        <v>55</v>
      </c>
      <c r="C57" s="9" t="s">
        <v>39</v>
      </c>
      <c r="D57" s="9" t="s">
        <v>42</v>
      </c>
      <c r="E57" s="19">
        <f>Results_Raw!E55*SPOT_ci</f>
        <v>110400000</v>
      </c>
      <c r="F57" s="19">
        <f>Results_Raw!F55*SPOT_ci</f>
        <v>115799999.9999994</v>
      </c>
      <c r="G57" s="19">
        <f>Results_Raw!G55*SPOT_ci</f>
        <v>132600000</v>
      </c>
      <c r="H57" s="19">
        <f>Results_Raw!H55*SPOT_ci</f>
        <v>142950000</v>
      </c>
    </row>
    <row r="58" spans="1:8" x14ac:dyDescent="0.2">
      <c r="A58" s="9" t="s">
        <v>37</v>
      </c>
      <c r="B58" s="9" t="s">
        <v>56</v>
      </c>
      <c r="C58" s="9" t="s">
        <v>39</v>
      </c>
      <c r="D58" s="9" t="s">
        <v>40</v>
      </c>
      <c r="E58" s="19">
        <f>Results_Raw!E56*EX_OPTION_ci</f>
        <v>0</v>
      </c>
      <c r="F58" s="19">
        <f>Results_Raw!F56*EX_OPTION_ci</f>
        <v>0</v>
      </c>
      <c r="G58" s="19">
        <f>Results_Raw!G56*EX_OPTION_ci</f>
        <v>0</v>
      </c>
      <c r="H58" s="19">
        <f>Results_Raw!H56*EX_OPTION_ci</f>
        <v>0</v>
      </c>
    </row>
    <row r="59" spans="1:8" x14ac:dyDescent="0.2">
      <c r="A59" s="9" t="s">
        <v>37</v>
      </c>
      <c r="B59" s="9" t="s">
        <v>56</v>
      </c>
      <c r="C59" s="9" t="s">
        <v>39</v>
      </c>
      <c r="D59" s="9" t="s">
        <v>41</v>
      </c>
      <c r="E59" s="19">
        <f>Results_Raw!E57*LS_RESTRICT_ci</f>
        <v>0</v>
      </c>
      <c r="F59" s="19">
        <f>Results_Raw!F57*LS_RESTRICT_ci</f>
        <v>0</v>
      </c>
      <c r="G59" s="19">
        <f>Results_Raw!G57*LS_RESTRICT_ci</f>
        <v>0</v>
      </c>
      <c r="H59" s="19">
        <f>Results_Raw!H57*LS_RESTRICT_ci</f>
        <v>0</v>
      </c>
    </row>
    <row r="60" spans="1:8" x14ac:dyDescent="0.2">
      <c r="A60" s="9" t="s">
        <v>37</v>
      </c>
      <c r="B60" s="9" t="s">
        <v>56</v>
      </c>
      <c r="C60" s="9" t="s">
        <v>39</v>
      </c>
      <c r="D60" s="9" t="s">
        <v>42</v>
      </c>
      <c r="E60" s="19">
        <f>Results_Raw!E58*SPOT_ci</f>
        <v>260400000</v>
      </c>
      <c r="F60" s="19">
        <f>Results_Raw!F58*SPOT_ci</f>
        <v>265810200</v>
      </c>
      <c r="G60" s="19">
        <f>Results_Raw!G58*SPOT_ci</f>
        <v>282600000</v>
      </c>
      <c r="H60" s="19">
        <f>Results_Raw!H58*SPOT_ci</f>
        <v>292993200</v>
      </c>
    </row>
    <row r="61" spans="1:8" x14ac:dyDescent="0.2">
      <c r="A61" s="9" t="s">
        <v>37</v>
      </c>
      <c r="B61" s="9" t="s">
        <v>57</v>
      </c>
      <c r="C61" s="9" t="s">
        <v>39</v>
      </c>
      <c r="D61" s="9" t="s">
        <v>40</v>
      </c>
      <c r="E61" s="19">
        <f>Results_Raw!E59*EX_OPTION_ci</f>
        <v>0</v>
      </c>
      <c r="F61" s="19">
        <f>Results_Raw!F59*EX_OPTION_ci</f>
        <v>0</v>
      </c>
      <c r="G61" s="19">
        <f>Results_Raw!G59*EX_OPTION_ci</f>
        <v>0</v>
      </c>
      <c r="H61" s="19">
        <f>Results_Raw!H59*EX_OPTION_ci</f>
        <v>0</v>
      </c>
    </row>
    <row r="62" spans="1:8" x14ac:dyDescent="0.2">
      <c r="A62" s="9" t="s">
        <v>37</v>
      </c>
      <c r="B62" s="9" t="s">
        <v>57</v>
      </c>
      <c r="C62" s="9" t="s">
        <v>39</v>
      </c>
      <c r="D62" s="9" t="s">
        <v>41</v>
      </c>
      <c r="E62" s="19">
        <f>Results_Raw!E60*LS_RESTRICT_ci</f>
        <v>36000000</v>
      </c>
      <c r="F62" s="19">
        <f>Results_Raw!F60*LS_RESTRICT_ci</f>
        <v>35994900</v>
      </c>
      <c r="G62" s="19">
        <f>Results_Raw!G60*LS_RESTRICT_ci</f>
        <v>36000000</v>
      </c>
      <c r="H62" s="19">
        <f>Results_Raw!H60*LS_RESTRICT_ci</f>
        <v>35978400</v>
      </c>
    </row>
    <row r="63" spans="1:8" x14ac:dyDescent="0.2">
      <c r="A63" s="9" t="s">
        <v>37</v>
      </c>
      <c r="B63" s="9" t="s">
        <v>57</v>
      </c>
      <c r="C63" s="9" t="s">
        <v>39</v>
      </c>
      <c r="D63" s="9" t="s">
        <v>42</v>
      </c>
      <c r="E63" s="19">
        <f>Results_Raw!E61*SPOT_ci</f>
        <v>260399999.9999994</v>
      </c>
      <c r="F63" s="19">
        <f>Results_Raw!F61*SPOT_ci</f>
        <v>265810200</v>
      </c>
      <c r="G63" s="19">
        <f>Results_Raw!G61*SPOT_ci</f>
        <v>282600000</v>
      </c>
      <c r="H63" s="19">
        <f>Results_Raw!H61*SPOT_ci</f>
        <v>292993200</v>
      </c>
    </row>
    <row r="64" spans="1:8" x14ac:dyDescent="0.2">
      <c r="A64" s="9" t="s">
        <v>37</v>
      </c>
      <c r="B64" s="9" t="s">
        <v>58</v>
      </c>
      <c r="C64" s="9" t="s">
        <v>39</v>
      </c>
      <c r="D64" s="9" t="s">
        <v>40</v>
      </c>
      <c r="E64" s="19">
        <f>Results_Raw!E62*EX_OPTION_ci</f>
        <v>0</v>
      </c>
      <c r="F64" s="19">
        <f>Results_Raw!F62*EX_OPTION_ci</f>
        <v>0</v>
      </c>
      <c r="G64" s="19">
        <f>Results_Raw!G62*EX_OPTION_ci</f>
        <v>0</v>
      </c>
      <c r="H64" s="19">
        <f>Results_Raw!H62*EX_OPTION_ci</f>
        <v>0</v>
      </c>
    </row>
    <row r="65" spans="1:8" x14ac:dyDescent="0.2">
      <c r="A65" s="9" t="s">
        <v>37</v>
      </c>
      <c r="B65" s="9" t="s">
        <v>58</v>
      </c>
      <c r="C65" s="9" t="s">
        <v>39</v>
      </c>
      <c r="D65" s="9" t="s">
        <v>41</v>
      </c>
      <c r="E65" s="19">
        <f>Results_Raw!E63*LS_RESTRICT_ci</f>
        <v>150000000</v>
      </c>
      <c r="F65" s="19">
        <f>Results_Raw!F63*LS_RESTRICT_ci</f>
        <v>149994900</v>
      </c>
      <c r="G65" s="19">
        <f>Results_Raw!G63*LS_RESTRICT_ci</f>
        <v>150000000</v>
      </c>
      <c r="H65" s="19">
        <f>Results_Raw!H63*LS_RESTRICT_ci</f>
        <v>149978400</v>
      </c>
    </row>
    <row r="66" spans="1:8" x14ac:dyDescent="0.2">
      <c r="A66" s="9" t="s">
        <v>37</v>
      </c>
      <c r="B66" s="9" t="s">
        <v>58</v>
      </c>
      <c r="C66" s="9" t="s">
        <v>39</v>
      </c>
      <c r="D66" s="9" t="s">
        <v>42</v>
      </c>
      <c r="E66" s="19">
        <f>Results_Raw!E64*SPOT_ci</f>
        <v>0</v>
      </c>
      <c r="F66" s="19">
        <f>Results_Raw!F64*SPOT_ci</f>
        <v>0</v>
      </c>
      <c r="G66" s="19">
        <f>Results_Raw!G64*SPOT_ci</f>
        <v>0</v>
      </c>
      <c r="H66" s="19">
        <f>Results_Raw!H64*SPOT_ci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7F05-DE89-4055-AE1B-37D4204FE339}">
  <dimension ref="A1:R102"/>
  <sheetViews>
    <sheetView zoomScaleNormal="100" workbookViewId="0">
      <selection activeCell="O13" sqref="O13"/>
    </sheetView>
  </sheetViews>
  <sheetFormatPr baseColWidth="10" defaultColWidth="10.6640625" defaultRowHeight="16" x14ac:dyDescent="0.2"/>
  <cols>
    <col min="11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18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(0.5+0.3+0.2)/15</f>
        <v>6.6666666666666666E-2</v>
      </c>
      <c r="F2" s="1"/>
    </row>
    <row r="3" spans="1:18" x14ac:dyDescent="0.2">
      <c r="A3">
        <v>1</v>
      </c>
      <c r="B3" s="1">
        <f t="shared" ref="B3:B16" si="0">B4+$E$2</f>
        <v>0.99999999999999989</v>
      </c>
      <c r="C3" s="1">
        <f t="shared" ref="C3:C34" si="1">((A3+1)/(COUNT($A$3:$A$102)+2))</f>
        <v>1.9607843137254902E-2</v>
      </c>
      <c r="E3" s="1"/>
    </row>
    <row r="4" spans="1:18" x14ac:dyDescent="0.2">
      <c r="A4">
        <v>2</v>
      </c>
      <c r="B4" s="1">
        <f t="shared" si="0"/>
        <v>0.93333333333333324</v>
      </c>
      <c r="C4" s="1">
        <f t="shared" si="1"/>
        <v>2.9411764705882353E-2</v>
      </c>
      <c r="E4" s="1"/>
    </row>
    <row r="5" spans="1:18" x14ac:dyDescent="0.2">
      <c r="A5">
        <v>3</v>
      </c>
      <c r="B5" s="1">
        <f t="shared" si="0"/>
        <v>0.86666666666666659</v>
      </c>
      <c r="C5" s="1">
        <f t="shared" si="1"/>
        <v>3.9215686274509803E-2</v>
      </c>
    </row>
    <row r="6" spans="1:18" x14ac:dyDescent="0.2">
      <c r="A6">
        <v>4</v>
      </c>
      <c r="B6" s="1">
        <f t="shared" si="0"/>
        <v>0.79999999999999993</v>
      </c>
      <c r="C6" s="1">
        <f t="shared" si="1"/>
        <v>4.9019607843137254E-2</v>
      </c>
    </row>
    <row r="7" spans="1:18" x14ac:dyDescent="0.2">
      <c r="A7">
        <v>5</v>
      </c>
      <c r="B7" s="1">
        <f t="shared" si="0"/>
        <v>0.73333333333333328</v>
      </c>
      <c r="C7" s="1">
        <f t="shared" si="1"/>
        <v>5.8823529411764705E-2</v>
      </c>
    </row>
    <row r="8" spans="1:18" x14ac:dyDescent="0.2">
      <c r="A8">
        <v>6</v>
      </c>
      <c r="B8" s="1">
        <f t="shared" si="0"/>
        <v>0.66666666666666663</v>
      </c>
      <c r="C8" s="1">
        <f t="shared" si="1"/>
        <v>6.8627450980392163E-2</v>
      </c>
    </row>
    <row r="9" spans="1:18" x14ac:dyDescent="0.2">
      <c r="A9">
        <v>7</v>
      </c>
      <c r="B9" s="1">
        <f t="shared" si="0"/>
        <v>0.6</v>
      </c>
      <c r="C9" s="1">
        <f t="shared" si="1"/>
        <v>7.8431372549019607E-2</v>
      </c>
    </row>
    <row r="10" spans="1:18" x14ac:dyDescent="0.2">
      <c r="A10">
        <v>8</v>
      </c>
      <c r="B10" s="1">
        <f t="shared" si="0"/>
        <v>0.53333333333333333</v>
      </c>
      <c r="C10" s="1">
        <f t="shared" si="1"/>
        <v>8.8235294117647065E-2</v>
      </c>
    </row>
    <row r="11" spans="1:18" x14ac:dyDescent="0.2">
      <c r="A11">
        <v>9</v>
      </c>
      <c r="B11" s="1">
        <f t="shared" si="0"/>
        <v>0.46666666666666662</v>
      </c>
      <c r="C11" s="1">
        <f t="shared" si="1"/>
        <v>9.8039215686274508E-2</v>
      </c>
    </row>
    <row r="12" spans="1:18" x14ac:dyDescent="0.2">
      <c r="A12">
        <v>10</v>
      </c>
      <c r="B12" s="1">
        <f t="shared" si="0"/>
        <v>0.39999999999999997</v>
      </c>
      <c r="C12" s="1">
        <f t="shared" si="1"/>
        <v>0.10784313725490197</v>
      </c>
    </row>
    <row r="13" spans="1:18" x14ac:dyDescent="0.2">
      <c r="A13">
        <v>11</v>
      </c>
      <c r="B13" s="1">
        <f t="shared" si="0"/>
        <v>0.33333333333333331</v>
      </c>
      <c r="C13" s="1">
        <f t="shared" si="1"/>
        <v>0.11764705882352941</v>
      </c>
      <c r="Q13" s="2"/>
      <c r="R13" s="1"/>
    </row>
    <row r="14" spans="1:18" x14ac:dyDescent="0.2">
      <c r="A14">
        <v>12</v>
      </c>
      <c r="B14" s="1">
        <f t="shared" si="0"/>
        <v>0.26666666666666666</v>
      </c>
      <c r="C14" s="1">
        <f t="shared" si="1"/>
        <v>0.12745098039215685</v>
      </c>
      <c r="Q14" s="2"/>
      <c r="R14" s="1"/>
    </row>
    <row r="15" spans="1:18" x14ac:dyDescent="0.2">
      <c r="A15">
        <v>13</v>
      </c>
      <c r="B15" s="1">
        <f t="shared" si="0"/>
        <v>0.2</v>
      </c>
      <c r="C15" s="1">
        <f t="shared" si="1"/>
        <v>0.13725490196078433</v>
      </c>
      <c r="Q15" s="2"/>
      <c r="R15" s="1"/>
    </row>
    <row r="16" spans="1:18" x14ac:dyDescent="0.2">
      <c r="A16">
        <v>14</v>
      </c>
      <c r="B16" s="1">
        <f t="shared" si="0"/>
        <v>0.13333333333333333</v>
      </c>
      <c r="C16" s="1">
        <f t="shared" si="1"/>
        <v>0.14705882352941177</v>
      </c>
      <c r="Q16" s="2"/>
      <c r="R16" s="1"/>
    </row>
    <row r="17" spans="1:18" x14ac:dyDescent="0.2">
      <c r="A17">
        <v>15</v>
      </c>
      <c r="B17" s="1">
        <f>B18+E2</f>
        <v>6.6666666666666666E-2</v>
      </c>
      <c r="C17" s="1">
        <f t="shared" si="1"/>
        <v>0.15686274509803921</v>
      </c>
      <c r="Q17" s="2"/>
      <c r="R17" s="1"/>
    </row>
    <row r="18" spans="1:18" x14ac:dyDescent="0.2">
      <c r="A18">
        <v>16</v>
      </c>
      <c r="B18" s="1">
        <v>0</v>
      </c>
      <c r="C18" s="1">
        <f t="shared" si="1"/>
        <v>0.16666666666666666</v>
      </c>
      <c r="O18" s="3"/>
      <c r="P18" s="3"/>
      <c r="Q18" s="2"/>
      <c r="R18" s="1"/>
    </row>
    <row r="19" spans="1:18" x14ac:dyDescent="0.2">
      <c r="A19">
        <v>16</v>
      </c>
      <c r="B19" s="1">
        <v>0</v>
      </c>
      <c r="C19" s="1">
        <f t="shared" si="1"/>
        <v>0.16666666666666666</v>
      </c>
    </row>
    <row r="20" spans="1:18" x14ac:dyDescent="0.2">
      <c r="A20">
        <v>16</v>
      </c>
      <c r="B20" s="1">
        <v>0</v>
      </c>
      <c r="C20" s="1">
        <f t="shared" si="1"/>
        <v>0.16666666666666666</v>
      </c>
    </row>
    <row r="21" spans="1:18" x14ac:dyDescent="0.2">
      <c r="A21">
        <v>16</v>
      </c>
      <c r="B21" s="1">
        <v>0</v>
      </c>
      <c r="C21" s="1">
        <f t="shared" si="1"/>
        <v>0.16666666666666666</v>
      </c>
    </row>
    <row r="22" spans="1:18" x14ac:dyDescent="0.2">
      <c r="A22">
        <v>16</v>
      </c>
      <c r="B22" s="1">
        <v>0</v>
      </c>
      <c r="C22" s="1">
        <f t="shared" si="1"/>
        <v>0.16666666666666666</v>
      </c>
    </row>
    <row r="23" spans="1:18" x14ac:dyDescent="0.2">
      <c r="A23">
        <v>16</v>
      </c>
      <c r="B23" s="1">
        <v>0</v>
      </c>
      <c r="C23" s="1">
        <f t="shared" si="1"/>
        <v>0.16666666666666666</v>
      </c>
    </row>
    <row r="24" spans="1:18" x14ac:dyDescent="0.2">
      <c r="A24">
        <v>16</v>
      </c>
      <c r="B24" s="1">
        <v>0</v>
      </c>
      <c r="C24" s="1">
        <f t="shared" si="1"/>
        <v>0.16666666666666666</v>
      </c>
    </row>
    <row r="25" spans="1:18" x14ac:dyDescent="0.2">
      <c r="A25">
        <v>16</v>
      </c>
      <c r="B25" s="1">
        <v>0</v>
      </c>
      <c r="C25" s="1">
        <f t="shared" si="1"/>
        <v>0.16666666666666666</v>
      </c>
    </row>
    <row r="26" spans="1:18" x14ac:dyDescent="0.2">
      <c r="A26">
        <v>16</v>
      </c>
      <c r="B26" s="1">
        <v>0</v>
      </c>
      <c r="C26" s="1">
        <f t="shared" si="1"/>
        <v>0.16666666666666666</v>
      </c>
    </row>
    <row r="27" spans="1:18" x14ac:dyDescent="0.2">
      <c r="A27">
        <v>16</v>
      </c>
      <c r="B27" s="1">
        <v>0</v>
      </c>
      <c r="C27" s="1">
        <f t="shared" si="1"/>
        <v>0.16666666666666666</v>
      </c>
    </row>
    <row r="28" spans="1:18" x14ac:dyDescent="0.2">
      <c r="A28">
        <v>16</v>
      </c>
      <c r="B28" s="1">
        <v>0</v>
      </c>
      <c r="C28" s="1">
        <f t="shared" si="1"/>
        <v>0.16666666666666666</v>
      </c>
    </row>
    <row r="29" spans="1:18" x14ac:dyDescent="0.2">
      <c r="A29">
        <v>16</v>
      </c>
      <c r="B29" s="1">
        <v>0</v>
      </c>
      <c r="C29" s="1">
        <f t="shared" si="1"/>
        <v>0.16666666666666666</v>
      </c>
    </row>
    <row r="30" spans="1:18" x14ac:dyDescent="0.2">
      <c r="A30">
        <v>16</v>
      </c>
      <c r="B30" s="1">
        <v>0</v>
      </c>
      <c r="C30" s="1">
        <f t="shared" si="1"/>
        <v>0.16666666666666666</v>
      </c>
    </row>
    <row r="31" spans="1:18" x14ac:dyDescent="0.2">
      <c r="A31">
        <v>16</v>
      </c>
      <c r="B31" s="1">
        <v>0</v>
      </c>
      <c r="C31" s="1">
        <f t="shared" si="1"/>
        <v>0.16666666666666666</v>
      </c>
    </row>
    <row r="32" spans="1:18" x14ac:dyDescent="0.2">
      <c r="A32">
        <v>16</v>
      </c>
      <c r="B32" s="1">
        <v>0</v>
      </c>
      <c r="C32" s="1">
        <f t="shared" si="1"/>
        <v>0.16666666666666666</v>
      </c>
    </row>
    <row r="33" spans="1:3" x14ac:dyDescent="0.2">
      <c r="A33">
        <v>16</v>
      </c>
      <c r="B33" s="1">
        <v>0</v>
      </c>
      <c r="C33" s="1">
        <f t="shared" si="1"/>
        <v>0.16666666666666666</v>
      </c>
    </row>
    <row r="34" spans="1:3" x14ac:dyDescent="0.2">
      <c r="A34">
        <v>16</v>
      </c>
      <c r="B34" s="1">
        <v>0</v>
      </c>
      <c r="C34" s="1">
        <f t="shared" si="1"/>
        <v>0.16666666666666666</v>
      </c>
    </row>
    <row r="35" spans="1:3" x14ac:dyDescent="0.2">
      <c r="A35">
        <v>16</v>
      </c>
      <c r="B35" s="1">
        <v>0</v>
      </c>
      <c r="C35" s="1">
        <f t="shared" ref="C35:C66" si="2">((A35+1)/(COUNT($A$3:$A$102)+2))</f>
        <v>0.16666666666666666</v>
      </c>
    </row>
    <row r="36" spans="1:3" x14ac:dyDescent="0.2">
      <c r="A36">
        <v>16</v>
      </c>
      <c r="B36" s="1">
        <v>0</v>
      </c>
      <c r="C36" s="1">
        <f t="shared" si="2"/>
        <v>0.16666666666666666</v>
      </c>
    </row>
    <row r="37" spans="1:3" x14ac:dyDescent="0.2">
      <c r="A37">
        <v>16</v>
      </c>
      <c r="B37" s="1">
        <v>0</v>
      </c>
      <c r="C37" s="1">
        <f t="shared" si="2"/>
        <v>0.16666666666666666</v>
      </c>
    </row>
    <row r="38" spans="1:3" x14ac:dyDescent="0.2">
      <c r="A38">
        <v>16</v>
      </c>
      <c r="B38" s="1">
        <v>0</v>
      </c>
      <c r="C38" s="1">
        <f t="shared" si="2"/>
        <v>0.16666666666666666</v>
      </c>
    </row>
    <row r="39" spans="1:3" x14ac:dyDescent="0.2">
      <c r="A39">
        <v>16</v>
      </c>
      <c r="B39" s="1">
        <v>0</v>
      </c>
      <c r="C39" s="1">
        <f t="shared" si="2"/>
        <v>0.16666666666666666</v>
      </c>
    </row>
    <row r="40" spans="1:3" x14ac:dyDescent="0.2">
      <c r="A40">
        <v>16</v>
      </c>
      <c r="B40" s="1">
        <v>0</v>
      </c>
      <c r="C40" s="1">
        <f t="shared" si="2"/>
        <v>0.16666666666666666</v>
      </c>
    </row>
    <row r="41" spans="1:3" x14ac:dyDescent="0.2">
      <c r="A41">
        <v>16</v>
      </c>
      <c r="B41" s="1">
        <v>0</v>
      </c>
      <c r="C41" s="1">
        <f t="shared" si="2"/>
        <v>0.16666666666666666</v>
      </c>
    </row>
    <row r="42" spans="1:3" x14ac:dyDescent="0.2">
      <c r="A42">
        <v>16</v>
      </c>
      <c r="B42" s="1">
        <v>0</v>
      </c>
      <c r="C42" s="1">
        <f t="shared" si="2"/>
        <v>0.16666666666666666</v>
      </c>
    </row>
    <row r="43" spans="1:3" x14ac:dyDescent="0.2">
      <c r="A43">
        <v>16</v>
      </c>
      <c r="B43" s="1">
        <v>0</v>
      </c>
      <c r="C43" s="1">
        <f t="shared" si="2"/>
        <v>0.16666666666666666</v>
      </c>
    </row>
    <row r="44" spans="1:3" x14ac:dyDescent="0.2">
      <c r="A44">
        <v>16</v>
      </c>
      <c r="B44" s="1">
        <v>0</v>
      </c>
      <c r="C44" s="1">
        <f t="shared" si="2"/>
        <v>0.16666666666666666</v>
      </c>
    </row>
    <row r="45" spans="1:3" x14ac:dyDescent="0.2">
      <c r="A45">
        <v>16</v>
      </c>
      <c r="B45" s="1">
        <v>0</v>
      </c>
      <c r="C45" s="1">
        <f t="shared" si="2"/>
        <v>0.16666666666666666</v>
      </c>
    </row>
    <row r="46" spans="1:3" x14ac:dyDescent="0.2">
      <c r="A46">
        <v>16</v>
      </c>
      <c r="B46" s="1">
        <v>0</v>
      </c>
      <c r="C46" s="1">
        <f t="shared" si="2"/>
        <v>0.16666666666666666</v>
      </c>
    </row>
    <row r="47" spans="1:3" x14ac:dyDescent="0.2">
      <c r="A47">
        <v>16</v>
      </c>
      <c r="B47" s="1">
        <v>0</v>
      </c>
      <c r="C47" s="1">
        <f t="shared" si="2"/>
        <v>0.16666666666666666</v>
      </c>
    </row>
    <row r="48" spans="1:3" x14ac:dyDescent="0.2">
      <c r="A48">
        <v>16</v>
      </c>
      <c r="B48" s="1">
        <v>0</v>
      </c>
      <c r="C48" s="1">
        <f t="shared" si="2"/>
        <v>0.16666666666666666</v>
      </c>
    </row>
    <row r="49" spans="1:3" x14ac:dyDescent="0.2">
      <c r="A49">
        <v>16</v>
      </c>
      <c r="B49" s="1">
        <v>0</v>
      </c>
      <c r="C49" s="1">
        <f t="shared" si="2"/>
        <v>0.16666666666666666</v>
      </c>
    </row>
    <row r="50" spans="1:3" x14ac:dyDescent="0.2">
      <c r="A50">
        <v>16</v>
      </c>
      <c r="B50" s="1">
        <v>0</v>
      </c>
      <c r="C50" s="1">
        <f t="shared" si="2"/>
        <v>0.16666666666666666</v>
      </c>
    </row>
    <row r="51" spans="1:3" x14ac:dyDescent="0.2">
      <c r="A51">
        <v>16</v>
      </c>
      <c r="B51" s="1">
        <v>0</v>
      </c>
      <c r="C51" s="1">
        <f t="shared" si="2"/>
        <v>0.16666666666666666</v>
      </c>
    </row>
    <row r="52" spans="1:3" x14ac:dyDescent="0.2">
      <c r="A52">
        <v>16</v>
      </c>
      <c r="B52" s="1">
        <v>0</v>
      </c>
      <c r="C52" s="1">
        <f t="shared" si="2"/>
        <v>0.16666666666666666</v>
      </c>
    </row>
    <row r="53" spans="1:3" x14ac:dyDescent="0.2">
      <c r="A53">
        <v>16</v>
      </c>
      <c r="B53" s="1">
        <v>0</v>
      </c>
      <c r="C53" s="1">
        <f t="shared" si="2"/>
        <v>0.16666666666666666</v>
      </c>
    </row>
    <row r="54" spans="1:3" x14ac:dyDescent="0.2">
      <c r="A54">
        <v>16</v>
      </c>
      <c r="B54" s="1">
        <v>0</v>
      </c>
      <c r="C54" s="1">
        <f t="shared" si="2"/>
        <v>0.16666666666666666</v>
      </c>
    </row>
    <row r="55" spans="1:3" x14ac:dyDescent="0.2">
      <c r="A55">
        <v>16</v>
      </c>
      <c r="B55" s="1">
        <v>0</v>
      </c>
      <c r="C55" s="1">
        <f t="shared" si="2"/>
        <v>0.16666666666666666</v>
      </c>
    </row>
    <row r="56" spans="1:3" x14ac:dyDescent="0.2">
      <c r="A56">
        <v>16</v>
      </c>
      <c r="B56" s="1">
        <v>0</v>
      </c>
      <c r="C56" s="1">
        <f t="shared" si="2"/>
        <v>0.16666666666666666</v>
      </c>
    </row>
    <row r="57" spans="1:3" x14ac:dyDescent="0.2">
      <c r="A57">
        <v>16</v>
      </c>
      <c r="B57" s="1">
        <v>0</v>
      </c>
      <c r="C57" s="1">
        <f t="shared" si="2"/>
        <v>0.16666666666666666</v>
      </c>
    </row>
    <row r="58" spans="1:3" x14ac:dyDescent="0.2">
      <c r="A58">
        <v>16</v>
      </c>
      <c r="B58" s="1">
        <v>0</v>
      </c>
      <c r="C58" s="1">
        <f t="shared" si="2"/>
        <v>0.16666666666666666</v>
      </c>
    </row>
    <row r="59" spans="1:3" x14ac:dyDescent="0.2">
      <c r="A59">
        <v>16</v>
      </c>
      <c r="B59" s="1">
        <v>0</v>
      </c>
      <c r="C59" s="1">
        <f t="shared" si="2"/>
        <v>0.16666666666666666</v>
      </c>
    </row>
    <row r="60" spans="1:3" x14ac:dyDescent="0.2">
      <c r="A60">
        <v>16</v>
      </c>
      <c r="B60" s="1">
        <v>0</v>
      </c>
      <c r="C60" s="1">
        <f t="shared" si="2"/>
        <v>0.16666666666666666</v>
      </c>
    </row>
    <row r="61" spans="1:3" x14ac:dyDescent="0.2">
      <c r="A61">
        <v>16</v>
      </c>
      <c r="B61" s="1">
        <v>0</v>
      </c>
      <c r="C61" s="1">
        <f t="shared" si="2"/>
        <v>0.16666666666666666</v>
      </c>
    </row>
    <row r="62" spans="1:3" x14ac:dyDescent="0.2">
      <c r="A62">
        <v>16</v>
      </c>
      <c r="B62" s="1">
        <v>0</v>
      </c>
      <c r="C62" s="1">
        <f t="shared" si="2"/>
        <v>0.16666666666666666</v>
      </c>
    </row>
    <row r="63" spans="1:3" x14ac:dyDescent="0.2">
      <c r="A63">
        <v>16</v>
      </c>
      <c r="B63" s="1">
        <v>0</v>
      </c>
      <c r="C63" s="1">
        <f t="shared" si="2"/>
        <v>0.16666666666666666</v>
      </c>
    </row>
    <row r="64" spans="1:3" x14ac:dyDescent="0.2">
      <c r="A64">
        <v>16</v>
      </c>
      <c r="B64" s="1">
        <v>0</v>
      </c>
      <c r="C64" s="1">
        <f t="shared" si="2"/>
        <v>0.16666666666666666</v>
      </c>
    </row>
    <row r="65" spans="1:3" x14ac:dyDescent="0.2">
      <c r="A65">
        <v>16</v>
      </c>
      <c r="B65" s="1">
        <v>0</v>
      </c>
      <c r="C65" s="1">
        <f t="shared" si="2"/>
        <v>0.16666666666666666</v>
      </c>
    </row>
    <row r="66" spans="1:3" x14ac:dyDescent="0.2">
      <c r="A66">
        <v>16</v>
      </c>
      <c r="B66" s="1">
        <v>0</v>
      </c>
      <c r="C66" s="1">
        <f t="shared" si="2"/>
        <v>0.16666666666666666</v>
      </c>
    </row>
    <row r="67" spans="1:3" x14ac:dyDescent="0.2">
      <c r="A67">
        <v>16</v>
      </c>
      <c r="B67" s="1">
        <v>0</v>
      </c>
      <c r="C67" s="1">
        <f t="shared" ref="C67:C102" si="3">((A67+1)/(COUNT($A$3:$A$102)+2))</f>
        <v>0.16666666666666666</v>
      </c>
    </row>
    <row r="68" spans="1:3" x14ac:dyDescent="0.2">
      <c r="A68">
        <v>16</v>
      </c>
      <c r="B68" s="1">
        <v>0</v>
      </c>
      <c r="C68" s="1">
        <f t="shared" si="3"/>
        <v>0.16666666666666666</v>
      </c>
    </row>
    <row r="69" spans="1:3" x14ac:dyDescent="0.2">
      <c r="A69">
        <v>16</v>
      </c>
      <c r="B69" s="1">
        <v>0</v>
      </c>
      <c r="C69" s="1">
        <f t="shared" si="3"/>
        <v>0.16666666666666666</v>
      </c>
    </row>
    <row r="70" spans="1:3" x14ac:dyDescent="0.2">
      <c r="A70">
        <v>16</v>
      </c>
      <c r="B70" s="1">
        <v>0</v>
      </c>
      <c r="C70" s="1">
        <f t="shared" si="3"/>
        <v>0.16666666666666666</v>
      </c>
    </row>
    <row r="71" spans="1:3" x14ac:dyDescent="0.2">
      <c r="A71">
        <v>16</v>
      </c>
      <c r="B71" s="1">
        <v>0</v>
      </c>
      <c r="C71" s="1">
        <f t="shared" si="3"/>
        <v>0.16666666666666666</v>
      </c>
    </row>
    <row r="72" spans="1:3" x14ac:dyDescent="0.2">
      <c r="A72">
        <v>16</v>
      </c>
      <c r="B72" s="1">
        <v>0</v>
      </c>
      <c r="C72" s="1">
        <f t="shared" si="3"/>
        <v>0.16666666666666666</v>
      </c>
    </row>
    <row r="73" spans="1:3" x14ac:dyDescent="0.2">
      <c r="A73">
        <v>16</v>
      </c>
      <c r="B73" s="1">
        <v>0</v>
      </c>
      <c r="C73" s="1">
        <f t="shared" si="3"/>
        <v>0.16666666666666666</v>
      </c>
    </row>
    <row r="74" spans="1:3" x14ac:dyDescent="0.2">
      <c r="A74">
        <v>16</v>
      </c>
      <c r="B74" s="1">
        <v>0</v>
      </c>
      <c r="C74" s="1">
        <f t="shared" si="3"/>
        <v>0.16666666666666666</v>
      </c>
    </row>
    <row r="75" spans="1:3" x14ac:dyDescent="0.2">
      <c r="A75">
        <v>16</v>
      </c>
      <c r="B75" s="1">
        <v>0</v>
      </c>
      <c r="C75" s="1">
        <f t="shared" si="3"/>
        <v>0.16666666666666666</v>
      </c>
    </row>
    <row r="76" spans="1:3" x14ac:dyDescent="0.2">
      <c r="A76">
        <v>16</v>
      </c>
      <c r="B76" s="1">
        <v>0</v>
      </c>
      <c r="C76" s="1">
        <f t="shared" si="3"/>
        <v>0.16666666666666666</v>
      </c>
    </row>
    <row r="77" spans="1:3" x14ac:dyDescent="0.2">
      <c r="A77">
        <v>16</v>
      </c>
      <c r="B77" s="1">
        <v>0</v>
      </c>
      <c r="C77" s="1">
        <f t="shared" si="3"/>
        <v>0.16666666666666666</v>
      </c>
    </row>
    <row r="78" spans="1:3" x14ac:dyDescent="0.2">
      <c r="A78">
        <v>16</v>
      </c>
      <c r="B78" s="1">
        <v>0</v>
      </c>
      <c r="C78" s="1">
        <f t="shared" si="3"/>
        <v>0.16666666666666666</v>
      </c>
    </row>
    <row r="79" spans="1:3" x14ac:dyDescent="0.2">
      <c r="A79">
        <v>16</v>
      </c>
      <c r="B79" s="1">
        <v>0</v>
      </c>
      <c r="C79" s="1">
        <f t="shared" si="3"/>
        <v>0.16666666666666666</v>
      </c>
    </row>
    <row r="80" spans="1:3" x14ac:dyDescent="0.2">
      <c r="A80">
        <v>16</v>
      </c>
      <c r="B80" s="1">
        <v>0</v>
      </c>
      <c r="C80" s="1">
        <f t="shared" si="3"/>
        <v>0.16666666666666666</v>
      </c>
    </row>
    <row r="81" spans="1:3" x14ac:dyDescent="0.2">
      <c r="A81">
        <v>16</v>
      </c>
      <c r="B81" s="1">
        <v>0</v>
      </c>
      <c r="C81" s="1">
        <f t="shared" si="3"/>
        <v>0.16666666666666666</v>
      </c>
    </row>
    <row r="82" spans="1:3" x14ac:dyDescent="0.2">
      <c r="A82">
        <v>16</v>
      </c>
      <c r="B82" s="1">
        <v>0</v>
      </c>
      <c r="C82" s="1">
        <f t="shared" si="3"/>
        <v>0.16666666666666666</v>
      </c>
    </row>
    <row r="83" spans="1:3" x14ac:dyDescent="0.2">
      <c r="A83">
        <v>16</v>
      </c>
      <c r="B83" s="1">
        <v>0</v>
      </c>
      <c r="C83" s="1">
        <f t="shared" si="3"/>
        <v>0.16666666666666666</v>
      </c>
    </row>
    <row r="84" spans="1:3" x14ac:dyDescent="0.2">
      <c r="A84">
        <v>16</v>
      </c>
      <c r="B84" s="1">
        <v>0</v>
      </c>
      <c r="C84" s="1">
        <f t="shared" si="3"/>
        <v>0.16666666666666666</v>
      </c>
    </row>
    <row r="85" spans="1:3" x14ac:dyDescent="0.2">
      <c r="A85">
        <v>16</v>
      </c>
      <c r="B85" s="1">
        <v>0</v>
      </c>
      <c r="C85" s="1">
        <f t="shared" si="3"/>
        <v>0.16666666666666666</v>
      </c>
    </row>
    <row r="86" spans="1:3" x14ac:dyDescent="0.2">
      <c r="A86">
        <v>16</v>
      </c>
      <c r="B86" s="1">
        <v>0</v>
      </c>
      <c r="C86" s="1">
        <f t="shared" si="3"/>
        <v>0.16666666666666666</v>
      </c>
    </row>
    <row r="87" spans="1:3" x14ac:dyDescent="0.2">
      <c r="A87">
        <v>16</v>
      </c>
      <c r="B87" s="1">
        <v>0</v>
      </c>
      <c r="C87" s="1">
        <f t="shared" si="3"/>
        <v>0.16666666666666666</v>
      </c>
    </row>
    <row r="88" spans="1:3" x14ac:dyDescent="0.2">
      <c r="A88">
        <v>16</v>
      </c>
      <c r="B88" s="1">
        <v>0</v>
      </c>
      <c r="C88" s="1">
        <f t="shared" si="3"/>
        <v>0.16666666666666666</v>
      </c>
    </row>
    <row r="89" spans="1:3" x14ac:dyDescent="0.2">
      <c r="A89">
        <v>16</v>
      </c>
      <c r="B89" s="1">
        <v>0</v>
      </c>
      <c r="C89" s="1">
        <f t="shared" si="3"/>
        <v>0.16666666666666666</v>
      </c>
    </row>
    <row r="90" spans="1:3" x14ac:dyDescent="0.2">
      <c r="A90">
        <v>16</v>
      </c>
      <c r="B90" s="1">
        <v>0</v>
      </c>
      <c r="C90" s="1">
        <f t="shared" si="3"/>
        <v>0.16666666666666666</v>
      </c>
    </row>
    <row r="91" spans="1:3" x14ac:dyDescent="0.2">
      <c r="A91">
        <v>16</v>
      </c>
      <c r="B91" s="1">
        <v>0</v>
      </c>
      <c r="C91" s="1">
        <f t="shared" si="3"/>
        <v>0.16666666666666666</v>
      </c>
    </row>
    <row r="92" spans="1:3" x14ac:dyDescent="0.2">
      <c r="A92">
        <v>16</v>
      </c>
      <c r="B92" s="1">
        <v>0</v>
      </c>
      <c r="C92" s="1">
        <f t="shared" si="3"/>
        <v>0.16666666666666666</v>
      </c>
    </row>
    <row r="93" spans="1:3" x14ac:dyDescent="0.2">
      <c r="A93">
        <v>16</v>
      </c>
      <c r="B93" s="1">
        <v>0</v>
      </c>
      <c r="C93" s="1">
        <f t="shared" si="3"/>
        <v>0.16666666666666666</v>
      </c>
    </row>
    <row r="94" spans="1:3" x14ac:dyDescent="0.2">
      <c r="A94">
        <v>16</v>
      </c>
      <c r="B94" s="1">
        <v>0</v>
      </c>
      <c r="C94" s="1">
        <f t="shared" si="3"/>
        <v>0.16666666666666666</v>
      </c>
    </row>
    <row r="95" spans="1:3" x14ac:dyDescent="0.2">
      <c r="A95">
        <v>16</v>
      </c>
      <c r="B95" s="1">
        <v>0</v>
      </c>
      <c r="C95" s="1">
        <f t="shared" si="3"/>
        <v>0.16666666666666666</v>
      </c>
    </row>
    <row r="96" spans="1:3" x14ac:dyDescent="0.2">
      <c r="A96">
        <v>16</v>
      </c>
      <c r="B96" s="1">
        <v>0</v>
      </c>
      <c r="C96" s="1">
        <f t="shared" si="3"/>
        <v>0.16666666666666666</v>
      </c>
    </row>
    <row r="97" spans="1:3" x14ac:dyDescent="0.2">
      <c r="A97">
        <v>16</v>
      </c>
      <c r="B97" s="1">
        <v>0</v>
      </c>
      <c r="C97" s="1">
        <f t="shared" si="3"/>
        <v>0.16666666666666666</v>
      </c>
    </row>
    <row r="98" spans="1:3" x14ac:dyDescent="0.2">
      <c r="A98">
        <v>16</v>
      </c>
      <c r="B98" s="1">
        <v>0</v>
      </c>
      <c r="C98" s="1">
        <f t="shared" si="3"/>
        <v>0.16666666666666666</v>
      </c>
    </row>
    <row r="99" spans="1:3" x14ac:dyDescent="0.2">
      <c r="A99">
        <v>16</v>
      </c>
      <c r="B99" s="1">
        <v>0</v>
      </c>
      <c r="C99" s="1">
        <f t="shared" si="3"/>
        <v>0.16666666666666666</v>
      </c>
    </row>
    <row r="100" spans="1:3" x14ac:dyDescent="0.2">
      <c r="A100">
        <v>16</v>
      </c>
      <c r="B100" s="1">
        <v>0</v>
      </c>
      <c r="C100" s="1">
        <f t="shared" si="3"/>
        <v>0.16666666666666666</v>
      </c>
    </row>
    <row r="101" spans="1:3" x14ac:dyDescent="0.2">
      <c r="A101">
        <v>16</v>
      </c>
      <c r="B101" s="1">
        <v>0</v>
      </c>
      <c r="C101" s="1">
        <f t="shared" si="3"/>
        <v>0.16666666666666666</v>
      </c>
    </row>
    <row r="102" spans="1:3" x14ac:dyDescent="0.2">
      <c r="A102">
        <v>16</v>
      </c>
      <c r="B102" s="1">
        <v>0</v>
      </c>
      <c r="C102" s="1">
        <f t="shared" si="3"/>
        <v>0.16666666666666666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0A7-8AC5-7644-A147-80B76406AEB1}">
  <dimension ref="A1:R102"/>
  <sheetViews>
    <sheetView zoomScaleNormal="100" workbookViewId="0">
      <selection activeCell="M9" sqref="M9"/>
    </sheetView>
  </sheetViews>
  <sheetFormatPr baseColWidth="10" defaultColWidth="10.6640625" defaultRowHeight="16" x14ac:dyDescent="0.2"/>
  <cols>
    <col min="11" max="12" width="10.83203125" style="1"/>
    <col min="13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16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0.5/15</f>
        <v>3.3333333333333333E-2</v>
      </c>
    </row>
    <row r="3" spans="1:18" x14ac:dyDescent="0.2">
      <c r="A3">
        <v>1</v>
      </c>
      <c r="B3" s="1">
        <f t="shared" ref="B3:B16" si="0">B4+$E$2</f>
        <v>1.5116666666666683</v>
      </c>
      <c r="C3" s="1">
        <f t="shared" ref="C3:C34" si="1">((A3+1)/(COUNT($A$3:$A$102)+2))</f>
        <v>1.9607843137254902E-2</v>
      </c>
      <c r="E3" s="1">
        <f>0.5/35</f>
        <v>1.4285714285714285E-2</v>
      </c>
    </row>
    <row r="4" spans="1:18" x14ac:dyDescent="0.2">
      <c r="A4">
        <v>2</v>
      </c>
      <c r="B4" s="1">
        <f t="shared" si="0"/>
        <v>1.4783333333333348</v>
      </c>
      <c r="C4" s="1">
        <f t="shared" si="1"/>
        <v>2.9411764705882353E-2</v>
      </c>
      <c r="E4" s="1">
        <f>0.52/8</f>
        <v>6.5000000000000002E-2</v>
      </c>
    </row>
    <row r="5" spans="1:18" x14ac:dyDescent="0.2">
      <c r="A5">
        <v>3</v>
      </c>
      <c r="B5" s="1">
        <f t="shared" si="0"/>
        <v>1.4450000000000014</v>
      </c>
      <c r="C5" s="1">
        <f t="shared" si="1"/>
        <v>3.9215686274509803E-2</v>
      </c>
    </row>
    <row r="6" spans="1:18" x14ac:dyDescent="0.2">
      <c r="A6">
        <v>4</v>
      </c>
      <c r="B6" s="1">
        <f t="shared" si="0"/>
        <v>1.411666666666668</v>
      </c>
      <c r="C6" s="1">
        <f t="shared" si="1"/>
        <v>4.9019607843137254E-2</v>
      </c>
    </row>
    <row r="7" spans="1:18" x14ac:dyDescent="0.2">
      <c r="A7">
        <v>5</v>
      </c>
      <c r="B7" s="1">
        <f t="shared" si="0"/>
        <v>1.3783333333333345</v>
      </c>
      <c r="C7" s="1">
        <f t="shared" si="1"/>
        <v>5.8823529411764705E-2</v>
      </c>
    </row>
    <row r="8" spans="1:18" x14ac:dyDescent="0.2">
      <c r="A8">
        <v>6</v>
      </c>
      <c r="B8" s="1">
        <f t="shared" si="0"/>
        <v>1.3450000000000011</v>
      </c>
      <c r="C8" s="1">
        <f t="shared" si="1"/>
        <v>6.8627450980392163E-2</v>
      </c>
    </row>
    <row r="9" spans="1:18" x14ac:dyDescent="0.2">
      <c r="A9">
        <v>7</v>
      </c>
      <c r="B9" s="1">
        <f t="shared" si="0"/>
        <v>1.3116666666666676</v>
      </c>
      <c r="C9" s="1">
        <f t="shared" si="1"/>
        <v>7.8431372549019607E-2</v>
      </c>
    </row>
    <row r="10" spans="1:18" x14ac:dyDescent="0.2">
      <c r="A10">
        <v>8</v>
      </c>
      <c r="B10" s="1">
        <f t="shared" si="0"/>
        <v>1.2783333333333342</v>
      </c>
      <c r="C10" s="1">
        <f t="shared" si="1"/>
        <v>8.8235294117647065E-2</v>
      </c>
    </row>
    <row r="11" spans="1:18" x14ac:dyDescent="0.2">
      <c r="A11">
        <v>9</v>
      </c>
      <c r="B11" s="1">
        <f t="shared" si="0"/>
        <v>1.2450000000000008</v>
      </c>
      <c r="C11" s="1">
        <f t="shared" si="1"/>
        <v>9.8039215686274508E-2</v>
      </c>
    </row>
    <row r="12" spans="1:18" x14ac:dyDescent="0.2">
      <c r="A12">
        <v>10</v>
      </c>
      <c r="B12" s="1">
        <f t="shared" si="0"/>
        <v>1.2116666666666673</v>
      </c>
      <c r="C12" s="1">
        <f t="shared" si="1"/>
        <v>0.10784313725490197</v>
      </c>
    </row>
    <row r="13" spans="1:18" x14ac:dyDescent="0.2">
      <c r="A13">
        <v>11</v>
      </c>
      <c r="B13" s="1">
        <f t="shared" si="0"/>
        <v>1.1783333333333339</v>
      </c>
      <c r="C13" s="1">
        <f t="shared" si="1"/>
        <v>0.11764705882352941</v>
      </c>
      <c r="Q13" s="2"/>
      <c r="R13" s="1"/>
    </row>
    <row r="14" spans="1:18" x14ac:dyDescent="0.2">
      <c r="A14">
        <v>12</v>
      </c>
      <c r="B14" s="1">
        <f t="shared" si="0"/>
        <v>1.1450000000000005</v>
      </c>
      <c r="C14" s="1">
        <f t="shared" si="1"/>
        <v>0.12745098039215685</v>
      </c>
      <c r="Q14" s="2"/>
      <c r="R14" s="1"/>
    </row>
    <row r="15" spans="1:18" x14ac:dyDescent="0.2">
      <c r="A15">
        <v>13</v>
      </c>
      <c r="B15" s="1">
        <f t="shared" si="0"/>
        <v>1.111666666666667</v>
      </c>
      <c r="C15" s="1">
        <f t="shared" si="1"/>
        <v>0.13725490196078433</v>
      </c>
      <c r="Q15" s="2"/>
      <c r="R15" s="1"/>
    </row>
    <row r="16" spans="1:18" x14ac:dyDescent="0.2">
      <c r="A16">
        <v>14</v>
      </c>
      <c r="B16" s="1">
        <f t="shared" si="0"/>
        <v>1.0783333333333336</v>
      </c>
      <c r="C16" s="1">
        <f t="shared" si="1"/>
        <v>0.14705882352941177</v>
      </c>
      <c r="Q16" s="2"/>
      <c r="R16" s="1"/>
    </row>
    <row r="17" spans="1:18" x14ac:dyDescent="0.2">
      <c r="A17">
        <v>15</v>
      </c>
      <c r="B17" s="1">
        <f t="shared" ref="B17:B50" si="2">B18+0.015</f>
        <v>1.0450000000000002</v>
      </c>
      <c r="C17" s="1">
        <f t="shared" si="1"/>
        <v>0.15686274509803921</v>
      </c>
      <c r="Q17" s="2"/>
      <c r="R17" s="1"/>
    </row>
    <row r="18" spans="1:18" x14ac:dyDescent="0.2">
      <c r="A18">
        <v>16</v>
      </c>
      <c r="B18" s="1">
        <f t="shared" si="2"/>
        <v>1.0300000000000002</v>
      </c>
      <c r="C18" s="1">
        <f t="shared" si="1"/>
        <v>0.16666666666666666</v>
      </c>
      <c r="O18" s="3"/>
      <c r="P18" s="3"/>
      <c r="Q18" s="2"/>
      <c r="R18" s="1"/>
    </row>
    <row r="19" spans="1:18" x14ac:dyDescent="0.2">
      <c r="A19">
        <v>17</v>
      </c>
      <c r="B19" s="1">
        <f t="shared" si="2"/>
        <v>1.0150000000000003</v>
      </c>
      <c r="C19" s="1">
        <f t="shared" si="1"/>
        <v>0.17647058823529413</v>
      </c>
    </row>
    <row r="20" spans="1:18" x14ac:dyDescent="0.2">
      <c r="A20">
        <v>18</v>
      </c>
      <c r="B20" s="1">
        <f t="shared" si="2"/>
        <v>1.0000000000000004</v>
      </c>
      <c r="C20" s="1">
        <f t="shared" si="1"/>
        <v>0.18627450980392157</v>
      </c>
    </row>
    <row r="21" spans="1:18" x14ac:dyDescent="0.2">
      <c r="A21">
        <v>19</v>
      </c>
      <c r="B21" s="1">
        <f t="shared" si="2"/>
        <v>0.98500000000000043</v>
      </c>
      <c r="C21" s="1">
        <f t="shared" si="1"/>
        <v>0.19607843137254902</v>
      </c>
    </row>
    <row r="22" spans="1:18" x14ac:dyDescent="0.2">
      <c r="A22">
        <v>20</v>
      </c>
      <c r="B22" s="1">
        <f t="shared" si="2"/>
        <v>0.97000000000000042</v>
      </c>
      <c r="C22" s="1">
        <f t="shared" si="1"/>
        <v>0.20588235294117646</v>
      </c>
    </row>
    <row r="23" spans="1:18" x14ac:dyDescent="0.2">
      <c r="A23">
        <v>21</v>
      </c>
      <c r="B23" s="1">
        <f t="shared" si="2"/>
        <v>0.9550000000000004</v>
      </c>
      <c r="C23" s="1">
        <f t="shared" si="1"/>
        <v>0.21568627450980393</v>
      </c>
    </row>
    <row r="24" spans="1:18" x14ac:dyDescent="0.2">
      <c r="A24">
        <v>22</v>
      </c>
      <c r="B24" s="1">
        <f t="shared" si="2"/>
        <v>0.94000000000000039</v>
      </c>
      <c r="C24" s="1">
        <f t="shared" si="1"/>
        <v>0.22549019607843138</v>
      </c>
    </row>
    <row r="25" spans="1:18" x14ac:dyDescent="0.2">
      <c r="A25">
        <v>23</v>
      </c>
      <c r="B25" s="1">
        <f t="shared" si="2"/>
        <v>0.92500000000000038</v>
      </c>
      <c r="C25" s="1">
        <f t="shared" si="1"/>
        <v>0.23529411764705882</v>
      </c>
    </row>
    <row r="26" spans="1:18" x14ac:dyDescent="0.2">
      <c r="A26">
        <v>24</v>
      </c>
      <c r="B26" s="1">
        <f t="shared" si="2"/>
        <v>0.91000000000000036</v>
      </c>
      <c r="C26" s="1">
        <f t="shared" si="1"/>
        <v>0.24509803921568626</v>
      </c>
    </row>
    <row r="27" spans="1:18" x14ac:dyDescent="0.2">
      <c r="A27">
        <v>25</v>
      </c>
      <c r="B27" s="1">
        <f t="shared" si="2"/>
        <v>0.89500000000000035</v>
      </c>
      <c r="C27" s="1">
        <f t="shared" si="1"/>
        <v>0.25490196078431371</v>
      </c>
    </row>
    <row r="28" spans="1:18" x14ac:dyDescent="0.2">
      <c r="A28">
        <v>26</v>
      </c>
      <c r="B28" s="1">
        <f t="shared" si="2"/>
        <v>0.88000000000000034</v>
      </c>
      <c r="C28" s="1">
        <f t="shared" si="1"/>
        <v>0.26470588235294118</v>
      </c>
    </row>
    <row r="29" spans="1:18" x14ac:dyDescent="0.2">
      <c r="A29">
        <v>27</v>
      </c>
      <c r="B29" s="1">
        <f t="shared" si="2"/>
        <v>0.86500000000000032</v>
      </c>
      <c r="C29" s="1">
        <f t="shared" si="1"/>
        <v>0.27450980392156865</v>
      </c>
    </row>
    <row r="30" spans="1:18" x14ac:dyDescent="0.2">
      <c r="A30">
        <v>28</v>
      </c>
      <c r="B30" s="1">
        <f t="shared" si="2"/>
        <v>0.85000000000000031</v>
      </c>
      <c r="C30" s="1">
        <f t="shared" si="1"/>
        <v>0.28431372549019607</v>
      </c>
    </row>
    <row r="31" spans="1:18" x14ac:dyDescent="0.2">
      <c r="A31">
        <v>29</v>
      </c>
      <c r="B31" s="1">
        <f t="shared" si="2"/>
        <v>0.8350000000000003</v>
      </c>
      <c r="C31" s="1">
        <f t="shared" si="1"/>
        <v>0.29411764705882354</v>
      </c>
    </row>
    <row r="32" spans="1:18" x14ac:dyDescent="0.2">
      <c r="A32">
        <v>30</v>
      </c>
      <c r="B32" s="1">
        <f t="shared" si="2"/>
        <v>0.82000000000000028</v>
      </c>
      <c r="C32" s="1">
        <f t="shared" si="1"/>
        <v>0.30392156862745096</v>
      </c>
    </row>
    <row r="33" spans="1:3" x14ac:dyDescent="0.2">
      <c r="A33">
        <v>31</v>
      </c>
      <c r="B33" s="1">
        <f t="shared" si="2"/>
        <v>0.80500000000000027</v>
      </c>
      <c r="C33" s="1">
        <f t="shared" si="1"/>
        <v>0.31372549019607843</v>
      </c>
    </row>
    <row r="34" spans="1:3" x14ac:dyDescent="0.2">
      <c r="A34">
        <v>32</v>
      </c>
      <c r="B34" s="1">
        <f t="shared" si="2"/>
        <v>0.79000000000000026</v>
      </c>
      <c r="C34" s="1">
        <f t="shared" si="1"/>
        <v>0.3235294117647059</v>
      </c>
    </row>
    <row r="35" spans="1:3" x14ac:dyDescent="0.2">
      <c r="A35">
        <v>33</v>
      </c>
      <c r="B35" s="1">
        <f t="shared" si="2"/>
        <v>0.77500000000000024</v>
      </c>
      <c r="C35" s="1">
        <f t="shared" ref="C35:C66" si="3">((A35+1)/(COUNT($A$3:$A$102)+2))</f>
        <v>0.33333333333333331</v>
      </c>
    </row>
    <row r="36" spans="1:3" x14ac:dyDescent="0.2">
      <c r="A36">
        <v>34</v>
      </c>
      <c r="B36" s="1">
        <f t="shared" si="2"/>
        <v>0.76000000000000023</v>
      </c>
      <c r="C36" s="1">
        <f t="shared" si="3"/>
        <v>0.34313725490196079</v>
      </c>
    </row>
    <row r="37" spans="1:3" x14ac:dyDescent="0.2">
      <c r="A37">
        <v>35</v>
      </c>
      <c r="B37" s="1">
        <f t="shared" si="2"/>
        <v>0.74500000000000022</v>
      </c>
      <c r="C37" s="1">
        <f t="shared" si="3"/>
        <v>0.35294117647058826</v>
      </c>
    </row>
    <row r="38" spans="1:3" x14ac:dyDescent="0.2">
      <c r="A38">
        <v>36</v>
      </c>
      <c r="B38" s="1">
        <f t="shared" si="2"/>
        <v>0.7300000000000002</v>
      </c>
      <c r="C38" s="1">
        <f t="shared" si="3"/>
        <v>0.36274509803921567</v>
      </c>
    </row>
    <row r="39" spans="1:3" x14ac:dyDescent="0.2">
      <c r="A39">
        <v>37</v>
      </c>
      <c r="B39" s="1">
        <f t="shared" si="2"/>
        <v>0.71500000000000019</v>
      </c>
      <c r="C39" s="1">
        <f t="shared" si="3"/>
        <v>0.37254901960784315</v>
      </c>
    </row>
    <row r="40" spans="1:3" x14ac:dyDescent="0.2">
      <c r="A40">
        <v>38</v>
      </c>
      <c r="B40" s="1">
        <f t="shared" si="2"/>
        <v>0.70000000000000018</v>
      </c>
      <c r="C40" s="1">
        <f t="shared" si="3"/>
        <v>0.38235294117647056</v>
      </c>
    </row>
    <row r="41" spans="1:3" x14ac:dyDescent="0.2">
      <c r="A41">
        <v>39</v>
      </c>
      <c r="B41" s="1">
        <f t="shared" si="2"/>
        <v>0.68500000000000016</v>
      </c>
      <c r="C41" s="1">
        <f t="shared" si="3"/>
        <v>0.39215686274509803</v>
      </c>
    </row>
    <row r="42" spans="1:3" x14ac:dyDescent="0.2">
      <c r="A42">
        <v>40</v>
      </c>
      <c r="B42" s="1">
        <f t="shared" si="2"/>
        <v>0.67000000000000015</v>
      </c>
      <c r="C42" s="1">
        <f t="shared" si="3"/>
        <v>0.40196078431372551</v>
      </c>
    </row>
    <row r="43" spans="1:3" x14ac:dyDescent="0.2">
      <c r="A43">
        <v>41</v>
      </c>
      <c r="B43" s="1">
        <f t="shared" si="2"/>
        <v>0.65500000000000014</v>
      </c>
      <c r="C43" s="1">
        <f t="shared" si="3"/>
        <v>0.41176470588235292</v>
      </c>
    </row>
    <row r="44" spans="1:3" x14ac:dyDescent="0.2">
      <c r="A44">
        <v>42</v>
      </c>
      <c r="B44" s="1">
        <f t="shared" si="2"/>
        <v>0.64000000000000012</v>
      </c>
      <c r="C44" s="1">
        <f t="shared" si="3"/>
        <v>0.42156862745098039</v>
      </c>
    </row>
    <row r="45" spans="1:3" x14ac:dyDescent="0.2">
      <c r="A45">
        <v>43</v>
      </c>
      <c r="B45" s="1">
        <f t="shared" si="2"/>
        <v>0.62500000000000011</v>
      </c>
      <c r="C45" s="1">
        <f t="shared" si="3"/>
        <v>0.43137254901960786</v>
      </c>
    </row>
    <row r="46" spans="1:3" x14ac:dyDescent="0.2">
      <c r="A46">
        <v>44</v>
      </c>
      <c r="B46" s="1">
        <f t="shared" si="2"/>
        <v>0.6100000000000001</v>
      </c>
      <c r="C46" s="1">
        <f t="shared" si="3"/>
        <v>0.44117647058823528</v>
      </c>
    </row>
    <row r="47" spans="1:3" x14ac:dyDescent="0.2">
      <c r="A47">
        <v>45</v>
      </c>
      <c r="B47" s="1">
        <f t="shared" si="2"/>
        <v>0.59500000000000008</v>
      </c>
      <c r="C47" s="1">
        <f t="shared" si="3"/>
        <v>0.45098039215686275</v>
      </c>
    </row>
    <row r="48" spans="1:3" x14ac:dyDescent="0.2">
      <c r="A48">
        <v>46</v>
      </c>
      <c r="B48" s="1">
        <f t="shared" si="2"/>
        <v>0.58000000000000007</v>
      </c>
      <c r="C48" s="1">
        <f t="shared" si="3"/>
        <v>0.46078431372549017</v>
      </c>
    </row>
    <row r="49" spans="1:3" x14ac:dyDescent="0.2">
      <c r="A49">
        <v>47</v>
      </c>
      <c r="B49" s="1">
        <f t="shared" si="2"/>
        <v>0.56500000000000006</v>
      </c>
      <c r="C49" s="1">
        <f t="shared" si="3"/>
        <v>0.47058823529411764</v>
      </c>
    </row>
    <row r="50" spans="1:3" x14ac:dyDescent="0.2">
      <c r="A50">
        <v>48</v>
      </c>
      <c r="B50" s="1">
        <f t="shared" si="2"/>
        <v>0.55000000000000004</v>
      </c>
      <c r="C50" s="1">
        <f t="shared" si="3"/>
        <v>0.48039215686274511</v>
      </c>
    </row>
    <row r="51" spans="1:3" x14ac:dyDescent="0.2">
      <c r="A51">
        <v>49</v>
      </c>
      <c r="B51" s="1">
        <f>B52+0.015</f>
        <v>0.53500000000000003</v>
      </c>
      <c r="C51" s="1">
        <f t="shared" si="3"/>
        <v>0.49019607843137253</v>
      </c>
    </row>
    <row r="52" spans="1:3" x14ac:dyDescent="0.2">
      <c r="A52">
        <v>50</v>
      </c>
      <c r="B52" s="1">
        <f t="shared" ref="B52:B58" si="4">B53+0.065</f>
        <v>0.52</v>
      </c>
      <c r="C52" s="1">
        <f t="shared" si="3"/>
        <v>0.5</v>
      </c>
    </row>
    <row r="53" spans="1:3" x14ac:dyDescent="0.2">
      <c r="A53">
        <v>51</v>
      </c>
      <c r="B53" s="1">
        <f t="shared" si="4"/>
        <v>0.45500000000000002</v>
      </c>
      <c r="C53" s="1">
        <f t="shared" si="3"/>
        <v>0.50980392156862742</v>
      </c>
    </row>
    <row r="54" spans="1:3" x14ac:dyDescent="0.2">
      <c r="A54">
        <v>52</v>
      </c>
      <c r="B54" s="1">
        <f t="shared" si="4"/>
        <v>0.39</v>
      </c>
      <c r="C54" s="1">
        <f t="shared" si="3"/>
        <v>0.51960784313725494</v>
      </c>
    </row>
    <row r="55" spans="1:3" x14ac:dyDescent="0.2">
      <c r="A55">
        <v>53</v>
      </c>
      <c r="B55" s="1">
        <f t="shared" si="4"/>
        <v>0.32500000000000001</v>
      </c>
      <c r="C55" s="1">
        <f t="shared" si="3"/>
        <v>0.52941176470588236</v>
      </c>
    </row>
    <row r="56" spans="1:3" x14ac:dyDescent="0.2">
      <c r="A56">
        <v>54</v>
      </c>
      <c r="B56" s="1">
        <f t="shared" si="4"/>
        <v>0.26</v>
      </c>
      <c r="C56" s="1">
        <f t="shared" si="3"/>
        <v>0.53921568627450978</v>
      </c>
    </row>
    <row r="57" spans="1:3" x14ac:dyDescent="0.2">
      <c r="A57">
        <v>55</v>
      </c>
      <c r="B57" s="1">
        <f t="shared" si="4"/>
        <v>0.19500000000000001</v>
      </c>
      <c r="C57" s="1">
        <f t="shared" si="3"/>
        <v>0.5490196078431373</v>
      </c>
    </row>
    <row r="58" spans="1:3" x14ac:dyDescent="0.2">
      <c r="A58">
        <v>56</v>
      </c>
      <c r="B58" s="1">
        <f t="shared" si="4"/>
        <v>0.13</v>
      </c>
      <c r="C58" s="1">
        <f t="shared" si="3"/>
        <v>0.55882352941176472</v>
      </c>
    </row>
    <row r="59" spans="1:3" x14ac:dyDescent="0.2">
      <c r="A59">
        <v>57</v>
      </c>
      <c r="B59" s="1">
        <v>6.5000000000000002E-2</v>
      </c>
      <c r="C59" s="1">
        <f t="shared" si="3"/>
        <v>0.56862745098039214</v>
      </c>
    </row>
    <row r="60" spans="1:3" x14ac:dyDescent="0.2">
      <c r="A60">
        <v>58</v>
      </c>
      <c r="B60" s="1">
        <v>0</v>
      </c>
      <c r="C60" s="1">
        <f t="shared" si="3"/>
        <v>0.57843137254901966</v>
      </c>
    </row>
    <row r="61" spans="1:3" x14ac:dyDescent="0.2">
      <c r="A61">
        <v>58</v>
      </c>
      <c r="B61" s="1">
        <v>0</v>
      </c>
      <c r="C61" s="1">
        <f t="shared" si="3"/>
        <v>0.57843137254901966</v>
      </c>
    </row>
    <row r="62" spans="1:3" x14ac:dyDescent="0.2">
      <c r="A62">
        <v>58</v>
      </c>
      <c r="B62" s="1">
        <v>0</v>
      </c>
      <c r="C62" s="1">
        <f t="shared" si="3"/>
        <v>0.57843137254901966</v>
      </c>
    </row>
    <row r="63" spans="1:3" x14ac:dyDescent="0.2">
      <c r="A63">
        <v>58</v>
      </c>
      <c r="B63" s="1">
        <v>0</v>
      </c>
      <c r="C63" s="1">
        <f t="shared" si="3"/>
        <v>0.57843137254901966</v>
      </c>
    </row>
    <row r="64" spans="1:3" x14ac:dyDescent="0.2">
      <c r="A64">
        <v>58</v>
      </c>
      <c r="B64" s="1">
        <v>0</v>
      </c>
      <c r="C64" s="1">
        <f t="shared" si="3"/>
        <v>0.57843137254901966</v>
      </c>
    </row>
    <row r="65" spans="1:3" x14ac:dyDescent="0.2">
      <c r="A65">
        <v>58</v>
      </c>
      <c r="B65" s="1">
        <v>0</v>
      </c>
      <c r="C65" s="1">
        <f t="shared" si="3"/>
        <v>0.57843137254901966</v>
      </c>
    </row>
    <row r="66" spans="1:3" x14ac:dyDescent="0.2">
      <c r="A66">
        <v>58</v>
      </c>
      <c r="B66" s="1">
        <v>0</v>
      </c>
      <c r="C66" s="1">
        <f t="shared" si="3"/>
        <v>0.57843137254901966</v>
      </c>
    </row>
    <row r="67" spans="1:3" x14ac:dyDescent="0.2">
      <c r="A67">
        <v>58</v>
      </c>
      <c r="B67" s="1">
        <v>0</v>
      </c>
      <c r="C67" s="1">
        <f t="shared" ref="C67:C102" si="5">((A67+1)/(COUNT($A$3:$A$102)+2))</f>
        <v>0.57843137254901966</v>
      </c>
    </row>
    <row r="68" spans="1:3" x14ac:dyDescent="0.2">
      <c r="A68">
        <v>58</v>
      </c>
      <c r="B68" s="1">
        <v>0</v>
      </c>
      <c r="C68" s="1">
        <f t="shared" si="5"/>
        <v>0.57843137254901966</v>
      </c>
    </row>
    <row r="69" spans="1:3" x14ac:dyDescent="0.2">
      <c r="A69">
        <v>58</v>
      </c>
      <c r="B69" s="1">
        <v>0</v>
      </c>
      <c r="C69" s="1">
        <f t="shared" si="5"/>
        <v>0.57843137254901966</v>
      </c>
    </row>
    <row r="70" spans="1:3" x14ac:dyDescent="0.2">
      <c r="A70">
        <v>58</v>
      </c>
      <c r="B70" s="1">
        <v>0</v>
      </c>
      <c r="C70" s="1">
        <f t="shared" si="5"/>
        <v>0.57843137254901966</v>
      </c>
    </row>
    <row r="71" spans="1:3" x14ac:dyDescent="0.2">
      <c r="A71">
        <v>58</v>
      </c>
      <c r="B71" s="1">
        <v>0</v>
      </c>
      <c r="C71" s="1">
        <f t="shared" si="5"/>
        <v>0.57843137254901966</v>
      </c>
    </row>
    <row r="72" spans="1:3" x14ac:dyDescent="0.2">
      <c r="A72">
        <v>58</v>
      </c>
      <c r="B72" s="1">
        <v>0</v>
      </c>
      <c r="C72" s="1">
        <f t="shared" si="5"/>
        <v>0.57843137254901966</v>
      </c>
    </row>
    <row r="73" spans="1:3" x14ac:dyDescent="0.2">
      <c r="A73">
        <v>58</v>
      </c>
      <c r="B73" s="1">
        <v>0</v>
      </c>
      <c r="C73" s="1">
        <f t="shared" si="5"/>
        <v>0.57843137254901966</v>
      </c>
    </row>
    <row r="74" spans="1:3" x14ac:dyDescent="0.2">
      <c r="A74">
        <v>58</v>
      </c>
      <c r="B74" s="1">
        <v>0</v>
      </c>
      <c r="C74" s="1">
        <f t="shared" si="5"/>
        <v>0.57843137254901966</v>
      </c>
    </row>
    <row r="75" spans="1:3" x14ac:dyDescent="0.2">
      <c r="A75">
        <v>58</v>
      </c>
      <c r="B75" s="1">
        <v>0</v>
      </c>
      <c r="C75" s="1">
        <f t="shared" si="5"/>
        <v>0.57843137254901966</v>
      </c>
    </row>
    <row r="76" spans="1:3" x14ac:dyDescent="0.2">
      <c r="A76">
        <v>58</v>
      </c>
      <c r="B76" s="1">
        <v>0</v>
      </c>
      <c r="C76" s="1">
        <f t="shared" si="5"/>
        <v>0.57843137254901966</v>
      </c>
    </row>
    <row r="77" spans="1:3" x14ac:dyDescent="0.2">
      <c r="A77">
        <v>58</v>
      </c>
      <c r="B77" s="1">
        <v>0</v>
      </c>
      <c r="C77" s="1">
        <f t="shared" si="5"/>
        <v>0.57843137254901966</v>
      </c>
    </row>
    <row r="78" spans="1:3" x14ac:dyDescent="0.2">
      <c r="A78">
        <v>58</v>
      </c>
      <c r="B78" s="1">
        <v>0</v>
      </c>
      <c r="C78" s="1">
        <f t="shared" si="5"/>
        <v>0.57843137254901966</v>
      </c>
    </row>
    <row r="79" spans="1:3" x14ac:dyDescent="0.2">
      <c r="A79">
        <v>58</v>
      </c>
      <c r="B79" s="1">
        <v>0</v>
      </c>
      <c r="C79" s="1">
        <f t="shared" si="5"/>
        <v>0.57843137254901966</v>
      </c>
    </row>
    <row r="80" spans="1:3" x14ac:dyDescent="0.2">
      <c r="A80">
        <v>58</v>
      </c>
      <c r="B80" s="1">
        <v>0</v>
      </c>
      <c r="C80" s="1">
        <f t="shared" si="5"/>
        <v>0.57843137254901966</v>
      </c>
    </row>
    <row r="81" spans="1:3" x14ac:dyDescent="0.2">
      <c r="A81">
        <v>58</v>
      </c>
      <c r="B81" s="1">
        <v>0</v>
      </c>
      <c r="C81" s="1">
        <f t="shared" si="5"/>
        <v>0.57843137254901966</v>
      </c>
    </row>
    <row r="82" spans="1:3" x14ac:dyDescent="0.2">
      <c r="A82">
        <v>58</v>
      </c>
      <c r="B82" s="1">
        <v>0</v>
      </c>
      <c r="C82" s="1">
        <f t="shared" si="5"/>
        <v>0.57843137254901966</v>
      </c>
    </row>
    <row r="83" spans="1:3" x14ac:dyDescent="0.2">
      <c r="A83">
        <v>58</v>
      </c>
      <c r="B83" s="1">
        <v>0</v>
      </c>
      <c r="C83" s="1">
        <f t="shared" si="5"/>
        <v>0.57843137254901966</v>
      </c>
    </row>
    <row r="84" spans="1:3" x14ac:dyDescent="0.2">
      <c r="A84">
        <v>58</v>
      </c>
      <c r="B84" s="1">
        <v>0</v>
      </c>
      <c r="C84" s="1">
        <f t="shared" si="5"/>
        <v>0.57843137254901966</v>
      </c>
    </row>
    <row r="85" spans="1:3" x14ac:dyDescent="0.2">
      <c r="A85">
        <v>58</v>
      </c>
      <c r="B85" s="1">
        <v>0</v>
      </c>
      <c r="C85" s="1">
        <f t="shared" si="5"/>
        <v>0.57843137254901966</v>
      </c>
    </row>
    <row r="86" spans="1:3" x14ac:dyDescent="0.2">
      <c r="A86">
        <v>58</v>
      </c>
      <c r="B86" s="1">
        <v>0</v>
      </c>
      <c r="C86" s="1">
        <f t="shared" si="5"/>
        <v>0.57843137254901966</v>
      </c>
    </row>
    <row r="87" spans="1:3" x14ac:dyDescent="0.2">
      <c r="A87">
        <v>58</v>
      </c>
      <c r="B87" s="1">
        <v>0</v>
      </c>
      <c r="C87" s="1">
        <f t="shared" si="5"/>
        <v>0.57843137254901966</v>
      </c>
    </row>
    <row r="88" spans="1:3" x14ac:dyDescent="0.2">
      <c r="A88">
        <v>58</v>
      </c>
      <c r="B88" s="1">
        <v>0</v>
      </c>
      <c r="C88" s="1">
        <f t="shared" si="5"/>
        <v>0.57843137254901966</v>
      </c>
    </row>
    <row r="89" spans="1:3" x14ac:dyDescent="0.2">
      <c r="A89">
        <v>58</v>
      </c>
      <c r="B89" s="1">
        <v>0</v>
      </c>
      <c r="C89" s="1">
        <f t="shared" si="5"/>
        <v>0.57843137254901966</v>
      </c>
    </row>
    <row r="90" spans="1:3" x14ac:dyDescent="0.2">
      <c r="A90">
        <v>58</v>
      </c>
      <c r="B90" s="1">
        <v>0</v>
      </c>
      <c r="C90" s="1">
        <f t="shared" si="5"/>
        <v>0.57843137254901966</v>
      </c>
    </row>
    <row r="91" spans="1:3" x14ac:dyDescent="0.2">
      <c r="A91">
        <v>58</v>
      </c>
      <c r="B91" s="1">
        <v>0</v>
      </c>
      <c r="C91" s="1">
        <f t="shared" si="5"/>
        <v>0.57843137254901966</v>
      </c>
    </row>
    <row r="92" spans="1:3" x14ac:dyDescent="0.2">
      <c r="A92">
        <v>58</v>
      </c>
      <c r="B92" s="1">
        <v>0</v>
      </c>
      <c r="C92" s="1">
        <f t="shared" si="5"/>
        <v>0.57843137254901966</v>
      </c>
    </row>
    <row r="93" spans="1:3" x14ac:dyDescent="0.2">
      <c r="A93">
        <v>58</v>
      </c>
      <c r="B93" s="1">
        <v>0</v>
      </c>
      <c r="C93" s="1">
        <f t="shared" si="5"/>
        <v>0.57843137254901966</v>
      </c>
    </row>
    <row r="94" spans="1:3" x14ac:dyDescent="0.2">
      <c r="A94">
        <v>58</v>
      </c>
      <c r="B94" s="1">
        <v>0</v>
      </c>
      <c r="C94" s="1">
        <f t="shared" si="5"/>
        <v>0.57843137254901966</v>
      </c>
    </row>
    <row r="95" spans="1:3" x14ac:dyDescent="0.2">
      <c r="A95">
        <v>58</v>
      </c>
      <c r="B95" s="1">
        <v>0</v>
      </c>
      <c r="C95" s="1">
        <f t="shared" si="5"/>
        <v>0.57843137254901966</v>
      </c>
    </row>
    <row r="96" spans="1:3" x14ac:dyDescent="0.2">
      <c r="A96">
        <v>58</v>
      </c>
      <c r="B96" s="1">
        <v>0</v>
      </c>
      <c r="C96" s="1">
        <f t="shared" si="5"/>
        <v>0.57843137254901966</v>
      </c>
    </row>
    <row r="97" spans="1:3" x14ac:dyDescent="0.2">
      <c r="A97">
        <v>58</v>
      </c>
      <c r="B97" s="1">
        <v>0</v>
      </c>
      <c r="C97" s="1">
        <f t="shared" si="5"/>
        <v>0.57843137254901966</v>
      </c>
    </row>
    <row r="98" spans="1:3" x14ac:dyDescent="0.2">
      <c r="A98">
        <v>58</v>
      </c>
      <c r="B98" s="1">
        <v>0</v>
      </c>
      <c r="C98" s="1">
        <f t="shared" si="5"/>
        <v>0.57843137254901966</v>
      </c>
    </row>
    <row r="99" spans="1:3" x14ac:dyDescent="0.2">
      <c r="A99">
        <v>58</v>
      </c>
      <c r="B99" s="1">
        <v>0</v>
      </c>
      <c r="C99" s="1">
        <f t="shared" si="5"/>
        <v>0.57843137254901966</v>
      </c>
    </row>
    <row r="100" spans="1:3" x14ac:dyDescent="0.2">
      <c r="A100">
        <v>58</v>
      </c>
      <c r="B100" s="1">
        <v>0</v>
      </c>
      <c r="C100" s="1">
        <f t="shared" si="5"/>
        <v>0.57843137254901966</v>
      </c>
    </row>
    <row r="101" spans="1:3" x14ac:dyDescent="0.2">
      <c r="A101">
        <v>58</v>
      </c>
      <c r="B101" s="1">
        <v>0</v>
      </c>
      <c r="C101" s="1">
        <f t="shared" si="5"/>
        <v>0.57843137254901966</v>
      </c>
    </row>
    <row r="102" spans="1:3" x14ac:dyDescent="0.2">
      <c r="A102">
        <v>58</v>
      </c>
      <c r="B102" s="1">
        <v>0</v>
      </c>
      <c r="C102" s="1">
        <f t="shared" si="5"/>
        <v>0.57843137254901966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C68E-2A3D-444B-8131-76F18E97BFAF}">
  <dimension ref="A1:R102"/>
  <sheetViews>
    <sheetView zoomScaleNormal="100" workbookViewId="0">
      <selection activeCell="C3" sqref="C3"/>
    </sheetView>
  </sheetViews>
  <sheetFormatPr baseColWidth="10" defaultColWidth="10.6640625" defaultRowHeight="16" x14ac:dyDescent="0.2"/>
  <cols>
    <col min="11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17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0.5/15</f>
        <v>3.3333333333333333E-2</v>
      </c>
      <c r="F2" s="1">
        <f>0.4/7</f>
        <v>5.7142857142857148E-2</v>
      </c>
    </row>
    <row r="3" spans="1:18" x14ac:dyDescent="0.2">
      <c r="A3">
        <v>1</v>
      </c>
      <c r="B3" s="1">
        <f t="shared" ref="B3:B18" si="0">B4+$F$5</f>
        <v>2.4652801120448191</v>
      </c>
      <c r="C3" s="1">
        <f t="shared" ref="C3:C34" si="1">((A3+1)/(COUNT($A$3:$A$102)+2))</f>
        <v>1.9607843137254902E-2</v>
      </c>
      <c r="E3" s="1">
        <f>0.5/35</f>
        <v>1.4285714285714285E-2</v>
      </c>
      <c r="F3">
        <f>0.4/17</f>
        <v>2.3529411764705882E-2</v>
      </c>
    </row>
    <row r="4" spans="1:18" x14ac:dyDescent="0.2">
      <c r="A4">
        <v>2</v>
      </c>
      <c r="B4" s="1">
        <f t="shared" si="0"/>
        <v>2.4319467787114859</v>
      </c>
      <c r="C4" s="1">
        <f t="shared" si="1"/>
        <v>2.9411764705882353E-2</v>
      </c>
      <c r="E4" s="1">
        <f>0.52/8</f>
        <v>6.5000000000000002E-2</v>
      </c>
      <c r="F4">
        <f>0.7/60</f>
        <v>1.1666666666666665E-2</v>
      </c>
    </row>
    <row r="5" spans="1:18" x14ac:dyDescent="0.2">
      <c r="A5">
        <v>3</v>
      </c>
      <c r="B5" s="1">
        <f t="shared" si="0"/>
        <v>2.3986134453781527</v>
      </c>
      <c r="C5" s="1">
        <f t="shared" si="1"/>
        <v>3.9215686274509803E-2</v>
      </c>
      <c r="F5">
        <f>0.6/18</f>
        <v>3.3333333333333333E-2</v>
      </c>
    </row>
    <row r="6" spans="1:18" x14ac:dyDescent="0.2">
      <c r="A6">
        <v>4</v>
      </c>
      <c r="B6" s="1">
        <f t="shared" si="0"/>
        <v>2.3652801120448195</v>
      </c>
      <c r="C6" s="1">
        <f t="shared" si="1"/>
        <v>4.9019607843137254E-2</v>
      </c>
      <c r="F6" s="1"/>
      <c r="K6"/>
    </row>
    <row r="7" spans="1:18" x14ac:dyDescent="0.2">
      <c r="A7">
        <v>5</v>
      </c>
      <c r="B7" s="1">
        <f t="shared" si="0"/>
        <v>2.3319467787114863</v>
      </c>
      <c r="C7" s="1">
        <f t="shared" si="1"/>
        <v>5.8823529411764705E-2</v>
      </c>
      <c r="K7"/>
    </row>
    <row r="8" spans="1:18" x14ac:dyDescent="0.2">
      <c r="A8">
        <v>6</v>
      </c>
      <c r="B8" s="1">
        <f t="shared" si="0"/>
        <v>2.298613445378153</v>
      </c>
      <c r="C8" s="1">
        <f t="shared" si="1"/>
        <v>6.8627450980392163E-2</v>
      </c>
      <c r="K8"/>
    </row>
    <row r="9" spans="1:18" x14ac:dyDescent="0.2">
      <c r="A9">
        <v>7</v>
      </c>
      <c r="B9" s="1">
        <f t="shared" si="0"/>
        <v>2.2652801120448198</v>
      </c>
      <c r="C9" s="1">
        <f t="shared" si="1"/>
        <v>7.8431372549019607E-2</v>
      </c>
      <c r="K9"/>
    </row>
    <row r="10" spans="1:18" x14ac:dyDescent="0.2">
      <c r="A10">
        <v>8</v>
      </c>
      <c r="B10" s="1">
        <f t="shared" si="0"/>
        <v>2.2319467787114866</v>
      </c>
      <c r="C10" s="1">
        <f t="shared" si="1"/>
        <v>8.8235294117647065E-2</v>
      </c>
      <c r="K10"/>
    </row>
    <row r="11" spans="1:18" x14ac:dyDescent="0.2">
      <c r="A11">
        <v>9</v>
      </c>
      <c r="B11" s="1">
        <f t="shared" si="0"/>
        <v>2.1986134453781534</v>
      </c>
      <c r="C11" s="1">
        <f t="shared" si="1"/>
        <v>9.8039215686274508E-2</v>
      </c>
      <c r="K11"/>
    </row>
    <row r="12" spans="1:18" x14ac:dyDescent="0.2">
      <c r="A12">
        <v>10</v>
      </c>
      <c r="B12" s="1">
        <f t="shared" si="0"/>
        <v>2.1652801120448202</v>
      </c>
      <c r="C12" s="1">
        <f t="shared" si="1"/>
        <v>0.10784313725490197</v>
      </c>
      <c r="K12"/>
    </row>
    <row r="13" spans="1:18" x14ac:dyDescent="0.2">
      <c r="A13">
        <v>11</v>
      </c>
      <c r="B13" s="1">
        <f t="shared" si="0"/>
        <v>2.131946778711487</v>
      </c>
      <c r="C13" s="1">
        <f t="shared" si="1"/>
        <v>0.11764705882352941</v>
      </c>
      <c r="K13"/>
      <c r="Q13" s="2"/>
      <c r="R13" s="1"/>
    </row>
    <row r="14" spans="1:18" x14ac:dyDescent="0.2">
      <c r="A14">
        <v>12</v>
      </c>
      <c r="B14" s="1">
        <f t="shared" si="0"/>
        <v>2.0986134453781538</v>
      </c>
      <c r="C14" s="1">
        <f t="shared" si="1"/>
        <v>0.12745098039215685</v>
      </c>
      <c r="K14"/>
      <c r="Q14" s="2"/>
      <c r="R14" s="1"/>
    </row>
    <row r="15" spans="1:18" x14ac:dyDescent="0.2">
      <c r="A15">
        <v>13</v>
      </c>
      <c r="B15" s="1">
        <f t="shared" si="0"/>
        <v>2.0652801120448205</v>
      </c>
      <c r="C15" s="1">
        <f t="shared" si="1"/>
        <v>0.13725490196078433</v>
      </c>
      <c r="K15"/>
      <c r="Q15" s="2"/>
      <c r="R15" s="1"/>
    </row>
    <row r="16" spans="1:18" x14ac:dyDescent="0.2">
      <c r="A16">
        <v>14</v>
      </c>
      <c r="B16" s="1">
        <f t="shared" si="0"/>
        <v>2.0319467787114873</v>
      </c>
      <c r="C16" s="1">
        <f t="shared" si="1"/>
        <v>0.14705882352941177</v>
      </c>
      <c r="K16"/>
      <c r="Q16" s="2"/>
      <c r="R16" s="1"/>
    </row>
    <row r="17" spans="1:18" x14ac:dyDescent="0.2">
      <c r="A17">
        <v>15</v>
      </c>
      <c r="B17" s="1">
        <f t="shared" si="0"/>
        <v>1.9986134453781539</v>
      </c>
      <c r="C17" s="1">
        <f t="shared" si="1"/>
        <v>0.15686274509803921</v>
      </c>
      <c r="K17"/>
      <c r="Q17" s="2"/>
      <c r="R17" s="1"/>
    </row>
    <row r="18" spans="1:18" x14ac:dyDescent="0.2">
      <c r="A18">
        <v>16</v>
      </c>
      <c r="B18" s="1">
        <f t="shared" si="0"/>
        <v>1.9652801120448204</v>
      </c>
      <c r="C18" s="1">
        <f t="shared" si="1"/>
        <v>0.16666666666666666</v>
      </c>
      <c r="K18"/>
      <c r="O18" s="3"/>
      <c r="P18" s="3"/>
      <c r="Q18" s="2"/>
      <c r="R18" s="1"/>
    </row>
    <row r="19" spans="1:18" x14ac:dyDescent="0.2">
      <c r="A19">
        <v>17</v>
      </c>
      <c r="B19" s="1">
        <f>B20+$F$5</f>
        <v>1.931946778711487</v>
      </c>
      <c r="C19" s="1">
        <f t="shared" si="1"/>
        <v>0.17647058823529413</v>
      </c>
      <c r="K19"/>
    </row>
    <row r="20" spans="1:18" x14ac:dyDescent="0.2">
      <c r="A20">
        <v>18</v>
      </c>
      <c r="B20" s="1">
        <f t="shared" ref="B20:B75" si="2">B21+$F$4</f>
        <v>1.8986134453781536</v>
      </c>
      <c r="C20" s="1">
        <f t="shared" si="1"/>
        <v>0.18627450980392157</v>
      </c>
      <c r="K20"/>
    </row>
    <row r="21" spans="1:18" x14ac:dyDescent="0.2">
      <c r="A21">
        <v>19</v>
      </c>
      <c r="B21" s="1">
        <f t="shared" si="2"/>
        <v>1.8869467787114869</v>
      </c>
      <c r="C21" s="1">
        <f t="shared" si="1"/>
        <v>0.19607843137254902</v>
      </c>
      <c r="K21"/>
    </row>
    <row r="22" spans="1:18" x14ac:dyDescent="0.2">
      <c r="A22">
        <v>20</v>
      </c>
      <c r="B22" s="1">
        <f t="shared" si="2"/>
        <v>1.8752801120448201</v>
      </c>
      <c r="C22" s="1">
        <f t="shared" si="1"/>
        <v>0.20588235294117646</v>
      </c>
      <c r="K22"/>
    </row>
    <row r="23" spans="1:18" x14ac:dyDescent="0.2">
      <c r="A23">
        <v>21</v>
      </c>
      <c r="B23" s="1">
        <f t="shared" si="2"/>
        <v>1.8636134453781534</v>
      </c>
      <c r="C23" s="1">
        <f t="shared" si="1"/>
        <v>0.21568627450980393</v>
      </c>
      <c r="K23"/>
    </row>
    <row r="24" spans="1:18" x14ac:dyDescent="0.2">
      <c r="A24">
        <v>22</v>
      </c>
      <c r="B24" s="1">
        <f t="shared" si="2"/>
        <v>1.8519467787114867</v>
      </c>
      <c r="C24" s="1">
        <f t="shared" si="1"/>
        <v>0.22549019607843138</v>
      </c>
      <c r="K24"/>
    </row>
    <row r="25" spans="1:18" x14ac:dyDescent="0.2">
      <c r="A25">
        <v>23</v>
      </c>
      <c r="B25" s="1">
        <f t="shared" si="2"/>
        <v>1.84028011204482</v>
      </c>
      <c r="C25" s="1">
        <f t="shared" si="1"/>
        <v>0.23529411764705882</v>
      </c>
      <c r="K25"/>
    </row>
    <row r="26" spans="1:18" x14ac:dyDescent="0.2">
      <c r="A26">
        <v>24</v>
      </c>
      <c r="B26" s="1">
        <f t="shared" si="2"/>
        <v>1.8286134453781533</v>
      </c>
      <c r="C26" s="1">
        <f t="shared" si="1"/>
        <v>0.24509803921568626</v>
      </c>
      <c r="K26"/>
    </row>
    <row r="27" spans="1:18" x14ac:dyDescent="0.2">
      <c r="A27">
        <v>25</v>
      </c>
      <c r="B27" s="1">
        <f t="shared" si="2"/>
        <v>1.8169467787114866</v>
      </c>
      <c r="C27" s="1">
        <f t="shared" si="1"/>
        <v>0.25490196078431371</v>
      </c>
      <c r="K27"/>
    </row>
    <row r="28" spans="1:18" x14ac:dyDescent="0.2">
      <c r="A28">
        <v>26</v>
      </c>
      <c r="B28" s="1">
        <f t="shared" si="2"/>
        <v>1.8052801120448199</v>
      </c>
      <c r="C28" s="1">
        <f t="shared" si="1"/>
        <v>0.26470588235294118</v>
      </c>
      <c r="K28"/>
    </row>
    <row r="29" spans="1:18" x14ac:dyDescent="0.2">
      <c r="A29">
        <v>27</v>
      </c>
      <c r="B29" s="1">
        <f t="shared" si="2"/>
        <v>1.7936134453781531</v>
      </c>
      <c r="C29" s="1">
        <f t="shared" si="1"/>
        <v>0.27450980392156865</v>
      </c>
      <c r="K29"/>
    </row>
    <row r="30" spans="1:18" x14ac:dyDescent="0.2">
      <c r="A30">
        <v>28</v>
      </c>
      <c r="B30" s="1">
        <f t="shared" si="2"/>
        <v>1.7819467787114864</v>
      </c>
      <c r="C30" s="1">
        <f t="shared" si="1"/>
        <v>0.28431372549019607</v>
      </c>
      <c r="K30"/>
    </row>
    <row r="31" spans="1:18" x14ac:dyDescent="0.2">
      <c r="A31">
        <v>29</v>
      </c>
      <c r="B31" s="1">
        <f t="shared" si="2"/>
        <v>1.7702801120448197</v>
      </c>
      <c r="C31" s="1">
        <f t="shared" si="1"/>
        <v>0.29411764705882354</v>
      </c>
    </row>
    <row r="32" spans="1:18" x14ac:dyDescent="0.2">
      <c r="A32">
        <v>30</v>
      </c>
      <c r="B32" s="1">
        <f t="shared" si="2"/>
        <v>1.758613445378153</v>
      </c>
      <c r="C32" s="1">
        <f t="shared" si="1"/>
        <v>0.30392156862745096</v>
      </c>
    </row>
    <row r="33" spans="1:3" x14ac:dyDescent="0.2">
      <c r="A33">
        <v>31</v>
      </c>
      <c r="B33" s="1">
        <f t="shared" si="2"/>
        <v>1.7469467787114863</v>
      </c>
      <c r="C33" s="1">
        <f t="shared" si="1"/>
        <v>0.31372549019607843</v>
      </c>
    </row>
    <row r="34" spans="1:3" x14ac:dyDescent="0.2">
      <c r="A34">
        <v>32</v>
      </c>
      <c r="B34" s="1">
        <f t="shared" si="2"/>
        <v>1.7352801120448196</v>
      </c>
      <c r="C34" s="1">
        <f t="shared" si="1"/>
        <v>0.3235294117647059</v>
      </c>
    </row>
    <row r="35" spans="1:3" x14ac:dyDescent="0.2">
      <c r="A35">
        <v>33</v>
      </c>
      <c r="B35" s="1">
        <f t="shared" si="2"/>
        <v>1.7236134453781529</v>
      </c>
      <c r="C35" s="1">
        <f t="shared" ref="C35:C66" si="3">((A35+1)/(COUNT($A$3:$A$102)+2))</f>
        <v>0.33333333333333331</v>
      </c>
    </row>
    <row r="36" spans="1:3" x14ac:dyDescent="0.2">
      <c r="A36">
        <v>34</v>
      </c>
      <c r="B36" s="1">
        <f t="shared" si="2"/>
        <v>1.7119467787114862</v>
      </c>
      <c r="C36" s="1">
        <f t="shared" si="3"/>
        <v>0.34313725490196079</v>
      </c>
    </row>
    <row r="37" spans="1:3" x14ac:dyDescent="0.2">
      <c r="A37">
        <v>35</v>
      </c>
      <c r="B37" s="1">
        <f t="shared" si="2"/>
        <v>1.7002801120448194</v>
      </c>
      <c r="C37" s="1">
        <f t="shared" si="3"/>
        <v>0.35294117647058826</v>
      </c>
    </row>
    <row r="38" spans="1:3" x14ac:dyDescent="0.2">
      <c r="A38">
        <v>36</v>
      </c>
      <c r="B38" s="1">
        <f t="shared" si="2"/>
        <v>1.6886134453781527</v>
      </c>
      <c r="C38" s="1">
        <f t="shared" si="3"/>
        <v>0.36274509803921567</v>
      </c>
    </row>
    <row r="39" spans="1:3" x14ac:dyDescent="0.2">
      <c r="A39">
        <v>37</v>
      </c>
      <c r="B39" s="1">
        <f t="shared" si="2"/>
        <v>1.676946778711486</v>
      </c>
      <c r="C39" s="1">
        <f t="shared" si="3"/>
        <v>0.37254901960784315</v>
      </c>
    </row>
    <row r="40" spans="1:3" x14ac:dyDescent="0.2">
      <c r="A40">
        <v>38</v>
      </c>
      <c r="B40" s="1">
        <f t="shared" si="2"/>
        <v>1.6652801120448193</v>
      </c>
      <c r="C40" s="1">
        <f t="shared" si="3"/>
        <v>0.38235294117647056</v>
      </c>
    </row>
    <row r="41" spans="1:3" x14ac:dyDescent="0.2">
      <c r="A41">
        <v>39</v>
      </c>
      <c r="B41" s="1">
        <f t="shared" si="2"/>
        <v>1.6536134453781526</v>
      </c>
      <c r="C41" s="1">
        <f t="shared" si="3"/>
        <v>0.39215686274509803</v>
      </c>
    </row>
    <row r="42" spans="1:3" x14ac:dyDescent="0.2">
      <c r="A42">
        <v>40</v>
      </c>
      <c r="B42" s="1">
        <f t="shared" si="2"/>
        <v>1.6419467787114859</v>
      </c>
      <c r="C42" s="1">
        <f t="shared" si="3"/>
        <v>0.40196078431372551</v>
      </c>
    </row>
    <row r="43" spans="1:3" x14ac:dyDescent="0.2">
      <c r="A43">
        <v>41</v>
      </c>
      <c r="B43" s="1">
        <f t="shared" si="2"/>
        <v>1.6302801120448192</v>
      </c>
      <c r="C43" s="1">
        <f t="shared" si="3"/>
        <v>0.41176470588235292</v>
      </c>
    </row>
    <row r="44" spans="1:3" x14ac:dyDescent="0.2">
      <c r="A44">
        <v>42</v>
      </c>
      <c r="B44" s="1">
        <f t="shared" si="2"/>
        <v>1.6186134453781524</v>
      </c>
      <c r="C44" s="1">
        <f t="shared" si="3"/>
        <v>0.42156862745098039</v>
      </c>
    </row>
    <row r="45" spans="1:3" x14ac:dyDescent="0.2">
      <c r="A45">
        <v>43</v>
      </c>
      <c r="B45" s="1">
        <f t="shared" si="2"/>
        <v>1.6069467787114857</v>
      </c>
      <c r="C45" s="1">
        <f t="shared" si="3"/>
        <v>0.43137254901960786</v>
      </c>
    </row>
    <row r="46" spans="1:3" x14ac:dyDescent="0.2">
      <c r="A46">
        <v>44</v>
      </c>
      <c r="B46" s="1">
        <f t="shared" si="2"/>
        <v>1.595280112044819</v>
      </c>
      <c r="C46" s="1">
        <f t="shared" si="3"/>
        <v>0.44117647058823528</v>
      </c>
    </row>
    <row r="47" spans="1:3" x14ac:dyDescent="0.2">
      <c r="A47">
        <v>45</v>
      </c>
      <c r="B47" s="1">
        <f t="shared" si="2"/>
        <v>1.5836134453781523</v>
      </c>
      <c r="C47" s="1">
        <f t="shared" si="3"/>
        <v>0.45098039215686275</v>
      </c>
    </row>
    <row r="48" spans="1:3" x14ac:dyDescent="0.2">
      <c r="A48">
        <v>46</v>
      </c>
      <c r="B48" s="1">
        <f t="shared" si="2"/>
        <v>1.5719467787114856</v>
      </c>
      <c r="C48" s="1">
        <f t="shared" si="3"/>
        <v>0.46078431372549017</v>
      </c>
    </row>
    <row r="49" spans="1:3" x14ac:dyDescent="0.2">
      <c r="A49">
        <v>47</v>
      </c>
      <c r="B49" s="1">
        <f t="shared" si="2"/>
        <v>1.5602801120448189</v>
      </c>
      <c r="C49" s="1">
        <f t="shared" si="3"/>
        <v>0.47058823529411764</v>
      </c>
    </row>
    <row r="50" spans="1:3" x14ac:dyDescent="0.2">
      <c r="A50">
        <v>48</v>
      </c>
      <c r="B50" s="1">
        <f t="shared" si="2"/>
        <v>1.5486134453781522</v>
      </c>
      <c r="C50" s="1">
        <f t="shared" si="3"/>
        <v>0.48039215686274511</v>
      </c>
    </row>
    <row r="51" spans="1:3" x14ac:dyDescent="0.2">
      <c r="A51">
        <v>49</v>
      </c>
      <c r="B51" s="1">
        <f t="shared" si="2"/>
        <v>1.5369467787114854</v>
      </c>
      <c r="C51" s="1">
        <f t="shared" si="3"/>
        <v>0.49019607843137253</v>
      </c>
    </row>
    <row r="52" spans="1:3" x14ac:dyDescent="0.2">
      <c r="A52">
        <v>50</v>
      </c>
      <c r="B52" s="1">
        <f t="shared" si="2"/>
        <v>1.5252801120448187</v>
      </c>
      <c r="C52" s="1">
        <f t="shared" si="3"/>
        <v>0.5</v>
      </c>
    </row>
    <row r="53" spans="1:3" x14ac:dyDescent="0.2">
      <c r="A53">
        <v>51</v>
      </c>
      <c r="B53" s="1">
        <f t="shared" si="2"/>
        <v>1.513613445378152</v>
      </c>
      <c r="C53" s="1">
        <f t="shared" si="3"/>
        <v>0.50980392156862742</v>
      </c>
    </row>
    <row r="54" spans="1:3" x14ac:dyDescent="0.2">
      <c r="A54">
        <v>52</v>
      </c>
      <c r="B54" s="1">
        <f t="shared" si="2"/>
        <v>1.5019467787114853</v>
      </c>
      <c r="C54" s="1">
        <f t="shared" si="3"/>
        <v>0.51960784313725494</v>
      </c>
    </row>
    <row r="55" spans="1:3" x14ac:dyDescent="0.2">
      <c r="A55">
        <v>53</v>
      </c>
      <c r="B55" s="1">
        <f t="shared" si="2"/>
        <v>1.4902801120448186</v>
      </c>
      <c r="C55" s="1">
        <f t="shared" si="3"/>
        <v>0.52941176470588236</v>
      </c>
    </row>
    <row r="56" spans="1:3" x14ac:dyDescent="0.2">
      <c r="A56">
        <v>54</v>
      </c>
      <c r="B56" s="1">
        <f t="shared" si="2"/>
        <v>1.4786134453781519</v>
      </c>
      <c r="C56" s="1">
        <f t="shared" si="3"/>
        <v>0.53921568627450978</v>
      </c>
    </row>
    <row r="57" spans="1:3" x14ac:dyDescent="0.2">
      <c r="A57">
        <v>55</v>
      </c>
      <c r="B57" s="1">
        <f t="shared" si="2"/>
        <v>1.4669467787114852</v>
      </c>
      <c r="C57" s="1">
        <f t="shared" si="3"/>
        <v>0.5490196078431373</v>
      </c>
    </row>
    <row r="58" spans="1:3" x14ac:dyDescent="0.2">
      <c r="A58">
        <v>56</v>
      </c>
      <c r="B58" s="1">
        <f t="shared" si="2"/>
        <v>1.4552801120448184</v>
      </c>
      <c r="C58" s="1">
        <f t="shared" si="3"/>
        <v>0.55882352941176472</v>
      </c>
    </row>
    <row r="59" spans="1:3" x14ac:dyDescent="0.2">
      <c r="A59">
        <v>57</v>
      </c>
      <c r="B59" s="1">
        <f t="shared" si="2"/>
        <v>1.4436134453781517</v>
      </c>
      <c r="C59" s="1">
        <f t="shared" si="3"/>
        <v>0.56862745098039214</v>
      </c>
    </row>
    <row r="60" spans="1:3" x14ac:dyDescent="0.2">
      <c r="A60">
        <v>58</v>
      </c>
      <c r="B60" s="1">
        <f t="shared" si="2"/>
        <v>1.431946778711485</v>
      </c>
      <c r="C60" s="1">
        <f t="shared" si="3"/>
        <v>0.57843137254901966</v>
      </c>
    </row>
    <row r="61" spans="1:3" x14ac:dyDescent="0.2">
      <c r="A61">
        <v>59</v>
      </c>
      <c r="B61" s="1">
        <f t="shared" si="2"/>
        <v>1.4202801120448183</v>
      </c>
      <c r="C61" s="1">
        <f t="shared" si="3"/>
        <v>0.58823529411764708</v>
      </c>
    </row>
    <row r="62" spans="1:3" x14ac:dyDescent="0.2">
      <c r="A62">
        <v>60</v>
      </c>
      <c r="B62" s="1">
        <f t="shared" si="2"/>
        <v>1.4086134453781516</v>
      </c>
      <c r="C62" s="1">
        <f t="shared" si="3"/>
        <v>0.59803921568627449</v>
      </c>
    </row>
    <row r="63" spans="1:3" x14ac:dyDescent="0.2">
      <c r="A63">
        <v>61</v>
      </c>
      <c r="B63" s="1">
        <f t="shared" si="2"/>
        <v>1.3969467787114849</v>
      </c>
      <c r="C63" s="1">
        <f t="shared" si="3"/>
        <v>0.60784313725490191</v>
      </c>
    </row>
    <row r="64" spans="1:3" x14ac:dyDescent="0.2">
      <c r="A64">
        <v>62</v>
      </c>
      <c r="B64" s="1">
        <f t="shared" si="2"/>
        <v>1.3852801120448182</v>
      </c>
      <c r="C64" s="1">
        <f t="shared" si="3"/>
        <v>0.61764705882352944</v>
      </c>
    </row>
    <row r="65" spans="1:3" x14ac:dyDescent="0.2">
      <c r="A65">
        <v>63</v>
      </c>
      <c r="B65" s="1">
        <f t="shared" si="2"/>
        <v>1.3736134453781514</v>
      </c>
      <c r="C65" s="1">
        <f t="shared" si="3"/>
        <v>0.62745098039215685</v>
      </c>
    </row>
    <row r="66" spans="1:3" x14ac:dyDescent="0.2">
      <c r="A66">
        <v>64</v>
      </c>
      <c r="B66" s="1">
        <f t="shared" si="2"/>
        <v>1.3619467787114847</v>
      </c>
      <c r="C66" s="1">
        <f t="shared" si="3"/>
        <v>0.63725490196078427</v>
      </c>
    </row>
    <row r="67" spans="1:3" x14ac:dyDescent="0.2">
      <c r="A67">
        <v>65</v>
      </c>
      <c r="B67" s="1">
        <f t="shared" si="2"/>
        <v>1.350280112044818</v>
      </c>
      <c r="C67" s="1">
        <f t="shared" ref="C67:C102" si="4">((A67+1)/(COUNT($A$3:$A$102)+2))</f>
        <v>0.6470588235294118</v>
      </c>
    </row>
    <row r="68" spans="1:3" x14ac:dyDescent="0.2">
      <c r="A68">
        <v>66</v>
      </c>
      <c r="B68" s="1">
        <f t="shared" si="2"/>
        <v>1.3386134453781513</v>
      </c>
      <c r="C68" s="1">
        <f t="shared" si="4"/>
        <v>0.65686274509803921</v>
      </c>
    </row>
    <row r="69" spans="1:3" x14ac:dyDescent="0.2">
      <c r="A69">
        <v>67</v>
      </c>
      <c r="B69" s="1">
        <f t="shared" si="2"/>
        <v>1.3269467787114846</v>
      </c>
      <c r="C69" s="1">
        <f t="shared" si="4"/>
        <v>0.66666666666666663</v>
      </c>
    </row>
    <row r="70" spans="1:3" x14ac:dyDescent="0.2">
      <c r="A70">
        <v>68</v>
      </c>
      <c r="B70" s="1">
        <f t="shared" si="2"/>
        <v>1.3152801120448179</v>
      </c>
      <c r="C70" s="1">
        <f t="shared" si="4"/>
        <v>0.67647058823529416</v>
      </c>
    </row>
    <row r="71" spans="1:3" x14ac:dyDescent="0.2">
      <c r="A71">
        <v>69</v>
      </c>
      <c r="B71" s="1">
        <f t="shared" si="2"/>
        <v>1.3036134453781512</v>
      </c>
      <c r="C71" s="1">
        <f t="shared" si="4"/>
        <v>0.68627450980392157</v>
      </c>
    </row>
    <row r="72" spans="1:3" x14ac:dyDescent="0.2">
      <c r="A72">
        <v>70</v>
      </c>
      <c r="B72" s="1">
        <f t="shared" si="2"/>
        <v>1.2919467787114844</v>
      </c>
      <c r="C72" s="1">
        <f t="shared" si="4"/>
        <v>0.69607843137254899</v>
      </c>
    </row>
    <row r="73" spans="1:3" x14ac:dyDescent="0.2">
      <c r="A73">
        <v>71</v>
      </c>
      <c r="B73" s="1">
        <f t="shared" si="2"/>
        <v>1.2802801120448177</v>
      </c>
      <c r="C73" s="1">
        <f t="shared" si="4"/>
        <v>0.70588235294117652</v>
      </c>
    </row>
    <row r="74" spans="1:3" x14ac:dyDescent="0.2">
      <c r="A74">
        <v>72</v>
      </c>
      <c r="B74" s="1">
        <f t="shared" si="2"/>
        <v>1.268613445378151</v>
      </c>
      <c r="C74" s="1">
        <f t="shared" si="4"/>
        <v>0.71568627450980393</v>
      </c>
    </row>
    <row r="75" spans="1:3" x14ac:dyDescent="0.2">
      <c r="A75">
        <v>73</v>
      </c>
      <c r="B75" s="1">
        <f t="shared" si="2"/>
        <v>1.2569467787114843</v>
      </c>
      <c r="C75" s="1">
        <f t="shared" si="4"/>
        <v>0.72549019607843135</v>
      </c>
    </row>
    <row r="76" spans="1:3" x14ac:dyDescent="0.2">
      <c r="A76">
        <v>74</v>
      </c>
      <c r="B76" s="1">
        <f>B77+$F$4</f>
        <v>1.2452801120448176</v>
      </c>
      <c r="C76" s="1">
        <f t="shared" si="4"/>
        <v>0.73529411764705888</v>
      </c>
    </row>
    <row r="77" spans="1:3" x14ac:dyDescent="0.2">
      <c r="A77">
        <v>75</v>
      </c>
      <c r="B77" s="1">
        <f t="shared" ref="B77:B91" si="5">B78+$F$3</f>
        <v>1.2336134453781509</v>
      </c>
      <c r="C77" s="1">
        <f t="shared" si="4"/>
        <v>0.74509803921568629</v>
      </c>
    </row>
    <row r="78" spans="1:3" x14ac:dyDescent="0.2">
      <c r="A78">
        <v>76</v>
      </c>
      <c r="B78" s="1">
        <f t="shared" si="5"/>
        <v>1.2100840336134451</v>
      </c>
      <c r="C78" s="1">
        <f t="shared" si="4"/>
        <v>0.75490196078431371</v>
      </c>
    </row>
    <row r="79" spans="1:3" x14ac:dyDescent="0.2">
      <c r="A79">
        <v>77</v>
      </c>
      <c r="B79" s="1">
        <f t="shared" si="5"/>
        <v>1.1865546218487393</v>
      </c>
      <c r="C79" s="1">
        <f t="shared" si="4"/>
        <v>0.76470588235294112</v>
      </c>
    </row>
    <row r="80" spans="1:3" x14ac:dyDescent="0.2">
      <c r="A80">
        <v>78</v>
      </c>
      <c r="B80" s="1">
        <f t="shared" si="5"/>
        <v>1.1630252100840335</v>
      </c>
      <c r="C80" s="1">
        <f t="shared" si="4"/>
        <v>0.77450980392156865</v>
      </c>
    </row>
    <row r="81" spans="1:3" x14ac:dyDescent="0.2">
      <c r="A81">
        <v>79</v>
      </c>
      <c r="B81" s="1">
        <f t="shared" si="5"/>
        <v>1.1394957983193277</v>
      </c>
      <c r="C81" s="1">
        <f t="shared" si="4"/>
        <v>0.78431372549019607</v>
      </c>
    </row>
    <row r="82" spans="1:3" x14ac:dyDescent="0.2">
      <c r="A82">
        <v>80</v>
      </c>
      <c r="B82" s="1">
        <f t="shared" si="5"/>
        <v>1.1159663865546219</v>
      </c>
      <c r="C82" s="1">
        <f t="shared" si="4"/>
        <v>0.79411764705882348</v>
      </c>
    </row>
    <row r="83" spans="1:3" x14ac:dyDescent="0.2">
      <c r="A83">
        <v>81</v>
      </c>
      <c r="B83" s="1">
        <f t="shared" si="5"/>
        <v>1.0924369747899161</v>
      </c>
      <c r="C83" s="1">
        <f t="shared" si="4"/>
        <v>0.80392156862745101</v>
      </c>
    </row>
    <row r="84" spans="1:3" x14ac:dyDescent="0.2">
      <c r="A84">
        <v>82</v>
      </c>
      <c r="B84" s="1">
        <f t="shared" si="5"/>
        <v>1.0689075630252103</v>
      </c>
      <c r="C84" s="1">
        <f t="shared" si="4"/>
        <v>0.81372549019607843</v>
      </c>
    </row>
    <row r="85" spans="1:3" x14ac:dyDescent="0.2">
      <c r="A85">
        <v>83</v>
      </c>
      <c r="B85" s="1">
        <f t="shared" si="5"/>
        <v>1.0453781512605045</v>
      </c>
      <c r="C85" s="1">
        <f t="shared" si="4"/>
        <v>0.82352941176470584</v>
      </c>
    </row>
    <row r="86" spans="1:3" x14ac:dyDescent="0.2">
      <c r="A86">
        <v>84</v>
      </c>
      <c r="B86" s="1">
        <f t="shared" si="5"/>
        <v>1.0218487394957987</v>
      </c>
      <c r="C86" s="1">
        <f t="shared" si="4"/>
        <v>0.83333333333333337</v>
      </c>
    </row>
    <row r="87" spans="1:3" x14ac:dyDescent="0.2">
      <c r="A87">
        <v>85</v>
      </c>
      <c r="B87" s="1">
        <f t="shared" si="5"/>
        <v>0.99831932773109278</v>
      </c>
      <c r="C87" s="1">
        <f t="shared" si="4"/>
        <v>0.84313725490196079</v>
      </c>
    </row>
    <row r="88" spans="1:3" x14ac:dyDescent="0.2">
      <c r="A88">
        <v>86</v>
      </c>
      <c r="B88" s="1">
        <f t="shared" si="5"/>
        <v>0.97478991596638687</v>
      </c>
      <c r="C88" s="1">
        <f t="shared" si="4"/>
        <v>0.8529411764705882</v>
      </c>
    </row>
    <row r="89" spans="1:3" x14ac:dyDescent="0.2">
      <c r="A89">
        <v>87</v>
      </c>
      <c r="B89" s="1">
        <f t="shared" si="5"/>
        <v>0.95126050420168096</v>
      </c>
      <c r="C89" s="1">
        <f t="shared" si="4"/>
        <v>0.86274509803921573</v>
      </c>
    </row>
    <row r="90" spans="1:3" x14ac:dyDescent="0.2">
      <c r="A90">
        <v>88</v>
      </c>
      <c r="B90" s="1">
        <f t="shared" si="5"/>
        <v>0.92773109243697505</v>
      </c>
      <c r="C90" s="1">
        <f t="shared" si="4"/>
        <v>0.87254901960784315</v>
      </c>
    </row>
    <row r="91" spans="1:3" x14ac:dyDescent="0.2">
      <c r="A91">
        <v>89</v>
      </c>
      <c r="B91" s="1">
        <f t="shared" si="5"/>
        <v>0.90420168067226914</v>
      </c>
      <c r="C91" s="1">
        <f t="shared" si="4"/>
        <v>0.88235294117647056</v>
      </c>
    </row>
    <row r="92" spans="1:3" x14ac:dyDescent="0.2">
      <c r="A92">
        <v>90</v>
      </c>
      <c r="B92" s="1">
        <f>B93+$F$3</f>
        <v>0.88067226890756323</v>
      </c>
      <c r="C92" s="1">
        <f t="shared" si="4"/>
        <v>0.89215686274509809</v>
      </c>
    </row>
    <row r="93" spans="1:3" x14ac:dyDescent="0.2">
      <c r="A93">
        <v>91</v>
      </c>
      <c r="B93" s="1">
        <f t="shared" ref="B93:B99" si="6">B94+$F$2</f>
        <v>0.85714285714285732</v>
      </c>
      <c r="C93" s="1">
        <f t="shared" si="4"/>
        <v>0.90196078431372551</v>
      </c>
    </row>
    <row r="94" spans="1:3" x14ac:dyDescent="0.2">
      <c r="A94">
        <v>92</v>
      </c>
      <c r="B94" s="1">
        <f t="shared" si="6"/>
        <v>0.80000000000000016</v>
      </c>
      <c r="C94" s="1">
        <f t="shared" si="4"/>
        <v>0.91176470588235292</v>
      </c>
    </row>
    <row r="95" spans="1:3" x14ac:dyDescent="0.2">
      <c r="A95">
        <v>93</v>
      </c>
      <c r="B95" s="1">
        <f t="shared" si="6"/>
        <v>0.74285714285714299</v>
      </c>
      <c r="C95" s="1">
        <f t="shared" si="4"/>
        <v>0.92156862745098034</v>
      </c>
    </row>
    <row r="96" spans="1:3" x14ac:dyDescent="0.2">
      <c r="A96">
        <v>94</v>
      </c>
      <c r="B96" s="1">
        <f t="shared" si="6"/>
        <v>0.68571428571428583</v>
      </c>
      <c r="C96" s="1">
        <f t="shared" si="4"/>
        <v>0.93137254901960786</v>
      </c>
    </row>
    <row r="97" spans="1:3" x14ac:dyDescent="0.2">
      <c r="A97">
        <v>95</v>
      </c>
      <c r="B97" s="1">
        <f t="shared" si="6"/>
        <v>0.62857142857142867</v>
      </c>
      <c r="C97" s="1">
        <f t="shared" si="4"/>
        <v>0.94117647058823528</v>
      </c>
    </row>
    <row r="98" spans="1:3" x14ac:dyDescent="0.2">
      <c r="A98">
        <v>96</v>
      </c>
      <c r="B98" s="1">
        <f t="shared" si="6"/>
        <v>0.57142857142857151</v>
      </c>
      <c r="C98" s="1">
        <f t="shared" si="4"/>
        <v>0.9509803921568627</v>
      </c>
    </row>
    <row r="99" spans="1:3" x14ac:dyDescent="0.2">
      <c r="A99">
        <v>97</v>
      </c>
      <c r="B99" s="1">
        <f t="shared" si="6"/>
        <v>0.51428571428571435</v>
      </c>
      <c r="C99" s="1">
        <f t="shared" si="4"/>
        <v>0.96078431372549022</v>
      </c>
    </row>
    <row r="100" spans="1:3" x14ac:dyDescent="0.2">
      <c r="A100">
        <v>98</v>
      </c>
      <c r="B100" s="1">
        <f>B101+$F$2</f>
        <v>0.45714285714285718</v>
      </c>
      <c r="C100" s="1">
        <f t="shared" si="4"/>
        <v>0.97058823529411764</v>
      </c>
    </row>
    <row r="101" spans="1:3" x14ac:dyDescent="0.2">
      <c r="A101">
        <v>99</v>
      </c>
      <c r="B101" s="1">
        <v>0.4</v>
      </c>
      <c r="C101" s="1">
        <f t="shared" si="4"/>
        <v>0.98039215686274506</v>
      </c>
    </row>
    <row r="102" spans="1:3" x14ac:dyDescent="0.2">
      <c r="A102">
        <v>100</v>
      </c>
      <c r="B102" s="1">
        <v>0</v>
      </c>
      <c r="C102" s="1">
        <f t="shared" si="4"/>
        <v>0.99019607843137258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E03-BFE7-8447-B556-6739EAB41C5B}">
  <dimension ref="A1:F17"/>
  <sheetViews>
    <sheetView tabSelected="1" zoomScaleNormal="100" workbookViewId="0">
      <selection activeCell="E18" sqref="E18"/>
    </sheetView>
  </sheetViews>
  <sheetFormatPr baseColWidth="10" defaultColWidth="10.6640625" defaultRowHeight="16" x14ac:dyDescent="0.2"/>
  <cols>
    <col min="1" max="1" width="23.1640625" customWidth="1"/>
    <col min="6" max="6" width="11.6640625" bestFit="1" customWidth="1"/>
  </cols>
  <sheetData>
    <row r="1" spans="1:6" ht="52" customHeight="1" thickBot="1" x14ac:dyDescent="0.25">
      <c r="A1" s="11" t="s">
        <v>8</v>
      </c>
      <c r="B1" s="12" t="s">
        <v>10</v>
      </c>
      <c r="C1" s="12" t="s">
        <v>6</v>
      </c>
      <c r="D1" s="12" t="s">
        <v>9</v>
      </c>
      <c r="E1" s="12" t="s">
        <v>11</v>
      </c>
      <c r="F1" s="12" t="s">
        <v>7</v>
      </c>
    </row>
    <row r="2" spans="1:6" x14ac:dyDescent="0.2">
      <c r="A2" s="4" t="s">
        <v>67</v>
      </c>
      <c r="B2" s="14">
        <v>450</v>
      </c>
      <c r="C2" s="14">
        <f t="shared" ref="C2:C9" si="0">D2*B2</f>
        <v>450000</v>
      </c>
      <c r="D2" s="14">
        <v>1000</v>
      </c>
      <c r="E2" s="14">
        <v>380</v>
      </c>
      <c r="F2" s="14">
        <f t="shared" ref="F2:F9" si="1">E2*D2</f>
        <v>380000</v>
      </c>
    </row>
    <row r="3" spans="1:6" x14ac:dyDescent="0.2">
      <c r="A3" s="4" t="s">
        <v>68</v>
      </c>
      <c r="B3" s="14">
        <v>20</v>
      </c>
      <c r="C3" s="14">
        <f t="shared" si="0"/>
        <v>20</v>
      </c>
      <c r="D3" s="14">
        <v>1</v>
      </c>
      <c r="E3" s="14">
        <v>1000000</v>
      </c>
      <c r="F3" s="14">
        <f t="shared" si="1"/>
        <v>1000000</v>
      </c>
    </row>
    <row r="4" spans="1:6" x14ac:dyDescent="0.2">
      <c r="A4" s="4" t="s">
        <v>61</v>
      </c>
      <c r="B4" s="14">
        <v>2300</v>
      </c>
      <c r="C4" s="14">
        <f>D4*B4</f>
        <v>575000</v>
      </c>
      <c r="D4" s="14">
        <v>250</v>
      </c>
      <c r="E4" s="14">
        <v>1000</v>
      </c>
      <c r="F4" s="14">
        <f t="shared" si="1"/>
        <v>250000</v>
      </c>
    </row>
    <row r="5" spans="1:6" x14ac:dyDescent="0.2">
      <c r="A5" s="4" t="s">
        <v>62</v>
      </c>
      <c r="B5" s="14">
        <v>1800</v>
      </c>
      <c r="C5" s="14">
        <f t="shared" si="0"/>
        <v>18000000</v>
      </c>
      <c r="D5" s="14">
        <v>10000</v>
      </c>
      <c r="E5" s="14">
        <v>100</v>
      </c>
      <c r="F5" s="14">
        <f t="shared" si="1"/>
        <v>1000000</v>
      </c>
    </row>
    <row r="6" spans="1:6" x14ac:dyDescent="0.2">
      <c r="A6" s="4" t="s">
        <v>63</v>
      </c>
      <c r="B6" s="14">
        <v>2800</v>
      </c>
      <c r="C6" s="14">
        <f t="shared" si="0"/>
        <v>2800000</v>
      </c>
      <c r="D6" s="14">
        <v>1000</v>
      </c>
      <c r="E6" s="14">
        <v>10</v>
      </c>
      <c r="F6" s="14">
        <f t="shared" si="1"/>
        <v>10000</v>
      </c>
    </row>
    <row r="7" spans="1:6" x14ac:dyDescent="0.2">
      <c r="A7" s="4" t="s">
        <v>64</v>
      </c>
      <c r="B7" s="14">
        <v>2100</v>
      </c>
      <c r="C7" s="14">
        <f t="shared" si="0"/>
        <v>42000000</v>
      </c>
      <c r="D7" s="14">
        <v>20000</v>
      </c>
      <c r="E7" s="14">
        <v>50</v>
      </c>
      <c r="F7" s="14">
        <f t="shared" si="1"/>
        <v>1000000</v>
      </c>
    </row>
    <row r="8" spans="1:6" x14ac:dyDescent="0.2">
      <c r="A8" s="4" t="s">
        <v>65</v>
      </c>
      <c r="B8" s="14">
        <v>1600</v>
      </c>
      <c r="C8" s="14">
        <f t="shared" si="0"/>
        <v>1600000</v>
      </c>
      <c r="D8" s="14">
        <v>1000</v>
      </c>
      <c r="E8" s="14">
        <v>20</v>
      </c>
      <c r="F8" s="14">
        <f t="shared" si="1"/>
        <v>20000</v>
      </c>
    </row>
    <row r="9" spans="1:6" ht="17" thickBot="1" x14ac:dyDescent="0.25">
      <c r="A9" s="13" t="s">
        <v>66</v>
      </c>
      <c r="B9" s="15">
        <v>1100</v>
      </c>
      <c r="C9" s="15">
        <f t="shared" si="0"/>
        <v>11000000</v>
      </c>
      <c r="D9" s="15">
        <v>10000</v>
      </c>
      <c r="E9" s="15">
        <v>5</v>
      </c>
      <c r="F9" s="15">
        <f t="shared" si="1"/>
        <v>50000</v>
      </c>
    </row>
    <row r="10" spans="1:6" ht="17" thickTop="1" x14ac:dyDescent="0.2">
      <c r="E10" t="s">
        <v>77</v>
      </c>
      <c r="F10" s="14">
        <f>SUM(F2:F9)</f>
        <v>3710000</v>
      </c>
    </row>
    <row r="13" spans="1:6" ht="52" thickBot="1" x14ac:dyDescent="0.25">
      <c r="A13" s="11" t="s">
        <v>59</v>
      </c>
      <c r="B13" s="12" t="s">
        <v>10</v>
      </c>
      <c r="C13" s="12" t="s">
        <v>6</v>
      </c>
      <c r="D13" s="12" t="s">
        <v>9</v>
      </c>
      <c r="E13" s="12" t="s">
        <v>11</v>
      </c>
      <c r="F13" s="12" t="s">
        <v>7</v>
      </c>
    </row>
    <row r="14" spans="1:6" x14ac:dyDescent="0.2">
      <c r="A14" s="4" t="s">
        <v>69</v>
      </c>
      <c r="B14" s="14">
        <v>300</v>
      </c>
      <c r="C14" s="14">
        <f t="shared" ref="C14:C15" si="2">D14*B14</f>
        <v>300</v>
      </c>
      <c r="D14" s="14">
        <v>1</v>
      </c>
      <c r="E14" s="14">
        <v>180000</v>
      </c>
      <c r="F14" s="14">
        <f t="shared" ref="F14:F16" si="3">E14*D14</f>
        <v>180000</v>
      </c>
    </row>
    <row r="15" spans="1:6" x14ac:dyDescent="0.2">
      <c r="A15" s="4" t="s">
        <v>60</v>
      </c>
      <c r="B15" s="14">
        <v>120</v>
      </c>
      <c r="C15" s="14">
        <f t="shared" si="2"/>
        <v>120</v>
      </c>
      <c r="D15" s="14">
        <v>1</v>
      </c>
      <c r="E15" s="14">
        <v>1000000</v>
      </c>
      <c r="F15" s="14">
        <f t="shared" si="3"/>
        <v>1000000</v>
      </c>
    </row>
    <row r="16" spans="1:6" ht="17" thickBot="1" x14ac:dyDescent="0.25">
      <c r="A16" s="13" t="s">
        <v>70</v>
      </c>
      <c r="B16" s="15">
        <v>600</v>
      </c>
      <c r="C16" s="15">
        <f>D16*B16</f>
        <v>600</v>
      </c>
      <c r="D16" s="15">
        <v>1</v>
      </c>
      <c r="E16" s="15">
        <v>500000</v>
      </c>
      <c r="F16" s="15">
        <f t="shared" si="3"/>
        <v>500000</v>
      </c>
    </row>
    <row r="17" spans="5:6" ht="17" thickTop="1" x14ac:dyDescent="0.2">
      <c r="E17" t="s">
        <v>77</v>
      </c>
      <c r="F17" s="14">
        <f>SUM(F14:F16)</f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23</vt:i4>
      </vt:variant>
    </vt:vector>
  </HeadingPairs>
  <TitlesOfParts>
    <vt:vector size="32" baseType="lpstr">
      <vt:lpstr>Shortage Distributions</vt:lpstr>
      <vt:lpstr>Results_Raw</vt:lpstr>
      <vt:lpstr>Sheet5</vt:lpstr>
      <vt:lpstr>Results_Volume</vt:lpstr>
      <vt:lpstr>Results_Cost</vt:lpstr>
      <vt:lpstr>Low</vt:lpstr>
      <vt:lpstr>Mid</vt:lpstr>
      <vt:lpstr>High</vt:lpstr>
      <vt:lpstr>Actions</vt:lpstr>
      <vt:lpstr>EX_OPTION_ci</vt:lpstr>
      <vt:lpstr>EX_OPTION_qf</vt:lpstr>
      <vt:lpstr>L_DESAL_ci</vt:lpstr>
      <vt:lpstr>L_DESAL_qf</vt:lpstr>
      <vt:lpstr>L_GW_ci</vt:lpstr>
      <vt:lpstr>L_GW_qf</vt:lpstr>
      <vt:lpstr>L_GWR_ci</vt:lpstr>
      <vt:lpstr>L_REC_ci</vt:lpstr>
      <vt:lpstr>L_REC_qf</vt:lpstr>
      <vt:lpstr>LS_RESTRICT_ci</vt:lpstr>
      <vt:lpstr>LS_RESTRICT_qf</vt:lpstr>
      <vt:lpstr>LS_RETRO_ci</vt:lpstr>
      <vt:lpstr>LS_RETRO_qf</vt:lpstr>
      <vt:lpstr>OPTION_ci</vt:lpstr>
      <vt:lpstr>OPTION_qf</vt:lpstr>
      <vt:lpstr>S_DESAL_ci</vt:lpstr>
      <vt:lpstr>S_DESAL_qf</vt:lpstr>
      <vt:lpstr>S_GWR_ci</vt:lpstr>
      <vt:lpstr>S_GWR_qf</vt:lpstr>
      <vt:lpstr>S_REC_ci</vt:lpstr>
      <vt:lpstr>S_REC_qf</vt:lpstr>
      <vt:lpstr>SPOT_ci</vt:lpstr>
      <vt:lpstr>SPOT_qf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2021-01-25T17:36:41Z</dcterms:created>
  <dcterms:modified xsi:type="dcterms:W3CDTF">2021-02-04T18:19:09Z</dcterms:modified>
</cp:coreProperties>
</file>