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cJohnson\GL\GL 2017\"/>
    </mc:Choice>
  </mc:AlternateContent>
  <bookViews>
    <workbookView xWindow="120" yWindow="456" windowWidth="17028" windowHeight="10668" activeTab="1" xr2:uid="{00000000-000D-0000-FFFF-FFFF00000000}"/>
  </bookViews>
  <sheets>
    <sheet name="By Day" sheetId="38" r:id="rId1"/>
    <sheet name="By Product" sheetId="39" r:id="rId2"/>
    <sheet name="100TCarrier" sheetId="34" r:id="rId3"/>
    <sheet name="200TCarrier" sheetId="36" state="hidden" r:id="rId4"/>
    <sheet name="Sheet1" sheetId="33" state="hidden" r:id="rId5"/>
    <sheet name="Drop Downs Master" sheetId="32" r:id="rId6"/>
    <sheet name="1" sheetId="1" r:id="rId7"/>
    <sheet name="2" sheetId="2" r:id="rId8"/>
    <sheet name="3" sheetId="3" r:id="rId9"/>
    <sheet name="4" sheetId="4" r:id="rId10"/>
    <sheet name="5" sheetId="5" r:id="rId11"/>
    <sheet name="6" sheetId="6" r:id="rId12"/>
    <sheet name="7" sheetId="7" r:id="rId13"/>
    <sheet name="8" sheetId="8" r:id="rId14"/>
    <sheet name="9" sheetId="9" r:id="rId15"/>
    <sheet name="10" sheetId="10" r:id="rId16"/>
    <sheet name="11" sheetId="11" r:id="rId17"/>
    <sheet name="12" sheetId="12" r:id="rId18"/>
    <sheet name="13" sheetId="13" r:id="rId19"/>
    <sheet name="14" sheetId="14" r:id="rId20"/>
    <sheet name="15" sheetId="15" r:id="rId21"/>
    <sheet name="16" sheetId="16" r:id="rId22"/>
    <sheet name="17" sheetId="17" r:id="rId23"/>
    <sheet name="18" sheetId="18" r:id="rId24"/>
    <sheet name="19" sheetId="19" r:id="rId25"/>
    <sheet name="20" sheetId="20" r:id="rId26"/>
    <sheet name="21" sheetId="21" r:id="rId27"/>
    <sheet name="22" sheetId="22" r:id="rId28"/>
    <sheet name="23" sheetId="23" r:id="rId29"/>
    <sheet name="24" sheetId="24" r:id="rId30"/>
    <sheet name="25" sheetId="25" r:id="rId31"/>
    <sheet name="26" sheetId="26" r:id="rId32"/>
    <sheet name="27" sheetId="27" r:id="rId33"/>
    <sheet name="28" sheetId="28" r:id="rId34"/>
    <sheet name="29" sheetId="29" r:id="rId35"/>
    <sheet name="30" sheetId="30" r:id="rId36"/>
  </sheets>
  <definedNames>
    <definedName name="_xlnm._FilterDatabase" localSheetId="2" hidden="1">'100TCarrier'!$A$3:$P$96</definedName>
  </definedNames>
  <calcPr calcId="171027"/>
  <pivotCaches>
    <pivotCache cacheId="10" r:id="rId37"/>
    <pivotCache cacheId="11" r:id="rId38"/>
  </pivotCaches>
</workbook>
</file>

<file path=xl/calcChain.xml><?xml version="1.0" encoding="utf-8"?>
<calcChain xmlns="http://schemas.openxmlformats.org/spreadsheetml/2006/main">
  <c r="E140" i="34" l="1"/>
  <c r="E137" i="34"/>
  <c r="E136" i="34"/>
  <c r="E139" i="34" l="1"/>
  <c r="K19" i="39"/>
  <c r="Y5" i="34" l="1"/>
  <c r="Y6" i="34"/>
  <c r="Y7" i="34"/>
  <c r="Y9" i="34"/>
  <c r="Y10" i="34"/>
  <c r="Y11" i="34"/>
  <c r="Y12" i="34"/>
  <c r="Y13" i="34"/>
  <c r="Y14" i="34"/>
  <c r="Y15" i="34"/>
  <c r="Y16" i="34"/>
  <c r="Y17" i="34"/>
  <c r="Y18" i="34"/>
  <c r="Y19" i="34"/>
  <c r="Y20" i="34"/>
  <c r="Y21" i="34"/>
  <c r="Y22" i="34"/>
  <c r="Y23" i="34"/>
  <c r="Y24" i="34"/>
  <c r="Y25" i="34"/>
  <c r="Y26" i="34"/>
  <c r="Y27" i="34"/>
  <c r="Y28" i="34"/>
  <c r="Y29" i="34"/>
  <c r="Y30" i="34"/>
  <c r="Y31" i="34"/>
  <c r="Y32" i="34"/>
  <c r="Y33" i="34"/>
  <c r="Y34" i="34"/>
  <c r="Y35" i="34"/>
  <c r="Y36" i="34"/>
  <c r="Y37" i="34"/>
  <c r="Y38" i="34"/>
  <c r="Y39" i="34"/>
  <c r="Y40" i="34"/>
  <c r="Y41" i="34"/>
  <c r="Y42" i="34"/>
  <c r="Y43" i="34"/>
  <c r="Y44" i="34"/>
  <c r="Y45" i="34"/>
  <c r="Y46" i="34"/>
  <c r="Y47" i="34"/>
  <c r="Y48" i="34"/>
  <c r="Y49" i="34"/>
  <c r="Y50" i="34"/>
  <c r="Y51" i="34"/>
  <c r="Y52" i="34"/>
  <c r="Y53" i="34"/>
  <c r="Y54" i="34"/>
  <c r="Y55" i="34"/>
  <c r="Y56" i="34"/>
  <c r="Y57" i="34"/>
  <c r="Y58" i="34"/>
  <c r="Y59" i="34"/>
  <c r="Y60" i="34"/>
  <c r="Y61" i="34"/>
  <c r="Y62" i="34"/>
  <c r="Y63" i="34"/>
  <c r="Y64" i="34"/>
  <c r="Y65" i="34"/>
  <c r="Y66" i="34"/>
  <c r="Y67" i="34"/>
  <c r="Y68" i="34"/>
  <c r="Y69" i="34"/>
  <c r="Y70" i="34"/>
  <c r="Y71" i="34"/>
  <c r="Y72" i="34"/>
  <c r="Y73" i="34"/>
  <c r="Y74" i="34"/>
  <c r="Y75" i="34"/>
  <c r="Y76" i="34"/>
  <c r="Y77" i="34"/>
  <c r="Y78" i="34"/>
  <c r="Y79" i="34"/>
  <c r="Y80" i="34"/>
  <c r="Y81" i="34"/>
  <c r="Y82" i="34"/>
  <c r="Y83" i="34"/>
  <c r="Y84" i="34"/>
  <c r="Y85" i="34"/>
  <c r="Y86" i="34"/>
  <c r="Y87" i="34"/>
  <c r="Y88" i="34"/>
  <c r="Y89" i="34"/>
  <c r="Y90" i="34"/>
  <c r="Y91" i="34"/>
  <c r="Y92" i="34"/>
  <c r="Y93" i="34"/>
  <c r="Y94" i="34"/>
  <c r="Y95" i="34"/>
  <c r="Y96" i="34"/>
  <c r="Y97" i="34"/>
  <c r="Y98" i="34"/>
  <c r="Y99" i="34"/>
  <c r="Y100" i="34"/>
  <c r="Y101" i="34"/>
  <c r="Y102" i="34"/>
  <c r="Y103" i="34"/>
  <c r="Y104" i="34"/>
  <c r="Y105" i="34"/>
  <c r="Y106" i="34"/>
  <c r="Y107" i="34"/>
  <c r="Y108" i="34"/>
  <c r="Y109" i="34"/>
  <c r="Y110" i="34"/>
  <c r="Y111" i="34"/>
  <c r="Y112" i="34"/>
  <c r="Y113" i="34"/>
  <c r="Y114" i="34"/>
  <c r="Y115" i="34"/>
  <c r="Y116" i="34"/>
  <c r="Y117" i="34"/>
  <c r="Y118" i="34"/>
  <c r="Y119" i="34"/>
  <c r="Y120" i="34"/>
  <c r="Y121" i="34"/>
  <c r="Y122" i="34"/>
  <c r="Y123" i="34"/>
  <c r="Y124" i="34"/>
  <c r="Y125" i="34"/>
  <c r="Y126" i="34"/>
  <c r="Y127" i="34"/>
  <c r="Y128" i="34"/>
  <c r="Y129" i="34"/>
  <c r="Y130" i="34"/>
  <c r="Y131" i="34"/>
  <c r="Y132" i="34"/>
  <c r="Y4" i="34"/>
  <c r="L132" i="34"/>
  <c r="I132" i="34"/>
  <c r="G132" i="34"/>
  <c r="H132" i="34" s="1"/>
  <c r="P132" i="34" s="1"/>
  <c r="F132" i="34"/>
  <c r="N132" i="34" s="1"/>
  <c r="L131" i="34"/>
  <c r="O131" i="34"/>
  <c r="N131" i="34"/>
  <c r="I131" i="34"/>
  <c r="H131" i="34"/>
  <c r="P131" i="34" s="1"/>
  <c r="G128" i="34"/>
  <c r="F128" i="34"/>
  <c r="O132" i="34" l="1"/>
  <c r="L127" i="34"/>
  <c r="N127" i="34"/>
  <c r="P127" i="34"/>
  <c r="L128" i="34"/>
  <c r="N128" i="34"/>
  <c r="L129" i="34"/>
  <c r="N129" i="34"/>
  <c r="L130" i="34"/>
  <c r="N130" i="34"/>
  <c r="H127" i="34"/>
  <c r="I127" i="34"/>
  <c r="H128" i="34"/>
  <c r="P128" i="34" s="1"/>
  <c r="I128" i="34"/>
  <c r="H129" i="34"/>
  <c r="P129" i="34" s="1"/>
  <c r="I129" i="34"/>
  <c r="H130" i="34"/>
  <c r="P130" i="34" s="1"/>
  <c r="I130" i="34"/>
  <c r="L126" i="34"/>
  <c r="G126" i="34"/>
  <c r="F126" i="34"/>
  <c r="N126" i="34" s="1"/>
  <c r="N125" i="34"/>
  <c r="L125" i="34"/>
  <c r="L124" i="34"/>
  <c r="F124" i="34"/>
  <c r="N124" i="34" s="1"/>
  <c r="N123" i="34"/>
  <c r="L123" i="34"/>
  <c r="F123" i="34"/>
  <c r="O127" i="34" l="1"/>
  <c r="O130" i="34"/>
  <c r="O129" i="34"/>
  <c r="O128" i="34"/>
  <c r="L122" i="34"/>
  <c r="O122" i="34" s="1"/>
  <c r="N122" i="34"/>
  <c r="H122" i="34"/>
  <c r="P122" i="34" s="1"/>
  <c r="I122" i="34"/>
  <c r="H123" i="34"/>
  <c r="P123" i="34" s="1"/>
  <c r="I123" i="34"/>
  <c r="H124" i="34"/>
  <c r="P124" i="34" s="1"/>
  <c r="I124" i="34"/>
  <c r="H125" i="34"/>
  <c r="I125" i="34"/>
  <c r="H126" i="34"/>
  <c r="O126" i="34" s="1"/>
  <c r="I126" i="34"/>
  <c r="H119" i="34"/>
  <c r="P119" i="34" s="1"/>
  <c r="I119" i="34"/>
  <c r="L119" i="34"/>
  <c r="I118" i="34"/>
  <c r="H118" i="34"/>
  <c r="P118" i="34" s="1"/>
  <c r="H117" i="34"/>
  <c r="I117" i="34"/>
  <c r="H120" i="34"/>
  <c r="P120" i="34" s="1"/>
  <c r="I120" i="34"/>
  <c r="H121" i="34"/>
  <c r="I121" i="34"/>
  <c r="L117" i="34"/>
  <c r="L118" i="34"/>
  <c r="L120" i="34"/>
  <c r="L121" i="34"/>
  <c r="N116" i="34"/>
  <c r="N117" i="34"/>
  <c r="P117" i="34"/>
  <c r="N118" i="34"/>
  <c r="N119" i="34"/>
  <c r="N120" i="34"/>
  <c r="N121" i="34"/>
  <c r="L116" i="34"/>
  <c r="I116" i="34"/>
  <c r="F116" i="34"/>
  <c r="H116" i="34" s="1"/>
  <c r="L115" i="34"/>
  <c r="O115" i="34" s="1"/>
  <c r="N115" i="34"/>
  <c r="I115" i="34"/>
  <c r="H115" i="34"/>
  <c r="P115" i="34"/>
  <c r="G113" i="34"/>
  <c r="F113" i="34"/>
  <c r="F111" i="34"/>
  <c r="H111" i="34" s="1"/>
  <c r="G110" i="34"/>
  <c r="F110" i="34"/>
  <c r="N110" i="34" s="1"/>
  <c r="G108" i="34"/>
  <c r="F108" i="34"/>
  <c r="N107" i="34"/>
  <c r="N108" i="34"/>
  <c r="N109" i="34"/>
  <c r="P109" i="34"/>
  <c r="N111" i="34"/>
  <c r="N112" i="34"/>
  <c r="N113" i="34"/>
  <c r="N114" i="34"/>
  <c r="L107" i="34"/>
  <c r="O107" i="34" s="1"/>
  <c r="L108" i="34"/>
  <c r="L109" i="34"/>
  <c r="L110" i="34"/>
  <c r="L111" i="34"/>
  <c r="L112" i="34"/>
  <c r="L113" i="34"/>
  <c r="L114" i="34"/>
  <c r="H107" i="34"/>
  <c r="P107" i="34" s="1"/>
  <c r="I107" i="34"/>
  <c r="I108" i="34"/>
  <c r="H109" i="34"/>
  <c r="I109" i="34"/>
  <c r="H110" i="34"/>
  <c r="P110" i="34" s="1"/>
  <c r="I110" i="34"/>
  <c r="I111" i="34"/>
  <c r="H112" i="34"/>
  <c r="P112" i="34" s="1"/>
  <c r="I112" i="34"/>
  <c r="I113" i="34"/>
  <c r="H114" i="34"/>
  <c r="P114" i="34" s="1"/>
  <c r="I114" i="34"/>
  <c r="O116" i="34" l="1"/>
  <c r="P116" i="34"/>
  <c r="P125" i="34"/>
  <c r="O125" i="34"/>
  <c r="O123" i="34"/>
  <c r="O109" i="34"/>
  <c r="O114" i="34"/>
  <c r="O119" i="34"/>
  <c r="P126" i="34"/>
  <c r="O124" i="34"/>
  <c r="O121" i="34"/>
  <c r="P121" i="34"/>
  <c r="O117" i="34"/>
  <c r="O118" i="34"/>
  <c r="O120" i="34"/>
  <c r="H113" i="34"/>
  <c r="O113" i="34" s="1"/>
  <c r="O112" i="34"/>
  <c r="O111" i="34"/>
  <c r="P111" i="34"/>
  <c r="O110" i="34"/>
  <c r="H108" i="34"/>
  <c r="P108" i="34" s="1"/>
  <c r="O108" i="34"/>
  <c r="P113" i="34" l="1"/>
  <c r="L106" i="34"/>
  <c r="I106" i="34"/>
  <c r="G106" i="34"/>
  <c r="H106" i="34" s="1"/>
  <c r="F106" i="34"/>
  <c r="N106" i="34" s="1"/>
  <c r="L105" i="34"/>
  <c r="N105" i="34"/>
  <c r="I105" i="34"/>
  <c r="G105" i="34"/>
  <c r="H105" i="34" s="1"/>
  <c r="F105" i="34"/>
  <c r="P104" i="34"/>
  <c r="L104" i="34"/>
  <c r="F104" i="34"/>
  <c r="N104" i="34" s="1"/>
  <c r="G104" i="34"/>
  <c r="H104" i="34" s="1"/>
  <c r="O104" i="34" s="1"/>
  <c r="I104" i="34"/>
  <c r="L103" i="34"/>
  <c r="N103" i="34"/>
  <c r="I103" i="34"/>
  <c r="H103" i="34"/>
  <c r="P103" i="34" s="1"/>
  <c r="O106" i="34" l="1"/>
  <c r="P106" i="34"/>
  <c r="O103" i="34"/>
  <c r="O105" i="34"/>
  <c r="P105" i="34"/>
  <c r="G2" i="34"/>
  <c r="F99" i="34" l="1"/>
  <c r="N100" i="34"/>
  <c r="L100" i="34"/>
  <c r="O100" i="34" s="1"/>
  <c r="I100" i="34"/>
  <c r="H100" i="34"/>
  <c r="P100" i="34" s="1"/>
  <c r="G97" i="34"/>
  <c r="F97" i="34"/>
  <c r="N97" i="34" s="1"/>
  <c r="N98" i="34"/>
  <c r="N99" i="34"/>
  <c r="N101" i="34"/>
  <c r="N102" i="34"/>
  <c r="L97" i="34"/>
  <c r="L98" i="34"/>
  <c r="L99" i="34"/>
  <c r="L101" i="34"/>
  <c r="L102" i="34"/>
  <c r="I97" i="34"/>
  <c r="H98" i="34"/>
  <c r="I98" i="34"/>
  <c r="H99" i="34"/>
  <c r="I99" i="34"/>
  <c r="H101" i="34"/>
  <c r="P101" i="34" s="1"/>
  <c r="I101" i="34"/>
  <c r="H102" i="34"/>
  <c r="P102" i="34" s="1"/>
  <c r="I102" i="34"/>
  <c r="G96" i="34"/>
  <c r="F96" i="34"/>
  <c r="N96" i="34" s="1"/>
  <c r="F94" i="34"/>
  <c r="F93" i="34"/>
  <c r="H93" i="34" s="1"/>
  <c r="P93" i="34" s="1"/>
  <c r="F92" i="34"/>
  <c r="N92" i="34" s="1"/>
  <c r="F91" i="34"/>
  <c r="N91" i="34" s="1"/>
  <c r="L90" i="34"/>
  <c r="L91" i="34"/>
  <c r="L92" i="34"/>
  <c r="L93" i="34"/>
  <c r="L94" i="34"/>
  <c r="L95" i="34"/>
  <c r="L96" i="34"/>
  <c r="N90" i="34"/>
  <c r="N93" i="34"/>
  <c r="N94" i="34"/>
  <c r="N95" i="34"/>
  <c r="L89" i="34"/>
  <c r="H89" i="34"/>
  <c r="P89" i="34" s="1"/>
  <c r="I89" i="34"/>
  <c r="H90" i="34"/>
  <c r="P90" i="34" s="1"/>
  <c r="I90" i="34"/>
  <c r="I91" i="34"/>
  <c r="I92" i="34"/>
  <c r="I93" i="34"/>
  <c r="H94" i="34"/>
  <c r="P94" i="34" s="1"/>
  <c r="I94" i="34"/>
  <c r="H95" i="34"/>
  <c r="P95" i="34" s="1"/>
  <c r="I95" i="34"/>
  <c r="I96" i="34"/>
  <c r="F89" i="34"/>
  <c r="N89" i="34" s="1"/>
  <c r="O101" i="34" l="1"/>
  <c r="O89" i="34"/>
  <c r="O102" i="34"/>
  <c r="O99" i="34"/>
  <c r="P99" i="34"/>
  <c r="O98" i="34"/>
  <c r="P98" i="34"/>
  <c r="H97" i="34"/>
  <c r="H96" i="34"/>
  <c r="P96" i="34" s="1"/>
  <c r="O95" i="34"/>
  <c r="O94" i="34"/>
  <c r="O93" i="34"/>
  <c r="H92" i="34"/>
  <c r="P92" i="34" s="1"/>
  <c r="H91" i="34"/>
  <c r="O90" i="34"/>
  <c r="O96" i="34" l="1"/>
  <c r="O97" i="34"/>
  <c r="P97" i="34"/>
  <c r="O92" i="34"/>
  <c r="O91" i="34"/>
  <c r="P91" i="34"/>
  <c r="L88" i="34" l="1"/>
  <c r="G88" i="34"/>
  <c r="F88" i="34"/>
  <c r="L87" i="34"/>
  <c r="F87" i="34"/>
  <c r="L86" i="34"/>
  <c r="L85" i="34"/>
  <c r="G85" i="34"/>
  <c r="F85" i="34"/>
  <c r="L84" i="34" l="1"/>
  <c r="G84" i="34"/>
  <c r="F84" i="34"/>
  <c r="L83" i="34"/>
  <c r="F83" i="34"/>
  <c r="H83" i="34" s="1"/>
  <c r="L82" i="34"/>
  <c r="F82" i="34"/>
  <c r="N82" i="34" s="1"/>
  <c r="L81" i="34"/>
  <c r="N87" i="34"/>
  <c r="N88" i="34"/>
  <c r="H87" i="34"/>
  <c r="O87" i="34" s="1"/>
  <c r="I87" i="34"/>
  <c r="H88" i="34"/>
  <c r="O88" i="34" s="1"/>
  <c r="I88" i="34"/>
  <c r="L80" i="34"/>
  <c r="N79" i="34"/>
  <c r="N80" i="34"/>
  <c r="N81" i="34"/>
  <c r="N85" i="34"/>
  <c r="N86" i="34"/>
  <c r="L79" i="34"/>
  <c r="H79" i="34"/>
  <c r="P79" i="34" s="1"/>
  <c r="I79" i="34"/>
  <c r="H80" i="34"/>
  <c r="I80" i="34"/>
  <c r="H81" i="34"/>
  <c r="P81" i="34" s="1"/>
  <c r="I81" i="34"/>
  <c r="H82" i="34"/>
  <c r="I82" i="34"/>
  <c r="I83" i="34"/>
  <c r="I84" i="34"/>
  <c r="H85" i="34"/>
  <c r="O85" i="34" s="1"/>
  <c r="I85" i="34"/>
  <c r="H86" i="34"/>
  <c r="O86" i="34" s="1"/>
  <c r="I86" i="34"/>
  <c r="G78" i="34"/>
  <c r="F78" i="34"/>
  <c r="O79" i="34" l="1"/>
  <c r="O82" i="34"/>
  <c r="P86" i="34"/>
  <c r="P88" i="34"/>
  <c r="P87" i="34"/>
  <c r="P85" i="34"/>
  <c r="H84" i="34"/>
  <c r="P84" i="34" s="1"/>
  <c r="N84" i="34"/>
  <c r="O83" i="34"/>
  <c r="P83" i="34"/>
  <c r="N83" i="34"/>
  <c r="P82" i="34"/>
  <c r="O81" i="34"/>
  <c r="O80" i="34"/>
  <c r="P80" i="34"/>
  <c r="G76" i="34"/>
  <c r="F76" i="34"/>
  <c r="N76" i="34" s="1"/>
  <c r="G75" i="34"/>
  <c r="F75" i="34"/>
  <c r="N75" i="34" s="1"/>
  <c r="L72" i="34"/>
  <c r="N72" i="34"/>
  <c r="L73" i="34"/>
  <c r="N73" i="34"/>
  <c r="L74" i="34"/>
  <c r="N74" i="34"/>
  <c r="L75" i="34"/>
  <c r="L76" i="34"/>
  <c r="L77" i="34"/>
  <c r="N77" i="34"/>
  <c r="L78" i="34"/>
  <c r="N78" i="34"/>
  <c r="H72" i="34"/>
  <c r="P72" i="34" s="1"/>
  <c r="I72" i="34"/>
  <c r="H73" i="34"/>
  <c r="O73" i="34" s="1"/>
  <c r="I73" i="34"/>
  <c r="H74" i="34"/>
  <c r="I74" i="34"/>
  <c r="I75" i="34"/>
  <c r="I76" i="34"/>
  <c r="H77" i="34"/>
  <c r="P77" i="34" s="1"/>
  <c r="I77" i="34"/>
  <c r="H78" i="34"/>
  <c r="O78" i="34" s="1"/>
  <c r="I78" i="34"/>
  <c r="L71" i="34"/>
  <c r="N71" i="34"/>
  <c r="I71" i="34"/>
  <c r="H71" i="34"/>
  <c r="P71" i="34" s="1"/>
  <c r="L70" i="34"/>
  <c r="O70" i="34" s="1"/>
  <c r="N70" i="34"/>
  <c r="I70" i="34"/>
  <c r="H70" i="34"/>
  <c r="P70" i="34" s="1"/>
  <c r="O71" i="34" l="1"/>
  <c r="O77" i="34"/>
  <c r="P73" i="34"/>
  <c r="O72" i="34"/>
  <c r="O84" i="34"/>
  <c r="P78" i="34"/>
  <c r="H76" i="34"/>
  <c r="H75" i="34"/>
  <c r="O74" i="34"/>
  <c r="P74" i="34"/>
  <c r="O76" i="34" l="1"/>
  <c r="P76" i="34"/>
  <c r="O75" i="34"/>
  <c r="P75" i="34"/>
  <c r="L69" i="34" l="1"/>
  <c r="H69" i="34"/>
  <c r="P69" i="34" s="1"/>
  <c r="I69" i="34"/>
  <c r="N69" i="34"/>
  <c r="G66" i="34"/>
  <c r="F66" i="34"/>
  <c r="H66" i="34" s="1"/>
  <c r="P66" i="34" s="1"/>
  <c r="I66" i="34"/>
  <c r="L66" i="34"/>
  <c r="G62" i="34"/>
  <c r="F62" i="34"/>
  <c r="N66" i="34" l="1"/>
  <c r="O69" i="34"/>
  <c r="O66" i="34"/>
  <c r="L54" i="34" l="1"/>
  <c r="I54" i="34"/>
  <c r="F54" i="34"/>
  <c r="N54" i="34" s="1"/>
  <c r="F53" i="34"/>
  <c r="N58" i="34"/>
  <c r="N59" i="34"/>
  <c r="N60" i="34"/>
  <c r="N61" i="34"/>
  <c r="N62" i="34"/>
  <c r="N63" i="34"/>
  <c r="N64" i="34"/>
  <c r="N65" i="34"/>
  <c r="N67" i="34"/>
  <c r="N68" i="34"/>
  <c r="L58" i="34"/>
  <c r="L59" i="34"/>
  <c r="L60" i="34"/>
  <c r="L61" i="34"/>
  <c r="L62" i="34"/>
  <c r="L63" i="34"/>
  <c r="L64" i="34"/>
  <c r="L65" i="34"/>
  <c r="L67" i="34"/>
  <c r="L68" i="34"/>
  <c r="H55" i="34"/>
  <c r="P55" i="34" s="1"/>
  <c r="I55" i="34"/>
  <c r="H56" i="34"/>
  <c r="P56" i="34" s="1"/>
  <c r="I56" i="34"/>
  <c r="H57" i="34"/>
  <c r="I57" i="34"/>
  <c r="H58" i="34"/>
  <c r="P58" i="34" s="1"/>
  <c r="I58" i="34"/>
  <c r="H59" i="34"/>
  <c r="I59" i="34"/>
  <c r="H60" i="34"/>
  <c r="I60" i="34"/>
  <c r="H61" i="34"/>
  <c r="P61" i="34" s="1"/>
  <c r="I61" i="34"/>
  <c r="H62" i="34"/>
  <c r="P62" i="34" s="1"/>
  <c r="I62" i="34"/>
  <c r="H63" i="34"/>
  <c r="I63" i="34"/>
  <c r="H64" i="34"/>
  <c r="I64" i="34"/>
  <c r="H65" i="34"/>
  <c r="P65" i="34" s="1"/>
  <c r="I65" i="34"/>
  <c r="H67" i="34"/>
  <c r="P67" i="34" s="1"/>
  <c r="I67" i="34"/>
  <c r="H68" i="34"/>
  <c r="P68" i="34" s="1"/>
  <c r="I68" i="34"/>
  <c r="G49" i="34"/>
  <c r="F49" i="34"/>
  <c r="N49" i="34" s="1"/>
  <c r="L48" i="34"/>
  <c r="L49" i="34"/>
  <c r="L50" i="34"/>
  <c r="L51" i="34"/>
  <c r="L52" i="34"/>
  <c r="L53" i="34"/>
  <c r="L55" i="34"/>
  <c r="L56" i="34"/>
  <c r="L57" i="34"/>
  <c r="N48" i="34"/>
  <c r="N50" i="34"/>
  <c r="N51" i="34"/>
  <c r="N52" i="34"/>
  <c r="N55" i="34"/>
  <c r="N56" i="34"/>
  <c r="N57" i="34"/>
  <c r="H48" i="34"/>
  <c r="I48" i="34"/>
  <c r="I49" i="34"/>
  <c r="H50" i="34"/>
  <c r="P50" i="34" s="1"/>
  <c r="I50" i="34"/>
  <c r="H51" i="34"/>
  <c r="I51" i="34"/>
  <c r="H52" i="34"/>
  <c r="I52" i="34"/>
  <c r="I53" i="34"/>
  <c r="G45" i="34"/>
  <c r="F45" i="34"/>
  <c r="N45" i="34" s="1"/>
  <c r="G42" i="34"/>
  <c r="F42" i="34"/>
  <c r="N42" i="34" s="1"/>
  <c r="G40" i="34"/>
  <c r="F40" i="34"/>
  <c r="N40" i="34" s="1"/>
  <c r="G38" i="34"/>
  <c r="F38" i="34"/>
  <c r="N38" i="34" s="1"/>
  <c r="I36" i="34"/>
  <c r="L36" i="34"/>
  <c r="H37" i="34"/>
  <c r="I37" i="34"/>
  <c r="L37" i="34"/>
  <c r="N37" i="34"/>
  <c r="P37" i="34"/>
  <c r="I38" i="34"/>
  <c r="L38" i="34"/>
  <c r="H39" i="34"/>
  <c r="I39" i="34"/>
  <c r="L39" i="34"/>
  <c r="N39" i="34"/>
  <c r="P39" i="34"/>
  <c r="I40" i="34"/>
  <c r="L40" i="34"/>
  <c r="H41" i="34"/>
  <c r="I41" i="34"/>
  <c r="L41" i="34"/>
  <c r="N41" i="34"/>
  <c r="P41" i="34"/>
  <c r="I42" i="34"/>
  <c r="L42" i="34"/>
  <c r="H43" i="34"/>
  <c r="P43" i="34" s="1"/>
  <c r="I43" i="34"/>
  <c r="L43" i="34"/>
  <c r="N43" i="34"/>
  <c r="H44" i="34"/>
  <c r="P44" i="34" s="1"/>
  <c r="I44" i="34"/>
  <c r="L44" i="34"/>
  <c r="N44" i="34"/>
  <c r="I45" i="34"/>
  <c r="L45" i="34"/>
  <c r="H46" i="34"/>
  <c r="P46" i="34" s="1"/>
  <c r="I46" i="34"/>
  <c r="L46" i="34"/>
  <c r="N46" i="34"/>
  <c r="H47" i="34"/>
  <c r="I47" i="34"/>
  <c r="L47" i="34"/>
  <c r="N47" i="34"/>
  <c r="P47" i="34"/>
  <c r="G36" i="34"/>
  <c r="F36" i="34"/>
  <c r="N36" i="34" s="1"/>
  <c r="F33" i="34"/>
  <c r="H33" i="34" s="1"/>
  <c r="P33" i="34" s="1"/>
  <c r="I33" i="34"/>
  <c r="L33" i="34"/>
  <c r="F31" i="34"/>
  <c r="H32" i="34"/>
  <c r="P32" i="34" s="1"/>
  <c r="I32" i="34"/>
  <c r="L32" i="34"/>
  <c r="N32" i="34"/>
  <c r="H34" i="34"/>
  <c r="I34" i="34"/>
  <c r="L34" i="34"/>
  <c r="N34" i="34"/>
  <c r="P34" i="34"/>
  <c r="H35" i="34"/>
  <c r="P35" i="34" s="1"/>
  <c r="I35" i="34"/>
  <c r="L35" i="34"/>
  <c r="N35" i="34"/>
  <c r="F27" i="34"/>
  <c r="F25" i="34"/>
  <c r="G23" i="34"/>
  <c r="F23" i="34"/>
  <c r="F21" i="34"/>
  <c r="G21" i="34"/>
  <c r="F18" i="34"/>
  <c r="F17" i="34"/>
  <c r="N17" i="34" s="1"/>
  <c r="L17" i="34"/>
  <c r="I17" i="34"/>
  <c r="G17" i="34"/>
  <c r="L20" i="34"/>
  <c r="I20" i="34"/>
  <c r="G20" i="34"/>
  <c r="H20" i="34" s="1"/>
  <c r="P20" i="34" s="1"/>
  <c r="F20" i="34"/>
  <c r="N20" i="34" s="1"/>
  <c r="N19" i="34"/>
  <c r="L19" i="34"/>
  <c r="I19" i="34"/>
  <c r="H19" i="34"/>
  <c r="P19" i="34" s="1"/>
  <c r="I21" i="34"/>
  <c r="H36" i="34" l="1"/>
  <c r="H54" i="34"/>
  <c r="P54" i="34" s="1"/>
  <c r="H40" i="34"/>
  <c r="P40" i="34" s="1"/>
  <c r="O51" i="34"/>
  <c r="O68" i="34"/>
  <c r="O48" i="34"/>
  <c r="O67" i="34"/>
  <c r="O65" i="34"/>
  <c r="H21" i="34"/>
  <c r="H38" i="34"/>
  <c r="P38" i="34" s="1"/>
  <c r="H42" i="34"/>
  <c r="P42" i="34" s="1"/>
  <c r="H49" i="34"/>
  <c r="O49" i="34" s="1"/>
  <c r="H17" i="34"/>
  <c r="P17" i="34" s="1"/>
  <c r="P36" i="34"/>
  <c r="H45" i="34"/>
  <c r="P45" i="34" s="1"/>
  <c r="O63" i="34"/>
  <c r="O64" i="34"/>
  <c r="P63" i="34"/>
  <c r="P64" i="34"/>
  <c r="O62" i="34"/>
  <c r="O61" i="34"/>
  <c r="O60" i="34"/>
  <c r="P60" i="34"/>
  <c r="O59" i="34"/>
  <c r="P59" i="34"/>
  <c r="O58" i="34"/>
  <c r="O57" i="34"/>
  <c r="P57" i="34"/>
  <c r="O56" i="34"/>
  <c r="O55" i="34"/>
  <c r="H53" i="34"/>
  <c r="P53" i="34" s="1"/>
  <c r="N53" i="34"/>
  <c r="P48" i="34"/>
  <c r="O50" i="34"/>
  <c r="O52" i="34"/>
  <c r="P52" i="34"/>
  <c r="P51" i="34"/>
  <c r="O44" i="34"/>
  <c r="O37" i="34"/>
  <c r="O35" i="34"/>
  <c r="O43" i="34"/>
  <c r="O36" i="34"/>
  <c r="O46" i="34"/>
  <c r="O42" i="34"/>
  <c r="O47" i="34"/>
  <c r="O41" i="34"/>
  <c r="O40" i="34"/>
  <c r="O39" i="34"/>
  <c r="O34" i="34"/>
  <c r="O32" i="34"/>
  <c r="N33" i="34"/>
  <c r="O33" i="34"/>
  <c r="O19" i="34"/>
  <c r="O20" i="34"/>
  <c r="O54" i="34" l="1"/>
  <c r="O45" i="34"/>
  <c r="O38" i="34"/>
  <c r="P49" i="34"/>
  <c r="O17" i="34"/>
  <c r="O53" i="34"/>
  <c r="G13" i="34" l="1"/>
  <c r="F13" i="34"/>
  <c r="G11" i="34"/>
  <c r="F11" i="34"/>
  <c r="I12" i="34"/>
  <c r="I13" i="34"/>
  <c r="I14" i="34"/>
  <c r="I15" i="34"/>
  <c r="I16" i="34"/>
  <c r="I18" i="34"/>
  <c r="I22" i="34"/>
  <c r="I23" i="34"/>
  <c r="I24" i="34"/>
  <c r="I25" i="34"/>
  <c r="I26" i="34"/>
  <c r="I27" i="34"/>
  <c r="I28" i="34"/>
  <c r="I29" i="34"/>
  <c r="I30" i="34"/>
  <c r="I31" i="34"/>
  <c r="G8" i="34"/>
  <c r="F8" i="34"/>
  <c r="A8" i="34"/>
  <c r="Y8" i="34" s="1"/>
  <c r="G7" i="34"/>
  <c r="F7" i="34"/>
  <c r="I5" i="34"/>
  <c r="I6" i="34"/>
  <c r="I7" i="34"/>
  <c r="I8" i="34"/>
  <c r="I9" i="34"/>
  <c r="I10" i="34"/>
  <c r="I11" i="34"/>
  <c r="I4" i="34"/>
  <c r="G6" i="34"/>
  <c r="F6" i="34"/>
  <c r="H5" i="34"/>
  <c r="P5" i="34" s="1"/>
  <c r="L5" i="34"/>
  <c r="N5" i="34"/>
  <c r="N30" i="36"/>
  <c r="L30" i="36"/>
  <c r="O30" i="36" s="1"/>
  <c r="H30" i="36"/>
  <c r="P30" i="36" s="1"/>
  <c r="N29" i="36"/>
  <c r="L29" i="36"/>
  <c r="O29" i="36" s="1"/>
  <c r="H29" i="36"/>
  <c r="P29" i="36" s="1"/>
  <c r="N28" i="36"/>
  <c r="L28" i="36"/>
  <c r="O28" i="36" s="1"/>
  <c r="H28" i="36"/>
  <c r="P28" i="36" s="1"/>
  <c r="N27" i="36"/>
  <c r="L27" i="36"/>
  <c r="H27" i="36"/>
  <c r="P27" i="36" s="1"/>
  <c r="N26" i="36"/>
  <c r="L26" i="36"/>
  <c r="H26" i="36"/>
  <c r="P26" i="36" s="1"/>
  <c r="O25" i="36"/>
  <c r="N25" i="36"/>
  <c r="L25" i="36"/>
  <c r="H25" i="36"/>
  <c r="P25" i="36" s="1"/>
  <c r="O24" i="36"/>
  <c r="N24" i="36"/>
  <c r="L24" i="36"/>
  <c r="H24" i="36"/>
  <c r="P24" i="36" s="1"/>
  <c r="N23" i="36"/>
  <c r="L23" i="36"/>
  <c r="H23" i="36"/>
  <c r="P23" i="36" s="1"/>
  <c r="N22" i="36"/>
  <c r="L22" i="36"/>
  <c r="O22" i="36" s="1"/>
  <c r="H22" i="36"/>
  <c r="P22" i="36" s="1"/>
  <c r="N21" i="36"/>
  <c r="L21" i="36"/>
  <c r="O21" i="36" s="1"/>
  <c r="H21" i="36"/>
  <c r="P21" i="36" s="1"/>
  <c r="N20" i="36"/>
  <c r="L20" i="36"/>
  <c r="O20" i="36" s="1"/>
  <c r="H20" i="36"/>
  <c r="P20" i="36" s="1"/>
  <c r="N19" i="36"/>
  <c r="L19" i="36"/>
  <c r="H19" i="36"/>
  <c r="P19" i="36" s="1"/>
  <c r="N18" i="36"/>
  <c r="L18" i="36"/>
  <c r="H18" i="36"/>
  <c r="P18" i="36" s="1"/>
  <c r="O17" i="36"/>
  <c r="N17" i="36"/>
  <c r="L17" i="36"/>
  <c r="H17" i="36"/>
  <c r="P17" i="36" s="1"/>
  <c r="O16" i="36"/>
  <c r="N16" i="36"/>
  <c r="L16" i="36"/>
  <c r="H16" i="36"/>
  <c r="P16" i="36" s="1"/>
  <c r="N15" i="36"/>
  <c r="L15" i="36"/>
  <c r="H15" i="36"/>
  <c r="P15" i="36" s="1"/>
  <c r="N14" i="36"/>
  <c r="L14" i="36"/>
  <c r="O14" i="36" s="1"/>
  <c r="H14" i="36"/>
  <c r="P14" i="36" s="1"/>
  <c r="N13" i="36"/>
  <c r="L13" i="36"/>
  <c r="O13" i="36" s="1"/>
  <c r="H13" i="36"/>
  <c r="P13" i="36" s="1"/>
  <c r="N12" i="36"/>
  <c r="L12" i="36"/>
  <c r="O12" i="36" s="1"/>
  <c r="H12" i="36"/>
  <c r="P12" i="36" s="1"/>
  <c r="N11" i="36"/>
  <c r="L11" i="36"/>
  <c r="H11" i="36"/>
  <c r="P11" i="36" s="1"/>
  <c r="N10" i="36"/>
  <c r="L10" i="36"/>
  <c r="H10" i="36"/>
  <c r="P10" i="36" s="1"/>
  <c r="O9" i="36"/>
  <c r="N9" i="36"/>
  <c r="L9" i="36"/>
  <c r="H9" i="36"/>
  <c r="P9" i="36" s="1"/>
  <c r="O8" i="36"/>
  <c r="N8" i="36"/>
  <c r="L8" i="36"/>
  <c r="H8" i="36"/>
  <c r="P8" i="36" s="1"/>
  <c r="N7" i="36"/>
  <c r="L7" i="36"/>
  <c r="H7" i="36"/>
  <c r="P7" i="36" s="1"/>
  <c r="N6" i="36"/>
  <c r="L6" i="36"/>
  <c r="O6" i="36" s="1"/>
  <c r="H6" i="36"/>
  <c r="P6" i="36" s="1"/>
  <c r="O5" i="36"/>
  <c r="N5" i="36"/>
  <c r="I5" i="36"/>
  <c r="H5" i="36"/>
  <c r="P5" i="36" s="1"/>
  <c r="N4" i="36"/>
  <c r="L4" i="36"/>
  <c r="I4" i="36"/>
  <c r="H4" i="36"/>
  <c r="O19" i="36" l="1"/>
  <c r="O27" i="36"/>
  <c r="O18" i="36"/>
  <c r="O26" i="36"/>
  <c r="O11" i="36"/>
  <c r="O10" i="36"/>
  <c r="O4" i="36"/>
  <c r="O7" i="36"/>
  <c r="O15" i="36"/>
  <c r="O23" i="36"/>
  <c r="O5" i="34"/>
  <c r="P4" i="36"/>
  <c r="L4" i="34" l="1"/>
  <c r="N31" i="34"/>
  <c r="L31" i="34"/>
  <c r="H31" i="34"/>
  <c r="P31" i="34" s="1"/>
  <c r="N30" i="34"/>
  <c r="L30" i="34"/>
  <c r="H30" i="34"/>
  <c r="P30" i="34" s="1"/>
  <c r="N29" i="34"/>
  <c r="L29" i="34"/>
  <c r="H29" i="34"/>
  <c r="P29" i="34" s="1"/>
  <c r="N28" i="34"/>
  <c r="L28" i="34"/>
  <c r="H28" i="34"/>
  <c r="P28" i="34" s="1"/>
  <c r="N27" i="34"/>
  <c r="L27" i="34"/>
  <c r="H27" i="34"/>
  <c r="P27" i="34" s="1"/>
  <c r="N26" i="34"/>
  <c r="L26" i="34"/>
  <c r="H26" i="34"/>
  <c r="P26" i="34" s="1"/>
  <c r="N25" i="34"/>
  <c r="L25" i="34"/>
  <c r="H25" i="34"/>
  <c r="P25" i="34" s="1"/>
  <c r="N24" i="34"/>
  <c r="L24" i="34"/>
  <c r="H24" i="34"/>
  <c r="P24" i="34" s="1"/>
  <c r="N23" i="34"/>
  <c r="L23" i="34"/>
  <c r="H23" i="34"/>
  <c r="P23" i="34" s="1"/>
  <c r="N22" i="34"/>
  <c r="L22" i="34"/>
  <c r="H22" i="34"/>
  <c r="P22" i="34" s="1"/>
  <c r="N21" i="34"/>
  <c r="L21" i="34"/>
  <c r="P21" i="34"/>
  <c r="N18" i="34"/>
  <c r="L18" i="34"/>
  <c r="H18" i="34"/>
  <c r="P18" i="34" s="1"/>
  <c r="N16" i="34"/>
  <c r="L16" i="34"/>
  <c r="H16" i="34"/>
  <c r="P16" i="34" s="1"/>
  <c r="N15" i="34"/>
  <c r="L15" i="34"/>
  <c r="H15" i="34"/>
  <c r="P15" i="34" s="1"/>
  <c r="N14" i="34"/>
  <c r="L14" i="34"/>
  <c r="H14" i="34"/>
  <c r="P14" i="34" s="1"/>
  <c r="N13" i="34"/>
  <c r="L13" i="34"/>
  <c r="H13" i="34"/>
  <c r="P13" i="34" s="1"/>
  <c r="N12" i="34"/>
  <c r="L12" i="34"/>
  <c r="H12" i="34"/>
  <c r="P12" i="34" s="1"/>
  <c r="N11" i="34"/>
  <c r="L11" i="34"/>
  <c r="H11" i="34"/>
  <c r="P11" i="34" s="1"/>
  <c r="N10" i="34"/>
  <c r="L10" i="34"/>
  <c r="H10" i="34"/>
  <c r="P10" i="34" s="1"/>
  <c r="N9" i="34"/>
  <c r="L9" i="34"/>
  <c r="H9" i="34"/>
  <c r="P9" i="34" s="1"/>
  <c r="N8" i="34"/>
  <c r="L8" i="34"/>
  <c r="H8" i="34"/>
  <c r="P8" i="34" s="1"/>
  <c r="N7" i="34"/>
  <c r="L7" i="34"/>
  <c r="H7" i="34"/>
  <c r="P7" i="34" s="1"/>
  <c r="N6" i="34"/>
  <c r="L6" i="34"/>
  <c r="H6" i="34"/>
  <c r="P6" i="34" s="1"/>
  <c r="N4" i="34"/>
  <c r="H4" i="34"/>
  <c r="R16" i="33"/>
  <c r="O13" i="34" l="1"/>
  <c r="O26" i="34"/>
  <c r="O14" i="34"/>
  <c r="O4" i="34"/>
  <c r="O12" i="34"/>
  <c r="O18" i="34"/>
  <c r="O21" i="34"/>
  <c r="O25" i="34"/>
  <c r="O31" i="34"/>
  <c r="O11" i="34"/>
  <c r="O6" i="34"/>
  <c r="O10" i="34"/>
  <c r="O23" i="34"/>
  <c r="O29" i="34"/>
  <c r="O24" i="34"/>
  <c r="O30" i="34"/>
  <c r="O9" i="34"/>
  <c r="O22" i="34"/>
  <c r="O28" i="34"/>
  <c r="O7" i="34"/>
  <c r="O15" i="34"/>
  <c r="O27" i="34"/>
  <c r="O8" i="34"/>
  <c r="O16" i="34"/>
  <c r="P4" i="34"/>
  <c r="K5" i="33" l="1"/>
  <c r="L6" i="33"/>
  <c r="L7" i="33"/>
  <c r="L8" i="33"/>
  <c r="L9" i="33"/>
  <c r="L10" i="33"/>
  <c r="L11" i="33"/>
  <c r="L12" i="33"/>
  <c r="O12" i="33" s="1"/>
  <c r="L13" i="33"/>
  <c r="L14" i="33"/>
  <c r="L15" i="33"/>
  <c r="L16" i="33"/>
  <c r="L17" i="33"/>
  <c r="L18" i="33"/>
  <c r="L19" i="33"/>
  <c r="L20" i="33"/>
  <c r="O20" i="33" s="1"/>
  <c r="L21" i="33"/>
  <c r="L22" i="33"/>
  <c r="L23" i="33"/>
  <c r="L24" i="33"/>
  <c r="L25" i="33"/>
  <c r="L26" i="33"/>
  <c r="L27" i="33"/>
  <c r="L28" i="33"/>
  <c r="O28" i="33" s="1"/>
  <c r="L29" i="33"/>
  <c r="L30" i="33"/>
  <c r="K4" i="33"/>
  <c r="N5" i="33"/>
  <c r="N6" i="33"/>
  <c r="N7" i="33"/>
  <c r="N8" i="33"/>
  <c r="N9" i="33"/>
  <c r="N10" i="33"/>
  <c r="N11" i="33"/>
  <c r="P11" i="33"/>
  <c r="N12" i="33"/>
  <c r="N13" i="33"/>
  <c r="N14" i="33"/>
  <c r="N15" i="33"/>
  <c r="N16" i="33"/>
  <c r="N17" i="33"/>
  <c r="N18" i="33"/>
  <c r="N19" i="33"/>
  <c r="P19" i="33"/>
  <c r="N20" i="33"/>
  <c r="N21" i="33"/>
  <c r="N22" i="33"/>
  <c r="N23" i="33"/>
  <c r="P23" i="33"/>
  <c r="N24" i="33"/>
  <c r="N25" i="33"/>
  <c r="N26" i="33"/>
  <c r="N27" i="33"/>
  <c r="P27" i="33"/>
  <c r="N28" i="33"/>
  <c r="N29" i="33"/>
  <c r="N30" i="33"/>
  <c r="O5" i="33"/>
  <c r="H5" i="33"/>
  <c r="P5" i="33" s="1"/>
  <c r="H6" i="33"/>
  <c r="P6" i="33" s="1"/>
  <c r="H7" i="33"/>
  <c r="O7" i="33" s="1"/>
  <c r="H8" i="33"/>
  <c r="P8" i="33" s="1"/>
  <c r="H9" i="33"/>
  <c r="P9" i="33" s="1"/>
  <c r="H10" i="33"/>
  <c r="P10" i="33" s="1"/>
  <c r="H11" i="33"/>
  <c r="O11" i="33" s="1"/>
  <c r="H12" i="33"/>
  <c r="P12" i="33" s="1"/>
  <c r="H13" i="33"/>
  <c r="P13" i="33" s="1"/>
  <c r="H14" i="33"/>
  <c r="P14" i="33" s="1"/>
  <c r="H15" i="33"/>
  <c r="O15" i="33" s="1"/>
  <c r="H16" i="33"/>
  <c r="P16" i="33" s="1"/>
  <c r="H17" i="33"/>
  <c r="P17" i="33" s="1"/>
  <c r="H18" i="33"/>
  <c r="P18" i="33" s="1"/>
  <c r="H19" i="33"/>
  <c r="O19" i="33" s="1"/>
  <c r="H20" i="33"/>
  <c r="P20" i="33" s="1"/>
  <c r="H21" i="33"/>
  <c r="P21" i="33" s="1"/>
  <c r="H22" i="33"/>
  <c r="P22" i="33" s="1"/>
  <c r="H23" i="33"/>
  <c r="O23" i="33" s="1"/>
  <c r="H24" i="33"/>
  <c r="P24" i="33" s="1"/>
  <c r="H25" i="33"/>
  <c r="P25" i="33" s="1"/>
  <c r="H26" i="33"/>
  <c r="P26" i="33" s="1"/>
  <c r="H27" i="33"/>
  <c r="O27" i="33" s="1"/>
  <c r="H28" i="33"/>
  <c r="P28" i="33" s="1"/>
  <c r="H29" i="33"/>
  <c r="P29" i="33" s="1"/>
  <c r="H30" i="33"/>
  <c r="P30" i="33" s="1"/>
  <c r="H4" i="33"/>
  <c r="O4" i="33"/>
  <c r="N4" i="33"/>
  <c r="P4" i="33"/>
  <c r="C56" i="1"/>
  <c r="A56" i="1"/>
  <c r="O24" i="33" l="1"/>
  <c r="O16" i="33"/>
  <c r="O8" i="33"/>
  <c r="P15" i="33"/>
  <c r="P7" i="33"/>
  <c r="O30" i="33"/>
  <c r="O26" i="33"/>
  <c r="O22" i="33"/>
  <c r="O18" i="33"/>
  <c r="O14" i="33"/>
  <c r="O10" i="33"/>
  <c r="O6" i="33"/>
  <c r="O29" i="33"/>
  <c r="O25" i="33"/>
  <c r="O21" i="33"/>
  <c r="O17" i="33"/>
  <c r="O13" i="33"/>
  <c r="O9" i="33"/>
  <c r="C45" i="30"/>
  <c r="C51" i="30" s="1"/>
  <c r="B45" i="30"/>
  <c r="B51" i="30" s="1"/>
  <c r="B44" i="30"/>
  <c r="B50" i="30" s="1"/>
  <c r="C43" i="30"/>
  <c r="C46" i="30" s="1"/>
  <c r="B43" i="30"/>
  <c r="BC23" i="30"/>
  <c r="AZ10" i="30" s="1"/>
  <c r="BA8" i="30" s="1"/>
  <c r="BA9" i="30" s="1"/>
  <c r="BB23" i="30"/>
  <c r="BA23" i="30"/>
  <c r="AZ23" i="30"/>
  <c r="AY23" i="30"/>
  <c r="AX23" i="30"/>
  <c r="AW23" i="30"/>
  <c r="AV23" i="30"/>
  <c r="AU23" i="30"/>
  <c r="AR23" i="30"/>
  <c r="AO10" i="30" s="1"/>
  <c r="AP8" i="30" s="1"/>
  <c r="AQ23" i="30"/>
  <c r="AP23" i="30"/>
  <c r="AO23" i="30"/>
  <c r="AN23" i="30"/>
  <c r="AL23" i="30"/>
  <c r="AH10" i="30" s="1"/>
  <c r="AH8" i="30" s="1"/>
  <c r="AH9" i="30" s="1"/>
  <c r="AI8" i="30" s="1"/>
  <c r="AK23" i="30"/>
  <c r="AJ23" i="30"/>
  <c r="AI23" i="30"/>
  <c r="AH23" i="30"/>
  <c r="AG23" i="30"/>
  <c r="AF23" i="30"/>
  <c r="AE23" i="30"/>
  <c r="AD23" i="30"/>
  <c r="AA23" i="30"/>
  <c r="Z23" i="30"/>
  <c r="Y23" i="30"/>
  <c r="X23" i="30"/>
  <c r="W23" i="30"/>
  <c r="V23" i="30"/>
  <c r="U23" i="30"/>
  <c r="T23" i="30"/>
  <c r="S23" i="30"/>
  <c r="P23" i="30"/>
  <c r="M10" i="30" s="1"/>
  <c r="N8" i="30" s="1"/>
  <c r="N9" i="30" s="1"/>
  <c r="O23" i="30"/>
  <c r="N23" i="30"/>
  <c r="M23" i="30"/>
  <c r="L23" i="30"/>
  <c r="J23" i="30"/>
  <c r="F10" i="30" s="1"/>
  <c r="F8" i="30" s="1"/>
  <c r="F9" i="30" s="1"/>
  <c r="G8" i="30" s="1"/>
  <c r="I23" i="30"/>
  <c r="H23" i="30"/>
  <c r="G23" i="30"/>
  <c r="F23" i="30"/>
  <c r="E23" i="30"/>
  <c r="D23" i="30"/>
  <c r="C23" i="30"/>
  <c r="B23" i="30"/>
  <c r="AD10" i="30"/>
  <c r="AE8" i="30" s="1"/>
  <c r="AE9" i="30" s="1"/>
  <c r="AF8" i="30" s="1"/>
  <c r="X10" i="30"/>
  <c r="Y8" i="30" s="1"/>
  <c r="Y9" i="30" s="1"/>
  <c r="T10" i="30"/>
  <c r="U8" i="30" s="1"/>
  <c r="U9" i="30" s="1"/>
  <c r="B10" i="30"/>
  <c r="C8" i="30" s="1"/>
  <c r="AZ9" i="30"/>
  <c r="AY9" i="30"/>
  <c r="AV9" i="30"/>
  <c r="AU9" i="30"/>
  <c r="AR9" i="30"/>
  <c r="AQ9" i="30"/>
  <c r="AO9" i="30"/>
  <c r="AN9" i="30"/>
  <c r="AG9" i="30"/>
  <c r="AD9" i="30"/>
  <c r="X9" i="30"/>
  <c r="W9" i="30"/>
  <c r="T9" i="30"/>
  <c r="S9" i="30"/>
  <c r="P9" i="30"/>
  <c r="O9" i="30"/>
  <c r="M9" i="30"/>
  <c r="L9" i="30"/>
  <c r="E9" i="30"/>
  <c r="C9" i="30"/>
  <c r="D8" i="30" s="1"/>
  <c r="B9" i="30"/>
  <c r="BB8" i="30"/>
  <c r="AX8" i="30"/>
  <c r="AK8" i="30"/>
  <c r="AJ8" i="30"/>
  <c r="Z8" i="30"/>
  <c r="V8" i="30"/>
  <c r="Q8" i="30"/>
  <c r="Q9" i="30" s="1"/>
  <c r="I8" i="30"/>
  <c r="H8" i="30"/>
  <c r="BA5" i="30"/>
  <c r="AR5" i="30"/>
  <c r="AI5" i="30"/>
  <c r="Y5" i="30"/>
  <c r="P5" i="30"/>
  <c r="G5" i="30"/>
  <c r="AV4" i="30"/>
  <c r="AO4" i="30"/>
  <c r="AD4" i="30"/>
  <c r="T4" i="30"/>
  <c r="M4" i="30"/>
  <c r="B49" i="29"/>
  <c r="B52" i="29" s="1"/>
  <c r="C45" i="29"/>
  <c r="C51" i="29" s="1"/>
  <c r="B45" i="29"/>
  <c r="B51" i="29" s="1"/>
  <c r="B44" i="29"/>
  <c r="B50" i="29" s="1"/>
  <c r="C43" i="29"/>
  <c r="B43" i="29"/>
  <c r="BC23" i="29"/>
  <c r="AZ10" i="29" s="1"/>
  <c r="BA8" i="29" s="1"/>
  <c r="BA9" i="29" s="1"/>
  <c r="BB23" i="29"/>
  <c r="BA23" i="29"/>
  <c r="AZ23" i="29"/>
  <c r="AY23" i="29"/>
  <c r="AX23" i="29"/>
  <c r="AW23" i="29"/>
  <c r="AV23" i="29"/>
  <c r="AU23" i="29"/>
  <c r="AR23" i="29"/>
  <c r="AO10" i="29" s="1"/>
  <c r="AP8" i="29" s="1"/>
  <c r="AQ23" i="29"/>
  <c r="AP23" i="29"/>
  <c r="AO23" i="29"/>
  <c r="AN23" i="29"/>
  <c r="AL23" i="29"/>
  <c r="AK23" i="29"/>
  <c r="AJ23" i="29"/>
  <c r="AI23" i="29"/>
  <c r="AH23" i="29"/>
  <c r="AG23" i="29"/>
  <c r="AF23" i="29"/>
  <c r="AE23" i="29"/>
  <c r="AD23" i="29"/>
  <c r="AA23" i="29"/>
  <c r="Z23" i="29"/>
  <c r="Y23" i="29"/>
  <c r="X23" i="29"/>
  <c r="W23" i="29"/>
  <c r="V23" i="29"/>
  <c r="U23" i="29"/>
  <c r="T23" i="29"/>
  <c r="S23" i="29"/>
  <c r="P23" i="29"/>
  <c r="M10" i="29" s="1"/>
  <c r="N8" i="29" s="1"/>
  <c r="N9" i="29" s="1"/>
  <c r="O23" i="29"/>
  <c r="N23" i="29"/>
  <c r="M23" i="29"/>
  <c r="L23" i="29"/>
  <c r="J23" i="29"/>
  <c r="F10" i="29" s="1"/>
  <c r="F8" i="29" s="1"/>
  <c r="F9" i="29" s="1"/>
  <c r="G8" i="29" s="1"/>
  <c r="I23" i="29"/>
  <c r="H23" i="29"/>
  <c r="G23" i="29"/>
  <c r="F23" i="29"/>
  <c r="E23" i="29"/>
  <c r="D23" i="29"/>
  <c r="C23" i="29"/>
  <c r="B23" i="29"/>
  <c r="AV10" i="29"/>
  <c r="AW8" i="29" s="1"/>
  <c r="AW9" i="29" s="1"/>
  <c r="X10" i="29"/>
  <c r="Y8" i="29" s="1"/>
  <c r="Y9" i="29" s="1"/>
  <c r="T10" i="29"/>
  <c r="U8" i="29" s="1"/>
  <c r="U9" i="29" s="1"/>
  <c r="AZ9" i="29"/>
  <c r="AY9" i="29"/>
  <c r="AV9" i="29"/>
  <c r="AU9" i="29"/>
  <c r="AR9" i="29"/>
  <c r="AQ9" i="29"/>
  <c r="F43" i="29" s="1"/>
  <c r="AO9" i="29"/>
  <c r="AN9" i="29"/>
  <c r="AG9" i="29"/>
  <c r="AD9" i="29"/>
  <c r="F45" i="29" s="1"/>
  <c r="X9" i="29"/>
  <c r="W9" i="29"/>
  <c r="T9" i="29"/>
  <c r="S9" i="29"/>
  <c r="P9" i="29"/>
  <c r="O9" i="29"/>
  <c r="M9" i="29"/>
  <c r="L9" i="29"/>
  <c r="E9" i="29"/>
  <c r="B9" i="29"/>
  <c r="BB8" i="29"/>
  <c r="AX8" i="29"/>
  <c r="AK8" i="29"/>
  <c r="AJ8" i="29"/>
  <c r="Z8" i="29"/>
  <c r="V8" i="29"/>
  <c r="Q8" i="29"/>
  <c r="Q9" i="29" s="1"/>
  <c r="I8" i="29"/>
  <c r="H8" i="29"/>
  <c r="BA5" i="29"/>
  <c r="AR5" i="29"/>
  <c r="AI5" i="29"/>
  <c r="Y5" i="29"/>
  <c r="P5" i="29"/>
  <c r="G5" i="29"/>
  <c r="AV4" i="29"/>
  <c r="AO4" i="29"/>
  <c r="AD4" i="29"/>
  <c r="T4" i="29"/>
  <c r="M4" i="29"/>
  <c r="C45" i="28"/>
  <c r="C51" i="28" s="1"/>
  <c r="B45" i="28"/>
  <c r="B51" i="28" s="1"/>
  <c r="B44" i="28"/>
  <c r="B50" i="28" s="1"/>
  <c r="C43" i="28"/>
  <c r="C46" i="28" s="1"/>
  <c r="B43" i="28"/>
  <c r="BC23" i="28"/>
  <c r="AZ10" i="28" s="1"/>
  <c r="BA8" i="28" s="1"/>
  <c r="BA9" i="28" s="1"/>
  <c r="BB23" i="28"/>
  <c r="BA23" i="28"/>
  <c r="AZ23" i="28"/>
  <c r="AY23" i="28"/>
  <c r="AX23" i="28"/>
  <c r="AW23" i="28"/>
  <c r="AV23" i="28"/>
  <c r="AU23" i="28"/>
  <c r="AR23" i="28"/>
  <c r="AO10" i="28" s="1"/>
  <c r="AP8" i="28" s="1"/>
  <c r="AQ23" i="28"/>
  <c r="AP23" i="28"/>
  <c r="AO23" i="28"/>
  <c r="AN23" i="28"/>
  <c r="AL23" i="28"/>
  <c r="AK23" i="28"/>
  <c r="AJ23" i="28"/>
  <c r="AI23" i="28"/>
  <c r="AH23" i="28"/>
  <c r="AG23" i="28"/>
  <c r="AF23" i="28"/>
  <c r="AE23" i="28"/>
  <c r="AD23" i="28"/>
  <c r="AA23" i="28"/>
  <c r="T10" i="28" s="1"/>
  <c r="U8" i="28" s="1"/>
  <c r="U9" i="28" s="1"/>
  <c r="Z23" i="28"/>
  <c r="Y23" i="28"/>
  <c r="X23" i="28"/>
  <c r="W23" i="28"/>
  <c r="V23" i="28"/>
  <c r="U23" i="28"/>
  <c r="T23" i="28"/>
  <c r="S23" i="28"/>
  <c r="P23" i="28"/>
  <c r="M10" i="28" s="1"/>
  <c r="N8" i="28" s="1"/>
  <c r="N9" i="28" s="1"/>
  <c r="O23" i="28"/>
  <c r="N23" i="28"/>
  <c r="M23" i="28"/>
  <c r="L23" i="28"/>
  <c r="J23" i="28"/>
  <c r="F10" i="28" s="1"/>
  <c r="F8" i="28" s="1"/>
  <c r="F9" i="28" s="1"/>
  <c r="G8" i="28" s="1"/>
  <c r="I23" i="28"/>
  <c r="H23" i="28"/>
  <c r="G23" i="28"/>
  <c r="F23" i="28"/>
  <c r="E23" i="28"/>
  <c r="D23" i="28"/>
  <c r="C23" i="28"/>
  <c r="B23" i="28"/>
  <c r="X10" i="28"/>
  <c r="Y8" i="28" s="1"/>
  <c r="Y9" i="28" s="1"/>
  <c r="B10" i="28"/>
  <c r="C8" i="28" s="1"/>
  <c r="AZ9" i="28"/>
  <c r="AY9" i="28"/>
  <c r="AV9" i="28"/>
  <c r="AU9" i="28"/>
  <c r="AR9" i="28"/>
  <c r="AQ9" i="28"/>
  <c r="AO9" i="28"/>
  <c r="AN9" i="28"/>
  <c r="AG9" i="28"/>
  <c r="AD9" i="28"/>
  <c r="X9" i="28"/>
  <c r="W9" i="28"/>
  <c r="T9" i="28"/>
  <c r="S9" i="28"/>
  <c r="P9" i="28"/>
  <c r="O9" i="28"/>
  <c r="M9" i="28"/>
  <c r="L9" i="28"/>
  <c r="E9" i="28"/>
  <c r="C9" i="28"/>
  <c r="D8" i="28" s="1"/>
  <c r="B9" i="28"/>
  <c r="F44" i="28" s="1"/>
  <c r="BB8" i="28"/>
  <c r="AX8" i="28"/>
  <c r="AK8" i="28"/>
  <c r="AJ8" i="28"/>
  <c r="Z8" i="28"/>
  <c r="V8" i="28"/>
  <c r="Q8" i="28"/>
  <c r="Q9" i="28" s="1"/>
  <c r="I8" i="28"/>
  <c r="H8" i="28"/>
  <c r="BA5" i="28"/>
  <c r="AR5" i="28"/>
  <c r="AI5" i="28"/>
  <c r="Y5" i="28"/>
  <c r="P5" i="28"/>
  <c r="G5" i="28"/>
  <c r="AV4" i="28"/>
  <c r="AO4" i="28"/>
  <c r="AD4" i="28"/>
  <c r="T4" i="28"/>
  <c r="M4" i="28"/>
  <c r="C45" i="27"/>
  <c r="C51" i="27" s="1"/>
  <c r="B45" i="27"/>
  <c r="B51" i="27" s="1"/>
  <c r="B44" i="27"/>
  <c r="B50" i="27" s="1"/>
  <c r="C43" i="27"/>
  <c r="B43" i="27"/>
  <c r="BC23" i="27"/>
  <c r="BB23" i="27"/>
  <c r="BA23" i="27"/>
  <c r="AZ23" i="27"/>
  <c r="AY23" i="27"/>
  <c r="AX23" i="27"/>
  <c r="AW23" i="27"/>
  <c r="AV23" i="27"/>
  <c r="AU23" i="27"/>
  <c r="AR23" i="27"/>
  <c r="AO10" i="27" s="1"/>
  <c r="AP8" i="27" s="1"/>
  <c r="AQ23" i="27"/>
  <c r="AP23" i="27"/>
  <c r="AO23" i="27"/>
  <c r="AN23" i="27"/>
  <c r="AL23" i="27"/>
  <c r="AH10" i="27" s="1"/>
  <c r="AH8" i="27" s="1"/>
  <c r="AH9" i="27" s="1"/>
  <c r="AI8" i="27" s="1"/>
  <c r="AK23" i="27"/>
  <c r="AJ23" i="27"/>
  <c r="AI23" i="27"/>
  <c r="AH23" i="27"/>
  <c r="AG23" i="27"/>
  <c r="AF23" i="27"/>
  <c r="AE23" i="27"/>
  <c r="AD23" i="27"/>
  <c r="AA23" i="27"/>
  <c r="X10" i="27" s="1"/>
  <c r="Y8" i="27" s="1"/>
  <c r="Y9" i="27" s="1"/>
  <c r="Z23" i="27"/>
  <c r="Y23" i="27"/>
  <c r="X23" i="27"/>
  <c r="W23" i="27"/>
  <c r="V23" i="27"/>
  <c r="U23" i="27"/>
  <c r="T23" i="27"/>
  <c r="S23" i="27"/>
  <c r="P23" i="27"/>
  <c r="M10" i="27" s="1"/>
  <c r="N8" i="27" s="1"/>
  <c r="N9" i="27" s="1"/>
  <c r="O23" i="27"/>
  <c r="N23" i="27"/>
  <c r="M23" i="27"/>
  <c r="L23" i="27"/>
  <c r="J23" i="27"/>
  <c r="B10" i="27" s="1"/>
  <c r="I23" i="27"/>
  <c r="H23" i="27"/>
  <c r="G23" i="27"/>
  <c r="F23" i="27"/>
  <c r="E23" i="27"/>
  <c r="D23" i="27"/>
  <c r="C23" i="27"/>
  <c r="B23" i="27"/>
  <c r="AD10" i="27"/>
  <c r="T10" i="27"/>
  <c r="F10" i="27"/>
  <c r="F8" i="27" s="1"/>
  <c r="F9" i="27" s="1"/>
  <c r="G8" i="27" s="1"/>
  <c r="AZ9" i="27"/>
  <c r="AY9" i="27"/>
  <c r="AV9" i="27"/>
  <c r="AU9" i="27"/>
  <c r="AR9" i="27"/>
  <c r="AQ9" i="27"/>
  <c r="AO9" i="27"/>
  <c r="AN9" i="27"/>
  <c r="AG9" i="27"/>
  <c r="AD9" i="27"/>
  <c r="F45" i="27" s="1"/>
  <c r="X9" i="27"/>
  <c r="W9" i="27"/>
  <c r="T9" i="27"/>
  <c r="S9" i="27"/>
  <c r="P9" i="27"/>
  <c r="O9" i="27"/>
  <c r="M9" i="27"/>
  <c r="L9" i="27"/>
  <c r="E9" i="27"/>
  <c r="B9" i="27"/>
  <c r="BB8" i="27"/>
  <c r="AX8" i="27"/>
  <c r="AK8" i="27"/>
  <c r="AJ8" i="27"/>
  <c r="AE8" i="27"/>
  <c r="AE9" i="27" s="1"/>
  <c r="AF8" i="27" s="1"/>
  <c r="Z8" i="27"/>
  <c r="V8" i="27"/>
  <c r="U8" i="27"/>
  <c r="U9" i="27" s="1"/>
  <c r="Q8" i="27"/>
  <c r="Q9" i="27" s="1"/>
  <c r="I8" i="27"/>
  <c r="H8" i="27"/>
  <c r="BA5" i="27"/>
  <c r="AR5" i="27"/>
  <c r="AI5" i="27"/>
  <c r="Y5" i="27"/>
  <c r="P5" i="27"/>
  <c r="G5" i="27"/>
  <c r="AV4" i="27"/>
  <c r="AO4" i="27"/>
  <c r="AD4" i="27"/>
  <c r="T4" i="27"/>
  <c r="M4" i="27"/>
  <c r="C45" i="26"/>
  <c r="C51" i="26" s="1"/>
  <c r="B45" i="26"/>
  <c r="B51" i="26" s="1"/>
  <c r="B44" i="26"/>
  <c r="B50" i="26" s="1"/>
  <c r="C43" i="26"/>
  <c r="C46" i="26" s="1"/>
  <c r="B43" i="26"/>
  <c r="BC23" i="26"/>
  <c r="AZ10" i="26" s="1"/>
  <c r="BA8" i="26" s="1"/>
  <c r="BA9" i="26" s="1"/>
  <c r="BB23" i="26"/>
  <c r="BA23" i="26"/>
  <c r="AZ23" i="26"/>
  <c r="AY23" i="26"/>
  <c r="AX23" i="26"/>
  <c r="AW23" i="26"/>
  <c r="AV23" i="26"/>
  <c r="AU23" i="26"/>
  <c r="AR23" i="26"/>
  <c r="AO10" i="26" s="1"/>
  <c r="AP8" i="26" s="1"/>
  <c r="AQ23" i="26"/>
  <c r="AP23" i="26"/>
  <c r="AO23" i="26"/>
  <c r="AN23" i="26"/>
  <c r="AL23" i="26"/>
  <c r="AK23" i="26"/>
  <c r="AJ23" i="26"/>
  <c r="AI23" i="26"/>
  <c r="AH23" i="26"/>
  <c r="AG23" i="26"/>
  <c r="AF23" i="26"/>
  <c r="AE23" i="26"/>
  <c r="AD23" i="26"/>
  <c r="AA23" i="26"/>
  <c r="T10" i="26" s="1"/>
  <c r="U8" i="26" s="1"/>
  <c r="U9" i="26" s="1"/>
  <c r="Z23" i="26"/>
  <c r="Y23" i="26"/>
  <c r="X23" i="26"/>
  <c r="W23" i="26"/>
  <c r="V23" i="26"/>
  <c r="U23" i="26"/>
  <c r="T23" i="26"/>
  <c r="S23" i="26"/>
  <c r="P23" i="26"/>
  <c r="M10" i="26" s="1"/>
  <c r="N8" i="26" s="1"/>
  <c r="N9" i="26" s="1"/>
  <c r="O23" i="26"/>
  <c r="N23" i="26"/>
  <c r="M23" i="26"/>
  <c r="L23" i="26"/>
  <c r="J23" i="26"/>
  <c r="F10" i="26" s="1"/>
  <c r="F8" i="26" s="1"/>
  <c r="F9" i="26" s="1"/>
  <c r="G8" i="26" s="1"/>
  <c r="I23" i="26"/>
  <c r="H23" i="26"/>
  <c r="G23" i="26"/>
  <c r="F23" i="26"/>
  <c r="E23" i="26"/>
  <c r="D23" i="26"/>
  <c r="C23" i="26"/>
  <c r="B23" i="26"/>
  <c r="X10" i="26"/>
  <c r="Y8" i="26" s="1"/>
  <c r="Y9" i="26" s="1"/>
  <c r="B10" i="26"/>
  <c r="C8" i="26" s="1"/>
  <c r="AZ9" i="26"/>
  <c r="AY9" i="26"/>
  <c r="AV9" i="26"/>
  <c r="AU9" i="26"/>
  <c r="AR9" i="26"/>
  <c r="AQ9" i="26"/>
  <c r="AO9" i="26"/>
  <c r="AN9" i="26"/>
  <c r="AG9" i="26"/>
  <c r="AD9" i="26"/>
  <c r="X9" i="26"/>
  <c r="W9" i="26"/>
  <c r="T9" i="26"/>
  <c r="S9" i="26"/>
  <c r="P9" i="26"/>
  <c r="O9" i="26"/>
  <c r="M9" i="26"/>
  <c r="L9" i="26"/>
  <c r="E9" i="26"/>
  <c r="C9" i="26"/>
  <c r="D8" i="26" s="1"/>
  <c r="B9" i="26"/>
  <c r="F44" i="26" s="1"/>
  <c r="BB8" i="26"/>
  <c r="AX8" i="26"/>
  <c r="AK8" i="26"/>
  <c r="AJ8" i="26"/>
  <c r="Z8" i="26"/>
  <c r="V8" i="26"/>
  <c r="Q8" i="26"/>
  <c r="Q9" i="26" s="1"/>
  <c r="I8" i="26"/>
  <c r="H8" i="26"/>
  <c r="BA5" i="26"/>
  <c r="AR5" i="26"/>
  <c r="AI5" i="26"/>
  <c r="Y5" i="26"/>
  <c r="P5" i="26"/>
  <c r="G5" i="26"/>
  <c r="AV4" i="26"/>
  <c r="AO4" i="26"/>
  <c r="AD4" i="26"/>
  <c r="T4" i="26"/>
  <c r="M4" i="26"/>
  <c r="C45" i="25"/>
  <c r="C51" i="25" s="1"/>
  <c r="B45" i="25"/>
  <c r="B51" i="25" s="1"/>
  <c r="B44" i="25"/>
  <c r="B50" i="25" s="1"/>
  <c r="C43" i="25"/>
  <c r="B43" i="25"/>
  <c r="BC23" i="25"/>
  <c r="BB23" i="25"/>
  <c r="BA23" i="25"/>
  <c r="AZ23" i="25"/>
  <c r="AY23" i="25"/>
  <c r="AX23" i="25"/>
  <c r="AW23" i="25"/>
  <c r="AV23" i="25"/>
  <c r="AU23" i="25"/>
  <c r="AR23" i="25"/>
  <c r="AO10" i="25" s="1"/>
  <c r="AP8" i="25" s="1"/>
  <c r="AQ23" i="25"/>
  <c r="AP23" i="25"/>
  <c r="AO23" i="25"/>
  <c r="AN23" i="25"/>
  <c r="AL23" i="25"/>
  <c r="AH10" i="25" s="1"/>
  <c r="AH8" i="25" s="1"/>
  <c r="AH9" i="25" s="1"/>
  <c r="AI8" i="25" s="1"/>
  <c r="AK23" i="25"/>
  <c r="AJ23" i="25"/>
  <c r="AI23" i="25"/>
  <c r="AH23" i="25"/>
  <c r="AG23" i="25"/>
  <c r="AF23" i="25"/>
  <c r="AE23" i="25"/>
  <c r="AD23" i="25"/>
  <c r="AA23" i="25"/>
  <c r="X10" i="25" s="1"/>
  <c r="Y8" i="25" s="1"/>
  <c r="Y9" i="25" s="1"/>
  <c r="Z23" i="25"/>
  <c r="Y23" i="25"/>
  <c r="X23" i="25"/>
  <c r="W23" i="25"/>
  <c r="V23" i="25"/>
  <c r="U23" i="25"/>
  <c r="T23" i="25"/>
  <c r="S23" i="25"/>
  <c r="P23" i="25"/>
  <c r="M10" i="25" s="1"/>
  <c r="N8" i="25" s="1"/>
  <c r="N9" i="25" s="1"/>
  <c r="O23" i="25"/>
  <c r="N23" i="25"/>
  <c r="M23" i="25"/>
  <c r="L23" i="25"/>
  <c r="J23" i="25"/>
  <c r="B10" i="25" s="1"/>
  <c r="I23" i="25"/>
  <c r="H23" i="25"/>
  <c r="G23" i="25"/>
  <c r="F23" i="25"/>
  <c r="E23" i="25"/>
  <c r="D23" i="25"/>
  <c r="C23" i="25"/>
  <c r="B23" i="25"/>
  <c r="AD10" i="25"/>
  <c r="T10" i="25"/>
  <c r="F10" i="25"/>
  <c r="F8" i="25" s="1"/>
  <c r="F9" i="25" s="1"/>
  <c r="G8" i="25" s="1"/>
  <c r="AZ9" i="25"/>
  <c r="AY9" i="25"/>
  <c r="AV9" i="25"/>
  <c r="AU9" i="25"/>
  <c r="AR9" i="25"/>
  <c r="AQ9" i="25"/>
  <c r="AO9" i="25"/>
  <c r="AN9" i="25"/>
  <c r="AG9" i="25"/>
  <c r="AD9" i="25"/>
  <c r="F45" i="25" s="1"/>
  <c r="X9" i="25"/>
  <c r="W9" i="25"/>
  <c r="T9" i="25"/>
  <c r="S9" i="25"/>
  <c r="P9" i="25"/>
  <c r="O9" i="25"/>
  <c r="M9" i="25"/>
  <c r="L9" i="25"/>
  <c r="E9" i="25"/>
  <c r="B9" i="25"/>
  <c r="BB8" i="25"/>
  <c r="AX8" i="25"/>
  <c r="AK8" i="25"/>
  <c r="AJ8" i="25"/>
  <c r="AE8" i="25"/>
  <c r="AE9" i="25" s="1"/>
  <c r="AF8" i="25" s="1"/>
  <c r="Z8" i="25"/>
  <c r="V8" i="25"/>
  <c r="U8" i="25"/>
  <c r="U9" i="25" s="1"/>
  <c r="Q8" i="25"/>
  <c r="Q9" i="25" s="1"/>
  <c r="I8" i="25"/>
  <c r="H8" i="25"/>
  <c r="BA5" i="25"/>
  <c r="AR5" i="25"/>
  <c r="AI5" i="25"/>
  <c r="Y5" i="25"/>
  <c r="P5" i="25"/>
  <c r="G5" i="25"/>
  <c r="AV4" i="25"/>
  <c r="AO4" i="25"/>
  <c r="AD4" i="25"/>
  <c r="T4" i="25"/>
  <c r="M4" i="25"/>
  <c r="C45" i="24"/>
  <c r="C51" i="24" s="1"/>
  <c r="B45" i="24"/>
  <c r="B51" i="24" s="1"/>
  <c r="B44" i="24"/>
  <c r="B50" i="24" s="1"/>
  <c r="C43" i="24"/>
  <c r="C46" i="24" s="1"/>
  <c r="B43" i="24"/>
  <c r="BC23" i="24"/>
  <c r="AZ10" i="24" s="1"/>
  <c r="BA8" i="24" s="1"/>
  <c r="BA9" i="24" s="1"/>
  <c r="BB23" i="24"/>
  <c r="BA23" i="24"/>
  <c r="AZ23" i="24"/>
  <c r="AY23" i="24"/>
  <c r="AX23" i="24"/>
  <c r="AW23" i="24"/>
  <c r="AV23" i="24"/>
  <c r="AU23" i="24"/>
  <c r="AR23" i="24"/>
  <c r="AO10" i="24" s="1"/>
  <c r="AP8" i="24" s="1"/>
  <c r="AQ23" i="24"/>
  <c r="AP23" i="24"/>
  <c r="AO23" i="24"/>
  <c r="AN23" i="24"/>
  <c r="AL23" i="24"/>
  <c r="AK23" i="24"/>
  <c r="AJ23" i="24"/>
  <c r="AI23" i="24"/>
  <c r="AH23" i="24"/>
  <c r="AG23" i="24"/>
  <c r="AF23" i="24"/>
  <c r="AE23" i="24"/>
  <c r="AD23" i="24"/>
  <c r="AA23" i="24"/>
  <c r="T10" i="24" s="1"/>
  <c r="U8" i="24" s="1"/>
  <c r="U9" i="24" s="1"/>
  <c r="Z23" i="24"/>
  <c r="Y23" i="24"/>
  <c r="X23" i="24"/>
  <c r="W23" i="24"/>
  <c r="V23" i="24"/>
  <c r="U23" i="24"/>
  <c r="T23" i="24"/>
  <c r="S23" i="24"/>
  <c r="P23" i="24"/>
  <c r="M10" i="24" s="1"/>
  <c r="N8" i="24" s="1"/>
  <c r="N9" i="24" s="1"/>
  <c r="O23" i="24"/>
  <c r="N23" i="24"/>
  <c r="M23" i="24"/>
  <c r="L23" i="24"/>
  <c r="J23" i="24"/>
  <c r="F10" i="24" s="1"/>
  <c r="F8" i="24" s="1"/>
  <c r="F9" i="24" s="1"/>
  <c r="G8" i="24" s="1"/>
  <c r="I23" i="24"/>
  <c r="H23" i="24"/>
  <c r="G23" i="24"/>
  <c r="F23" i="24"/>
  <c r="E23" i="24"/>
  <c r="D23" i="24"/>
  <c r="C23" i="24"/>
  <c r="B23" i="24"/>
  <c r="X10" i="24"/>
  <c r="Y8" i="24" s="1"/>
  <c r="Y9" i="24" s="1"/>
  <c r="B10" i="24"/>
  <c r="C8" i="24" s="1"/>
  <c r="AZ9" i="24"/>
  <c r="AY9" i="24"/>
  <c r="AV9" i="24"/>
  <c r="AU9" i="24"/>
  <c r="AR9" i="24"/>
  <c r="AQ9" i="24"/>
  <c r="AO9" i="24"/>
  <c r="AN9" i="24"/>
  <c r="AG9" i="24"/>
  <c r="AD9" i="24"/>
  <c r="X9" i="24"/>
  <c r="W9" i="24"/>
  <c r="T9" i="24"/>
  <c r="S9" i="24"/>
  <c r="P9" i="24"/>
  <c r="O9" i="24"/>
  <c r="M9" i="24"/>
  <c r="L9" i="24"/>
  <c r="E9" i="24"/>
  <c r="C9" i="24"/>
  <c r="D8" i="24" s="1"/>
  <c r="B9" i="24"/>
  <c r="F44" i="24" s="1"/>
  <c r="BB8" i="24"/>
  <c r="AX8" i="24"/>
  <c r="AK8" i="24"/>
  <c r="AJ8" i="24"/>
  <c r="Z8" i="24"/>
  <c r="V8" i="24"/>
  <c r="Q8" i="24"/>
  <c r="Q9" i="24" s="1"/>
  <c r="I8" i="24"/>
  <c r="H8" i="24"/>
  <c r="BA5" i="24"/>
  <c r="AR5" i="24"/>
  <c r="AI5" i="24"/>
  <c r="Y5" i="24"/>
  <c r="P5" i="24"/>
  <c r="G5" i="24"/>
  <c r="AV4" i="24"/>
  <c r="AO4" i="24"/>
  <c r="AD4" i="24"/>
  <c r="T4" i="24"/>
  <c r="M4" i="24"/>
  <c r="C45" i="23"/>
  <c r="C51" i="23" s="1"/>
  <c r="B45" i="23"/>
  <c r="B51" i="23" s="1"/>
  <c r="B44" i="23"/>
  <c r="B50" i="23" s="1"/>
  <c r="C43" i="23"/>
  <c r="B43" i="23"/>
  <c r="BC23" i="23"/>
  <c r="BB23" i="23"/>
  <c r="BA23" i="23"/>
  <c r="AZ23" i="23"/>
  <c r="AY23" i="23"/>
  <c r="AX23" i="23"/>
  <c r="AW23" i="23"/>
  <c r="AV23" i="23"/>
  <c r="AU23" i="23"/>
  <c r="AR23" i="23"/>
  <c r="AO10" i="23" s="1"/>
  <c r="AP8" i="23" s="1"/>
  <c r="AQ23" i="23"/>
  <c r="AP23" i="23"/>
  <c r="AO23" i="23"/>
  <c r="AN23" i="23"/>
  <c r="AL23" i="23"/>
  <c r="AH10" i="23" s="1"/>
  <c r="AH8" i="23" s="1"/>
  <c r="AH9" i="23" s="1"/>
  <c r="AI8" i="23" s="1"/>
  <c r="AK23" i="23"/>
  <c r="AJ23" i="23"/>
  <c r="AI23" i="23"/>
  <c r="AH23" i="23"/>
  <c r="AG23" i="23"/>
  <c r="AF23" i="23"/>
  <c r="AE23" i="23"/>
  <c r="AD23" i="23"/>
  <c r="AA23" i="23"/>
  <c r="X10" i="23" s="1"/>
  <c r="Y8" i="23" s="1"/>
  <c r="Y9" i="23" s="1"/>
  <c r="Z23" i="23"/>
  <c r="Y23" i="23"/>
  <c r="X23" i="23"/>
  <c r="W23" i="23"/>
  <c r="V23" i="23"/>
  <c r="U23" i="23"/>
  <c r="T23" i="23"/>
  <c r="S23" i="23"/>
  <c r="P23" i="23"/>
  <c r="M10" i="23" s="1"/>
  <c r="N8" i="23" s="1"/>
  <c r="N9" i="23" s="1"/>
  <c r="O23" i="23"/>
  <c r="N23" i="23"/>
  <c r="M23" i="23"/>
  <c r="L23" i="23"/>
  <c r="J23" i="23"/>
  <c r="B10" i="23" s="1"/>
  <c r="I23" i="23"/>
  <c r="H23" i="23"/>
  <c r="G23" i="23"/>
  <c r="F23" i="23"/>
  <c r="E23" i="23"/>
  <c r="D23" i="23"/>
  <c r="C23" i="23"/>
  <c r="B23" i="23"/>
  <c r="AD10" i="23"/>
  <c r="T10" i="23"/>
  <c r="F10" i="23"/>
  <c r="F8" i="23" s="1"/>
  <c r="F9" i="23" s="1"/>
  <c r="G8" i="23" s="1"/>
  <c r="AZ9" i="23"/>
  <c r="AY9" i="23"/>
  <c r="AV9" i="23"/>
  <c r="AU9" i="23"/>
  <c r="AR9" i="23"/>
  <c r="AQ9" i="23"/>
  <c r="AO9" i="23"/>
  <c r="AN9" i="23"/>
  <c r="AG9" i="23"/>
  <c r="AD9" i="23"/>
  <c r="F45" i="23" s="1"/>
  <c r="X9" i="23"/>
  <c r="W9" i="23"/>
  <c r="T9" i="23"/>
  <c r="S9" i="23"/>
  <c r="P9" i="23"/>
  <c r="O9" i="23"/>
  <c r="M9" i="23"/>
  <c r="L9" i="23"/>
  <c r="E9" i="23"/>
  <c r="B9" i="23"/>
  <c r="BB8" i="23"/>
  <c r="AX8" i="23"/>
  <c r="AK8" i="23"/>
  <c r="AJ8" i="23"/>
  <c r="AE8" i="23"/>
  <c r="AE9" i="23" s="1"/>
  <c r="AF8" i="23" s="1"/>
  <c r="Z8" i="23"/>
  <c r="V8" i="23"/>
  <c r="U8" i="23"/>
  <c r="U9" i="23" s="1"/>
  <c r="Q8" i="23"/>
  <c r="Q9" i="23" s="1"/>
  <c r="I8" i="23"/>
  <c r="H8" i="23"/>
  <c r="BA5" i="23"/>
  <c r="AR5" i="23"/>
  <c r="AI5" i="23"/>
  <c r="Y5" i="23"/>
  <c r="P5" i="23"/>
  <c r="G5" i="23"/>
  <c r="AV4" i="23"/>
  <c r="AO4" i="23"/>
  <c r="AD4" i="23"/>
  <c r="T4" i="23"/>
  <c r="M4" i="23"/>
  <c r="C45" i="22"/>
  <c r="C51" i="22" s="1"/>
  <c r="B45" i="22"/>
  <c r="B51" i="22" s="1"/>
  <c r="B44" i="22"/>
  <c r="B50" i="22" s="1"/>
  <c r="C43" i="22"/>
  <c r="B43" i="22"/>
  <c r="BC23" i="22"/>
  <c r="AZ10" i="22" s="1"/>
  <c r="BA8" i="22" s="1"/>
  <c r="BA9" i="22" s="1"/>
  <c r="BB23" i="22"/>
  <c r="BA23" i="22"/>
  <c r="AZ23" i="22"/>
  <c r="AY23" i="22"/>
  <c r="AX23" i="22"/>
  <c r="AW23" i="22"/>
  <c r="AV23" i="22"/>
  <c r="AU23" i="22"/>
  <c r="AR23" i="22"/>
  <c r="AO10" i="22" s="1"/>
  <c r="AP8" i="22" s="1"/>
  <c r="AQ23" i="22"/>
  <c r="AP23" i="22"/>
  <c r="AO23" i="22"/>
  <c r="AN23" i="22"/>
  <c r="AL23" i="22"/>
  <c r="AH10" i="22" s="1"/>
  <c r="AH8" i="22" s="1"/>
  <c r="AH9" i="22" s="1"/>
  <c r="AI8" i="22" s="1"/>
  <c r="AK23" i="22"/>
  <c r="AJ23" i="22"/>
  <c r="AI23" i="22"/>
  <c r="AH23" i="22"/>
  <c r="AG23" i="22"/>
  <c r="AF23" i="22"/>
  <c r="AE23" i="22"/>
  <c r="AD23" i="22"/>
  <c r="AA23" i="22"/>
  <c r="X10" i="22" s="1"/>
  <c r="Y8" i="22" s="1"/>
  <c r="Y9" i="22" s="1"/>
  <c r="Z23" i="22"/>
  <c r="Y23" i="22"/>
  <c r="X23" i="22"/>
  <c r="W23" i="22"/>
  <c r="V23" i="22"/>
  <c r="U23" i="22"/>
  <c r="T23" i="22"/>
  <c r="S23" i="22"/>
  <c r="P23" i="22"/>
  <c r="M10" i="22" s="1"/>
  <c r="N8" i="22" s="1"/>
  <c r="N9" i="22" s="1"/>
  <c r="O23" i="22"/>
  <c r="N23" i="22"/>
  <c r="M23" i="22"/>
  <c r="L23" i="22"/>
  <c r="J23" i="22"/>
  <c r="F10" i="22" s="1"/>
  <c r="F8" i="22" s="1"/>
  <c r="F9" i="22" s="1"/>
  <c r="G8" i="22" s="1"/>
  <c r="I23" i="22"/>
  <c r="H23" i="22"/>
  <c r="G23" i="22"/>
  <c r="F23" i="22"/>
  <c r="E23" i="22"/>
  <c r="D23" i="22"/>
  <c r="C23" i="22"/>
  <c r="B23" i="22"/>
  <c r="AD10" i="22"/>
  <c r="AE8" i="22" s="1"/>
  <c r="AE9" i="22" s="1"/>
  <c r="AF8" i="22" s="1"/>
  <c r="T10" i="22"/>
  <c r="B10" i="22"/>
  <c r="AZ9" i="22"/>
  <c r="AY9" i="22"/>
  <c r="AV9" i="22"/>
  <c r="AU9" i="22"/>
  <c r="AR9" i="22"/>
  <c r="AQ9" i="22"/>
  <c r="AO9" i="22"/>
  <c r="AN9" i="22"/>
  <c r="AG9" i="22"/>
  <c r="AD9" i="22"/>
  <c r="F45" i="22" s="1"/>
  <c r="X9" i="22"/>
  <c r="W9" i="22"/>
  <c r="T9" i="22"/>
  <c r="S9" i="22"/>
  <c r="P9" i="22"/>
  <c r="O9" i="22"/>
  <c r="M9" i="22"/>
  <c r="L9" i="22"/>
  <c r="E9" i="22"/>
  <c r="B9" i="22"/>
  <c r="BB8" i="22"/>
  <c r="AX8" i="22"/>
  <c r="AK8" i="22"/>
  <c r="AJ8" i="22"/>
  <c r="Z8" i="22"/>
  <c r="V8" i="22"/>
  <c r="U8" i="22"/>
  <c r="U9" i="22" s="1"/>
  <c r="Q8" i="22"/>
  <c r="Q9" i="22" s="1"/>
  <c r="I8" i="22"/>
  <c r="H8" i="22"/>
  <c r="BA5" i="22"/>
  <c r="AR5" i="22"/>
  <c r="AI5" i="22"/>
  <c r="Y5" i="22"/>
  <c r="P5" i="22"/>
  <c r="G5" i="22"/>
  <c r="AV4" i="22"/>
  <c r="AO4" i="22"/>
  <c r="AD4" i="22"/>
  <c r="T4" i="22"/>
  <c r="M4" i="22"/>
  <c r="C45" i="21"/>
  <c r="C51" i="21" s="1"/>
  <c r="B45" i="21"/>
  <c r="B51" i="21" s="1"/>
  <c r="B44" i="21"/>
  <c r="B50" i="21" s="1"/>
  <c r="C43" i="21"/>
  <c r="B43" i="21"/>
  <c r="BC23" i="21"/>
  <c r="BB23" i="21"/>
  <c r="BA23" i="21"/>
  <c r="AZ23" i="21"/>
  <c r="AY23" i="21"/>
  <c r="AX23" i="21"/>
  <c r="AW23" i="21"/>
  <c r="AV23" i="21"/>
  <c r="AU23" i="21"/>
  <c r="AR23" i="21"/>
  <c r="AQ23" i="21"/>
  <c r="AP23" i="21"/>
  <c r="AO23" i="21"/>
  <c r="AN23" i="21"/>
  <c r="AL23" i="21"/>
  <c r="AH10" i="21" s="1"/>
  <c r="AH8" i="21" s="1"/>
  <c r="AH9" i="21" s="1"/>
  <c r="AI8" i="21" s="1"/>
  <c r="AK23" i="21"/>
  <c r="AJ23" i="21"/>
  <c r="AI23" i="21"/>
  <c r="AH23" i="21"/>
  <c r="AG23" i="21"/>
  <c r="AF23" i="21"/>
  <c r="AE23" i="21"/>
  <c r="AD23" i="21"/>
  <c r="AA23" i="21"/>
  <c r="X10" i="21" s="1"/>
  <c r="Y8" i="21" s="1"/>
  <c r="Y9" i="21" s="1"/>
  <c r="Z23" i="21"/>
  <c r="Y23" i="21"/>
  <c r="X23" i="21"/>
  <c r="W23" i="21"/>
  <c r="V23" i="21"/>
  <c r="U23" i="21"/>
  <c r="T23" i="21"/>
  <c r="S23" i="21"/>
  <c r="P23" i="21"/>
  <c r="M10" i="21" s="1"/>
  <c r="N8" i="21" s="1"/>
  <c r="N9" i="21" s="1"/>
  <c r="O23" i="21"/>
  <c r="N23" i="21"/>
  <c r="M23" i="21"/>
  <c r="L23" i="21"/>
  <c r="J23" i="21"/>
  <c r="I23" i="21"/>
  <c r="H23" i="21"/>
  <c r="G23" i="21"/>
  <c r="F23" i="21"/>
  <c r="E23" i="21"/>
  <c r="D23" i="21"/>
  <c r="C23" i="21"/>
  <c r="B23" i="21"/>
  <c r="AO10" i="21"/>
  <c r="AP8" i="21" s="1"/>
  <c r="AD10" i="21"/>
  <c r="T10" i="21"/>
  <c r="U8" i="21" s="1"/>
  <c r="U9" i="21" s="1"/>
  <c r="F10" i="21"/>
  <c r="F8" i="21" s="1"/>
  <c r="F9" i="21" s="1"/>
  <c r="G8" i="21" s="1"/>
  <c r="B10" i="21"/>
  <c r="AZ9" i="21"/>
  <c r="AY9" i="21"/>
  <c r="AV9" i="21"/>
  <c r="AU9" i="21"/>
  <c r="AR9" i="21"/>
  <c r="AQ9" i="21"/>
  <c r="AO9" i="21"/>
  <c r="AN9" i="21"/>
  <c r="AG9" i="21"/>
  <c r="AD9" i="21"/>
  <c r="F45" i="21" s="1"/>
  <c r="X9" i="21"/>
  <c r="W9" i="21"/>
  <c r="T9" i="21"/>
  <c r="S9" i="21"/>
  <c r="P9" i="21"/>
  <c r="O9" i="21"/>
  <c r="M9" i="21"/>
  <c r="L9" i="21"/>
  <c r="E9" i="21"/>
  <c r="C9" i="21"/>
  <c r="B9" i="21"/>
  <c r="BB8" i="21"/>
  <c r="AX8" i="21"/>
  <c r="AK8" i="21"/>
  <c r="AJ8" i="21"/>
  <c r="AE8" i="21"/>
  <c r="AE9" i="21" s="1"/>
  <c r="AF8" i="21" s="1"/>
  <c r="Z8" i="21"/>
  <c r="V8" i="21"/>
  <c r="Q8" i="21"/>
  <c r="Q9" i="21" s="1"/>
  <c r="I8" i="21"/>
  <c r="H8" i="21"/>
  <c r="D8" i="21"/>
  <c r="C8" i="21"/>
  <c r="BA5" i="21"/>
  <c r="AR5" i="21"/>
  <c r="AI5" i="21"/>
  <c r="Y5" i="21"/>
  <c r="P5" i="21"/>
  <c r="G5" i="21"/>
  <c r="AV4" i="21"/>
  <c r="AO4" i="21"/>
  <c r="AD4" i="21"/>
  <c r="T4" i="21"/>
  <c r="M4" i="21"/>
  <c r="C45" i="20"/>
  <c r="C51" i="20" s="1"/>
  <c r="B45" i="20"/>
  <c r="B51" i="20" s="1"/>
  <c r="B44" i="20"/>
  <c r="B50" i="20" s="1"/>
  <c r="C43" i="20"/>
  <c r="B43" i="20"/>
  <c r="BC23" i="20"/>
  <c r="BB23" i="20"/>
  <c r="BA23" i="20"/>
  <c r="AZ23" i="20"/>
  <c r="AY23" i="20"/>
  <c r="AX23" i="20"/>
  <c r="AW23" i="20"/>
  <c r="AV23" i="20"/>
  <c r="AU23" i="20"/>
  <c r="AR23" i="20"/>
  <c r="AO10" i="20" s="1"/>
  <c r="AP8" i="20" s="1"/>
  <c r="AQ23" i="20"/>
  <c r="AP23" i="20"/>
  <c r="AO23" i="20"/>
  <c r="AN23" i="20"/>
  <c r="AL23" i="20"/>
  <c r="AK23" i="20"/>
  <c r="AJ23" i="20"/>
  <c r="AI23" i="20"/>
  <c r="AH23" i="20"/>
  <c r="AG23" i="20"/>
  <c r="AF23" i="20"/>
  <c r="AE23" i="20"/>
  <c r="AD23" i="20"/>
  <c r="AA23" i="20"/>
  <c r="X10" i="20" s="1"/>
  <c r="Y8" i="20" s="1"/>
  <c r="Y9" i="20" s="1"/>
  <c r="Z23" i="20"/>
  <c r="Y23" i="20"/>
  <c r="X23" i="20"/>
  <c r="W23" i="20"/>
  <c r="V23" i="20"/>
  <c r="U23" i="20"/>
  <c r="T23" i="20"/>
  <c r="S23" i="20"/>
  <c r="P23" i="20"/>
  <c r="M10" i="20" s="1"/>
  <c r="N8" i="20" s="1"/>
  <c r="N9" i="20" s="1"/>
  <c r="O23" i="20"/>
  <c r="N23" i="20"/>
  <c r="M23" i="20"/>
  <c r="L23" i="20"/>
  <c r="J23" i="20"/>
  <c r="F10" i="20" s="1"/>
  <c r="F8" i="20" s="1"/>
  <c r="F9" i="20" s="1"/>
  <c r="G8" i="20" s="1"/>
  <c r="I23" i="20"/>
  <c r="H23" i="20"/>
  <c r="G23" i="20"/>
  <c r="F23" i="20"/>
  <c r="E23" i="20"/>
  <c r="D23" i="20"/>
  <c r="C23" i="20"/>
  <c r="B23" i="20"/>
  <c r="AZ10" i="20"/>
  <c r="BA8" i="20" s="1"/>
  <c r="BA9" i="20" s="1"/>
  <c r="AV10" i="20"/>
  <c r="AW8" i="20" s="1"/>
  <c r="AW9" i="20" s="1"/>
  <c r="B10" i="20"/>
  <c r="C8" i="20" s="1"/>
  <c r="AZ9" i="20"/>
  <c r="AY9" i="20"/>
  <c r="AV9" i="20"/>
  <c r="AU9" i="20"/>
  <c r="AR9" i="20"/>
  <c r="AQ9" i="20"/>
  <c r="AO9" i="20"/>
  <c r="AN9" i="20"/>
  <c r="AG9" i="20"/>
  <c r="AD9" i="20"/>
  <c r="X9" i="20"/>
  <c r="W9" i="20"/>
  <c r="T9" i="20"/>
  <c r="S9" i="20"/>
  <c r="P9" i="20"/>
  <c r="O9" i="20"/>
  <c r="M9" i="20"/>
  <c r="L9" i="20"/>
  <c r="E9" i="20"/>
  <c r="C9" i="20"/>
  <c r="D8" i="20" s="1"/>
  <c r="B9" i="20"/>
  <c r="F44" i="20" s="1"/>
  <c r="BB8" i="20"/>
  <c r="AX8" i="20"/>
  <c r="AK8" i="20"/>
  <c r="AJ8" i="20"/>
  <c r="Z8" i="20"/>
  <c r="V8" i="20"/>
  <c r="Q8" i="20"/>
  <c r="Q9" i="20" s="1"/>
  <c r="I8" i="20"/>
  <c r="H8" i="20"/>
  <c r="BA5" i="20"/>
  <c r="AR5" i="20"/>
  <c r="AI5" i="20"/>
  <c r="Y5" i="20"/>
  <c r="P5" i="20"/>
  <c r="G5" i="20"/>
  <c r="AV4" i="20"/>
  <c r="AO4" i="20"/>
  <c r="AD4" i="20"/>
  <c r="T4" i="20"/>
  <c r="M4" i="20"/>
  <c r="C45" i="19"/>
  <c r="C51" i="19" s="1"/>
  <c r="B45" i="19"/>
  <c r="B51" i="19" s="1"/>
  <c r="B44" i="19"/>
  <c r="B50" i="19" s="1"/>
  <c r="C43" i="19"/>
  <c r="B43" i="19"/>
  <c r="BC23" i="19"/>
  <c r="BB23" i="19"/>
  <c r="BA23" i="19"/>
  <c r="AZ23" i="19"/>
  <c r="AY23" i="19"/>
  <c r="AX23" i="19"/>
  <c r="AW23" i="19"/>
  <c r="AV23" i="19"/>
  <c r="AU23" i="19"/>
  <c r="AR23" i="19"/>
  <c r="AQ23" i="19"/>
  <c r="AP23" i="19"/>
  <c r="AO23" i="19"/>
  <c r="AN23" i="19"/>
  <c r="AL23" i="19"/>
  <c r="AH10" i="19" s="1"/>
  <c r="AH8" i="19" s="1"/>
  <c r="AH9" i="19" s="1"/>
  <c r="AI8" i="19" s="1"/>
  <c r="AK23" i="19"/>
  <c r="AJ23" i="19"/>
  <c r="AI23" i="19"/>
  <c r="AH23" i="19"/>
  <c r="AG23" i="19"/>
  <c r="AF23" i="19"/>
  <c r="AE23" i="19"/>
  <c r="AD23" i="19"/>
  <c r="AA23" i="19"/>
  <c r="X10" i="19" s="1"/>
  <c r="Y8" i="19" s="1"/>
  <c r="Y9" i="19" s="1"/>
  <c r="Z23" i="19"/>
  <c r="Y23" i="19"/>
  <c r="X23" i="19"/>
  <c r="W23" i="19"/>
  <c r="V23" i="19"/>
  <c r="U23" i="19"/>
  <c r="T23" i="19"/>
  <c r="S23" i="19"/>
  <c r="P23" i="19"/>
  <c r="M10" i="19" s="1"/>
  <c r="N8" i="19" s="1"/>
  <c r="N9" i="19" s="1"/>
  <c r="O23" i="19"/>
  <c r="N23" i="19"/>
  <c r="M23" i="19"/>
  <c r="L23" i="19"/>
  <c r="J23" i="19"/>
  <c r="I23" i="19"/>
  <c r="H23" i="19"/>
  <c r="G23" i="19"/>
  <c r="F23" i="19"/>
  <c r="E23" i="19"/>
  <c r="D23" i="19"/>
  <c r="C23" i="19"/>
  <c r="B23" i="19"/>
  <c r="AO10" i="19"/>
  <c r="AP8" i="19" s="1"/>
  <c r="AD10" i="19"/>
  <c r="T10" i="19"/>
  <c r="U8" i="19" s="1"/>
  <c r="U9" i="19" s="1"/>
  <c r="F10" i="19"/>
  <c r="F8" i="19" s="1"/>
  <c r="F9" i="19" s="1"/>
  <c r="G8" i="19" s="1"/>
  <c r="B10" i="19"/>
  <c r="AZ9" i="19"/>
  <c r="AY9" i="19"/>
  <c r="AV9" i="19"/>
  <c r="AU9" i="19"/>
  <c r="AR9" i="19"/>
  <c r="AQ9" i="19"/>
  <c r="AO9" i="19"/>
  <c r="AN9" i="19"/>
  <c r="AG9" i="19"/>
  <c r="AD9" i="19"/>
  <c r="F45" i="19" s="1"/>
  <c r="X9" i="19"/>
  <c r="W9" i="19"/>
  <c r="T9" i="19"/>
  <c r="S9" i="19"/>
  <c r="P9" i="19"/>
  <c r="O9" i="19"/>
  <c r="M9" i="19"/>
  <c r="L9" i="19"/>
  <c r="E9" i="19"/>
  <c r="C9" i="19"/>
  <c r="B9" i="19"/>
  <c r="BB8" i="19"/>
  <c r="AX8" i="19"/>
  <c r="AK8" i="19"/>
  <c r="AJ8" i="19"/>
  <c r="AE8" i="19"/>
  <c r="AE9" i="19" s="1"/>
  <c r="AF8" i="19" s="1"/>
  <c r="Z8" i="19"/>
  <c r="V8" i="19"/>
  <c r="Q8" i="19"/>
  <c r="Q9" i="19" s="1"/>
  <c r="I8" i="19"/>
  <c r="H8" i="19"/>
  <c r="D8" i="19"/>
  <c r="C8" i="19"/>
  <c r="BA5" i="19"/>
  <c r="AR5" i="19"/>
  <c r="AI5" i="19"/>
  <c r="Y5" i="19"/>
  <c r="P5" i="19"/>
  <c r="G5" i="19"/>
  <c r="AV4" i="19"/>
  <c r="AO4" i="19"/>
  <c r="AD4" i="19"/>
  <c r="T4" i="19"/>
  <c r="M4" i="19"/>
  <c r="C45" i="18"/>
  <c r="C51" i="18" s="1"/>
  <c r="B45" i="18"/>
  <c r="B51" i="18" s="1"/>
  <c r="B44" i="18"/>
  <c r="B50" i="18" s="1"/>
  <c r="C43" i="18"/>
  <c r="B43" i="18"/>
  <c r="BC23" i="18"/>
  <c r="AV10" i="18" s="1"/>
  <c r="AW8" i="18" s="1"/>
  <c r="AW9" i="18" s="1"/>
  <c r="BB23" i="18"/>
  <c r="BA23" i="18"/>
  <c r="AZ23" i="18"/>
  <c r="AY23" i="18"/>
  <c r="AX23" i="18"/>
  <c r="AW23" i="18"/>
  <c r="AV23" i="18"/>
  <c r="AU23" i="18"/>
  <c r="AR23" i="18"/>
  <c r="AO10" i="18" s="1"/>
  <c r="AP8" i="18" s="1"/>
  <c r="AQ23" i="18"/>
  <c r="AP23" i="18"/>
  <c r="AO23" i="18"/>
  <c r="AN23" i="18"/>
  <c r="AL23" i="18"/>
  <c r="AH10" i="18" s="1"/>
  <c r="AH8" i="18" s="1"/>
  <c r="AH9" i="18" s="1"/>
  <c r="AI8" i="18" s="1"/>
  <c r="AK23" i="18"/>
  <c r="AJ23" i="18"/>
  <c r="AI23" i="18"/>
  <c r="AH23" i="18"/>
  <c r="AG23" i="18"/>
  <c r="AF23" i="18"/>
  <c r="AE23" i="18"/>
  <c r="AD23" i="18"/>
  <c r="AA23" i="18"/>
  <c r="T10" i="18" s="1"/>
  <c r="U8" i="18" s="1"/>
  <c r="U9" i="18" s="1"/>
  <c r="Z23" i="18"/>
  <c r="Y23" i="18"/>
  <c r="X23" i="18"/>
  <c r="W23" i="18"/>
  <c r="V23" i="18"/>
  <c r="U23" i="18"/>
  <c r="T23" i="18"/>
  <c r="S23" i="18"/>
  <c r="P23" i="18"/>
  <c r="M10" i="18" s="1"/>
  <c r="N8" i="18" s="1"/>
  <c r="N9" i="18" s="1"/>
  <c r="O23" i="18"/>
  <c r="N23" i="18"/>
  <c r="M23" i="18"/>
  <c r="L23" i="18"/>
  <c r="J23" i="18"/>
  <c r="I23" i="18"/>
  <c r="H23" i="18"/>
  <c r="G23" i="18"/>
  <c r="F23" i="18"/>
  <c r="E23" i="18"/>
  <c r="D23" i="18"/>
  <c r="C23" i="18"/>
  <c r="B23" i="18"/>
  <c r="AD10" i="18"/>
  <c r="X10" i="18"/>
  <c r="Y8" i="18" s="1"/>
  <c r="Y9" i="18" s="1"/>
  <c r="AZ9" i="18"/>
  <c r="AY9" i="18"/>
  <c r="AV9" i="18"/>
  <c r="AU9" i="18"/>
  <c r="AR9" i="18"/>
  <c r="AQ9" i="18"/>
  <c r="AO9" i="18"/>
  <c r="AN9" i="18"/>
  <c r="AG9" i="18"/>
  <c r="AD9" i="18"/>
  <c r="X9" i="18"/>
  <c r="W9" i="18"/>
  <c r="T9" i="18"/>
  <c r="S9" i="18"/>
  <c r="P9" i="18"/>
  <c r="O9" i="18"/>
  <c r="M9" i="18"/>
  <c r="L9" i="18"/>
  <c r="E9" i="18"/>
  <c r="B9" i="18"/>
  <c r="BB8" i="18"/>
  <c r="AX8" i="18"/>
  <c r="AK8" i="18"/>
  <c r="AJ8" i="18"/>
  <c r="AE8" i="18"/>
  <c r="AE9" i="18" s="1"/>
  <c r="AF8" i="18" s="1"/>
  <c r="Z8" i="18"/>
  <c r="V8" i="18"/>
  <c r="Q8" i="18"/>
  <c r="Q9" i="18" s="1"/>
  <c r="I8" i="18"/>
  <c r="H8" i="18"/>
  <c r="BA5" i="18"/>
  <c r="AR5" i="18"/>
  <c r="AI5" i="18"/>
  <c r="Y5" i="18"/>
  <c r="P5" i="18"/>
  <c r="G5" i="18"/>
  <c r="AV4" i="18"/>
  <c r="AO4" i="18"/>
  <c r="AD4" i="18"/>
  <c r="T4" i="18"/>
  <c r="M4" i="18"/>
  <c r="C45" i="17"/>
  <c r="C51" i="17" s="1"/>
  <c r="B45" i="17"/>
  <c r="B51" i="17" s="1"/>
  <c r="B44" i="17"/>
  <c r="B50" i="17" s="1"/>
  <c r="C43" i="17"/>
  <c r="B43" i="17"/>
  <c r="B46" i="17" s="1"/>
  <c r="BC23" i="17"/>
  <c r="BB23" i="17"/>
  <c r="BA23" i="17"/>
  <c r="AZ23" i="17"/>
  <c r="AY23" i="17"/>
  <c r="AX23" i="17"/>
  <c r="AW23" i="17"/>
  <c r="AV23" i="17"/>
  <c r="AU23" i="17"/>
  <c r="AR23" i="17"/>
  <c r="AO10" i="17" s="1"/>
  <c r="AP8" i="17" s="1"/>
  <c r="AQ23" i="17"/>
  <c r="AP23" i="17"/>
  <c r="AO23" i="17"/>
  <c r="AN23" i="17"/>
  <c r="AL23" i="17"/>
  <c r="AK23" i="17"/>
  <c r="AJ23" i="17"/>
  <c r="AI23" i="17"/>
  <c r="AH23" i="17"/>
  <c r="AG23" i="17"/>
  <c r="AF23" i="17"/>
  <c r="AE23" i="17"/>
  <c r="AD23" i="17"/>
  <c r="AA23" i="17"/>
  <c r="X10" i="17" s="1"/>
  <c r="Y8" i="17" s="1"/>
  <c r="Y9" i="17" s="1"/>
  <c r="Z23" i="17"/>
  <c r="Y23" i="17"/>
  <c r="X23" i="17"/>
  <c r="W23" i="17"/>
  <c r="V23" i="17"/>
  <c r="U23" i="17"/>
  <c r="T23" i="17"/>
  <c r="S23" i="17"/>
  <c r="P23" i="17"/>
  <c r="M10" i="17" s="1"/>
  <c r="N8" i="17" s="1"/>
  <c r="N9" i="17" s="1"/>
  <c r="O23" i="17"/>
  <c r="N23" i="17"/>
  <c r="M23" i="17"/>
  <c r="L23" i="17"/>
  <c r="J23" i="17"/>
  <c r="B10" i="17" s="1"/>
  <c r="I23" i="17"/>
  <c r="H23" i="17"/>
  <c r="G23" i="17"/>
  <c r="F23" i="17"/>
  <c r="E23" i="17"/>
  <c r="D23" i="17"/>
  <c r="C23" i="17"/>
  <c r="B23" i="17"/>
  <c r="AZ10" i="17"/>
  <c r="BA8" i="17" s="1"/>
  <c r="BA9" i="17" s="1"/>
  <c r="AV10" i="17"/>
  <c r="AW8" i="17" s="1"/>
  <c r="AW9" i="17" s="1"/>
  <c r="F10" i="17"/>
  <c r="F8" i="17" s="1"/>
  <c r="F9" i="17" s="1"/>
  <c r="G8" i="17" s="1"/>
  <c r="AZ9" i="17"/>
  <c r="AY9" i="17"/>
  <c r="AV9" i="17"/>
  <c r="AU9" i="17"/>
  <c r="AR9" i="17"/>
  <c r="AQ9" i="17"/>
  <c r="AO9" i="17"/>
  <c r="AN9" i="17"/>
  <c r="AG9" i="17"/>
  <c r="AD9" i="17"/>
  <c r="X9" i="17"/>
  <c r="W9" i="17"/>
  <c r="T9" i="17"/>
  <c r="S9" i="17"/>
  <c r="P9" i="17"/>
  <c r="O9" i="17"/>
  <c r="M9" i="17"/>
  <c r="L9" i="17"/>
  <c r="E9" i="17"/>
  <c r="B9" i="17"/>
  <c r="BB8" i="17"/>
  <c r="AX8" i="17"/>
  <c r="AK8" i="17"/>
  <c r="AJ8" i="17"/>
  <c r="Z8" i="17"/>
  <c r="V8" i="17"/>
  <c r="Q8" i="17"/>
  <c r="Q9" i="17" s="1"/>
  <c r="I8" i="17"/>
  <c r="H8" i="17"/>
  <c r="BA5" i="17"/>
  <c r="AR5" i="17"/>
  <c r="AI5" i="17"/>
  <c r="Y5" i="17"/>
  <c r="P5" i="17"/>
  <c r="G5" i="17"/>
  <c r="AV4" i="17"/>
  <c r="AO4" i="17"/>
  <c r="AD4" i="17"/>
  <c r="T4" i="17"/>
  <c r="M4" i="17"/>
  <c r="C45" i="16"/>
  <c r="C51" i="16" s="1"/>
  <c r="B45" i="16"/>
  <c r="B51" i="16" s="1"/>
  <c r="B44" i="16"/>
  <c r="B50" i="16" s="1"/>
  <c r="C43" i="16"/>
  <c r="C49" i="16" s="1"/>
  <c r="B43" i="16"/>
  <c r="BC23" i="16"/>
  <c r="BB23" i="16"/>
  <c r="BA23" i="16"/>
  <c r="AZ23" i="16"/>
  <c r="AY23" i="16"/>
  <c r="AX23" i="16"/>
  <c r="AW23" i="16"/>
  <c r="AV23" i="16"/>
  <c r="AU23" i="16"/>
  <c r="AR23" i="16"/>
  <c r="AO10" i="16" s="1"/>
  <c r="AP8" i="16" s="1"/>
  <c r="AQ23" i="16"/>
  <c r="AP23" i="16"/>
  <c r="AO23" i="16"/>
  <c r="AN23" i="16"/>
  <c r="AL23" i="16"/>
  <c r="AK23" i="16"/>
  <c r="AJ23" i="16"/>
  <c r="AI23" i="16"/>
  <c r="AH23" i="16"/>
  <c r="AG23" i="16"/>
  <c r="AF23" i="16"/>
  <c r="AE23" i="16"/>
  <c r="AD23" i="16"/>
  <c r="AA23" i="16"/>
  <c r="T10" i="16" s="1"/>
  <c r="U8" i="16" s="1"/>
  <c r="U9" i="16" s="1"/>
  <c r="Z23" i="16"/>
  <c r="Y23" i="16"/>
  <c r="X23" i="16"/>
  <c r="W23" i="16"/>
  <c r="V23" i="16"/>
  <c r="U23" i="16"/>
  <c r="T23" i="16"/>
  <c r="S23" i="16"/>
  <c r="P23" i="16"/>
  <c r="M10" i="16" s="1"/>
  <c r="O23" i="16"/>
  <c r="N23" i="16"/>
  <c r="M23" i="16"/>
  <c r="L23" i="16"/>
  <c r="J23" i="16"/>
  <c r="F10" i="16" s="1"/>
  <c r="F8" i="16" s="1"/>
  <c r="F9" i="16" s="1"/>
  <c r="G8" i="16" s="1"/>
  <c r="I23" i="16"/>
  <c r="H23" i="16"/>
  <c r="G23" i="16"/>
  <c r="F23" i="16"/>
  <c r="E23" i="16"/>
  <c r="D23" i="16"/>
  <c r="C23" i="16"/>
  <c r="B23" i="16"/>
  <c r="AH10" i="16"/>
  <c r="AH8" i="16" s="1"/>
  <c r="AH9" i="16" s="1"/>
  <c r="AI8" i="16" s="1"/>
  <c r="AD10" i="16"/>
  <c r="AE8" i="16" s="1"/>
  <c r="AE9" i="16" s="1"/>
  <c r="AF8" i="16" s="1"/>
  <c r="X10" i="16"/>
  <c r="Y8" i="16" s="1"/>
  <c r="Y9" i="16" s="1"/>
  <c r="AZ9" i="16"/>
  <c r="AY9" i="16"/>
  <c r="AV9" i="16"/>
  <c r="AU9" i="16"/>
  <c r="AR9" i="16"/>
  <c r="AQ9" i="16"/>
  <c r="AO9" i="16"/>
  <c r="AN9" i="16"/>
  <c r="AG9" i="16"/>
  <c r="AD9" i="16"/>
  <c r="X9" i="16"/>
  <c r="W9" i="16"/>
  <c r="T9" i="16"/>
  <c r="S9" i="16"/>
  <c r="P9" i="16"/>
  <c r="O9" i="16"/>
  <c r="M9" i="16"/>
  <c r="L9" i="16"/>
  <c r="E9" i="16"/>
  <c r="B9" i="16"/>
  <c r="BB8" i="16"/>
  <c r="AX8" i="16"/>
  <c r="AK8" i="16"/>
  <c r="AJ8" i="16"/>
  <c r="Z8" i="16"/>
  <c r="V8" i="16"/>
  <c r="Q8" i="16"/>
  <c r="Q9" i="16" s="1"/>
  <c r="N8" i="16"/>
  <c r="N9" i="16" s="1"/>
  <c r="I8" i="16"/>
  <c r="H8" i="16"/>
  <c r="BA5" i="16"/>
  <c r="AR5" i="16"/>
  <c r="AI5" i="16"/>
  <c r="Y5" i="16"/>
  <c r="P5" i="16"/>
  <c r="G5" i="16"/>
  <c r="AV4" i="16"/>
  <c r="AO4" i="16"/>
  <c r="AD4" i="16"/>
  <c r="T4" i="16"/>
  <c r="M4" i="16"/>
  <c r="C45" i="15"/>
  <c r="C51" i="15" s="1"/>
  <c r="B45" i="15"/>
  <c r="B51" i="15" s="1"/>
  <c r="B44" i="15"/>
  <c r="B50" i="15" s="1"/>
  <c r="C43" i="15"/>
  <c r="B43" i="15"/>
  <c r="BC23" i="15"/>
  <c r="AZ10" i="15" s="1"/>
  <c r="BA8" i="15" s="1"/>
  <c r="BA9" i="15" s="1"/>
  <c r="BB23" i="15"/>
  <c r="BA23" i="15"/>
  <c r="AZ23" i="15"/>
  <c r="AY23" i="15"/>
  <c r="AX23" i="15"/>
  <c r="AW23" i="15"/>
  <c r="AV23" i="15"/>
  <c r="AU23" i="15"/>
  <c r="AR23" i="15"/>
  <c r="AO10" i="15" s="1"/>
  <c r="AP8" i="15" s="1"/>
  <c r="AQ23" i="15"/>
  <c r="AP23" i="15"/>
  <c r="AO23" i="15"/>
  <c r="AN23" i="15"/>
  <c r="AL23" i="15"/>
  <c r="AH10" i="15" s="1"/>
  <c r="AH8" i="15" s="1"/>
  <c r="AH9" i="15" s="1"/>
  <c r="AI8" i="15" s="1"/>
  <c r="AK23" i="15"/>
  <c r="AJ23" i="15"/>
  <c r="AI23" i="15"/>
  <c r="AH23" i="15"/>
  <c r="AG23" i="15"/>
  <c r="AF23" i="15"/>
  <c r="AE23" i="15"/>
  <c r="AD23" i="15"/>
  <c r="AA23" i="15"/>
  <c r="T10" i="15" s="1"/>
  <c r="U8" i="15" s="1"/>
  <c r="U9" i="15" s="1"/>
  <c r="Z23" i="15"/>
  <c r="Y23" i="15"/>
  <c r="X23" i="15"/>
  <c r="W23" i="15"/>
  <c r="V23" i="15"/>
  <c r="U23" i="15"/>
  <c r="T23" i="15"/>
  <c r="S23" i="15"/>
  <c r="P23" i="15"/>
  <c r="M10" i="15" s="1"/>
  <c r="N8" i="15" s="1"/>
  <c r="N9" i="15" s="1"/>
  <c r="O23" i="15"/>
  <c r="N23" i="15"/>
  <c r="M23" i="15"/>
  <c r="L23" i="15"/>
  <c r="J23" i="15"/>
  <c r="I23" i="15"/>
  <c r="H23" i="15"/>
  <c r="G23" i="15"/>
  <c r="F23" i="15"/>
  <c r="E23" i="15"/>
  <c r="D23" i="15"/>
  <c r="C23" i="15"/>
  <c r="B23" i="15"/>
  <c r="AD10" i="15"/>
  <c r="AE8" i="15" s="1"/>
  <c r="AE9" i="15" s="1"/>
  <c r="AF8" i="15" s="1"/>
  <c r="AZ9" i="15"/>
  <c r="AY9" i="15"/>
  <c r="AV9" i="15"/>
  <c r="AU9" i="15"/>
  <c r="AR9" i="15"/>
  <c r="AQ9" i="15"/>
  <c r="AO9" i="15"/>
  <c r="AN9" i="15"/>
  <c r="AG9" i="15"/>
  <c r="AD9" i="15"/>
  <c r="X9" i="15"/>
  <c r="W9" i="15"/>
  <c r="T9" i="15"/>
  <c r="S9" i="15"/>
  <c r="P9" i="15"/>
  <c r="O9" i="15"/>
  <c r="M9" i="15"/>
  <c r="L9" i="15"/>
  <c r="E9" i="15"/>
  <c r="B9" i="15"/>
  <c r="BB8" i="15"/>
  <c r="AX8" i="15"/>
  <c r="AK8" i="15"/>
  <c r="AJ8" i="15"/>
  <c r="Z8" i="15"/>
  <c r="V8" i="15"/>
  <c r="Q8" i="15"/>
  <c r="Q9" i="15" s="1"/>
  <c r="I8" i="15"/>
  <c r="H8" i="15"/>
  <c r="BA5" i="15"/>
  <c r="AR5" i="15"/>
  <c r="AI5" i="15"/>
  <c r="Y5" i="15"/>
  <c r="P5" i="15"/>
  <c r="G5" i="15"/>
  <c r="AV4" i="15"/>
  <c r="AO4" i="15"/>
  <c r="AD4" i="15"/>
  <c r="T4" i="15"/>
  <c r="M4" i="15"/>
  <c r="C45" i="14"/>
  <c r="C51" i="14" s="1"/>
  <c r="B45" i="14"/>
  <c r="B51" i="14" s="1"/>
  <c r="B44" i="14"/>
  <c r="B50" i="14" s="1"/>
  <c r="C43" i="14"/>
  <c r="B43" i="14"/>
  <c r="BC23" i="14"/>
  <c r="AZ10" i="14" s="1"/>
  <c r="BA8" i="14" s="1"/>
  <c r="BA9" i="14" s="1"/>
  <c r="BB23" i="14"/>
  <c r="BA23" i="14"/>
  <c r="AZ23" i="14"/>
  <c r="AY23" i="14"/>
  <c r="AX23" i="14"/>
  <c r="AW23" i="14"/>
  <c r="AV23" i="14"/>
  <c r="AU23" i="14"/>
  <c r="AR23" i="14"/>
  <c r="AO10" i="14" s="1"/>
  <c r="AP8" i="14" s="1"/>
  <c r="AQ23" i="14"/>
  <c r="AP23" i="14"/>
  <c r="AO23" i="14"/>
  <c r="AN23" i="14"/>
  <c r="AL23" i="14"/>
  <c r="AH10" i="14" s="1"/>
  <c r="AH8" i="14" s="1"/>
  <c r="AH9" i="14" s="1"/>
  <c r="AI8" i="14" s="1"/>
  <c r="AK23" i="14"/>
  <c r="AJ23" i="14"/>
  <c r="AI23" i="14"/>
  <c r="AH23" i="14"/>
  <c r="AG23" i="14"/>
  <c r="AF23" i="14"/>
  <c r="AE23" i="14"/>
  <c r="AD23" i="14"/>
  <c r="AA23" i="14"/>
  <c r="X10" i="14" s="1"/>
  <c r="Y8" i="14" s="1"/>
  <c r="Y9" i="14" s="1"/>
  <c r="Z23" i="14"/>
  <c r="Y23" i="14"/>
  <c r="X23" i="14"/>
  <c r="W23" i="14"/>
  <c r="V23" i="14"/>
  <c r="U23" i="14"/>
  <c r="T23" i="14"/>
  <c r="S23" i="14"/>
  <c r="P23" i="14"/>
  <c r="M10" i="14" s="1"/>
  <c r="N8" i="14" s="1"/>
  <c r="N9" i="14" s="1"/>
  <c r="O23" i="14"/>
  <c r="N23" i="14"/>
  <c r="M23" i="14"/>
  <c r="L23" i="14"/>
  <c r="J23" i="14"/>
  <c r="F10" i="14" s="1"/>
  <c r="F8" i="14" s="1"/>
  <c r="F9" i="14" s="1"/>
  <c r="G8" i="14" s="1"/>
  <c r="I23" i="14"/>
  <c r="H23" i="14"/>
  <c r="G23" i="14"/>
  <c r="F23" i="14"/>
  <c r="E23" i="14"/>
  <c r="D23" i="14"/>
  <c r="C23" i="14"/>
  <c r="B23" i="14"/>
  <c r="AZ9" i="14"/>
  <c r="AY9" i="14"/>
  <c r="AV9" i="14"/>
  <c r="AU9" i="14"/>
  <c r="AR9" i="14"/>
  <c r="AQ9" i="14"/>
  <c r="AO9" i="14"/>
  <c r="AN9" i="14"/>
  <c r="AG9" i="14"/>
  <c r="AD9" i="14"/>
  <c r="X9" i="14"/>
  <c r="W9" i="14"/>
  <c r="T9" i="14"/>
  <c r="S9" i="14"/>
  <c r="P9" i="14"/>
  <c r="O9" i="14"/>
  <c r="M9" i="14"/>
  <c r="L9" i="14"/>
  <c r="E9" i="14"/>
  <c r="B9" i="14"/>
  <c r="F44" i="14" s="1"/>
  <c r="BB8" i="14"/>
  <c r="AX8" i="14"/>
  <c r="AK8" i="14"/>
  <c r="AJ8" i="14"/>
  <c r="Z8" i="14"/>
  <c r="V8" i="14"/>
  <c r="Q8" i="14"/>
  <c r="Q9" i="14" s="1"/>
  <c r="I8" i="14"/>
  <c r="H8" i="14"/>
  <c r="BA5" i="14"/>
  <c r="AR5" i="14"/>
  <c r="AI5" i="14"/>
  <c r="Y5" i="14"/>
  <c r="P5" i="14"/>
  <c r="G5" i="14"/>
  <c r="AV4" i="14"/>
  <c r="AO4" i="14"/>
  <c r="AD4" i="14"/>
  <c r="T4" i="14"/>
  <c r="M4" i="14"/>
  <c r="C45" i="13"/>
  <c r="C51" i="13" s="1"/>
  <c r="B45" i="13"/>
  <c r="B51" i="13" s="1"/>
  <c r="B44" i="13"/>
  <c r="B50" i="13" s="1"/>
  <c r="C43" i="13"/>
  <c r="C46" i="13" s="1"/>
  <c r="B43" i="13"/>
  <c r="BC23" i="13"/>
  <c r="AZ10" i="13" s="1"/>
  <c r="BA8" i="13" s="1"/>
  <c r="BA9" i="13" s="1"/>
  <c r="BB23" i="13"/>
  <c r="BA23" i="13"/>
  <c r="AZ23" i="13"/>
  <c r="AY23" i="13"/>
  <c r="AX23" i="13"/>
  <c r="AW23" i="13"/>
  <c r="AV23" i="13"/>
  <c r="AU23" i="13"/>
  <c r="AR23" i="13"/>
  <c r="AO10" i="13" s="1"/>
  <c r="AP8" i="13" s="1"/>
  <c r="AQ23" i="13"/>
  <c r="AP23" i="13"/>
  <c r="AO23" i="13"/>
  <c r="AN23" i="13"/>
  <c r="AL23" i="13"/>
  <c r="AH10" i="13" s="1"/>
  <c r="AH8" i="13" s="1"/>
  <c r="AH9" i="13" s="1"/>
  <c r="AI8" i="13" s="1"/>
  <c r="AK23" i="13"/>
  <c r="AJ23" i="13"/>
  <c r="AI23" i="13"/>
  <c r="AH23" i="13"/>
  <c r="AG23" i="13"/>
  <c r="AF23" i="13"/>
  <c r="AE23" i="13"/>
  <c r="AD23" i="13"/>
  <c r="AA23" i="13"/>
  <c r="X10" i="13" s="1"/>
  <c r="Y8" i="13" s="1"/>
  <c r="Y9" i="13" s="1"/>
  <c r="Z23" i="13"/>
  <c r="Y23" i="13"/>
  <c r="X23" i="13"/>
  <c r="W23" i="13"/>
  <c r="V23" i="13"/>
  <c r="U23" i="13"/>
  <c r="T23" i="13"/>
  <c r="S23" i="13"/>
  <c r="P23" i="13"/>
  <c r="M10" i="13" s="1"/>
  <c r="N8" i="13" s="1"/>
  <c r="N9" i="13" s="1"/>
  <c r="O23" i="13"/>
  <c r="N23" i="13"/>
  <c r="M23" i="13"/>
  <c r="L23" i="13"/>
  <c r="J23" i="13"/>
  <c r="F10" i="13" s="1"/>
  <c r="F8" i="13" s="1"/>
  <c r="F9" i="13" s="1"/>
  <c r="G8" i="13" s="1"/>
  <c r="I23" i="13"/>
  <c r="H23" i="13"/>
  <c r="G23" i="13"/>
  <c r="F23" i="13"/>
  <c r="E23" i="13"/>
  <c r="D23" i="13"/>
  <c r="C23" i="13"/>
  <c r="B23" i="13"/>
  <c r="AZ9" i="13"/>
  <c r="AY9" i="13"/>
  <c r="AV9" i="13"/>
  <c r="AU9" i="13"/>
  <c r="AR9" i="13"/>
  <c r="AQ9" i="13"/>
  <c r="AO9" i="13"/>
  <c r="AN9" i="13"/>
  <c r="AG9" i="13"/>
  <c r="AD9" i="13"/>
  <c r="X9" i="13"/>
  <c r="W9" i="13"/>
  <c r="T9" i="13"/>
  <c r="S9" i="13"/>
  <c r="P9" i="13"/>
  <c r="O9" i="13"/>
  <c r="M9" i="13"/>
  <c r="L9" i="13"/>
  <c r="E9" i="13"/>
  <c r="B9" i="13"/>
  <c r="F44" i="13" s="1"/>
  <c r="BB8" i="13"/>
  <c r="AX8" i="13"/>
  <c r="AK8" i="13"/>
  <c r="AJ8" i="13"/>
  <c r="Z8" i="13"/>
  <c r="V8" i="13"/>
  <c r="Q8" i="13"/>
  <c r="Q9" i="13" s="1"/>
  <c r="I8" i="13"/>
  <c r="H8" i="13"/>
  <c r="BA5" i="13"/>
  <c r="AR5" i="13"/>
  <c r="AI5" i="13"/>
  <c r="Y5" i="13"/>
  <c r="P5" i="13"/>
  <c r="G5" i="13"/>
  <c r="AV4" i="13"/>
  <c r="AO4" i="13"/>
  <c r="AD4" i="13"/>
  <c r="T4" i="13"/>
  <c r="M4" i="13"/>
  <c r="C45" i="12"/>
  <c r="C51" i="12" s="1"/>
  <c r="B45" i="12"/>
  <c r="B51" i="12" s="1"/>
  <c r="B44" i="12"/>
  <c r="B50" i="12" s="1"/>
  <c r="C43" i="12"/>
  <c r="C49" i="12" s="1"/>
  <c r="B43" i="12"/>
  <c r="BC23" i="12"/>
  <c r="AV10" i="12" s="1"/>
  <c r="AW8" i="12" s="1"/>
  <c r="AW9" i="12" s="1"/>
  <c r="BB23" i="12"/>
  <c r="BA23" i="12"/>
  <c r="AZ23" i="12"/>
  <c r="AY23" i="12"/>
  <c r="AX23" i="12"/>
  <c r="AW23" i="12"/>
  <c r="AV23" i="12"/>
  <c r="AU23" i="12"/>
  <c r="AR23" i="12"/>
  <c r="AO10" i="12" s="1"/>
  <c r="AP8" i="12" s="1"/>
  <c r="AQ23" i="12"/>
  <c r="AP23" i="12"/>
  <c r="AO23" i="12"/>
  <c r="AN23" i="12"/>
  <c r="AL23" i="12"/>
  <c r="AD10" i="12" s="1"/>
  <c r="AE8" i="12" s="1"/>
  <c r="AE9" i="12" s="1"/>
  <c r="AF8" i="12" s="1"/>
  <c r="AK23" i="12"/>
  <c r="AJ23" i="12"/>
  <c r="AI23" i="12"/>
  <c r="AH23" i="12"/>
  <c r="AG23" i="12"/>
  <c r="AF23" i="12"/>
  <c r="AE23" i="12"/>
  <c r="AD23" i="12"/>
  <c r="AA23" i="12"/>
  <c r="T10" i="12" s="1"/>
  <c r="U8" i="12" s="1"/>
  <c r="U9" i="12" s="1"/>
  <c r="Z23" i="12"/>
  <c r="Y23" i="12"/>
  <c r="X23" i="12"/>
  <c r="W23" i="12"/>
  <c r="V23" i="12"/>
  <c r="U23" i="12"/>
  <c r="T23" i="12"/>
  <c r="S23" i="12"/>
  <c r="P23" i="12"/>
  <c r="M10" i="12" s="1"/>
  <c r="O23" i="12"/>
  <c r="N23" i="12"/>
  <c r="M23" i="12"/>
  <c r="L23" i="12"/>
  <c r="J23" i="12"/>
  <c r="F10" i="12" s="1"/>
  <c r="F8" i="12" s="1"/>
  <c r="F9" i="12" s="1"/>
  <c r="G8" i="12" s="1"/>
  <c r="I23" i="12"/>
  <c r="H23" i="12"/>
  <c r="G23" i="12"/>
  <c r="F23" i="12"/>
  <c r="E23" i="12"/>
  <c r="D23" i="12"/>
  <c r="C23" i="12"/>
  <c r="B23" i="12"/>
  <c r="AZ9" i="12"/>
  <c r="AY9" i="12"/>
  <c r="AV9" i="12"/>
  <c r="AU9" i="12"/>
  <c r="AR9" i="12"/>
  <c r="AQ9" i="12"/>
  <c r="AO9" i="12"/>
  <c r="AN9" i="12"/>
  <c r="AG9" i="12"/>
  <c r="AD9" i="12"/>
  <c r="X9" i="12"/>
  <c r="W9" i="12"/>
  <c r="T9" i="12"/>
  <c r="S9" i="12"/>
  <c r="P9" i="12"/>
  <c r="O9" i="12"/>
  <c r="M9" i="12"/>
  <c r="L9" i="12"/>
  <c r="E9" i="12"/>
  <c r="B9" i="12"/>
  <c r="F44" i="12" s="1"/>
  <c r="BB8" i="12"/>
  <c r="AX8" i="12"/>
  <c r="AK8" i="12"/>
  <c r="AJ8" i="12"/>
  <c r="Z8" i="12"/>
  <c r="V8" i="12"/>
  <c r="Q8" i="12"/>
  <c r="Q9" i="12" s="1"/>
  <c r="N8" i="12"/>
  <c r="N9" i="12" s="1"/>
  <c r="I8" i="12"/>
  <c r="H8" i="12"/>
  <c r="BA5" i="12"/>
  <c r="AR5" i="12"/>
  <c r="AI5" i="12"/>
  <c r="Y5" i="12"/>
  <c r="P5" i="12"/>
  <c r="G5" i="12"/>
  <c r="AV4" i="12"/>
  <c r="AO4" i="12"/>
  <c r="AD4" i="12"/>
  <c r="T4" i="12"/>
  <c r="M4" i="12"/>
  <c r="C45" i="11"/>
  <c r="C51" i="11" s="1"/>
  <c r="B45" i="11"/>
  <c r="B51" i="11" s="1"/>
  <c r="B44" i="11"/>
  <c r="B50" i="11" s="1"/>
  <c r="C43" i="11"/>
  <c r="C49" i="11" s="1"/>
  <c r="B43" i="11"/>
  <c r="BC23" i="11"/>
  <c r="AV10" i="11" s="1"/>
  <c r="AW8" i="11" s="1"/>
  <c r="AW9" i="11" s="1"/>
  <c r="BB23" i="11"/>
  <c r="BA23" i="11"/>
  <c r="AZ23" i="11"/>
  <c r="AY23" i="11"/>
  <c r="AX23" i="11"/>
  <c r="AW23" i="11"/>
  <c r="AV23" i="11"/>
  <c r="AU23" i="11"/>
  <c r="AR23" i="11"/>
  <c r="AO10" i="11" s="1"/>
  <c r="AP8" i="11" s="1"/>
  <c r="AQ23" i="11"/>
  <c r="AP23" i="11"/>
  <c r="AO23" i="11"/>
  <c r="AN23" i="11"/>
  <c r="AL23" i="11"/>
  <c r="AD10" i="11" s="1"/>
  <c r="AE8" i="11" s="1"/>
  <c r="AE9" i="11" s="1"/>
  <c r="AF8" i="11" s="1"/>
  <c r="AK23" i="11"/>
  <c r="AJ23" i="11"/>
  <c r="AI23" i="11"/>
  <c r="AH23" i="11"/>
  <c r="AG23" i="11"/>
  <c r="AF23" i="11"/>
  <c r="AE23" i="11"/>
  <c r="AD23" i="11"/>
  <c r="AA23" i="11"/>
  <c r="T10" i="11" s="1"/>
  <c r="U8" i="11" s="1"/>
  <c r="U9" i="11" s="1"/>
  <c r="Z23" i="11"/>
  <c r="Y23" i="11"/>
  <c r="X23" i="11"/>
  <c r="W23" i="11"/>
  <c r="V23" i="11"/>
  <c r="U23" i="11"/>
  <c r="T23" i="11"/>
  <c r="S23" i="11"/>
  <c r="P23" i="11"/>
  <c r="O23" i="11"/>
  <c r="N23" i="11"/>
  <c r="M23" i="11"/>
  <c r="L23" i="11"/>
  <c r="J23" i="11"/>
  <c r="F10" i="11" s="1"/>
  <c r="F8" i="11" s="1"/>
  <c r="F9" i="11" s="1"/>
  <c r="G8" i="11" s="1"/>
  <c r="I23" i="11"/>
  <c r="H23" i="11"/>
  <c r="G23" i="11"/>
  <c r="F23" i="11"/>
  <c r="E23" i="11"/>
  <c r="D23" i="11"/>
  <c r="C23" i="11"/>
  <c r="B23" i="11"/>
  <c r="AH10" i="11"/>
  <c r="AH8" i="11" s="1"/>
  <c r="AH9" i="11" s="1"/>
  <c r="AI8" i="11" s="1"/>
  <c r="M10" i="11"/>
  <c r="AZ9" i="11"/>
  <c r="AY9" i="11"/>
  <c r="AV9" i="11"/>
  <c r="AU9" i="11"/>
  <c r="AR9" i="11"/>
  <c r="AQ9" i="11"/>
  <c r="AO9" i="11"/>
  <c r="AN9" i="11"/>
  <c r="AG9" i="11"/>
  <c r="AD9" i="11"/>
  <c r="F45" i="11" s="1"/>
  <c r="X9" i="11"/>
  <c r="W9" i="11"/>
  <c r="T9" i="11"/>
  <c r="S9" i="11"/>
  <c r="P9" i="11"/>
  <c r="O9" i="11"/>
  <c r="M9" i="11"/>
  <c r="L9" i="11"/>
  <c r="E9" i="11"/>
  <c r="B9" i="11"/>
  <c r="BB8" i="11"/>
  <c r="AX8" i="11"/>
  <c r="AK8" i="11"/>
  <c r="AJ8" i="11"/>
  <c r="Z8" i="11"/>
  <c r="V8" i="11"/>
  <c r="Q8" i="11"/>
  <c r="Q9" i="11" s="1"/>
  <c r="N8" i="11"/>
  <c r="N9" i="11" s="1"/>
  <c r="I8" i="11"/>
  <c r="H8" i="11"/>
  <c r="BA5" i="11"/>
  <c r="AR5" i="11"/>
  <c r="AI5" i="11"/>
  <c r="Y5" i="11"/>
  <c r="P5" i="11"/>
  <c r="G5" i="11"/>
  <c r="AV4" i="11"/>
  <c r="AO4" i="11"/>
  <c r="AD4" i="11"/>
  <c r="T4" i="11"/>
  <c r="M4" i="11"/>
  <c r="C45" i="10"/>
  <c r="C51" i="10" s="1"/>
  <c r="B45" i="10"/>
  <c r="B51" i="10" s="1"/>
  <c r="B44" i="10"/>
  <c r="B50" i="10" s="1"/>
  <c r="C43" i="10"/>
  <c r="B43" i="10"/>
  <c r="BC23" i="10"/>
  <c r="AZ10" i="10" s="1"/>
  <c r="BA8" i="10" s="1"/>
  <c r="BA9" i="10" s="1"/>
  <c r="BB23" i="10"/>
  <c r="BA23" i="10"/>
  <c r="AZ23" i="10"/>
  <c r="AY23" i="10"/>
  <c r="AX23" i="10"/>
  <c r="AW23" i="10"/>
  <c r="AV23" i="10"/>
  <c r="AU23" i="10"/>
  <c r="AR23" i="10"/>
  <c r="AO10" i="10" s="1"/>
  <c r="AP8" i="10" s="1"/>
  <c r="AQ23" i="10"/>
  <c r="AP23" i="10"/>
  <c r="AO23" i="10"/>
  <c r="AN23" i="10"/>
  <c r="AL23" i="10"/>
  <c r="AH10" i="10" s="1"/>
  <c r="AH8" i="10" s="1"/>
  <c r="AH9" i="10" s="1"/>
  <c r="AI8" i="10" s="1"/>
  <c r="AK23" i="10"/>
  <c r="AJ23" i="10"/>
  <c r="AI23" i="10"/>
  <c r="AH23" i="10"/>
  <c r="AG23" i="10"/>
  <c r="AF23" i="10"/>
  <c r="AE23" i="10"/>
  <c r="AD23" i="10"/>
  <c r="AA23" i="10"/>
  <c r="X10" i="10" s="1"/>
  <c r="Y8" i="10" s="1"/>
  <c r="Y9" i="10" s="1"/>
  <c r="Z23" i="10"/>
  <c r="Y23" i="10"/>
  <c r="X23" i="10"/>
  <c r="W23" i="10"/>
  <c r="V23" i="10"/>
  <c r="U23" i="10"/>
  <c r="T23" i="10"/>
  <c r="S23" i="10"/>
  <c r="P23" i="10"/>
  <c r="M10" i="10" s="1"/>
  <c r="N8" i="10" s="1"/>
  <c r="N9" i="10" s="1"/>
  <c r="O23" i="10"/>
  <c r="N23" i="10"/>
  <c r="M23" i="10"/>
  <c r="L23" i="10"/>
  <c r="J23" i="10"/>
  <c r="F10" i="10" s="1"/>
  <c r="F8" i="10" s="1"/>
  <c r="F9" i="10" s="1"/>
  <c r="G8" i="10" s="1"/>
  <c r="I23" i="10"/>
  <c r="H23" i="10"/>
  <c r="G23" i="10"/>
  <c r="F23" i="10"/>
  <c r="E23" i="10"/>
  <c r="D23" i="10"/>
  <c r="C23" i="10"/>
  <c r="B23" i="10"/>
  <c r="AZ9" i="10"/>
  <c r="AY9" i="10"/>
  <c r="AV9" i="10"/>
  <c r="AU9" i="10"/>
  <c r="AR9" i="10"/>
  <c r="AQ9" i="10"/>
  <c r="AO9" i="10"/>
  <c r="AN9" i="10"/>
  <c r="AG9" i="10"/>
  <c r="AD9" i="10"/>
  <c r="F45" i="10" s="1"/>
  <c r="X9" i="10"/>
  <c r="W9" i="10"/>
  <c r="T9" i="10"/>
  <c r="S9" i="10"/>
  <c r="P9" i="10"/>
  <c r="O9" i="10"/>
  <c r="M9" i="10"/>
  <c r="L9" i="10"/>
  <c r="E9" i="10"/>
  <c r="B9" i="10"/>
  <c r="F44" i="10" s="1"/>
  <c r="BB8" i="10"/>
  <c r="AX8" i="10"/>
  <c r="AK8" i="10"/>
  <c r="AJ8" i="10"/>
  <c r="Z8" i="10"/>
  <c r="V8" i="10"/>
  <c r="Q8" i="10"/>
  <c r="Q9" i="10" s="1"/>
  <c r="I8" i="10"/>
  <c r="H8" i="10"/>
  <c r="BA5" i="10"/>
  <c r="AR5" i="10"/>
  <c r="AI5" i="10"/>
  <c r="Y5" i="10"/>
  <c r="P5" i="10"/>
  <c r="G5" i="10"/>
  <c r="AV4" i="10"/>
  <c r="AO4" i="10"/>
  <c r="AD4" i="10"/>
  <c r="T4" i="10"/>
  <c r="M4" i="10"/>
  <c r="C45" i="9"/>
  <c r="C51" i="9" s="1"/>
  <c r="B45" i="9"/>
  <c r="B51" i="9" s="1"/>
  <c r="B44" i="9"/>
  <c r="B50" i="9" s="1"/>
  <c r="C43" i="9"/>
  <c r="C46" i="9" s="1"/>
  <c r="B43" i="9"/>
  <c r="BC23" i="9"/>
  <c r="AZ10" i="9" s="1"/>
  <c r="BA8" i="9" s="1"/>
  <c r="BA9" i="9" s="1"/>
  <c r="BB23" i="9"/>
  <c r="BA23" i="9"/>
  <c r="AZ23" i="9"/>
  <c r="AY23" i="9"/>
  <c r="AX23" i="9"/>
  <c r="AW23" i="9"/>
  <c r="AV23" i="9"/>
  <c r="AU23" i="9"/>
  <c r="AR23" i="9"/>
  <c r="AO10" i="9" s="1"/>
  <c r="AP8" i="9" s="1"/>
  <c r="AQ23" i="9"/>
  <c r="AP23" i="9"/>
  <c r="AO23" i="9"/>
  <c r="AN23" i="9"/>
  <c r="AL23" i="9"/>
  <c r="AH10" i="9" s="1"/>
  <c r="AH8" i="9" s="1"/>
  <c r="AH9" i="9" s="1"/>
  <c r="AI8" i="9" s="1"/>
  <c r="AK23" i="9"/>
  <c r="AJ23" i="9"/>
  <c r="AI23" i="9"/>
  <c r="AH23" i="9"/>
  <c r="AG23" i="9"/>
  <c r="AF23" i="9"/>
  <c r="AE23" i="9"/>
  <c r="AD23" i="9"/>
  <c r="AA23" i="9"/>
  <c r="T10" i="9" s="1"/>
  <c r="U8" i="9" s="1"/>
  <c r="U9" i="9" s="1"/>
  <c r="Z23" i="9"/>
  <c r="Y23" i="9"/>
  <c r="X23" i="9"/>
  <c r="W23" i="9"/>
  <c r="V23" i="9"/>
  <c r="U23" i="9"/>
  <c r="T23" i="9"/>
  <c r="S23" i="9"/>
  <c r="P23" i="9"/>
  <c r="M10" i="9" s="1"/>
  <c r="N8" i="9" s="1"/>
  <c r="N9" i="9" s="1"/>
  <c r="O23" i="9"/>
  <c r="N23" i="9"/>
  <c r="M23" i="9"/>
  <c r="L23" i="9"/>
  <c r="J23" i="9"/>
  <c r="F10" i="9" s="1"/>
  <c r="F8" i="9" s="1"/>
  <c r="F9" i="9" s="1"/>
  <c r="G8" i="9" s="1"/>
  <c r="I23" i="9"/>
  <c r="H23" i="9"/>
  <c r="G23" i="9"/>
  <c r="F23" i="9"/>
  <c r="E23" i="9"/>
  <c r="D23" i="9"/>
  <c r="C23" i="9"/>
  <c r="B23" i="9"/>
  <c r="X10" i="9"/>
  <c r="Y8" i="9" s="1"/>
  <c r="Y9" i="9" s="1"/>
  <c r="AZ9" i="9"/>
  <c r="AY9" i="9"/>
  <c r="AV9" i="9"/>
  <c r="AU9" i="9"/>
  <c r="AR9" i="9"/>
  <c r="AQ9" i="9"/>
  <c r="AO9" i="9"/>
  <c r="AN9" i="9"/>
  <c r="AG9" i="9"/>
  <c r="AD9" i="9"/>
  <c r="F45" i="9" s="1"/>
  <c r="X9" i="9"/>
  <c r="W9" i="9"/>
  <c r="T9" i="9"/>
  <c r="S9" i="9"/>
  <c r="P9" i="9"/>
  <c r="O9" i="9"/>
  <c r="M9" i="9"/>
  <c r="L9" i="9"/>
  <c r="E9" i="9"/>
  <c r="B9" i="9"/>
  <c r="F44" i="9" s="1"/>
  <c r="BB8" i="9"/>
  <c r="AX8" i="9"/>
  <c r="AK8" i="9"/>
  <c r="AJ8" i="9"/>
  <c r="Z8" i="9"/>
  <c r="V8" i="9"/>
  <c r="Q8" i="9"/>
  <c r="Q9" i="9" s="1"/>
  <c r="I8" i="9"/>
  <c r="H8" i="9"/>
  <c r="BA5" i="9"/>
  <c r="AR5" i="9"/>
  <c r="AI5" i="9"/>
  <c r="Y5" i="9"/>
  <c r="P5" i="9"/>
  <c r="G5" i="9"/>
  <c r="AV4" i="9"/>
  <c r="AO4" i="9"/>
  <c r="AD4" i="9"/>
  <c r="T4" i="9"/>
  <c r="M4" i="9"/>
  <c r="C45" i="8"/>
  <c r="C51" i="8" s="1"/>
  <c r="B45" i="8"/>
  <c r="B51" i="8" s="1"/>
  <c r="B44" i="8"/>
  <c r="B50" i="8" s="1"/>
  <c r="C43" i="8"/>
  <c r="C46" i="8" s="1"/>
  <c r="B43" i="8"/>
  <c r="BC23" i="8"/>
  <c r="AZ10" i="8" s="1"/>
  <c r="BA8" i="8" s="1"/>
  <c r="BA9" i="8" s="1"/>
  <c r="BB23" i="8"/>
  <c r="BA23" i="8"/>
  <c r="AZ23" i="8"/>
  <c r="AY23" i="8"/>
  <c r="AX23" i="8"/>
  <c r="AW23" i="8"/>
  <c r="AV23" i="8"/>
  <c r="AU23" i="8"/>
  <c r="AR23" i="8"/>
  <c r="AQ23" i="8"/>
  <c r="AP23" i="8"/>
  <c r="AO23" i="8"/>
  <c r="AN23" i="8"/>
  <c r="AL23" i="8"/>
  <c r="AH10" i="8" s="1"/>
  <c r="AH8" i="8" s="1"/>
  <c r="AH9" i="8" s="1"/>
  <c r="AI8" i="8" s="1"/>
  <c r="AK23" i="8"/>
  <c r="AJ23" i="8"/>
  <c r="AI23" i="8"/>
  <c r="AH23" i="8"/>
  <c r="AG23" i="8"/>
  <c r="AF23" i="8"/>
  <c r="AE23" i="8"/>
  <c r="AD23" i="8"/>
  <c r="AA23" i="8"/>
  <c r="X10" i="8" s="1"/>
  <c r="Y8" i="8" s="1"/>
  <c r="Y9" i="8" s="1"/>
  <c r="Z23" i="8"/>
  <c r="Y23" i="8"/>
  <c r="X23" i="8"/>
  <c r="W23" i="8"/>
  <c r="V23" i="8"/>
  <c r="U23" i="8"/>
  <c r="T23" i="8"/>
  <c r="S23" i="8"/>
  <c r="P23" i="8"/>
  <c r="M10" i="8" s="1"/>
  <c r="N8" i="8" s="1"/>
  <c r="N9" i="8" s="1"/>
  <c r="O23" i="8"/>
  <c r="N23" i="8"/>
  <c r="M23" i="8"/>
  <c r="L23" i="8"/>
  <c r="J23" i="8"/>
  <c r="F10" i="8" s="1"/>
  <c r="F8" i="8" s="1"/>
  <c r="F9" i="8" s="1"/>
  <c r="G8" i="8" s="1"/>
  <c r="I23" i="8"/>
  <c r="H23" i="8"/>
  <c r="G23" i="8"/>
  <c r="F23" i="8"/>
  <c r="E23" i="8"/>
  <c r="D23" i="8"/>
  <c r="C23" i="8"/>
  <c r="B23" i="8"/>
  <c r="AO10" i="8"/>
  <c r="AP8" i="8" s="1"/>
  <c r="AZ9" i="8"/>
  <c r="AY9" i="8"/>
  <c r="AV9" i="8"/>
  <c r="AU9" i="8"/>
  <c r="AR9" i="8"/>
  <c r="AQ9" i="8"/>
  <c r="AO9" i="8"/>
  <c r="AN9" i="8"/>
  <c r="AG9" i="8"/>
  <c r="AD9" i="8"/>
  <c r="F45" i="8" s="1"/>
  <c r="X9" i="8"/>
  <c r="W9" i="8"/>
  <c r="T9" i="8"/>
  <c r="S9" i="8"/>
  <c r="P9" i="8"/>
  <c r="O9" i="8"/>
  <c r="M9" i="8"/>
  <c r="L9" i="8"/>
  <c r="E9" i="8"/>
  <c r="B9" i="8"/>
  <c r="F44" i="8" s="1"/>
  <c r="BB8" i="8"/>
  <c r="AX8" i="8"/>
  <c r="AK8" i="8"/>
  <c r="AJ8" i="8"/>
  <c r="Z8" i="8"/>
  <c r="V8" i="8"/>
  <c r="Q8" i="8"/>
  <c r="Q9" i="8" s="1"/>
  <c r="I8" i="8"/>
  <c r="H8" i="8"/>
  <c r="BA5" i="8"/>
  <c r="AR5" i="8"/>
  <c r="AI5" i="8"/>
  <c r="Y5" i="8"/>
  <c r="P5" i="8"/>
  <c r="G5" i="8"/>
  <c r="AV4" i="8"/>
  <c r="AO4" i="8"/>
  <c r="AD4" i="8"/>
  <c r="T4" i="8"/>
  <c r="M4" i="8"/>
  <c r="C45" i="7"/>
  <c r="C51" i="7" s="1"/>
  <c r="B45" i="7"/>
  <c r="B51" i="7" s="1"/>
  <c r="B44" i="7"/>
  <c r="B50" i="7" s="1"/>
  <c r="C43" i="7"/>
  <c r="C46" i="7" s="1"/>
  <c r="B43" i="7"/>
  <c r="BC23" i="7"/>
  <c r="AZ10" i="7" s="1"/>
  <c r="BA8" i="7" s="1"/>
  <c r="BA9" i="7" s="1"/>
  <c r="BB23" i="7"/>
  <c r="BA23" i="7"/>
  <c r="AZ23" i="7"/>
  <c r="AY23" i="7"/>
  <c r="AX23" i="7"/>
  <c r="AW23" i="7"/>
  <c r="AV23" i="7"/>
  <c r="AU23" i="7"/>
  <c r="AR23" i="7"/>
  <c r="AO10" i="7" s="1"/>
  <c r="AP8" i="7" s="1"/>
  <c r="AQ23" i="7"/>
  <c r="AP23" i="7"/>
  <c r="AO23" i="7"/>
  <c r="AN23" i="7"/>
  <c r="AL23" i="7"/>
  <c r="AH10" i="7" s="1"/>
  <c r="AH8" i="7" s="1"/>
  <c r="AH9" i="7" s="1"/>
  <c r="AI8" i="7" s="1"/>
  <c r="AK23" i="7"/>
  <c r="AJ23" i="7"/>
  <c r="AI23" i="7"/>
  <c r="AH23" i="7"/>
  <c r="AG23" i="7"/>
  <c r="AF23" i="7"/>
  <c r="AE23" i="7"/>
  <c r="AD23" i="7"/>
  <c r="AA23" i="7"/>
  <c r="X10" i="7" s="1"/>
  <c r="Y8" i="7" s="1"/>
  <c r="Y9" i="7" s="1"/>
  <c r="Z23" i="7"/>
  <c r="Y23" i="7"/>
  <c r="X23" i="7"/>
  <c r="W23" i="7"/>
  <c r="V23" i="7"/>
  <c r="U23" i="7"/>
  <c r="T23" i="7"/>
  <c r="S23" i="7"/>
  <c r="P23" i="7"/>
  <c r="M10" i="7" s="1"/>
  <c r="N8" i="7" s="1"/>
  <c r="N9" i="7" s="1"/>
  <c r="O23" i="7"/>
  <c r="N23" i="7"/>
  <c r="M23" i="7"/>
  <c r="L23" i="7"/>
  <c r="J23" i="7"/>
  <c r="F10" i="7" s="1"/>
  <c r="F8" i="7" s="1"/>
  <c r="F9" i="7" s="1"/>
  <c r="G8" i="7" s="1"/>
  <c r="I23" i="7"/>
  <c r="H23" i="7"/>
  <c r="G23" i="7"/>
  <c r="F23" i="7"/>
  <c r="E23" i="7"/>
  <c r="D23" i="7"/>
  <c r="C23" i="7"/>
  <c r="B23" i="7"/>
  <c r="AD10" i="7"/>
  <c r="AE8" i="7" s="1"/>
  <c r="AE9" i="7" s="1"/>
  <c r="AF8" i="7" s="1"/>
  <c r="AZ9" i="7"/>
  <c r="AY9" i="7"/>
  <c r="AV9" i="7"/>
  <c r="AU9" i="7"/>
  <c r="AR9" i="7"/>
  <c r="AQ9" i="7"/>
  <c r="AO9" i="7"/>
  <c r="AN9" i="7"/>
  <c r="AG9" i="7"/>
  <c r="AD9" i="7"/>
  <c r="F45" i="7" s="1"/>
  <c r="X9" i="7"/>
  <c r="W9" i="7"/>
  <c r="T9" i="7"/>
  <c r="S9" i="7"/>
  <c r="P9" i="7"/>
  <c r="O9" i="7"/>
  <c r="M9" i="7"/>
  <c r="L9" i="7"/>
  <c r="E9" i="7"/>
  <c r="B9" i="7"/>
  <c r="F44" i="7" s="1"/>
  <c r="BB8" i="7"/>
  <c r="AX8" i="7"/>
  <c r="AK8" i="7"/>
  <c r="AJ8" i="7"/>
  <c r="Z8" i="7"/>
  <c r="V8" i="7"/>
  <c r="Q8" i="7"/>
  <c r="Q9" i="7" s="1"/>
  <c r="I8" i="7"/>
  <c r="H8" i="7"/>
  <c r="BA5" i="7"/>
  <c r="AR5" i="7"/>
  <c r="AI5" i="7"/>
  <c r="Y5" i="7"/>
  <c r="P5" i="7"/>
  <c r="G5" i="7"/>
  <c r="AV4" i="7"/>
  <c r="AO4" i="7"/>
  <c r="AD4" i="7"/>
  <c r="T4" i="7"/>
  <c r="M4" i="7"/>
  <c r="C45" i="6"/>
  <c r="C51" i="6" s="1"/>
  <c r="B45" i="6"/>
  <c r="B51" i="6" s="1"/>
  <c r="B44" i="6"/>
  <c r="B50" i="6" s="1"/>
  <c r="C43" i="6"/>
  <c r="C46" i="6" s="1"/>
  <c r="B43" i="6"/>
  <c r="BC23" i="6"/>
  <c r="AV10" i="6" s="1"/>
  <c r="AW8" i="6" s="1"/>
  <c r="AW9" i="6" s="1"/>
  <c r="BB23" i="6"/>
  <c r="BA23" i="6"/>
  <c r="AZ23" i="6"/>
  <c r="AY23" i="6"/>
  <c r="AX23" i="6"/>
  <c r="AW23" i="6"/>
  <c r="AV23" i="6"/>
  <c r="AU23" i="6"/>
  <c r="AR23" i="6"/>
  <c r="AO10" i="6" s="1"/>
  <c r="AP8" i="6" s="1"/>
  <c r="AS8" i="6" s="1"/>
  <c r="AS9" i="6" s="1"/>
  <c r="AQ23" i="6"/>
  <c r="AP23" i="6"/>
  <c r="AO23" i="6"/>
  <c r="AN23" i="6"/>
  <c r="AL23" i="6"/>
  <c r="AH10" i="6" s="1"/>
  <c r="AH8" i="6" s="1"/>
  <c r="AH9" i="6" s="1"/>
  <c r="AI8" i="6" s="1"/>
  <c r="AK23" i="6"/>
  <c r="AJ23" i="6"/>
  <c r="AI23" i="6"/>
  <c r="AH23" i="6"/>
  <c r="AG23" i="6"/>
  <c r="AF23" i="6"/>
  <c r="AE23" i="6"/>
  <c r="AD23" i="6"/>
  <c r="AA23" i="6"/>
  <c r="T10" i="6" s="1"/>
  <c r="U8" i="6" s="1"/>
  <c r="U9" i="6" s="1"/>
  <c r="Z23" i="6"/>
  <c r="Y23" i="6"/>
  <c r="X23" i="6"/>
  <c r="W23" i="6"/>
  <c r="V23" i="6"/>
  <c r="U23" i="6"/>
  <c r="T23" i="6"/>
  <c r="S23" i="6"/>
  <c r="P23" i="6"/>
  <c r="M10" i="6" s="1"/>
  <c r="N8" i="6" s="1"/>
  <c r="N9" i="6" s="1"/>
  <c r="O23" i="6"/>
  <c r="N23" i="6"/>
  <c r="M23" i="6"/>
  <c r="L23" i="6"/>
  <c r="J23" i="6"/>
  <c r="B10" i="6" s="1"/>
  <c r="C9" i="6" s="1"/>
  <c r="D8" i="6" s="1"/>
  <c r="I23" i="6"/>
  <c r="H23" i="6"/>
  <c r="G23" i="6"/>
  <c r="F23" i="6"/>
  <c r="E23" i="6"/>
  <c r="D23" i="6"/>
  <c r="C23" i="6"/>
  <c r="B23" i="6"/>
  <c r="AD10" i="6"/>
  <c r="AE8" i="6" s="1"/>
  <c r="AE9" i="6" s="1"/>
  <c r="AF8" i="6" s="1"/>
  <c r="AZ9" i="6"/>
  <c r="AY9" i="6"/>
  <c r="AV9" i="6"/>
  <c r="AU9" i="6"/>
  <c r="AR9" i="6"/>
  <c r="AQ9" i="6"/>
  <c r="AO9" i="6"/>
  <c r="AN9" i="6"/>
  <c r="AG9" i="6"/>
  <c r="AD9" i="6"/>
  <c r="F45" i="6" s="1"/>
  <c r="X9" i="6"/>
  <c r="W9" i="6"/>
  <c r="T9" i="6"/>
  <c r="S9" i="6"/>
  <c r="P9" i="6"/>
  <c r="O9" i="6"/>
  <c r="M9" i="6"/>
  <c r="L9" i="6"/>
  <c r="E9" i="6"/>
  <c r="B9" i="6"/>
  <c r="BB8" i="6"/>
  <c r="AX8" i="6"/>
  <c r="AK8" i="6"/>
  <c r="AJ8" i="6"/>
  <c r="Z8" i="6"/>
  <c r="V8" i="6"/>
  <c r="Q8" i="6"/>
  <c r="Q9" i="6" s="1"/>
  <c r="I8" i="6"/>
  <c r="H8" i="6"/>
  <c r="BA5" i="6"/>
  <c r="AR5" i="6"/>
  <c r="AI5" i="6"/>
  <c r="Y5" i="6"/>
  <c r="P5" i="6"/>
  <c r="G5" i="6"/>
  <c r="AV4" i="6"/>
  <c r="AO4" i="6"/>
  <c r="AD4" i="6"/>
  <c r="T4" i="6"/>
  <c r="M4" i="6"/>
  <c r="C45" i="5"/>
  <c r="C51" i="5" s="1"/>
  <c r="B45" i="5"/>
  <c r="B51" i="5" s="1"/>
  <c r="B44" i="5"/>
  <c r="B50" i="5" s="1"/>
  <c r="C43" i="5"/>
  <c r="C49" i="5" s="1"/>
  <c r="B43" i="5"/>
  <c r="BC23" i="5"/>
  <c r="AV10" i="5" s="1"/>
  <c r="AW8" i="5" s="1"/>
  <c r="AW9" i="5" s="1"/>
  <c r="BB23" i="5"/>
  <c r="BA23" i="5"/>
  <c r="AZ23" i="5"/>
  <c r="AY23" i="5"/>
  <c r="AX23" i="5"/>
  <c r="AW23" i="5"/>
  <c r="AV23" i="5"/>
  <c r="AU23" i="5"/>
  <c r="AR23" i="5"/>
  <c r="AO10" i="5" s="1"/>
  <c r="AP8" i="5" s="1"/>
  <c r="AQ23" i="5"/>
  <c r="AP23" i="5"/>
  <c r="AO23" i="5"/>
  <c r="AN23" i="5"/>
  <c r="AL23" i="5"/>
  <c r="AH10" i="5" s="1"/>
  <c r="AH8" i="5" s="1"/>
  <c r="AH9" i="5" s="1"/>
  <c r="AI8" i="5" s="1"/>
  <c r="AK23" i="5"/>
  <c r="AJ23" i="5"/>
  <c r="AI23" i="5"/>
  <c r="AH23" i="5"/>
  <c r="AG23" i="5"/>
  <c r="AF23" i="5"/>
  <c r="AE23" i="5"/>
  <c r="AD23" i="5"/>
  <c r="AA23" i="5"/>
  <c r="T10" i="5" s="1"/>
  <c r="U8" i="5" s="1"/>
  <c r="U9" i="5" s="1"/>
  <c r="Z23" i="5"/>
  <c r="Y23" i="5"/>
  <c r="X23" i="5"/>
  <c r="W23" i="5"/>
  <c r="V23" i="5"/>
  <c r="U23" i="5"/>
  <c r="T23" i="5"/>
  <c r="S23" i="5"/>
  <c r="P23" i="5"/>
  <c r="M10" i="5" s="1"/>
  <c r="N8" i="5" s="1"/>
  <c r="N9" i="5" s="1"/>
  <c r="O23" i="5"/>
  <c r="N23" i="5"/>
  <c r="M23" i="5"/>
  <c r="L23" i="5"/>
  <c r="J23" i="5"/>
  <c r="F10" i="5" s="1"/>
  <c r="F8" i="5" s="1"/>
  <c r="F9" i="5" s="1"/>
  <c r="G8" i="5" s="1"/>
  <c r="I23" i="5"/>
  <c r="H23" i="5"/>
  <c r="G23" i="5"/>
  <c r="F23" i="5"/>
  <c r="E23" i="5"/>
  <c r="D23" i="5"/>
  <c r="C23" i="5"/>
  <c r="B23" i="5"/>
  <c r="AZ9" i="5"/>
  <c r="AY9" i="5"/>
  <c r="AV9" i="5"/>
  <c r="AU9" i="5"/>
  <c r="AR9" i="5"/>
  <c r="AQ9" i="5"/>
  <c r="AO9" i="5"/>
  <c r="AN9" i="5"/>
  <c r="AG9" i="5"/>
  <c r="AD9" i="5"/>
  <c r="X9" i="5"/>
  <c r="W9" i="5"/>
  <c r="T9" i="5"/>
  <c r="S9" i="5"/>
  <c r="P9" i="5"/>
  <c r="O9" i="5"/>
  <c r="M9" i="5"/>
  <c r="L9" i="5"/>
  <c r="E9" i="5"/>
  <c r="B9" i="5"/>
  <c r="BB8" i="5"/>
  <c r="AX8" i="5"/>
  <c r="AK8" i="5"/>
  <c r="AJ8" i="5"/>
  <c r="Z8" i="5"/>
  <c r="V8" i="5"/>
  <c r="Q8" i="5"/>
  <c r="Q9" i="5" s="1"/>
  <c r="I8" i="5"/>
  <c r="H8" i="5"/>
  <c r="BA5" i="5"/>
  <c r="AR5" i="5"/>
  <c r="AI5" i="5"/>
  <c r="Y5" i="5"/>
  <c r="P5" i="5"/>
  <c r="G5" i="5"/>
  <c r="AV4" i="5"/>
  <c r="AO4" i="5"/>
  <c r="AD4" i="5"/>
  <c r="T4" i="5"/>
  <c r="M4" i="5"/>
  <c r="C45" i="4"/>
  <c r="C51" i="4" s="1"/>
  <c r="B45" i="4"/>
  <c r="B51" i="4" s="1"/>
  <c r="B44" i="4"/>
  <c r="B50" i="4" s="1"/>
  <c r="C43" i="4"/>
  <c r="B43" i="4"/>
  <c r="BC23" i="4"/>
  <c r="AV10" i="4" s="1"/>
  <c r="AW8" i="4" s="1"/>
  <c r="AW9" i="4" s="1"/>
  <c r="BB23" i="4"/>
  <c r="BA23" i="4"/>
  <c r="AZ23" i="4"/>
  <c r="AY23" i="4"/>
  <c r="AX23" i="4"/>
  <c r="AW23" i="4"/>
  <c r="AV23" i="4"/>
  <c r="AU23" i="4"/>
  <c r="AR23" i="4"/>
  <c r="AO10" i="4" s="1"/>
  <c r="AP8" i="4" s="1"/>
  <c r="AQ23" i="4"/>
  <c r="AP23" i="4"/>
  <c r="AO23" i="4"/>
  <c r="AN23" i="4"/>
  <c r="AL23" i="4"/>
  <c r="AH10" i="4" s="1"/>
  <c r="AH8" i="4" s="1"/>
  <c r="AH9" i="4" s="1"/>
  <c r="AI8" i="4" s="1"/>
  <c r="AK23" i="4"/>
  <c r="AJ23" i="4"/>
  <c r="AI23" i="4"/>
  <c r="AH23" i="4"/>
  <c r="AG23" i="4"/>
  <c r="AF23" i="4"/>
  <c r="AE23" i="4"/>
  <c r="AD23" i="4"/>
  <c r="AA23" i="4"/>
  <c r="X10" i="4" s="1"/>
  <c r="Y8" i="4" s="1"/>
  <c r="Y9" i="4" s="1"/>
  <c r="Z23" i="4"/>
  <c r="Y23" i="4"/>
  <c r="X23" i="4"/>
  <c r="W23" i="4"/>
  <c r="V23" i="4"/>
  <c r="U23" i="4"/>
  <c r="T23" i="4"/>
  <c r="S23" i="4"/>
  <c r="P23" i="4"/>
  <c r="M10" i="4" s="1"/>
  <c r="N8" i="4" s="1"/>
  <c r="N9" i="4" s="1"/>
  <c r="O23" i="4"/>
  <c r="N23" i="4"/>
  <c r="M23" i="4"/>
  <c r="L23" i="4"/>
  <c r="J23" i="4"/>
  <c r="F10" i="4" s="1"/>
  <c r="F8" i="4" s="1"/>
  <c r="F9" i="4" s="1"/>
  <c r="G8" i="4" s="1"/>
  <c r="I23" i="4"/>
  <c r="H23" i="4"/>
  <c r="G23" i="4"/>
  <c r="F23" i="4"/>
  <c r="E23" i="4"/>
  <c r="D23" i="4"/>
  <c r="C23" i="4"/>
  <c r="B23" i="4"/>
  <c r="AZ9" i="4"/>
  <c r="AY9" i="4"/>
  <c r="AV9" i="4"/>
  <c r="AU9" i="4"/>
  <c r="AR9" i="4"/>
  <c r="AQ9" i="4"/>
  <c r="AO9" i="4"/>
  <c r="AN9" i="4"/>
  <c r="AG9" i="4"/>
  <c r="AD9" i="4"/>
  <c r="X9" i="4"/>
  <c r="W9" i="4"/>
  <c r="T9" i="4"/>
  <c r="S9" i="4"/>
  <c r="P9" i="4"/>
  <c r="O9" i="4"/>
  <c r="M9" i="4"/>
  <c r="L9" i="4"/>
  <c r="E9" i="4"/>
  <c r="B9" i="4"/>
  <c r="BB8" i="4"/>
  <c r="AX8" i="4"/>
  <c r="AK8" i="4"/>
  <c r="AJ8" i="4"/>
  <c r="Z8" i="4"/>
  <c r="V8" i="4"/>
  <c r="Q8" i="4"/>
  <c r="Q9" i="4" s="1"/>
  <c r="I8" i="4"/>
  <c r="H8" i="4"/>
  <c r="BA5" i="4"/>
  <c r="AR5" i="4"/>
  <c r="AI5" i="4"/>
  <c r="Y5" i="4"/>
  <c r="P5" i="4"/>
  <c r="G5" i="4"/>
  <c r="AV4" i="4"/>
  <c r="AO4" i="4"/>
  <c r="AD4" i="4"/>
  <c r="T4" i="4"/>
  <c r="M4" i="4"/>
  <c r="C45" i="3"/>
  <c r="C51" i="3" s="1"/>
  <c r="B45" i="3"/>
  <c r="B51" i="3" s="1"/>
  <c r="B44" i="3"/>
  <c r="B50" i="3" s="1"/>
  <c r="C43" i="3"/>
  <c r="B43" i="3"/>
  <c r="BC23" i="3"/>
  <c r="AZ10" i="3" s="1"/>
  <c r="BA8" i="3" s="1"/>
  <c r="BA9" i="3" s="1"/>
  <c r="BB23" i="3"/>
  <c r="BA23" i="3"/>
  <c r="AZ23" i="3"/>
  <c r="AY23" i="3"/>
  <c r="AX23" i="3"/>
  <c r="AW23" i="3"/>
  <c r="AV23" i="3"/>
  <c r="AU23" i="3"/>
  <c r="AR23" i="3"/>
  <c r="AO10" i="3" s="1"/>
  <c r="AP8" i="3" s="1"/>
  <c r="AQ23" i="3"/>
  <c r="AP23" i="3"/>
  <c r="AO23" i="3"/>
  <c r="AN23" i="3"/>
  <c r="AL23" i="3"/>
  <c r="AH10" i="3" s="1"/>
  <c r="AH8" i="3" s="1"/>
  <c r="AH9" i="3" s="1"/>
  <c r="AI8" i="3" s="1"/>
  <c r="AK23" i="3"/>
  <c r="AJ23" i="3"/>
  <c r="AI23" i="3"/>
  <c r="AH23" i="3"/>
  <c r="AG23" i="3"/>
  <c r="AF23" i="3"/>
  <c r="AE23" i="3"/>
  <c r="AD23" i="3"/>
  <c r="AA23" i="3"/>
  <c r="T10" i="3" s="1"/>
  <c r="U8" i="3" s="1"/>
  <c r="U9" i="3" s="1"/>
  <c r="Z23" i="3"/>
  <c r="Y23" i="3"/>
  <c r="X23" i="3"/>
  <c r="W23" i="3"/>
  <c r="V23" i="3"/>
  <c r="U23" i="3"/>
  <c r="T23" i="3"/>
  <c r="S23" i="3"/>
  <c r="P23" i="3"/>
  <c r="M10" i="3" s="1"/>
  <c r="N9" i="3" s="1"/>
  <c r="O23" i="3"/>
  <c r="N23" i="3"/>
  <c r="M23" i="3"/>
  <c r="L23" i="3"/>
  <c r="J23" i="3"/>
  <c r="B10" i="3" s="1"/>
  <c r="I23" i="3"/>
  <c r="H23" i="3"/>
  <c r="G23" i="3"/>
  <c r="F23" i="3"/>
  <c r="E23" i="3"/>
  <c r="D23" i="3"/>
  <c r="C23" i="3"/>
  <c r="B23" i="3"/>
  <c r="AZ9" i="3"/>
  <c r="AY9" i="3"/>
  <c r="AV9" i="3"/>
  <c r="AU9" i="3"/>
  <c r="AR9" i="3"/>
  <c r="AQ9" i="3"/>
  <c r="AO9" i="3"/>
  <c r="AN9" i="3"/>
  <c r="AG9" i="3"/>
  <c r="AD9" i="3"/>
  <c r="F45" i="3" s="1"/>
  <c r="X9" i="3"/>
  <c r="W9" i="3"/>
  <c r="T9" i="3"/>
  <c r="S9" i="3"/>
  <c r="P9" i="3"/>
  <c r="O9" i="3"/>
  <c r="M9" i="3"/>
  <c r="L9" i="3"/>
  <c r="E9" i="3"/>
  <c r="B9" i="3"/>
  <c r="F44" i="3" s="1"/>
  <c r="BB8" i="3"/>
  <c r="AX8" i="3"/>
  <c r="AK8" i="3"/>
  <c r="AJ8" i="3"/>
  <c r="Z8" i="3"/>
  <c r="V8" i="3"/>
  <c r="Q8" i="3"/>
  <c r="Q9" i="3" s="1"/>
  <c r="I8" i="3"/>
  <c r="H8" i="3"/>
  <c r="BA5" i="3"/>
  <c r="AR5" i="3"/>
  <c r="AI5" i="3"/>
  <c r="Y5" i="3"/>
  <c r="P5" i="3"/>
  <c r="G5" i="3"/>
  <c r="AV4" i="3"/>
  <c r="AO4" i="3"/>
  <c r="AD4" i="3"/>
  <c r="T4" i="3"/>
  <c r="M4" i="3"/>
  <c r="C45" i="2"/>
  <c r="C51" i="2" s="1"/>
  <c r="B45" i="2"/>
  <c r="B51" i="2" s="1"/>
  <c r="B44" i="2"/>
  <c r="B50" i="2" s="1"/>
  <c r="C43" i="2"/>
  <c r="B43" i="2"/>
  <c r="BC23" i="2"/>
  <c r="AZ10" i="2" s="1"/>
  <c r="BA8" i="2" s="1"/>
  <c r="BA9" i="2" s="1"/>
  <c r="BB23" i="2"/>
  <c r="BA23" i="2"/>
  <c r="AZ23" i="2"/>
  <c r="AY23" i="2"/>
  <c r="AX23" i="2"/>
  <c r="AW23" i="2"/>
  <c r="AV23" i="2"/>
  <c r="AU23" i="2"/>
  <c r="AR23" i="2"/>
  <c r="AO10" i="2" s="1"/>
  <c r="AP8" i="2" s="1"/>
  <c r="AQ23" i="2"/>
  <c r="AP23" i="2"/>
  <c r="AO23" i="2"/>
  <c r="AN23" i="2"/>
  <c r="AL23" i="2"/>
  <c r="AH10" i="2" s="1"/>
  <c r="AH8" i="2" s="1"/>
  <c r="AH9" i="2" s="1"/>
  <c r="AI8" i="2" s="1"/>
  <c r="AK23" i="2"/>
  <c r="AJ23" i="2"/>
  <c r="AI23" i="2"/>
  <c r="AH23" i="2"/>
  <c r="AG23" i="2"/>
  <c r="AF23" i="2"/>
  <c r="AE23" i="2"/>
  <c r="AD23" i="2"/>
  <c r="AA23" i="2"/>
  <c r="T10" i="2" s="1"/>
  <c r="U8" i="2" s="1"/>
  <c r="U9" i="2" s="1"/>
  <c r="Z23" i="2"/>
  <c r="Y23" i="2"/>
  <c r="X23" i="2"/>
  <c r="W23" i="2"/>
  <c r="V23" i="2"/>
  <c r="U23" i="2"/>
  <c r="T23" i="2"/>
  <c r="S23" i="2"/>
  <c r="P23" i="2"/>
  <c r="M10" i="2" s="1"/>
  <c r="N8" i="2" s="1"/>
  <c r="N9" i="2" s="1"/>
  <c r="O23" i="2"/>
  <c r="N23" i="2"/>
  <c r="M23" i="2"/>
  <c r="L23" i="2"/>
  <c r="J23" i="2"/>
  <c r="F10" i="2" s="1"/>
  <c r="F8" i="2" s="1"/>
  <c r="F9" i="2" s="1"/>
  <c r="G8" i="2" s="1"/>
  <c r="I23" i="2"/>
  <c r="H23" i="2"/>
  <c r="G23" i="2"/>
  <c r="F23" i="2"/>
  <c r="E23" i="2"/>
  <c r="D23" i="2"/>
  <c r="C23" i="2"/>
  <c r="B23" i="2"/>
  <c r="AZ9" i="2"/>
  <c r="AY9" i="2"/>
  <c r="AV9" i="2"/>
  <c r="AU9" i="2"/>
  <c r="AR9" i="2"/>
  <c r="AQ9" i="2"/>
  <c r="AO9" i="2"/>
  <c r="AN9" i="2"/>
  <c r="AG9" i="2"/>
  <c r="AD9" i="2"/>
  <c r="X9" i="2"/>
  <c r="W9" i="2"/>
  <c r="T9" i="2"/>
  <c r="S9" i="2"/>
  <c r="P9" i="2"/>
  <c r="O9" i="2"/>
  <c r="M9" i="2"/>
  <c r="L9" i="2"/>
  <c r="E9" i="2"/>
  <c r="B9" i="2"/>
  <c r="BB8" i="2"/>
  <c r="AX8" i="2"/>
  <c r="AK8" i="2"/>
  <c r="AJ8" i="2"/>
  <c r="Z8" i="2"/>
  <c r="V8" i="2"/>
  <c r="Q8" i="2"/>
  <c r="Q9" i="2" s="1"/>
  <c r="I8" i="2"/>
  <c r="H8" i="2"/>
  <c r="BA5" i="2"/>
  <c r="AR5" i="2"/>
  <c r="AI5" i="2"/>
  <c r="Y5" i="2"/>
  <c r="P5" i="2"/>
  <c r="G5" i="2"/>
  <c r="AV4" i="2"/>
  <c r="AO4" i="2"/>
  <c r="AD4" i="2"/>
  <c r="T4" i="2"/>
  <c r="M4" i="2"/>
  <c r="Q8" i="1"/>
  <c r="AR23" i="1"/>
  <c r="C9" i="25" l="1"/>
  <c r="D8" i="25" s="1"/>
  <c r="C8" i="25"/>
  <c r="C9" i="17"/>
  <c r="D8" i="17" s="1"/>
  <c r="C8" i="17"/>
  <c r="C9" i="23"/>
  <c r="D8" i="23" s="1"/>
  <c r="C8" i="23"/>
  <c r="C9" i="27"/>
  <c r="D8" i="27" s="1"/>
  <c r="C8" i="27"/>
  <c r="F44" i="16"/>
  <c r="T10" i="17"/>
  <c r="U8" i="17" s="1"/>
  <c r="U9" i="17" s="1"/>
  <c r="C46" i="17"/>
  <c r="C46" i="20"/>
  <c r="F42" i="22"/>
  <c r="AV10" i="24"/>
  <c r="AW8" i="24" s="1"/>
  <c r="AW9" i="24" s="1"/>
  <c r="AV10" i="26"/>
  <c r="AW8" i="26" s="1"/>
  <c r="AW9" i="26" s="1"/>
  <c r="AV10" i="28"/>
  <c r="AW8" i="28" s="1"/>
  <c r="AW9" i="28" s="1"/>
  <c r="F43" i="5"/>
  <c r="F44" i="17"/>
  <c r="T10" i="20"/>
  <c r="U8" i="20" s="1"/>
  <c r="U9" i="20" s="1"/>
  <c r="C46" i="4"/>
  <c r="F45" i="2"/>
  <c r="F44" i="4"/>
  <c r="F44" i="5"/>
  <c r="C46" i="10"/>
  <c r="C46" i="14"/>
  <c r="F44" i="15"/>
  <c r="C46" i="15"/>
  <c r="F45" i="16"/>
  <c r="C52" i="16"/>
  <c r="F42" i="19"/>
  <c r="F42" i="21"/>
  <c r="F42" i="30"/>
  <c r="F10" i="15"/>
  <c r="F8" i="15" s="1"/>
  <c r="F9" i="15" s="1"/>
  <c r="G8" i="15" s="1"/>
  <c r="B10" i="15"/>
  <c r="AH10" i="26"/>
  <c r="AH8" i="26" s="1"/>
  <c r="AH9" i="26" s="1"/>
  <c r="AI8" i="26" s="1"/>
  <c r="AD10" i="26"/>
  <c r="AE8" i="26" s="1"/>
  <c r="AE9" i="26" s="1"/>
  <c r="AF8" i="26" s="1"/>
  <c r="C46" i="3"/>
  <c r="AH10" i="28"/>
  <c r="AH8" i="28" s="1"/>
  <c r="AH9" i="28" s="1"/>
  <c r="AI8" i="28" s="1"/>
  <c r="AD10" i="28"/>
  <c r="AE8" i="28" s="1"/>
  <c r="AE9" i="28" s="1"/>
  <c r="AF8" i="28" s="1"/>
  <c r="C46" i="29"/>
  <c r="C49" i="29"/>
  <c r="F45" i="13"/>
  <c r="F45" i="14"/>
  <c r="F43" i="16"/>
  <c r="AV10" i="19"/>
  <c r="AW8" i="19" s="1"/>
  <c r="AW9" i="19" s="1"/>
  <c r="AZ10" i="19"/>
  <c r="BA8" i="19" s="1"/>
  <c r="BA9" i="19" s="1"/>
  <c r="AV10" i="23"/>
  <c r="AW8" i="23" s="1"/>
  <c r="AW9" i="23" s="1"/>
  <c r="AZ10" i="23"/>
  <c r="BA8" i="23" s="1"/>
  <c r="BA9" i="23" s="1"/>
  <c r="C9" i="22"/>
  <c r="D8" i="22" s="1"/>
  <c r="C8" i="22"/>
  <c r="C49" i="26"/>
  <c r="C52" i="26" s="1"/>
  <c r="AZ10" i="27"/>
  <c r="BA8" i="27" s="1"/>
  <c r="BA9" i="27" s="1"/>
  <c r="AV10" i="27"/>
  <c r="AW8" i="27" s="1"/>
  <c r="AW9" i="27" s="1"/>
  <c r="C49" i="28"/>
  <c r="AH10" i="29"/>
  <c r="AH8" i="29" s="1"/>
  <c r="AH9" i="29" s="1"/>
  <c r="AI8" i="29" s="1"/>
  <c r="AD10" i="29"/>
  <c r="AE8" i="29" s="1"/>
  <c r="AE9" i="29" s="1"/>
  <c r="AF8" i="29" s="1"/>
  <c r="F45" i="5"/>
  <c r="F45" i="12"/>
  <c r="C49" i="13"/>
  <c r="C52" i="13" s="1"/>
  <c r="AZ10" i="16"/>
  <c r="BA8" i="16" s="1"/>
  <c r="BA9" i="16" s="1"/>
  <c r="AV10" i="16"/>
  <c r="AW8" i="16" s="1"/>
  <c r="AW9" i="16" s="1"/>
  <c r="F45" i="17"/>
  <c r="F43" i="17"/>
  <c r="AH10" i="17"/>
  <c r="AH8" i="17" s="1"/>
  <c r="AH9" i="17" s="1"/>
  <c r="AI8" i="17" s="1"/>
  <c r="AD10" i="17"/>
  <c r="AE8" i="17" s="1"/>
  <c r="AE9" i="17" s="1"/>
  <c r="AF8" i="17" s="1"/>
  <c r="C49" i="17"/>
  <c r="C52" i="17" s="1"/>
  <c r="B10" i="18"/>
  <c r="F10" i="18"/>
  <c r="F8" i="18" s="1"/>
  <c r="F9" i="18" s="1"/>
  <c r="G8" i="18" s="1"/>
  <c r="AH10" i="20"/>
  <c r="AH8" i="20" s="1"/>
  <c r="AH9" i="20" s="1"/>
  <c r="AI8" i="20" s="1"/>
  <c r="AD10" i="20"/>
  <c r="AE8" i="20" s="1"/>
  <c r="AE9" i="20" s="1"/>
  <c r="AF8" i="20" s="1"/>
  <c r="C49" i="20"/>
  <c r="AV10" i="21"/>
  <c r="AW8" i="21" s="1"/>
  <c r="AW9" i="21" s="1"/>
  <c r="AZ10" i="21"/>
  <c r="BA8" i="21" s="1"/>
  <c r="BA9" i="21" s="1"/>
  <c r="AH10" i="24"/>
  <c r="AH8" i="24" s="1"/>
  <c r="AH9" i="24" s="1"/>
  <c r="AI8" i="24" s="1"/>
  <c r="AD10" i="24"/>
  <c r="AE8" i="24" s="1"/>
  <c r="AE9" i="24" s="1"/>
  <c r="AF8" i="24" s="1"/>
  <c r="C49" i="24"/>
  <c r="AV10" i="25"/>
  <c r="AW8" i="25" s="1"/>
  <c r="AW9" i="25" s="1"/>
  <c r="AZ10" i="25"/>
  <c r="BA8" i="25" s="1"/>
  <c r="BA9" i="25" s="1"/>
  <c r="F43" i="27"/>
  <c r="B46" i="27"/>
  <c r="C46" i="2"/>
  <c r="F44" i="11"/>
  <c r="C52" i="12"/>
  <c r="F42" i="14"/>
  <c r="F42" i="16"/>
  <c r="B46" i="16"/>
  <c r="F42" i="17"/>
  <c r="F45" i="18"/>
  <c r="B46" i="18"/>
  <c r="F44" i="19"/>
  <c r="F43" i="19"/>
  <c r="C46" i="19"/>
  <c r="C49" i="19"/>
  <c r="C52" i="19" s="1"/>
  <c r="F44" i="21"/>
  <c r="C46" i="21"/>
  <c r="C49" i="21"/>
  <c r="F44" i="22"/>
  <c r="F43" i="22"/>
  <c r="AV10" i="22"/>
  <c r="AW8" i="22" s="1"/>
  <c r="AW9" i="22" s="1"/>
  <c r="B46" i="22"/>
  <c r="C52" i="22"/>
  <c r="F44" i="23"/>
  <c r="C46" i="23"/>
  <c r="C49" i="23"/>
  <c r="F44" i="25"/>
  <c r="C46" i="25"/>
  <c r="C49" i="25"/>
  <c r="F44" i="27"/>
  <c r="C46" i="27"/>
  <c r="C49" i="27"/>
  <c r="C52" i="27" s="1"/>
  <c r="F42" i="28"/>
  <c r="F44" i="29"/>
  <c r="F42" i="29"/>
  <c r="B10" i="29"/>
  <c r="F45" i="30"/>
  <c r="F43" i="30"/>
  <c r="AV10" i="30"/>
  <c r="AW8" i="30" s="1"/>
  <c r="AW9" i="30" s="1"/>
  <c r="B46" i="30"/>
  <c r="F42" i="18"/>
  <c r="B46" i="19"/>
  <c r="F42" i="20"/>
  <c r="F43" i="21"/>
  <c r="B46" i="21"/>
  <c r="C52" i="21"/>
  <c r="F43" i="23"/>
  <c r="B46" i="23"/>
  <c r="F42" i="24"/>
  <c r="F43" i="25"/>
  <c r="B46" i="25"/>
  <c r="F42" i="26"/>
  <c r="F44" i="2"/>
  <c r="F44" i="6"/>
  <c r="C49" i="10"/>
  <c r="F42" i="13"/>
  <c r="F44" i="18"/>
  <c r="F43" i="18"/>
  <c r="AZ10" i="18"/>
  <c r="BA8" i="18" s="1"/>
  <c r="BA9" i="18" s="1"/>
  <c r="C46" i="18"/>
  <c r="C49" i="18"/>
  <c r="C52" i="18" s="1"/>
  <c r="F45" i="20"/>
  <c r="F43" i="20"/>
  <c r="B46" i="20"/>
  <c r="C46" i="22"/>
  <c r="C49" i="22"/>
  <c r="F42" i="23"/>
  <c r="F45" i="24"/>
  <c r="F43" i="24"/>
  <c r="B46" i="24"/>
  <c r="F42" i="25"/>
  <c r="F45" i="26"/>
  <c r="F43" i="26"/>
  <c r="B46" i="26"/>
  <c r="F42" i="27"/>
  <c r="F45" i="28"/>
  <c r="F43" i="28"/>
  <c r="B46" i="28"/>
  <c r="C52" i="28"/>
  <c r="B46" i="29"/>
  <c r="F44" i="30"/>
  <c r="C49" i="30"/>
  <c r="AV10" i="15"/>
  <c r="AW8" i="15" s="1"/>
  <c r="AW9" i="15" s="1"/>
  <c r="B46" i="15"/>
  <c r="X10" i="15"/>
  <c r="Y8" i="15" s="1"/>
  <c r="Y9" i="15" s="1"/>
  <c r="F45" i="15"/>
  <c r="F43" i="15"/>
  <c r="C49" i="15"/>
  <c r="C52" i="15" s="1"/>
  <c r="F42" i="15"/>
  <c r="F43" i="14"/>
  <c r="C49" i="14"/>
  <c r="C52" i="14" s="1"/>
  <c r="AV10" i="14"/>
  <c r="AW8" i="14" s="1"/>
  <c r="AW9" i="14" s="1"/>
  <c r="AD10" i="14"/>
  <c r="AE8" i="14" s="1"/>
  <c r="AE9" i="14" s="1"/>
  <c r="AF8" i="14" s="1"/>
  <c r="B46" i="14"/>
  <c r="T10" i="14"/>
  <c r="U8" i="14" s="1"/>
  <c r="U9" i="14" s="1"/>
  <c r="B10" i="14"/>
  <c r="B46" i="13"/>
  <c r="AV10" i="13"/>
  <c r="AW8" i="13" s="1"/>
  <c r="AW9" i="13" s="1"/>
  <c r="AD10" i="13"/>
  <c r="AE8" i="13" s="1"/>
  <c r="AE9" i="13" s="1"/>
  <c r="AF8" i="13" s="1"/>
  <c r="F43" i="13"/>
  <c r="T10" i="13"/>
  <c r="U8" i="13" s="1"/>
  <c r="U9" i="13" s="1"/>
  <c r="B10" i="13"/>
  <c r="F43" i="12"/>
  <c r="AH10" i="12"/>
  <c r="AH8" i="12" s="1"/>
  <c r="AH9" i="12" s="1"/>
  <c r="AI8" i="12" s="1"/>
  <c r="AZ10" i="12"/>
  <c r="BA8" i="12" s="1"/>
  <c r="BA9" i="12" s="1"/>
  <c r="B46" i="12"/>
  <c r="F42" i="12"/>
  <c r="X10" i="12"/>
  <c r="Y8" i="12" s="1"/>
  <c r="Y9" i="12" s="1"/>
  <c r="AZ10" i="11"/>
  <c r="BA8" i="11" s="1"/>
  <c r="BA9" i="11" s="1"/>
  <c r="F43" i="11"/>
  <c r="B46" i="11"/>
  <c r="F42" i="11"/>
  <c r="X10" i="11"/>
  <c r="Y8" i="11" s="1"/>
  <c r="Y9" i="11" s="1"/>
  <c r="AV10" i="10"/>
  <c r="AW8" i="10" s="1"/>
  <c r="AW9" i="10" s="1"/>
  <c r="AD10" i="10"/>
  <c r="AE8" i="10" s="1"/>
  <c r="AE9" i="10" s="1"/>
  <c r="AF8" i="10" s="1"/>
  <c r="F43" i="10"/>
  <c r="B46" i="10"/>
  <c r="F42" i="10"/>
  <c r="T10" i="10"/>
  <c r="U8" i="10" s="1"/>
  <c r="U9" i="10" s="1"/>
  <c r="B10" i="10"/>
  <c r="F43" i="9"/>
  <c r="AV10" i="9"/>
  <c r="AW8" i="9" s="1"/>
  <c r="AW9" i="9" s="1"/>
  <c r="B46" i="9"/>
  <c r="C49" i="9"/>
  <c r="C52" i="9" s="1"/>
  <c r="F42" i="9"/>
  <c r="AD10" i="9"/>
  <c r="AE8" i="9" s="1"/>
  <c r="AE9" i="9" s="1"/>
  <c r="AF8" i="9" s="1"/>
  <c r="B10" i="9"/>
  <c r="B46" i="8"/>
  <c r="C49" i="8"/>
  <c r="C52" i="8" s="1"/>
  <c r="F43" i="8"/>
  <c r="AV10" i="8"/>
  <c r="AW8" i="8" s="1"/>
  <c r="AW9" i="8" s="1"/>
  <c r="AD10" i="8"/>
  <c r="AE8" i="8" s="1"/>
  <c r="AE9" i="8" s="1"/>
  <c r="AF8" i="8" s="1"/>
  <c r="F42" i="8"/>
  <c r="T10" i="8"/>
  <c r="U8" i="8" s="1"/>
  <c r="U9" i="8" s="1"/>
  <c r="B10" i="8"/>
  <c r="F43" i="7"/>
  <c r="AV10" i="7"/>
  <c r="AW8" i="7" s="1"/>
  <c r="AW9" i="7" s="1"/>
  <c r="B46" i="7"/>
  <c r="F42" i="7"/>
  <c r="C49" i="7"/>
  <c r="C52" i="7" s="1"/>
  <c r="T10" i="7"/>
  <c r="U8" i="7" s="1"/>
  <c r="U9" i="7" s="1"/>
  <c r="B10" i="7"/>
  <c r="F43" i="6"/>
  <c r="AZ10" i="6"/>
  <c r="BA8" i="6" s="1"/>
  <c r="BA9" i="6" s="1"/>
  <c r="C49" i="6"/>
  <c r="F42" i="6"/>
  <c r="B46" i="6"/>
  <c r="F10" i="6"/>
  <c r="F8" i="6" s="1"/>
  <c r="F9" i="6" s="1"/>
  <c r="G8" i="6" s="1"/>
  <c r="X10" i="6"/>
  <c r="Y8" i="6" s="1"/>
  <c r="Y9" i="6" s="1"/>
  <c r="C8" i="6"/>
  <c r="AZ10" i="5"/>
  <c r="BA8" i="5" s="1"/>
  <c r="BA9" i="5" s="1"/>
  <c r="AD10" i="5"/>
  <c r="AE8" i="5" s="1"/>
  <c r="AE9" i="5" s="1"/>
  <c r="AF8" i="5" s="1"/>
  <c r="B46" i="5"/>
  <c r="F42" i="5"/>
  <c r="X10" i="5"/>
  <c r="Y8" i="5" s="1"/>
  <c r="Y9" i="5" s="1"/>
  <c r="F45" i="4"/>
  <c r="F43" i="4"/>
  <c r="AZ10" i="4"/>
  <c r="BA8" i="4" s="1"/>
  <c r="BA9" i="4" s="1"/>
  <c r="AD10" i="4"/>
  <c r="AE8" i="4" s="1"/>
  <c r="AE9" i="4" s="1"/>
  <c r="AF8" i="4" s="1"/>
  <c r="B46" i="4"/>
  <c r="F42" i="4"/>
  <c r="C49" i="4"/>
  <c r="C52" i="4" s="1"/>
  <c r="T10" i="4"/>
  <c r="U8" i="4" s="1"/>
  <c r="U9" i="4" s="1"/>
  <c r="B10" i="4"/>
  <c r="F43" i="3"/>
  <c r="AV10" i="3"/>
  <c r="AW8" i="3" s="1"/>
  <c r="AW9" i="3" s="1"/>
  <c r="AD10" i="3"/>
  <c r="AE8" i="3" s="1"/>
  <c r="AE9" i="3" s="1"/>
  <c r="AF8" i="3" s="1"/>
  <c r="C49" i="3"/>
  <c r="C52" i="3" s="1"/>
  <c r="B46" i="3"/>
  <c r="F42" i="3"/>
  <c r="C9" i="3"/>
  <c r="D8" i="3" s="1"/>
  <c r="C8" i="3"/>
  <c r="F10" i="3"/>
  <c r="F8" i="3" s="1"/>
  <c r="F9" i="3" s="1"/>
  <c r="G8" i="3" s="1"/>
  <c r="X10" i="3"/>
  <c r="Y8" i="3" s="1"/>
  <c r="Y9" i="3" s="1"/>
  <c r="F43" i="2"/>
  <c r="AV10" i="2"/>
  <c r="AD10" i="2"/>
  <c r="AE8" i="2" s="1"/>
  <c r="AE9" i="2" s="1"/>
  <c r="AF8" i="2" s="1"/>
  <c r="B46" i="2"/>
  <c r="C49" i="2"/>
  <c r="C52" i="2" s="1"/>
  <c r="F42" i="2"/>
  <c r="X10" i="2"/>
  <c r="Y8" i="2" s="1"/>
  <c r="Y9" i="2" s="1"/>
  <c r="B10" i="2"/>
  <c r="AS8" i="30"/>
  <c r="AS9" i="30" s="1"/>
  <c r="AP9" i="30"/>
  <c r="C52" i="30"/>
  <c r="B49" i="30"/>
  <c r="B52" i="30" s="1"/>
  <c r="AS8" i="29"/>
  <c r="AS9" i="29" s="1"/>
  <c r="AP9" i="29"/>
  <c r="C52" i="29"/>
  <c r="AS8" i="28"/>
  <c r="AS9" i="28" s="1"/>
  <c r="AP9" i="28"/>
  <c r="B49" i="28"/>
  <c r="B52" i="28" s="1"/>
  <c r="AS8" i="27"/>
  <c r="AS9" i="27" s="1"/>
  <c r="AP9" i="27"/>
  <c r="B49" i="27"/>
  <c r="B52" i="27" s="1"/>
  <c r="AS8" i="26"/>
  <c r="AS9" i="26" s="1"/>
  <c r="AP9" i="26"/>
  <c r="B49" i="26"/>
  <c r="B52" i="26" s="1"/>
  <c r="AS8" i="25"/>
  <c r="AS9" i="25" s="1"/>
  <c r="AP9" i="25"/>
  <c r="C52" i="25"/>
  <c r="B49" i="25"/>
  <c r="B52" i="25" s="1"/>
  <c r="AS8" i="24"/>
  <c r="AS9" i="24" s="1"/>
  <c r="AP9" i="24"/>
  <c r="C52" i="24"/>
  <c r="B49" i="24"/>
  <c r="B52" i="24" s="1"/>
  <c r="AS8" i="23"/>
  <c r="AS9" i="23" s="1"/>
  <c r="AP9" i="23"/>
  <c r="C52" i="23"/>
  <c r="B49" i="23"/>
  <c r="B52" i="23" s="1"/>
  <c r="AS8" i="22"/>
  <c r="AS9" i="22" s="1"/>
  <c r="AP9" i="22"/>
  <c r="B49" i="22"/>
  <c r="B52" i="22" s="1"/>
  <c r="AS8" i="21"/>
  <c r="AS9" i="21" s="1"/>
  <c r="AP9" i="21"/>
  <c r="B49" i="21"/>
  <c r="B52" i="21" s="1"/>
  <c r="AS8" i="20"/>
  <c r="AS9" i="20" s="1"/>
  <c r="AP9" i="20"/>
  <c r="C52" i="20"/>
  <c r="B49" i="20"/>
  <c r="B52" i="20" s="1"/>
  <c r="AS8" i="19"/>
  <c r="AS9" i="19" s="1"/>
  <c r="AP9" i="19"/>
  <c r="B49" i="19"/>
  <c r="B52" i="19" s="1"/>
  <c r="AS8" i="18"/>
  <c r="AS9" i="18" s="1"/>
  <c r="AP9" i="18"/>
  <c r="B49" i="18"/>
  <c r="B52" i="18" s="1"/>
  <c r="AS8" i="17"/>
  <c r="AS9" i="17" s="1"/>
  <c r="AP9" i="17"/>
  <c r="B49" i="17"/>
  <c r="B52" i="17" s="1"/>
  <c r="AS8" i="16"/>
  <c r="AS9" i="16" s="1"/>
  <c r="AP9" i="16"/>
  <c r="C46" i="16"/>
  <c r="B49" i="16"/>
  <c r="B52" i="16" s="1"/>
  <c r="B10" i="16"/>
  <c r="AS8" i="15"/>
  <c r="AS9" i="15" s="1"/>
  <c r="AP9" i="15"/>
  <c r="B49" i="15"/>
  <c r="B52" i="15" s="1"/>
  <c r="AS8" i="14"/>
  <c r="AS9" i="14" s="1"/>
  <c r="AP9" i="14"/>
  <c r="B49" i="14"/>
  <c r="B52" i="14" s="1"/>
  <c r="AS8" i="13"/>
  <c r="AS9" i="13" s="1"/>
  <c r="AP9" i="13"/>
  <c r="B49" i="13"/>
  <c r="B52" i="13" s="1"/>
  <c r="AS8" i="12"/>
  <c r="AS9" i="12" s="1"/>
  <c r="AP9" i="12"/>
  <c r="C46" i="12"/>
  <c r="B49" i="12"/>
  <c r="B52" i="12" s="1"/>
  <c r="B10" i="12"/>
  <c r="C52" i="11"/>
  <c r="AS8" i="11"/>
  <c r="AS9" i="11" s="1"/>
  <c r="AP9" i="11"/>
  <c r="C46" i="11"/>
  <c r="B49" i="11"/>
  <c r="B52" i="11" s="1"/>
  <c r="B10" i="11"/>
  <c r="AS8" i="10"/>
  <c r="AS9" i="10" s="1"/>
  <c r="AP9" i="10"/>
  <c r="C52" i="10"/>
  <c r="B49" i="10"/>
  <c r="B52" i="10" s="1"/>
  <c r="AS8" i="9"/>
  <c r="AS9" i="9" s="1"/>
  <c r="AP9" i="9"/>
  <c r="B49" i="9"/>
  <c r="B52" i="9" s="1"/>
  <c r="AS8" i="8"/>
  <c r="AS9" i="8" s="1"/>
  <c r="AP9" i="8"/>
  <c r="B49" i="8"/>
  <c r="B52" i="8" s="1"/>
  <c r="AS8" i="7"/>
  <c r="AS9" i="7" s="1"/>
  <c r="AP9" i="7"/>
  <c r="B49" i="7"/>
  <c r="B52" i="7" s="1"/>
  <c r="C52" i="6"/>
  <c r="AP9" i="6"/>
  <c r="B49" i="6"/>
  <c r="B52" i="6" s="1"/>
  <c r="C52" i="5"/>
  <c r="AS8" i="5"/>
  <c r="AS9" i="5" s="1"/>
  <c r="AP9" i="5"/>
  <c r="C46" i="5"/>
  <c r="B49" i="5"/>
  <c r="B52" i="5" s="1"/>
  <c r="B10" i="5"/>
  <c r="AS8" i="4"/>
  <c r="AS9" i="4" s="1"/>
  <c r="AP9" i="4"/>
  <c r="B49" i="4"/>
  <c r="B52" i="4" s="1"/>
  <c r="AS8" i="3"/>
  <c r="AS9" i="3" s="1"/>
  <c r="AP9" i="3"/>
  <c r="B49" i="3"/>
  <c r="B52" i="3" s="1"/>
  <c r="AS8" i="2"/>
  <c r="AS9" i="2" s="1"/>
  <c r="AP9" i="2"/>
  <c r="B49" i="2"/>
  <c r="B52" i="2" s="1"/>
  <c r="AR5" i="1"/>
  <c r="AR9" i="1"/>
  <c r="C8" i="15" l="1"/>
  <c r="C9" i="15"/>
  <c r="D8" i="15" s="1"/>
  <c r="C9" i="29"/>
  <c r="D8" i="29" s="1"/>
  <c r="C8" i="29"/>
  <c r="C8" i="18"/>
  <c r="C9" i="18"/>
  <c r="D8" i="18" s="1"/>
  <c r="C8" i="14"/>
  <c r="C9" i="14"/>
  <c r="D8" i="14" s="1"/>
  <c r="C8" i="13"/>
  <c r="C9" i="13"/>
  <c r="D8" i="13" s="1"/>
  <c r="C8" i="10"/>
  <c r="C9" i="10"/>
  <c r="D8" i="10" s="1"/>
  <c r="C8" i="9"/>
  <c r="C9" i="9"/>
  <c r="D8" i="9" s="1"/>
  <c r="C8" i="8"/>
  <c r="C9" i="8"/>
  <c r="D8" i="8" s="1"/>
  <c r="C8" i="7"/>
  <c r="C9" i="7"/>
  <c r="D8" i="7" s="1"/>
  <c r="C8" i="4"/>
  <c r="C9" i="4"/>
  <c r="D8" i="4" s="1"/>
  <c r="AW8" i="2"/>
  <c r="AW9" i="2" s="1"/>
  <c r="C9" i="2"/>
  <c r="D8" i="2" s="1"/>
  <c r="C8" i="2"/>
  <c r="C9" i="16"/>
  <c r="D8" i="16" s="1"/>
  <c r="C8" i="16"/>
  <c r="C9" i="12"/>
  <c r="D8" i="12" s="1"/>
  <c r="C8" i="12"/>
  <c r="C9" i="11"/>
  <c r="D8" i="11" s="1"/>
  <c r="C8" i="11"/>
  <c r="C9" i="5"/>
  <c r="D8" i="5" s="1"/>
  <c r="C8" i="5"/>
  <c r="P9" i="1"/>
  <c r="P5" i="1"/>
  <c r="T4" i="1" l="1"/>
  <c r="C45" i="1"/>
  <c r="C51" i="1" s="1"/>
  <c r="B45" i="1"/>
  <c r="B51" i="1" s="1"/>
  <c r="B44" i="1"/>
  <c r="B50" i="1" s="1"/>
  <c r="C43" i="1"/>
  <c r="C49" i="1" s="1"/>
  <c r="B43" i="1"/>
  <c r="B49" i="1" s="1"/>
  <c r="BC23" i="1"/>
  <c r="AV10" i="1" s="1"/>
  <c r="AW8" i="1" s="1"/>
  <c r="AW9" i="1" s="1"/>
  <c r="BB23" i="1"/>
  <c r="BA23" i="1"/>
  <c r="AZ23" i="1"/>
  <c r="AY23" i="1"/>
  <c r="AX23" i="1"/>
  <c r="AW23" i="1"/>
  <c r="AV23" i="1"/>
  <c r="AU23" i="1"/>
  <c r="AO10" i="1"/>
  <c r="AP8" i="1" s="1"/>
  <c r="AQ23" i="1"/>
  <c r="AP23" i="1"/>
  <c r="AO23" i="1"/>
  <c r="AN23" i="1"/>
  <c r="AL23" i="1"/>
  <c r="AH10" i="1" s="1"/>
  <c r="AH8" i="1" s="1"/>
  <c r="AH9" i="1" s="1"/>
  <c r="AI8" i="1" s="1"/>
  <c r="AK23" i="1"/>
  <c r="AJ23" i="1"/>
  <c r="AI23" i="1"/>
  <c r="AH23" i="1"/>
  <c r="AG23" i="1"/>
  <c r="AF23" i="1"/>
  <c r="AE23" i="1"/>
  <c r="AD23" i="1"/>
  <c r="AA23" i="1"/>
  <c r="X10" i="1" s="1"/>
  <c r="Y8" i="1" s="1"/>
  <c r="Y9" i="1" s="1"/>
  <c r="Z23" i="1"/>
  <c r="Y23" i="1"/>
  <c r="X23" i="1"/>
  <c r="W23" i="1"/>
  <c r="V23" i="1"/>
  <c r="U23" i="1"/>
  <c r="T23" i="1"/>
  <c r="S23" i="1"/>
  <c r="P23" i="1"/>
  <c r="M10" i="1" s="1"/>
  <c r="N8" i="1" s="1"/>
  <c r="N9" i="1" s="1"/>
  <c r="O23" i="1"/>
  <c r="N23" i="1"/>
  <c r="M23" i="1"/>
  <c r="L23" i="1"/>
  <c r="J23" i="1"/>
  <c r="B10" i="1" s="1"/>
  <c r="I23" i="1"/>
  <c r="H23" i="1"/>
  <c r="G23" i="1"/>
  <c r="F23" i="1"/>
  <c r="E23" i="1"/>
  <c r="D23" i="1"/>
  <c r="C23" i="1"/>
  <c r="B23" i="1"/>
  <c r="AZ9" i="1"/>
  <c r="AY9" i="1"/>
  <c r="AV9" i="1"/>
  <c r="AU9" i="1"/>
  <c r="AQ9" i="1"/>
  <c r="AO9" i="1"/>
  <c r="AN9" i="1"/>
  <c r="AG9" i="1"/>
  <c r="AD9" i="1"/>
  <c r="F45" i="1" s="1"/>
  <c r="X9" i="1"/>
  <c r="W9" i="1"/>
  <c r="T9" i="1"/>
  <c r="S9" i="1"/>
  <c r="O9" i="1"/>
  <c r="M9" i="1"/>
  <c r="L9" i="1"/>
  <c r="E9" i="1"/>
  <c r="B9" i="1"/>
  <c r="BB8" i="1"/>
  <c r="AX8" i="1"/>
  <c r="AK8" i="1"/>
  <c r="AJ8" i="1"/>
  <c r="Z8" i="1"/>
  <c r="V8" i="1"/>
  <c r="Q9" i="1"/>
  <c r="I8" i="1"/>
  <c r="H8" i="1"/>
  <c r="BA5" i="1"/>
  <c r="AI5" i="1"/>
  <c r="Y5" i="1"/>
  <c r="G5" i="1"/>
  <c r="AV4" i="1"/>
  <c r="AO4" i="1"/>
  <c r="AD4" i="1"/>
  <c r="M4" i="1"/>
  <c r="T10" i="1" l="1"/>
  <c r="U8" i="1" s="1"/>
  <c r="U9" i="1" s="1"/>
  <c r="AZ10" i="1"/>
  <c r="BA8" i="1" s="1"/>
  <c r="BA9" i="1" s="1"/>
  <c r="AP9" i="1"/>
  <c r="AS8" i="1"/>
  <c r="AS9" i="1" s="1"/>
  <c r="F10" i="1"/>
  <c r="F8" i="1" s="1"/>
  <c r="F9" i="1" s="1"/>
  <c r="G8" i="1" s="1"/>
  <c r="F44" i="1"/>
  <c r="F42" i="1"/>
  <c r="AD10" i="1"/>
  <c r="AE8" i="1" s="1"/>
  <c r="AE9" i="1" s="1"/>
  <c r="AF8" i="1" s="1"/>
  <c r="F43" i="1"/>
  <c r="B52" i="1"/>
  <c r="C52" i="1"/>
  <c r="C9" i="1"/>
  <c r="D8" i="1" s="1"/>
  <c r="C8" i="1"/>
  <c r="B46" i="1"/>
  <c r="C4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Craig Johnson</author>
  </authors>
  <commentList>
    <comment ref="F7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Craig Johnson:</t>
        </r>
        <r>
          <rPr>
            <sz val="9"/>
            <color indexed="81"/>
            <rFont val="Tahoma"/>
            <family val="2"/>
          </rPr>
          <t xml:space="preserve">
Time is not split out between the products that were run.</t>
        </r>
      </text>
    </comment>
    <comment ref="F80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Craig Johnson:</t>
        </r>
        <r>
          <rPr>
            <sz val="9"/>
            <color indexed="81"/>
            <rFont val="Tahoma"/>
            <family val="2"/>
          </rPr>
          <t xml:space="preserve">
Time not entered on Prod Log</t>
        </r>
      </text>
    </comment>
    <comment ref="F10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Craig Johnson:</t>
        </r>
        <r>
          <rPr>
            <sz val="9"/>
            <color indexed="81"/>
            <rFont val="Tahoma"/>
            <family val="2"/>
          </rPr>
          <t xml:space="preserve">
No time reported</t>
        </r>
      </text>
    </comment>
    <comment ref="F119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Craig Johnson:</t>
        </r>
        <r>
          <rPr>
            <sz val="9"/>
            <color indexed="81"/>
            <rFont val="Tahoma"/>
            <family val="2"/>
          </rPr>
          <t xml:space="preserve">
No time reported</t>
        </r>
      </text>
    </comment>
  </commentList>
</comments>
</file>

<file path=xl/sharedStrings.xml><?xml version="1.0" encoding="utf-8"?>
<sst xmlns="http://schemas.openxmlformats.org/spreadsheetml/2006/main" count="9631" uniqueCount="241">
  <si>
    <t xml:space="preserve">Day Dry Production Log </t>
  </si>
  <si>
    <t xml:space="preserve">Night Dry Production Log </t>
  </si>
  <si>
    <t>Carrier 100</t>
  </si>
  <si>
    <t>Rotary</t>
  </si>
  <si>
    <t>Carrier 200</t>
  </si>
  <si>
    <t>Date:</t>
  </si>
  <si>
    <t>Operator:</t>
  </si>
  <si>
    <t>Corey Jackson</t>
  </si>
  <si>
    <r>
      <t xml:space="preserve">Hours Up </t>
    </r>
    <r>
      <rPr>
        <b/>
        <sz val="11"/>
        <color rgb="FFFF0000"/>
        <rFont val="Calibri"/>
        <family val="2"/>
        <scheme val="minor"/>
      </rPr>
      <t>40/70</t>
    </r>
    <r>
      <rPr>
        <b/>
        <sz val="11"/>
        <color theme="1"/>
        <rFont val="Calibri"/>
        <family val="2"/>
        <scheme val="minor"/>
      </rPr>
      <t>:</t>
    </r>
  </si>
  <si>
    <r>
      <t xml:space="preserve">Hours Up </t>
    </r>
    <r>
      <rPr>
        <b/>
        <sz val="11"/>
        <color rgb="FFFF0000"/>
        <rFont val="Calibri"/>
        <family val="2"/>
        <scheme val="minor"/>
      </rPr>
      <t>100M</t>
    </r>
    <r>
      <rPr>
        <b/>
        <sz val="11"/>
        <color theme="1"/>
        <rFont val="Calibri"/>
        <family val="2"/>
        <scheme val="minor"/>
      </rPr>
      <t>:</t>
    </r>
  </si>
  <si>
    <t>Total Hours Up:</t>
  </si>
  <si>
    <t>Hours Up:</t>
  </si>
  <si>
    <t>% Up</t>
  </si>
  <si>
    <r>
      <t xml:space="preserve">Hours Up </t>
    </r>
    <r>
      <rPr>
        <b/>
        <sz val="11"/>
        <color rgb="FFFF0000"/>
        <rFont val="Calibri"/>
        <family val="2"/>
        <scheme val="minor"/>
      </rPr>
      <t>100M:</t>
    </r>
  </si>
  <si>
    <r>
      <t xml:space="preserve">Hours Up </t>
    </r>
    <r>
      <rPr>
        <b/>
        <sz val="11"/>
        <color rgb="FFFF0000"/>
        <rFont val="Calibri"/>
        <family val="2"/>
        <scheme val="minor"/>
      </rPr>
      <t>40/70:</t>
    </r>
  </si>
  <si>
    <t>Production Tons</t>
  </si>
  <si>
    <t xml:space="preserve"> Production Tons</t>
  </si>
  <si>
    <t>Item</t>
  </si>
  <si>
    <t>BC100  40/70</t>
  </si>
  <si>
    <t>Net 40/70 Dried</t>
  </si>
  <si>
    <t>40/70 Recovery %</t>
  </si>
  <si>
    <t>BC100 100</t>
  </si>
  <si>
    <t>Net 100 Dried</t>
  </si>
  <si>
    <t>100 Recovery %</t>
  </si>
  <si>
    <t>40/70 silo</t>
  </si>
  <si>
    <t>100# Silo</t>
  </si>
  <si>
    <t>C16</t>
  </si>
  <si>
    <t>C18</t>
  </si>
  <si>
    <t>Net Dried</t>
  </si>
  <si>
    <t>C19</t>
  </si>
  <si>
    <t>100# Recovery</t>
  </si>
  <si>
    <t>C25 100M</t>
  </si>
  <si>
    <t>C28 100M</t>
  </si>
  <si>
    <t>Net 100M Dried</t>
  </si>
  <si>
    <t>C25 40/70</t>
  </si>
  <si>
    <t>C28 40/70</t>
  </si>
  <si>
    <t>40/70 Recovery</t>
  </si>
  <si>
    <t>Total Tons</t>
  </si>
  <si>
    <t>Tph</t>
  </si>
  <si>
    <t>Avg Moisture</t>
  </si>
  <si>
    <t>Product</t>
  </si>
  <si>
    <t>Silo Tag</t>
  </si>
  <si>
    <t>100#</t>
  </si>
  <si>
    <t>Silo 8</t>
  </si>
  <si>
    <t>Product Samples</t>
  </si>
  <si>
    <t>40/70 Feed Sample</t>
  </si>
  <si>
    <t>100M Feed Sample</t>
  </si>
  <si>
    <t>40/70</t>
  </si>
  <si>
    <t>Moisture</t>
  </si>
  <si>
    <t>Feed Sample</t>
  </si>
  <si>
    <t>100# product</t>
  </si>
  <si>
    <t>40/70 Product</t>
  </si>
  <si>
    <t>Time</t>
  </si>
  <si>
    <t>(+70)</t>
  </si>
  <si>
    <t xml:space="preserve"> (-40+70)</t>
  </si>
  <si>
    <t>(-70)</t>
  </si>
  <si>
    <t xml:space="preserve">(-140) </t>
  </si>
  <si>
    <t>(-40+70)</t>
  </si>
  <si>
    <t>Averages</t>
  </si>
  <si>
    <t>Feed Location</t>
  </si>
  <si>
    <t>Gate:</t>
  </si>
  <si>
    <t>Blend area</t>
  </si>
  <si>
    <t>Stock Pile</t>
  </si>
  <si>
    <t>Blended  Time:</t>
  </si>
  <si>
    <t>Downtime Report</t>
  </si>
  <si>
    <t>Start Time:</t>
  </si>
  <si>
    <t>End Time:</t>
  </si>
  <si>
    <t>Plant:</t>
  </si>
  <si>
    <t>Time Down:</t>
  </si>
  <si>
    <t xml:space="preserve">Reason:                                                                                                                                       </t>
  </si>
  <si>
    <t xml:space="preserve">Reason:                                                                                                                                        </t>
  </si>
  <si>
    <t>Screen Inspections</t>
  </si>
  <si>
    <t>Misc Comments</t>
  </si>
  <si>
    <t>Time:</t>
  </si>
  <si>
    <t>GS140</t>
  </si>
  <si>
    <t>GS145</t>
  </si>
  <si>
    <t>Screen 2</t>
  </si>
  <si>
    <t>Screen 3</t>
  </si>
  <si>
    <t>Screen 4</t>
  </si>
  <si>
    <t>Screen 5</t>
  </si>
  <si>
    <t>Screen 6</t>
  </si>
  <si>
    <t>Total Dried Tons</t>
  </si>
  <si>
    <t>TPH to Silo</t>
  </si>
  <si>
    <t>Day 100M</t>
  </si>
  <si>
    <t>Night 100M</t>
  </si>
  <si>
    <t>Day 40/70</t>
  </si>
  <si>
    <t>Night 40/70</t>
  </si>
  <si>
    <t>Daily Totals</t>
  </si>
  <si>
    <t>Total Tons Recoverd</t>
  </si>
  <si>
    <t>Operators</t>
  </si>
  <si>
    <t>Brendan Martinez</t>
  </si>
  <si>
    <t>Jimmy Blakely</t>
  </si>
  <si>
    <t>Joaquin Antillon</t>
  </si>
  <si>
    <t>Justin Lehrman</t>
  </si>
  <si>
    <t>Luis Martinez</t>
  </si>
  <si>
    <t>Mick McCoy</t>
  </si>
  <si>
    <t>Nathan Markalonis</t>
  </si>
  <si>
    <t>Randy Wolf</t>
  </si>
  <si>
    <t>Ryan Shelton</t>
  </si>
  <si>
    <t>David Boone</t>
  </si>
  <si>
    <t>Nelson Huckeba</t>
  </si>
  <si>
    <t>BCV 55</t>
  </si>
  <si>
    <t>Silo 2</t>
  </si>
  <si>
    <t>Silo 6</t>
  </si>
  <si>
    <t>Silo 9</t>
  </si>
  <si>
    <t>SP3</t>
  </si>
  <si>
    <t>owp</t>
  </si>
  <si>
    <t>N/A</t>
  </si>
  <si>
    <t>2:30 p.m</t>
  </si>
  <si>
    <t>OWP</t>
  </si>
  <si>
    <t>SP2</t>
  </si>
  <si>
    <t>SP1</t>
  </si>
  <si>
    <t>SP7</t>
  </si>
  <si>
    <t>n/a</t>
  </si>
  <si>
    <t>OWP SP</t>
  </si>
  <si>
    <t xml:space="preserve">roatry down for head chute plug </t>
  </si>
  <si>
    <t>100 ton down for black belt and silo 2 plug up</t>
  </si>
  <si>
    <t>sp1</t>
  </si>
  <si>
    <t>ufr</t>
  </si>
  <si>
    <t xml:space="preserve"> </t>
  </si>
  <si>
    <t>Machine</t>
  </si>
  <si>
    <t>Date</t>
  </si>
  <si>
    <t>Shift</t>
  </si>
  <si>
    <t>Crew</t>
  </si>
  <si>
    <t>Run Time (Mins)</t>
  </si>
  <si>
    <t>Delay Time (Mins)</t>
  </si>
  <si>
    <t>Gross Time (Mins)</t>
  </si>
  <si>
    <t>Gross Tons</t>
  </si>
  <si>
    <t>Net Tons</t>
  </si>
  <si>
    <t>Products</t>
  </si>
  <si>
    <t>40/70M</t>
  </si>
  <si>
    <t>100M</t>
  </si>
  <si>
    <t>70/240M</t>
  </si>
  <si>
    <t>100Carrier</t>
  </si>
  <si>
    <t>200Carrier</t>
  </si>
  <si>
    <t>Silo</t>
  </si>
  <si>
    <t>Silo 1</t>
  </si>
  <si>
    <t>Silo 3</t>
  </si>
  <si>
    <t>Silo 4</t>
  </si>
  <si>
    <t>Silo 5</t>
  </si>
  <si>
    <t>Silo 7</t>
  </si>
  <si>
    <t>Moisture %</t>
  </si>
  <si>
    <t>Speed (GTph)</t>
  </si>
  <si>
    <t>Net Tons per hour</t>
  </si>
  <si>
    <t>Delay %</t>
  </si>
  <si>
    <t>Blakely</t>
  </si>
  <si>
    <t>Yield Loss</t>
  </si>
  <si>
    <t>Feeder Belt</t>
  </si>
  <si>
    <t>BC100</t>
  </si>
  <si>
    <t>C25</t>
  </si>
  <si>
    <t>Boone</t>
  </si>
  <si>
    <t>Lehrman</t>
  </si>
  <si>
    <t>Wolf</t>
  </si>
  <si>
    <t>Jackson</t>
  </si>
  <si>
    <t>Net Tons per Gr hour</t>
  </si>
  <si>
    <t>Huckeba</t>
  </si>
  <si>
    <t>McCoy</t>
  </si>
  <si>
    <t>BMartinez</t>
  </si>
  <si>
    <t>Lmartinez</t>
  </si>
  <si>
    <t>Markalonis</t>
  </si>
  <si>
    <t>(All)</t>
  </si>
  <si>
    <t>Grand Total</t>
  </si>
  <si>
    <t>Row Labels</t>
  </si>
  <si>
    <t>Sum of Net Tons</t>
  </si>
  <si>
    <t>Sum of Gross Tons</t>
  </si>
  <si>
    <t>Sum of Run Hours</t>
  </si>
  <si>
    <t>Sum of Gross Hours</t>
  </si>
  <si>
    <t>Sum of Net Tons/GrHr</t>
  </si>
  <si>
    <t>Gross Tons per GrHr</t>
  </si>
  <si>
    <t>Shelton</t>
  </si>
  <si>
    <t>Avg 40/70 Feed Sample</t>
  </si>
  <si>
    <t>Avg 100M Feed Sample</t>
  </si>
  <si>
    <t>Sum of  Moisture %</t>
  </si>
  <si>
    <t>lehrman</t>
  </si>
  <si>
    <t>LMartinez</t>
  </si>
  <si>
    <t>Rmartinez</t>
  </si>
  <si>
    <t>Month</t>
  </si>
  <si>
    <t xml:space="preserve">70 </t>
  </si>
  <si>
    <t xml:space="preserve">-140 </t>
  </si>
  <si>
    <t xml:space="preserve"> '(-40+70) </t>
  </si>
  <si>
    <t xml:space="preserve">(+70) </t>
  </si>
  <si>
    <t xml:space="preserve">(-140)  </t>
  </si>
  <si>
    <t>Sum of Gross Hrs</t>
  </si>
  <si>
    <t>Sum of Run Hrs</t>
  </si>
  <si>
    <t>Gross Tons / GrHr</t>
  </si>
  <si>
    <t xml:space="preserve"> Net Tons / GrHr</t>
  </si>
  <si>
    <t xml:space="preserve"> Moisture%</t>
  </si>
  <si>
    <t xml:space="preserve"> Gross Tons / NetHr</t>
  </si>
  <si>
    <t>6 Total</t>
  </si>
  <si>
    <t>7 Total</t>
  </si>
  <si>
    <t>1-Jun</t>
  </si>
  <si>
    <t>20-Jun</t>
  </si>
  <si>
    <t>2-Jun</t>
  </si>
  <si>
    <t>3-Jun</t>
  </si>
  <si>
    <t>4-Jun</t>
  </si>
  <si>
    <t>5-Jun</t>
  </si>
  <si>
    <t>6-Jun</t>
  </si>
  <si>
    <t>15-Jun</t>
  </si>
  <si>
    <t>16-Jun</t>
  </si>
  <si>
    <t>21-Jun</t>
  </si>
  <si>
    <t>30-Jun</t>
  </si>
  <si>
    <t>9-Jun</t>
  </si>
  <si>
    <t>14-Jun</t>
  </si>
  <si>
    <t>22-Jun</t>
  </si>
  <si>
    <t>23-Jun</t>
  </si>
  <si>
    <t>24-Jun</t>
  </si>
  <si>
    <t>25-Jun</t>
  </si>
  <si>
    <t>27-Jun</t>
  </si>
  <si>
    <t>28-Jun</t>
  </si>
  <si>
    <t>7-Jun</t>
  </si>
  <si>
    <t>1-Jul</t>
  </si>
  <si>
    <t>2-Jul</t>
  </si>
  <si>
    <t>3-Jul</t>
  </si>
  <si>
    <t>4-Jul</t>
  </si>
  <si>
    <t>5-Jul</t>
  </si>
  <si>
    <t>28-Jul</t>
  </si>
  <si>
    <t>31-Jul</t>
  </si>
  <si>
    <t>15-Jul</t>
  </si>
  <si>
    <t>6-Jul</t>
  </si>
  <si>
    <t>7-Jul</t>
  </si>
  <si>
    <t>8-Jul</t>
  </si>
  <si>
    <t>9-Jul</t>
  </si>
  <si>
    <t>10-Jul</t>
  </si>
  <si>
    <t>11-Jul</t>
  </si>
  <si>
    <t>12-Jul</t>
  </si>
  <si>
    <t>20-Jul</t>
  </si>
  <si>
    <t>21-Jul</t>
  </si>
  <si>
    <t>22-Jul</t>
  </si>
  <si>
    <t>23-Jul</t>
  </si>
  <si>
    <t>24-Jul</t>
  </si>
  <si>
    <t>25-Jul</t>
  </si>
  <si>
    <t>26-Jul</t>
  </si>
  <si>
    <t>13-Jul</t>
  </si>
  <si>
    <t>14-Jul</t>
  </si>
  <si>
    <t>16-Jul</t>
  </si>
  <si>
    <t>17-Jul</t>
  </si>
  <si>
    <t>18-Jul</t>
  </si>
  <si>
    <t>19-Jul</t>
  </si>
  <si>
    <t>29-Jul</t>
  </si>
  <si>
    <t>30-Jul</t>
  </si>
  <si>
    <t>27-Jul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</si>
</sst>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%"/>
    <numFmt numFmtId="165" formatCode="0.0"/>
    <numFmt numFmtId="166" formatCode="[$-409]h:mm\ AM/PM;@"/>
    <numFmt numFmtId="167" formatCode="_(* #,##0.0_);_(* \(#,##0.0\);_(* &quot;-&quot;??_);_(@_)"/>
    <numFmt numFmtId="168" formatCode="0.000%"/>
    <numFmt numFmtId="169" formatCode="_(* #,##0_);_(* \(#,##0\);_(* &quot;-&quot;??_);_(@_)"/>
    <numFmt numFmtId="170" formatCode="#,##0.0"/>
    <numFmt numFmtId="171" formatCode="#,##0.0_);[Red]\(#,##0.0\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</fills>
  <borders count="1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thin">
        <color indexed="64"/>
      </right>
      <top style="thin">
        <color theme="1"/>
      </top>
      <bottom style="medium">
        <color indexed="64"/>
      </bottom>
      <diagonal/>
    </border>
    <border>
      <left/>
      <right style="thick">
        <color rgb="FFFF0000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rgb="FFFF0000"/>
      </right>
      <top/>
      <bottom/>
      <diagonal/>
    </border>
    <border>
      <left style="medium">
        <color indexed="64"/>
      </left>
      <right style="thick">
        <color rgb="FFFF0000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rgb="FFFF0000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FF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rgb="FFFF0000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FF0000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rgb="FFFF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indexed="64"/>
      </left>
      <right style="thick">
        <color rgb="FFFF0000"/>
      </right>
      <top style="medium">
        <color indexed="64"/>
      </top>
      <bottom style="medium">
        <color theme="1"/>
      </bottom>
      <diagonal/>
    </border>
    <border>
      <left/>
      <right style="thick">
        <color rgb="FFFF0000"/>
      </right>
      <top style="medium">
        <color indexed="64"/>
      </top>
      <bottom/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theme="1"/>
      </left>
      <right style="thick">
        <color rgb="FFFF0000"/>
      </right>
      <top style="medium">
        <color theme="1"/>
      </top>
      <bottom style="medium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ck">
        <color rgb="FFFF0000"/>
      </right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ck">
        <color rgb="FFFF0000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FF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/>
      <right style="thin">
        <color theme="1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 style="thick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 style="thick">
        <color rgb="FFFF0000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/>
      <right style="thick">
        <color rgb="FFFF0000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48">
    <xf numFmtId="0" fontId="0" fillId="0" borderId="0" xfId="0"/>
    <xf numFmtId="0" fontId="4" fillId="2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25" xfId="0" applyFont="1" applyFill="1" applyBorder="1" applyAlignment="1">
      <alignment horizontal="center" wrapText="1"/>
    </xf>
    <xf numFmtId="2" fontId="2" fillId="0" borderId="26" xfId="0" applyNumberFormat="1" applyFont="1" applyBorder="1" applyAlignment="1">
      <alignment horizontal="center"/>
    </xf>
    <xf numFmtId="0" fontId="2" fillId="2" borderId="27" xfId="0" applyFont="1" applyFill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/>
    </xf>
    <xf numFmtId="0" fontId="2" fillId="2" borderId="27" xfId="0" applyFont="1" applyFill="1" applyBorder="1" applyAlignment="1">
      <alignment horizontal="center" wrapText="1"/>
    </xf>
    <xf numFmtId="164" fontId="2" fillId="3" borderId="27" xfId="0" applyNumberFormat="1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 wrapText="1"/>
    </xf>
    <xf numFmtId="2" fontId="2" fillId="0" borderId="29" xfId="0" applyNumberFormat="1" applyFont="1" applyBorder="1" applyAlignment="1">
      <alignment horizontal="center"/>
    </xf>
    <xf numFmtId="0" fontId="2" fillId="2" borderId="23" xfId="0" applyFont="1" applyFill="1" applyBorder="1" applyAlignment="1">
      <alignment horizontal="center" vertical="center"/>
    </xf>
    <xf numFmtId="164" fontId="2" fillId="3" borderId="0" xfId="1" applyNumberFormat="1" applyFont="1" applyFill="1" applyBorder="1" applyAlignment="1">
      <alignment horizontal="center"/>
    </xf>
    <xf numFmtId="164" fontId="2" fillId="3" borderId="15" xfId="0" applyNumberFormat="1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 wrapText="1"/>
    </xf>
    <xf numFmtId="0" fontId="7" fillId="2" borderId="27" xfId="0" applyFont="1" applyFill="1" applyBorder="1" applyAlignment="1">
      <alignment horizontal="center" wrapText="1"/>
    </xf>
    <xf numFmtId="0" fontId="7" fillId="2" borderId="36" xfId="0" applyFont="1" applyFill="1" applyBorder="1" applyAlignment="1">
      <alignment horizontal="center" wrapText="1"/>
    </xf>
    <xf numFmtId="0" fontId="7" fillId="2" borderId="33" xfId="0" applyFont="1" applyFill="1" applyBorder="1" applyAlignment="1">
      <alignment horizontal="center" wrapText="1"/>
    </xf>
    <xf numFmtId="0" fontId="7" fillId="2" borderId="37" xfId="0" applyFont="1" applyFill="1" applyBorder="1" applyAlignment="1">
      <alignment horizontal="center" wrapText="1"/>
    </xf>
    <xf numFmtId="0" fontId="7" fillId="2" borderId="34" xfId="0" applyFont="1" applyFill="1" applyBorder="1" applyAlignment="1">
      <alignment horizontal="center" wrapText="1"/>
    </xf>
    <xf numFmtId="0" fontId="7" fillId="3" borderId="32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0" fontId="7" fillId="2" borderId="37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 wrapText="1"/>
    </xf>
    <xf numFmtId="0" fontId="7" fillId="2" borderId="38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wrapText="1"/>
    </xf>
    <xf numFmtId="0" fontId="7" fillId="2" borderId="41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wrapText="1"/>
    </xf>
    <xf numFmtId="3" fontId="8" fillId="0" borderId="44" xfId="0" applyNumberFormat="1" applyFont="1" applyBorder="1" applyAlignment="1">
      <alignment horizontal="center"/>
    </xf>
    <xf numFmtId="3" fontId="6" fillId="0" borderId="44" xfId="0" applyNumberFormat="1" applyFont="1" applyBorder="1" applyAlignment="1">
      <alignment horizontal="center"/>
    </xf>
    <xf numFmtId="164" fontId="6" fillId="0" borderId="45" xfId="1" applyNumberFormat="1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1" fontId="6" fillId="0" borderId="46" xfId="0" applyNumberFormat="1" applyFont="1" applyBorder="1" applyAlignment="1">
      <alignment horizontal="center"/>
    </xf>
    <xf numFmtId="164" fontId="6" fillId="0" borderId="46" xfId="1" applyNumberFormat="1" applyFont="1" applyBorder="1" applyAlignment="1">
      <alignment horizontal="center"/>
    </xf>
    <xf numFmtId="3" fontId="6" fillId="0" borderId="46" xfId="0" applyNumberFormat="1" applyFont="1" applyBorder="1" applyAlignment="1">
      <alignment horizontal="center"/>
    </xf>
    <xf numFmtId="3" fontId="6" fillId="0" borderId="47" xfId="0" applyNumberFormat="1" applyFont="1" applyBorder="1" applyAlignment="1">
      <alignment horizontal="center"/>
    </xf>
    <xf numFmtId="3" fontId="6" fillId="3" borderId="13" xfId="0" applyNumberFormat="1" applyFont="1" applyFill="1" applyBorder="1" applyAlignment="1">
      <alignment horizontal="center"/>
    </xf>
    <xf numFmtId="3" fontId="8" fillId="0" borderId="48" xfId="0" applyNumberFormat="1" applyFont="1" applyBorder="1" applyAlignment="1">
      <alignment horizontal="center"/>
    </xf>
    <xf numFmtId="3" fontId="8" fillId="0" borderId="49" xfId="0" applyNumberFormat="1" applyFont="1" applyBorder="1" applyAlignment="1">
      <alignment horizontal="center"/>
    </xf>
    <xf numFmtId="3" fontId="8" fillId="0" borderId="46" xfId="0" applyNumberFormat="1" applyFont="1" applyBorder="1" applyAlignment="1">
      <alignment horizontal="center"/>
    </xf>
    <xf numFmtId="164" fontId="6" fillId="3" borderId="13" xfId="1" applyNumberFormat="1" applyFont="1" applyFill="1" applyBorder="1" applyAlignment="1">
      <alignment horizontal="center"/>
    </xf>
    <xf numFmtId="1" fontId="8" fillId="0" borderId="48" xfId="0" applyNumberFormat="1" applyFont="1" applyBorder="1" applyAlignment="1">
      <alignment horizontal="center"/>
    </xf>
    <xf numFmtId="1" fontId="8" fillId="0" borderId="50" xfId="0" applyNumberFormat="1" applyFont="1" applyBorder="1" applyAlignment="1">
      <alignment horizontal="center"/>
    </xf>
    <xf numFmtId="1" fontId="8" fillId="3" borderId="44" xfId="1" applyNumberFormat="1" applyFont="1" applyFill="1" applyBorder="1" applyAlignment="1">
      <alignment horizontal="center"/>
    </xf>
    <xf numFmtId="1" fontId="8" fillId="3" borderId="46" xfId="0" applyNumberFormat="1" applyFont="1" applyFill="1" applyBorder="1" applyAlignment="1">
      <alignment horizontal="center"/>
    </xf>
    <xf numFmtId="1" fontId="6" fillId="3" borderId="46" xfId="0" applyNumberFormat="1" applyFont="1" applyFill="1" applyBorder="1" applyAlignment="1">
      <alignment horizontal="center"/>
    </xf>
    <xf numFmtId="164" fontId="6" fillId="3" borderId="51" xfId="1" applyNumberFormat="1" applyFont="1" applyFill="1" applyBorder="1" applyAlignment="1">
      <alignment horizontal="center"/>
    </xf>
    <xf numFmtId="164" fontId="6" fillId="3" borderId="42" xfId="1" applyNumberFormat="1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165" fontId="6" fillId="0" borderId="53" xfId="0" applyNumberFormat="1" applyFont="1" applyBorder="1" applyAlignment="1">
      <alignment horizontal="center"/>
    </xf>
    <xf numFmtId="164" fontId="9" fillId="4" borderId="54" xfId="1" applyNumberFormat="1" applyFont="1" applyFill="1" applyBorder="1" applyAlignment="1">
      <alignment horizontal="center"/>
    </xf>
    <xf numFmtId="165" fontId="6" fillId="0" borderId="55" xfId="0" applyNumberFormat="1" applyFont="1" applyBorder="1" applyAlignment="1">
      <alignment horizontal="center"/>
    </xf>
    <xf numFmtId="164" fontId="9" fillId="4" borderId="56" xfId="1" applyNumberFormat="1" applyFont="1" applyFill="1" applyBorder="1" applyAlignment="1">
      <alignment horizontal="center"/>
    </xf>
    <xf numFmtId="165" fontId="8" fillId="0" borderId="55" xfId="0" applyNumberFormat="1" applyFont="1" applyBorder="1" applyAlignment="1">
      <alignment horizontal="center"/>
    </xf>
    <xf numFmtId="165" fontId="8" fillId="0" borderId="57" xfId="0" applyNumberFormat="1" applyFont="1" applyBorder="1" applyAlignment="1">
      <alignment horizontal="center"/>
    </xf>
    <xf numFmtId="165" fontId="8" fillId="3" borderId="58" xfId="0" applyNumberFormat="1" applyFont="1" applyFill="1" applyBorder="1" applyAlignment="1">
      <alignment horizontal="center"/>
    </xf>
    <xf numFmtId="165" fontId="6" fillId="0" borderId="59" xfId="0" applyNumberFormat="1" applyFont="1" applyBorder="1" applyAlignment="1">
      <alignment horizontal="center"/>
    </xf>
    <xf numFmtId="165" fontId="6" fillId="0" borderId="60" xfId="0" applyNumberFormat="1" applyFont="1" applyBorder="1" applyAlignment="1">
      <alignment horizontal="center"/>
    </xf>
    <xf numFmtId="165" fontId="6" fillId="3" borderId="29" xfId="0" applyNumberFormat="1" applyFont="1" applyFill="1" applyBorder="1" applyAlignment="1">
      <alignment horizontal="center"/>
    </xf>
    <xf numFmtId="165" fontId="6" fillId="0" borderId="61" xfId="0" applyNumberFormat="1" applyFont="1" applyBorder="1" applyAlignment="1">
      <alignment horizontal="center"/>
    </xf>
    <xf numFmtId="165" fontId="6" fillId="0" borderId="62" xfId="0" applyNumberFormat="1" applyFont="1" applyBorder="1" applyAlignment="1">
      <alignment horizontal="center"/>
    </xf>
    <xf numFmtId="165" fontId="6" fillId="0" borderId="63" xfId="0" applyNumberFormat="1" applyFont="1" applyBorder="1" applyAlignment="1">
      <alignment horizontal="center"/>
    </xf>
    <xf numFmtId="165" fontId="6" fillId="4" borderId="54" xfId="0" applyNumberFormat="1" applyFont="1" applyFill="1" applyBorder="1" applyAlignment="1">
      <alignment horizontal="center"/>
    </xf>
    <xf numFmtId="165" fontId="6" fillId="3" borderId="64" xfId="0" applyNumberFormat="1" applyFont="1" applyFill="1" applyBorder="1" applyAlignment="1">
      <alignment horizontal="center"/>
    </xf>
    <xf numFmtId="165" fontId="6" fillId="3" borderId="55" xfId="0" applyNumberFormat="1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65" xfId="0" applyFont="1" applyFill="1" applyBorder="1" applyAlignment="1">
      <alignment horizontal="center"/>
    </xf>
    <xf numFmtId="0" fontId="2" fillId="2" borderId="66" xfId="0" applyFont="1" applyFill="1" applyBorder="1" applyAlignment="1">
      <alignment horizontal="center" wrapText="1"/>
    </xf>
    <xf numFmtId="164" fontId="8" fillId="0" borderId="67" xfId="1" applyNumberFormat="1" applyFont="1" applyBorder="1" applyAlignment="1">
      <alignment horizontal="center"/>
    </xf>
    <xf numFmtId="164" fontId="9" fillId="4" borderId="68" xfId="1" applyNumberFormat="1" applyFont="1" applyFill="1" applyBorder="1" applyAlignment="1">
      <alignment horizontal="center"/>
    </xf>
    <xf numFmtId="0" fontId="2" fillId="4" borderId="69" xfId="0" applyFont="1" applyFill="1" applyBorder="1" applyAlignment="1">
      <alignment horizontal="center"/>
    </xf>
    <xf numFmtId="0" fontId="2" fillId="2" borderId="70" xfId="0" applyFont="1" applyFill="1" applyBorder="1" applyAlignment="1">
      <alignment horizontal="center" wrapText="1"/>
    </xf>
    <xf numFmtId="164" fontId="8" fillId="3" borderId="55" xfId="1" applyNumberFormat="1" applyFont="1" applyFill="1" applyBorder="1" applyAlignment="1">
      <alignment horizontal="center"/>
    </xf>
    <xf numFmtId="164" fontId="9" fillId="4" borderId="71" xfId="1" applyNumberFormat="1" applyFont="1" applyFill="1" applyBorder="1" applyAlignment="1">
      <alignment horizontal="center"/>
    </xf>
    <xf numFmtId="164" fontId="9" fillId="4" borderId="72" xfId="1" applyNumberFormat="1" applyFont="1" applyFill="1" applyBorder="1" applyAlignment="1">
      <alignment horizontal="center"/>
    </xf>
    <xf numFmtId="164" fontId="9" fillId="4" borderId="73" xfId="1" applyNumberFormat="1" applyFont="1" applyFill="1" applyBorder="1" applyAlignment="1">
      <alignment horizontal="center"/>
    </xf>
    <xf numFmtId="0" fontId="2" fillId="3" borderId="59" xfId="0" applyFont="1" applyFill="1" applyBorder="1" applyAlignment="1">
      <alignment horizontal="center"/>
    </xf>
    <xf numFmtId="0" fontId="2" fillId="2" borderId="61" xfId="0" applyFont="1" applyFill="1" applyBorder="1" applyAlignment="1">
      <alignment horizontal="center" wrapText="1"/>
    </xf>
    <xf numFmtId="164" fontId="8" fillId="3" borderId="15" xfId="0" applyNumberFormat="1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2" fillId="4" borderId="34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164" fontId="8" fillId="3" borderId="55" xfId="0" applyNumberFormat="1" applyFont="1" applyFill="1" applyBorder="1" applyAlignment="1">
      <alignment horizontal="center"/>
    </xf>
    <xf numFmtId="0" fontId="2" fillId="4" borderId="74" xfId="0" applyFont="1" applyFill="1" applyBorder="1" applyAlignment="1">
      <alignment horizontal="center"/>
    </xf>
    <xf numFmtId="0" fontId="2" fillId="2" borderId="75" xfId="0" applyFont="1" applyFill="1" applyBorder="1" applyAlignment="1">
      <alignment horizontal="center"/>
    </xf>
    <xf numFmtId="0" fontId="6" fillId="0" borderId="76" xfId="1" applyNumberFormat="1" applyFont="1" applyBorder="1" applyAlignment="1">
      <alignment horizontal="center"/>
    </xf>
    <xf numFmtId="164" fontId="9" fillId="4" borderId="59" xfId="1" applyNumberFormat="1" applyFont="1" applyFill="1" applyBorder="1" applyAlignment="1">
      <alignment horizontal="center"/>
    </xf>
    <xf numFmtId="164" fontId="9" fillId="4" borderId="77" xfId="1" applyNumberFormat="1" applyFont="1" applyFill="1" applyBorder="1" applyAlignment="1">
      <alignment horizontal="center"/>
    </xf>
    <xf numFmtId="164" fontId="8" fillId="0" borderId="15" xfId="1" applyNumberFormat="1" applyFont="1" applyBorder="1" applyAlignment="1">
      <alignment horizontal="center"/>
    </xf>
    <xf numFmtId="164" fontId="6" fillId="0" borderId="15" xfId="1" applyNumberFormat="1" applyFont="1" applyBorder="1" applyAlignment="1">
      <alignment horizontal="center"/>
    </xf>
    <xf numFmtId="164" fontId="6" fillId="0" borderId="37" xfId="1" applyNumberFormat="1" applyFont="1" applyBorder="1" applyAlignment="1">
      <alignment horizontal="center"/>
    </xf>
    <xf numFmtId="164" fontId="6" fillId="0" borderId="78" xfId="1" applyNumberFormat="1" applyFont="1" applyBorder="1" applyAlignment="1">
      <alignment horizontal="center"/>
    </xf>
    <xf numFmtId="164" fontId="6" fillId="3" borderId="20" xfId="1" applyNumberFormat="1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6" fillId="0" borderId="27" xfId="1" applyNumberFormat="1" applyFont="1" applyBorder="1" applyAlignment="1">
      <alignment horizontal="center"/>
    </xf>
    <xf numFmtId="164" fontId="8" fillId="0" borderId="27" xfId="1" applyNumberFormat="1" applyFont="1" applyBorder="1" applyAlignment="1">
      <alignment horizontal="center"/>
    </xf>
    <xf numFmtId="164" fontId="6" fillId="0" borderId="20" xfId="1" applyNumberFormat="1" applyFont="1" applyBorder="1" applyAlignment="1">
      <alignment horizontal="center"/>
    </xf>
    <xf numFmtId="164" fontId="6" fillId="0" borderId="36" xfId="1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6" fillId="0" borderId="23" xfId="1" applyNumberFormat="1" applyFont="1" applyBorder="1" applyAlignment="1">
      <alignment horizontal="center"/>
    </xf>
    <xf numFmtId="164" fontId="8" fillId="0" borderId="1" xfId="1" applyNumberFormat="1" applyFont="1" applyBorder="1" applyAlignment="1">
      <alignment horizontal="center"/>
    </xf>
    <xf numFmtId="164" fontId="6" fillId="0" borderId="60" xfId="1" applyNumberFormat="1" applyFont="1" applyBorder="1" applyAlignment="1">
      <alignment horizontal="center"/>
    </xf>
    <xf numFmtId="0" fontId="6" fillId="0" borderId="79" xfId="1" applyNumberFormat="1" applyFont="1" applyBorder="1" applyAlignment="1">
      <alignment horizontal="center"/>
    </xf>
    <xf numFmtId="164" fontId="6" fillId="3" borderId="1" xfId="1" applyNumberFormat="1" applyFont="1" applyFill="1" applyBorder="1" applyAlignment="1">
      <alignment horizontal="center"/>
    </xf>
    <xf numFmtId="164" fontId="6" fillId="3" borderId="65" xfId="1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8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5" borderId="6" xfId="0" applyFont="1" applyFill="1" applyBorder="1" applyAlignment="1"/>
    <xf numFmtId="0" fontId="2" fillId="2" borderId="83" xfId="0" applyFont="1" applyFill="1" applyBorder="1" applyAlignment="1">
      <alignment horizontal="center" vertical="center"/>
    </xf>
    <xf numFmtId="0" fontId="2" fillId="2" borderId="84" xfId="0" applyFont="1" applyFill="1" applyBorder="1" applyAlignment="1">
      <alignment horizontal="center" vertical="center"/>
    </xf>
    <xf numFmtId="0" fontId="0" fillId="3" borderId="85" xfId="0" applyFill="1" applyBorder="1"/>
    <xf numFmtId="0" fontId="2" fillId="2" borderId="10" xfId="0" applyFont="1" applyFill="1" applyBorder="1" applyAlignment="1">
      <alignment horizontal="center" wrapText="1"/>
    </xf>
    <xf numFmtId="0" fontId="2" fillId="2" borderId="86" xfId="0" applyFont="1" applyFill="1" applyBorder="1" applyAlignment="1">
      <alignment horizontal="center" wrapText="1"/>
    </xf>
    <xf numFmtId="0" fontId="7" fillId="2" borderId="87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88" xfId="0" applyFont="1" applyFill="1" applyBorder="1" applyAlignment="1">
      <alignment horizontal="center"/>
    </xf>
    <xf numFmtId="0" fontId="0" fillId="3" borderId="0" xfId="0" applyFill="1" applyBorder="1"/>
    <xf numFmtId="0" fontId="7" fillId="2" borderId="1" xfId="0" applyFont="1" applyFill="1" applyBorder="1" applyAlignment="1">
      <alignment horizontal="center"/>
    </xf>
    <xf numFmtId="0" fontId="2" fillId="2" borderId="65" xfId="0" applyFont="1" applyFill="1" applyBorder="1" applyAlignment="1">
      <alignment horizontal="center" wrapText="1"/>
    </xf>
    <xf numFmtId="166" fontId="0" fillId="0" borderId="89" xfId="0" applyNumberFormat="1" applyFont="1" applyBorder="1" applyAlignment="1">
      <alignment horizontal="center"/>
    </xf>
    <xf numFmtId="164" fontId="0" fillId="0" borderId="50" xfId="0" applyNumberFormat="1" applyFont="1" applyBorder="1" applyAlignment="1">
      <alignment horizontal="center"/>
    </xf>
    <xf numFmtId="164" fontId="0" fillId="0" borderId="44" xfId="0" applyNumberFormat="1" applyFont="1" applyBorder="1" applyAlignment="1">
      <alignment horizontal="center"/>
    </xf>
    <xf numFmtId="164" fontId="0" fillId="0" borderId="90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91" xfId="0" applyNumberFormat="1" applyFont="1" applyBorder="1" applyAlignment="1">
      <alignment horizontal="center"/>
    </xf>
    <xf numFmtId="164" fontId="0" fillId="0" borderId="46" xfId="0" applyNumberFormat="1" applyFont="1" applyBorder="1" applyAlignment="1">
      <alignment horizontal="center"/>
    </xf>
    <xf numFmtId="164" fontId="0" fillId="0" borderId="51" xfId="0" applyNumberFormat="1" applyFont="1" applyBorder="1" applyAlignment="1">
      <alignment horizontal="center"/>
    </xf>
    <xf numFmtId="164" fontId="0" fillId="0" borderId="92" xfId="0" applyNumberFormat="1" applyFont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64" fontId="0" fillId="0" borderId="93" xfId="1" applyNumberFormat="1" applyFont="1" applyBorder="1" applyAlignment="1">
      <alignment horizontal="center"/>
    </xf>
    <xf numFmtId="164" fontId="0" fillId="0" borderId="94" xfId="1" applyNumberFormat="1" applyFont="1" applyBorder="1" applyAlignment="1">
      <alignment horizontal="center"/>
    </xf>
    <xf numFmtId="164" fontId="0" fillId="0" borderId="95" xfId="1" applyNumberFormat="1" applyFont="1" applyBorder="1" applyAlignment="1">
      <alignment horizontal="center"/>
    </xf>
    <xf numFmtId="164" fontId="0" fillId="0" borderId="96" xfId="1" applyNumberFormat="1" applyFont="1" applyBorder="1" applyAlignment="1">
      <alignment horizontal="center"/>
    </xf>
    <xf numFmtId="164" fontId="0" fillId="0" borderId="49" xfId="1" applyNumberFormat="1" applyFont="1" applyBorder="1" applyAlignment="1">
      <alignment horizontal="center"/>
    </xf>
    <xf numFmtId="164" fontId="0" fillId="0" borderId="50" xfId="1" applyNumberFormat="1" applyFont="1" applyBorder="1" applyAlignment="1">
      <alignment horizontal="center"/>
    </xf>
    <xf numFmtId="164" fontId="0" fillId="0" borderId="51" xfId="1" applyNumberFormat="1" applyFont="1" applyBorder="1" applyAlignment="1">
      <alignment horizontal="center"/>
    </xf>
    <xf numFmtId="164" fontId="0" fillId="0" borderId="97" xfId="1" applyNumberFormat="1" applyFont="1" applyBorder="1" applyAlignment="1">
      <alignment horizontal="center"/>
    </xf>
    <xf numFmtId="164" fontId="0" fillId="0" borderId="98" xfId="1" applyNumberFormat="1" applyFont="1" applyBorder="1" applyAlignment="1">
      <alignment horizontal="center"/>
    </xf>
    <xf numFmtId="164" fontId="0" fillId="0" borderId="99" xfId="1" applyNumberFormat="1" applyFont="1" applyBorder="1" applyAlignment="1">
      <alignment horizontal="center"/>
    </xf>
    <xf numFmtId="164" fontId="0" fillId="0" borderId="100" xfId="1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97" xfId="0" applyNumberFormat="1" applyFont="1" applyBorder="1" applyAlignment="1">
      <alignment horizontal="center"/>
    </xf>
    <xf numFmtId="164" fontId="0" fillId="0" borderId="53" xfId="0" applyNumberFormat="1" applyFont="1" applyBorder="1" applyAlignment="1">
      <alignment horizontal="center"/>
    </xf>
    <xf numFmtId="164" fontId="0" fillId="0" borderId="98" xfId="0" applyNumberFormat="1" applyFont="1" applyBorder="1" applyAlignment="1">
      <alignment horizontal="center"/>
    </xf>
    <xf numFmtId="164" fontId="0" fillId="0" borderId="101" xfId="0" applyNumberFormat="1" applyFont="1" applyBorder="1" applyAlignment="1">
      <alignment horizontal="center"/>
    </xf>
    <xf numFmtId="164" fontId="0" fillId="0" borderId="102" xfId="0" applyNumberFormat="1" applyFont="1" applyBorder="1" applyAlignment="1">
      <alignment horizontal="center"/>
    </xf>
    <xf numFmtId="164" fontId="0" fillId="0" borderId="55" xfId="0" applyNumberFormat="1" applyFont="1" applyBorder="1" applyAlignment="1">
      <alignment horizontal="center"/>
    </xf>
    <xf numFmtId="164" fontId="0" fillId="0" borderId="99" xfId="0" applyNumberFormat="1" applyFont="1" applyBorder="1" applyAlignment="1">
      <alignment horizontal="center"/>
    </xf>
    <xf numFmtId="164" fontId="0" fillId="0" borderId="55" xfId="1" applyNumberFormat="1" applyFont="1" applyBorder="1" applyAlignment="1">
      <alignment horizontal="center"/>
    </xf>
    <xf numFmtId="164" fontId="0" fillId="0" borderId="102" xfId="1" applyNumberFormat="1" applyFont="1" applyBorder="1" applyAlignment="1">
      <alignment horizontal="center"/>
    </xf>
    <xf numFmtId="164" fontId="0" fillId="0" borderId="103" xfId="1" applyNumberFormat="1" applyFont="1" applyBorder="1" applyAlignment="1">
      <alignment horizontal="center"/>
    </xf>
    <xf numFmtId="164" fontId="0" fillId="0" borderId="104" xfId="1" applyNumberFormat="1" applyFont="1" applyBorder="1" applyAlignment="1">
      <alignment horizontal="center"/>
    </xf>
    <xf numFmtId="166" fontId="0" fillId="0" borderId="105" xfId="0" applyNumberFormat="1" applyFont="1" applyBorder="1" applyAlignment="1">
      <alignment horizontal="center"/>
    </xf>
    <xf numFmtId="164" fontId="0" fillId="0" borderId="106" xfId="0" applyNumberFormat="1" applyFont="1" applyBorder="1" applyAlignment="1">
      <alignment horizontal="center"/>
    </xf>
    <xf numFmtId="164" fontId="0" fillId="0" borderId="67" xfId="0" applyNumberFormat="1" applyFont="1" applyBorder="1" applyAlignment="1">
      <alignment horizontal="center"/>
    </xf>
    <xf numFmtId="164" fontId="0" fillId="0" borderId="68" xfId="0" applyNumberFormat="1" applyFont="1" applyBorder="1" applyAlignment="1">
      <alignment horizontal="center"/>
    </xf>
    <xf numFmtId="164" fontId="0" fillId="0" borderId="29" xfId="0" applyNumberFormat="1" applyFont="1" applyBorder="1" applyAlignment="1">
      <alignment horizontal="center"/>
    </xf>
    <xf numFmtId="164" fontId="0" fillId="0" borderId="72" xfId="1" applyNumberFormat="1" applyFont="1" applyBorder="1" applyAlignment="1">
      <alignment horizontal="center"/>
    </xf>
    <xf numFmtId="164" fontId="0" fillId="0" borderId="68" xfId="1" applyNumberFormat="1" applyFont="1" applyBorder="1" applyAlignment="1">
      <alignment horizontal="center"/>
    </xf>
    <xf numFmtId="164" fontId="0" fillId="0" borderId="107" xfId="1" applyNumberFormat="1" applyFont="1" applyBorder="1" applyAlignment="1">
      <alignment horizontal="center"/>
    </xf>
    <xf numFmtId="164" fontId="0" fillId="0" borderId="108" xfId="1" applyNumberFormat="1" applyFont="1" applyBorder="1" applyAlignment="1">
      <alignment horizontal="center"/>
    </xf>
    <xf numFmtId="164" fontId="0" fillId="0" borderId="106" xfId="1" applyNumberFormat="1" applyFont="1" applyBorder="1" applyAlignment="1">
      <alignment horizontal="center"/>
    </xf>
    <xf numFmtId="164" fontId="0" fillId="0" borderId="109" xfId="1" applyNumberFormat="1" applyFont="1" applyBorder="1" applyAlignment="1">
      <alignment horizontal="center"/>
    </xf>
    <xf numFmtId="166" fontId="0" fillId="0" borderId="110" xfId="0" applyNumberFormat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64" fontId="6" fillId="0" borderId="33" xfId="0" applyNumberFormat="1" applyFont="1" applyBorder="1" applyAlignment="1">
      <alignment horizontal="center"/>
    </xf>
    <xf numFmtId="164" fontId="6" fillId="0" borderId="111" xfId="0" applyNumberFormat="1" applyFont="1" applyBorder="1" applyAlignment="1">
      <alignment horizontal="center"/>
    </xf>
    <xf numFmtId="164" fontId="6" fillId="0" borderId="39" xfId="0" applyNumberFormat="1" applyFont="1" applyBorder="1" applyAlignment="1">
      <alignment horizontal="center"/>
    </xf>
    <xf numFmtId="164" fontId="6" fillId="0" borderId="112" xfId="0" applyNumberFormat="1" applyFont="1" applyBorder="1" applyAlignment="1">
      <alignment horizontal="center"/>
    </xf>
    <xf numFmtId="0" fontId="0" fillId="3" borderId="113" xfId="0" applyFont="1" applyFill="1" applyBorder="1" applyAlignment="1">
      <alignment horizontal="center"/>
    </xf>
    <xf numFmtId="164" fontId="6" fillId="0" borderId="114" xfId="0" applyNumberFormat="1" applyFont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164" fontId="6" fillId="0" borderId="115" xfId="0" applyNumberFormat="1" applyFont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78" xfId="0" applyFont="1" applyFill="1" applyBorder="1" applyAlignment="1">
      <alignment horizontal="center"/>
    </xf>
    <xf numFmtId="0" fontId="0" fillId="4" borderId="1" xfId="0" applyFill="1" applyBorder="1" applyAlignment="1"/>
    <xf numFmtId="0" fontId="0" fillId="4" borderId="2" xfId="0" applyFill="1" applyBorder="1" applyAlignment="1"/>
    <xf numFmtId="0" fontId="0" fillId="4" borderId="24" xfId="0" applyFill="1" applyBorder="1" applyAlignment="1"/>
    <xf numFmtId="0" fontId="7" fillId="2" borderId="43" xfId="0" applyFont="1" applyFill="1" applyBorder="1" applyAlignment="1">
      <alignment horizontal="right"/>
    </xf>
    <xf numFmtId="1" fontId="0" fillId="0" borderId="116" xfId="0" applyNumberFormat="1" applyFont="1" applyBorder="1" applyAlignment="1">
      <alignment horizontal="center"/>
    </xf>
    <xf numFmtId="0" fontId="7" fillId="3" borderId="118" xfId="0" applyFont="1" applyFill="1" applyBorder="1" applyAlignment="1">
      <alignment horizontal="center"/>
    </xf>
    <xf numFmtId="0" fontId="7" fillId="3" borderId="47" xfId="0" applyFont="1" applyFill="1" applyBorder="1" applyAlignment="1">
      <alignment horizontal="center"/>
    </xf>
    <xf numFmtId="0" fontId="7" fillId="3" borderId="119" xfId="0" applyFont="1" applyFill="1" applyBorder="1" applyAlignment="1">
      <alignment horizontal="center"/>
    </xf>
    <xf numFmtId="0" fontId="7" fillId="2" borderId="116" xfId="0" applyFont="1" applyFill="1" applyBorder="1" applyAlignment="1">
      <alignment horizontal="right"/>
    </xf>
    <xf numFmtId="0" fontId="0" fillId="3" borderId="120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0" fillId="4" borderId="4" xfId="0" applyFill="1" applyBorder="1" applyAlignment="1"/>
    <xf numFmtId="0" fontId="0" fillId="4" borderId="0" xfId="0" applyFill="1" applyBorder="1" applyAlignment="1"/>
    <xf numFmtId="0" fontId="0" fillId="4" borderId="122" xfId="0" applyFill="1" applyBorder="1" applyAlignment="1"/>
    <xf numFmtId="0" fontId="7" fillId="2" borderId="66" xfId="0" applyFont="1" applyFill="1" applyBorder="1" applyAlignment="1">
      <alignment horizontal="right"/>
    </xf>
    <xf numFmtId="0" fontId="0" fillId="0" borderId="61" xfId="0" applyFont="1" applyBorder="1" applyAlignment="1">
      <alignment horizontal="center"/>
    </xf>
    <xf numFmtId="0" fontId="7" fillId="4" borderId="59" xfId="0" applyFont="1" applyFill="1" applyBorder="1" applyAlignment="1">
      <alignment horizontal="right"/>
    </xf>
    <xf numFmtId="0" fontId="7" fillId="4" borderId="73" xfId="0" applyFont="1" applyFill="1" applyBorder="1" applyAlignment="1">
      <alignment horizontal="right"/>
    </xf>
    <xf numFmtId="0" fontId="7" fillId="4" borderId="123" xfId="0" applyFont="1" applyFill="1" applyBorder="1" applyAlignment="1">
      <alignment horizontal="right"/>
    </xf>
    <xf numFmtId="0" fontId="7" fillId="3" borderId="71" xfId="0" applyFont="1" applyFill="1" applyBorder="1" applyAlignment="1">
      <alignment horizontal="right"/>
    </xf>
    <xf numFmtId="0" fontId="7" fillId="2" borderId="79" xfId="0" applyFont="1" applyFill="1" applyBorder="1" applyAlignment="1">
      <alignment horizontal="right"/>
    </xf>
    <xf numFmtId="0" fontId="0" fillId="0" borderId="79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10" fillId="3" borderId="124" xfId="0" applyFont="1" applyFill="1" applyBorder="1" applyAlignment="1">
      <alignment horizontal="center"/>
    </xf>
    <xf numFmtId="0" fontId="0" fillId="4" borderId="21" xfId="0" applyFill="1" applyBorder="1" applyAlignment="1"/>
    <xf numFmtId="0" fontId="0" fillId="4" borderId="20" xfId="0" applyFill="1" applyBorder="1" applyAlignment="1"/>
    <xf numFmtId="0" fontId="0" fillId="4" borderId="30" xfId="0" applyFill="1" applyBorder="1" applyAlignment="1"/>
    <xf numFmtId="0" fontId="7" fillId="2" borderId="14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166" fontId="0" fillId="0" borderId="116" xfId="0" applyNumberFormat="1" applyFont="1" applyBorder="1" applyAlignment="1">
      <alignment horizontal="center"/>
    </xf>
    <xf numFmtId="18" fontId="0" fillId="0" borderId="95" xfId="0" applyNumberFormat="1" applyFont="1" applyBorder="1" applyAlignment="1">
      <alignment horizontal="center"/>
    </xf>
    <xf numFmtId="166" fontId="0" fillId="0" borderId="79" xfId="0" applyNumberFormat="1" applyFont="1" applyBorder="1" applyAlignment="1">
      <alignment horizontal="center"/>
    </xf>
    <xf numFmtId="0" fontId="0" fillId="0" borderId="132" xfId="0" applyFont="1" applyBorder="1" applyAlignment="1">
      <alignment horizontal="center"/>
    </xf>
    <xf numFmtId="0" fontId="0" fillId="4" borderId="1" xfId="0" applyFill="1" applyBorder="1"/>
    <xf numFmtId="0" fontId="0" fillId="4" borderId="24" xfId="0" applyFill="1" applyBorder="1"/>
    <xf numFmtId="0" fontId="0" fillId="3" borderId="133" xfId="0" applyFill="1" applyBorder="1"/>
    <xf numFmtId="0" fontId="0" fillId="4" borderId="2" xfId="0" applyFill="1" applyBorder="1"/>
    <xf numFmtId="0" fontId="0" fillId="4" borderId="3" xfId="0" applyFill="1" applyBorder="1"/>
    <xf numFmtId="0" fontId="7" fillId="2" borderId="32" xfId="0" applyFont="1" applyFill="1" applyBorder="1" applyAlignment="1">
      <alignment horizontal="center"/>
    </xf>
    <xf numFmtId="0" fontId="0" fillId="4" borderId="4" xfId="0" applyFill="1" applyBorder="1"/>
    <xf numFmtId="0" fontId="0" fillId="4" borderId="122" xfId="0" applyFill="1" applyBorder="1"/>
    <xf numFmtId="0" fontId="0" fillId="3" borderId="135" xfId="0" applyFill="1" applyBorder="1"/>
    <xf numFmtId="0" fontId="0" fillId="4" borderId="0" xfId="0" applyFill="1" applyBorder="1"/>
    <xf numFmtId="0" fontId="0" fillId="4" borderId="5" xfId="0" applyFill="1" applyBorder="1"/>
    <xf numFmtId="166" fontId="0" fillId="0" borderId="136" xfId="0" applyNumberFormat="1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51" xfId="0" applyFont="1" applyBorder="1" applyAlignment="1">
      <alignment horizontal="center"/>
    </xf>
    <xf numFmtId="166" fontId="0" fillId="0" borderId="137" xfId="0" applyNumberFormat="1" applyFont="1" applyBorder="1" applyAlignment="1">
      <alignment horizontal="center"/>
    </xf>
    <xf numFmtId="0" fontId="0" fillId="0" borderId="55" xfId="0" applyFont="1" applyBorder="1" applyAlignment="1">
      <alignment horizontal="center"/>
    </xf>
    <xf numFmtId="0" fontId="0" fillId="0" borderId="99" xfId="0" applyFont="1" applyBorder="1" applyAlignment="1">
      <alignment horizontal="center"/>
    </xf>
    <xf numFmtId="166" fontId="0" fillId="0" borderId="138" xfId="0" applyNumberFormat="1" applyFont="1" applyBorder="1" applyAlignment="1">
      <alignment horizontal="center"/>
    </xf>
    <xf numFmtId="0" fontId="0" fillId="0" borderId="139" xfId="0" applyFont="1" applyBorder="1" applyAlignment="1">
      <alignment horizontal="center"/>
    </xf>
    <xf numFmtId="0" fontId="0" fillId="0" borderId="126" xfId="0" applyFont="1" applyBorder="1" applyAlignment="1">
      <alignment horizontal="center"/>
    </xf>
    <xf numFmtId="0" fontId="0" fillId="4" borderId="140" xfId="0" applyFill="1" applyBorder="1"/>
    <xf numFmtId="0" fontId="0" fillId="4" borderId="131" xfId="0" applyFill="1" applyBorder="1"/>
    <xf numFmtId="0" fontId="0" fillId="3" borderId="141" xfId="0" applyFill="1" applyBorder="1"/>
    <xf numFmtId="0" fontId="0" fillId="4" borderId="130" xfId="0" applyFill="1" applyBorder="1"/>
    <xf numFmtId="0" fontId="0" fillId="4" borderId="142" xfId="0" applyFill="1" applyBorder="1"/>
    <xf numFmtId="0" fontId="0" fillId="3" borderId="0" xfId="0" applyFill="1"/>
    <xf numFmtId="0" fontId="12" fillId="0" borderId="0" xfId="0" applyFont="1" applyAlignment="1">
      <alignment horizontal="center"/>
    </xf>
    <xf numFmtId="0" fontId="13" fillId="7" borderId="15" xfId="0" applyFont="1" applyFill="1" applyBorder="1" applyAlignment="1">
      <alignment horizontal="center"/>
    </xf>
    <xf numFmtId="0" fontId="12" fillId="4" borderId="48" xfId="0" applyFont="1" applyFill="1" applyBorder="1" applyAlignment="1">
      <alignment horizontal="center"/>
    </xf>
    <xf numFmtId="0" fontId="12" fillId="4" borderId="27" xfId="0" applyFont="1" applyFill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2" fillId="0" borderId="95" xfId="0" applyFont="1" applyBorder="1" applyAlignment="1">
      <alignment horizontal="center"/>
    </xf>
    <xf numFmtId="165" fontId="14" fillId="0" borderId="143" xfId="0" applyNumberFormat="1" applyFont="1" applyBorder="1" applyAlignment="1">
      <alignment horizontal="center"/>
    </xf>
    <xf numFmtId="0" fontId="12" fillId="6" borderId="27" xfId="0" applyFont="1" applyFill="1" applyBorder="1" applyAlignment="1">
      <alignment horizontal="center"/>
    </xf>
    <xf numFmtId="3" fontId="12" fillId="0" borderId="143" xfId="0" applyNumberFormat="1" applyFont="1" applyBorder="1" applyAlignment="1">
      <alignment horizontal="center"/>
    </xf>
    <xf numFmtId="0" fontId="12" fillId="0" borderId="102" xfId="0" applyFont="1" applyBorder="1" applyAlignment="1">
      <alignment horizontal="center"/>
    </xf>
    <xf numFmtId="0" fontId="12" fillId="4" borderId="143" xfId="0" applyFont="1" applyFill="1" applyBorder="1" applyAlignment="1">
      <alignment horizontal="center"/>
    </xf>
    <xf numFmtId="3" fontId="12" fillId="0" borderId="61" xfId="0" applyNumberFormat="1" applyFont="1" applyBorder="1" applyAlignment="1">
      <alignment horizontal="center"/>
    </xf>
    <xf numFmtId="1" fontId="12" fillId="0" borderId="61" xfId="0" applyNumberFormat="1" applyFont="1" applyBorder="1" applyAlignment="1">
      <alignment horizontal="center"/>
    </xf>
    <xf numFmtId="0" fontId="12" fillId="0" borderId="70" xfId="0" applyFont="1" applyBorder="1" applyAlignment="1">
      <alignment horizontal="center"/>
    </xf>
    <xf numFmtId="165" fontId="14" fillId="0" borderId="61" xfId="0" applyNumberFormat="1" applyFont="1" applyBorder="1" applyAlignment="1">
      <alignment horizontal="center"/>
    </xf>
    <xf numFmtId="0" fontId="13" fillId="6" borderId="27" xfId="0" applyFont="1" applyFill="1" applyBorder="1" applyAlignment="1">
      <alignment horizontal="center"/>
    </xf>
    <xf numFmtId="3" fontId="14" fillId="0" borderId="14" xfId="0" applyNumberFormat="1" applyFont="1" applyBorder="1" applyAlignment="1">
      <alignment horizontal="center"/>
    </xf>
    <xf numFmtId="1" fontId="14" fillId="0" borderId="27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3" fontId="12" fillId="0" borderId="99" xfId="0" applyNumberFormat="1" applyFont="1" applyBorder="1" applyAlignment="1">
      <alignment horizontal="center"/>
    </xf>
    <xf numFmtId="0" fontId="12" fillId="6" borderId="23" xfId="0" applyFont="1" applyFill="1" applyBorder="1" applyAlignment="1">
      <alignment horizontal="center"/>
    </xf>
    <xf numFmtId="3" fontId="12" fillId="0" borderId="144" xfId="0" applyNumberFormat="1" applyFont="1" applyBorder="1" applyAlignment="1">
      <alignment horizontal="center"/>
    </xf>
    <xf numFmtId="1" fontId="12" fillId="0" borderId="79" xfId="0" applyNumberFormat="1" applyFont="1" applyBorder="1" applyAlignment="1">
      <alignment horizontal="center"/>
    </xf>
    <xf numFmtId="3" fontId="14" fillId="0" borderId="32" xfId="0" applyNumberFormat="1" applyFont="1" applyBorder="1" applyAlignment="1">
      <alignment horizontal="center"/>
    </xf>
    <xf numFmtId="3" fontId="14" fillId="0" borderId="27" xfId="0" applyNumberFormat="1" applyFont="1" applyBorder="1" applyAlignment="1">
      <alignment horizontal="center"/>
    </xf>
    <xf numFmtId="0" fontId="2" fillId="0" borderId="27" xfId="0" applyFont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2" borderId="145" xfId="0" applyFont="1" applyFill="1" applyBorder="1" applyAlignment="1">
      <alignment horizontal="center"/>
    </xf>
    <xf numFmtId="3" fontId="8" fillId="0" borderId="51" xfId="0" applyNumberFormat="1" applyFont="1" applyBorder="1" applyAlignment="1">
      <alignment horizontal="center"/>
    </xf>
    <xf numFmtId="165" fontId="6" fillId="0" borderId="29" xfId="0" applyNumberFormat="1" applyFont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164" fontId="0" fillId="0" borderId="146" xfId="1" applyNumberFormat="1" applyFont="1" applyBorder="1" applyAlignment="1">
      <alignment horizontal="center"/>
    </xf>
    <xf numFmtId="164" fontId="0" fillId="0" borderId="105" xfId="1" applyNumberFormat="1" applyFont="1" applyBorder="1" applyAlignment="1">
      <alignment horizontal="center"/>
    </xf>
    <xf numFmtId="164" fontId="0" fillId="0" borderId="147" xfId="1" applyNumberFormat="1" applyFont="1" applyBorder="1" applyAlignment="1">
      <alignment horizontal="center"/>
    </xf>
    <xf numFmtId="164" fontId="0" fillId="0" borderId="102" xfId="1" applyNumberFormat="1" applyFont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83" xfId="0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7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2" fontId="7" fillId="2" borderId="121" xfId="0" applyNumberFormat="1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164" fontId="2" fillId="8" borderId="19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14" fontId="0" fillId="0" borderId="0" xfId="0" applyNumberFormat="1"/>
    <xf numFmtId="164" fontId="0" fillId="0" borderId="0" xfId="1" applyNumberFormat="1" applyFont="1"/>
    <xf numFmtId="168" fontId="8" fillId="0" borderId="67" xfId="1" applyNumberFormat="1" applyFont="1" applyBorder="1" applyAlignment="1">
      <alignment horizontal="center"/>
    </xf>
    <xf numFmtId="10" fontId="6" fillId="0" borderId="33" xfId="0" applyNumberFormat="1" applyFont="1" applyBorder="1" applyAlignment="1">
      <alignment horizontal="center"/>
    </xf>
    <xf numFmtId="167" fontId="0" fillId="0" borderId="0" xfId="2" applyNumberFormat="1" applyFont="1" applyFill="1"/>
    <xf numFmtId="167" fontId="0" fillId="9" borderId="0" xfId="2" applyNumberFormat="1" applyFont="1" applyFill="1"/>
    <xf numFmtId="169" fontId="0" fillId="0" borderId="0" xfId="2" applyNumberFormat="1" applyFont="1"/>
    <xf numFmtId="0" fontId="0" fillId="9" borderId="0" xfId="0" applyFill="1"/>
    <xf numFmtId="43" fontId="0" fillId="9" borderId="0" xfId="0" applyNumberFormat="1" applyFill="1"/>
    <xf numFmtId="164" fontId="0" fillId="9" borderId="0" xfId="1" applyNumberFormat="1" applyFont="1" applyFill="1"/>
    <xf numFmtId="0" fontId="2" fillId="0" borderId="0" xfId="0" applyFont="1" applyFill="1" applyAlignment="1">
      <alignment horizontal="center" wrapText="1"/>
    </xf>
    <xf numFmtId="0" fontId="0" fillId="0" borderId="0" xfId="0" applyFill="1"/>
    <xf numFmtId="0" fontId="0" fillId="10" borderId="0" xfId="0" applyFill="1"/>
    <xf numFmtId="164" fontId="0" fillId="10" borderId="0" xfId="1" applyNumberFormat="1" applyFont="1" applyFill="1"/>
    <xf numFmtId="0" fontId="0" fillId="0" borderId="0" xfId="0" pivotButton="1"/>
    <xf numFmtId="3" fontId="0" fillId="0" borderId="0" xfId="0" applyNumberFormat="1"/>
    <xf numFmtId="167" fontId="0" fillId="0" borderId="0" xfId="0" applyNumberFormat="1"/>
    <xf numFmtId="170" fontId="0" fillId="0" borderId="0" xfId="0" applyNumberFormat="1"/>
    <xf numFmtId="0" fontId="0" fillId="0" borderId="0" xfId="0" applyAlignment="1">
      <alignment horizontal="left"/>
    </xf>
    <xf numFmtId="0" fontId="7" fillId="2" borderId="55" xfId="0" applyFont="1" applyFill="1" applyBorder="1" applyAlignment="1">
      <alignment horizontal="center"/>
    </xf>
    <xf numFmtId="164" fontId="0" fillId="0" borderId="0" xfId="0" applyNumberFormat="1"/>
    <xf numFmtId="9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left"/>
    </xf>
    <xf numFmtId="3" fontId="0" fillId="10" borderId="0" xfId="0" applyNumberFormat="1" applyFill="1"/>
    <xf numFmtId="0" fontId="7" fillId="2" borderId="155" xfId="0" applyFont="1" applyFill="1" applyBorder="1" applyAlignment="1">
      <alignment horizontal="center"/>
    </xf>
    <xf numFmtId="0" fontId="7" fillId="2" borderId="55" xfId="0" quotePrefix="1" applyFont="1" applyFill="1" applyBorder="1" applyAlignment="1">
      <alignment horizontal="center"/>
    </xf>
    <xf numFmtId="171" fontId="0" fillId="0" borderId="0" xfId="0" applyNumberFormat="1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indent="1"/>
    </xf>
    <xf numFmtId="0" fontId="2" fillId="2" borderId="99" xfId="0" applyFont="1" applyFill="1" applyBorder="1" applyAlignment="1">
      <alignment horizontal="center" vertical="center" wrapText="1"/>
    </xf>
    <xf numFmtId="0" fontId="2" fillId="2" borderId="101" xfId="0" applyFont="1" applyFill="1" applyBorder="1" applyAlignment="1">
      <alignment horizontal="center" vertical="center" wrapText="1"/>
    </xf>
    <xf numFmtId="0" fontId="2" fillId="2" borderId="99" xfId="0" applyFont="1" applyFill="1" applyBorder="1" applyAlignment="1">
      <alignment horizontal="center" vertical="center"/>
    </xf>
    <xf numFmtId="0" fontId="2" fillId="2" borderId="101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164" fontId="0" fillId="0" borderId="153" xfId="1" applyNumberFormat="1" applyFont="1" applyBorder="1" applyAlignment="1">
      <alignment horizontal="center"/>
    </xf>
    <xf numFmtId="164" fontId="0" fillId="0" borderId="154" xfId="1" applyNumberFormat="1" applyFont="1" applyBorder="1" applyAlignment="1">
      <alignment horizontal="center"/>
    </xf>
    <xf numFmtId="164" fontId="0" fillId="0" borderId="152" xfId="1" applyNumberFormat="1" applyFont="1" applyBorder="1" applyAlignment="1">
      <alignment horizontal="center"/>
    </xf>
    <xf numFmtId="164" fontId="0" fillId="0" borderId="57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8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2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3" xfId="0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78" xfId="0" applyFont="1" applyFill="1" applyBorder="1" applyAlignment="1">
      <alignment horizontal="center"/>
    </xf>
    <xf numFmtId="0" fontId="7" fillId="2" borderId="91" xfId="0" applyFont="1" applyFill="1" applyBorder="1" applyAlignment="1">
      <alignment horizontal="center"/>
    </xf>
    <xf numFmtId="0" fontId="7" fillId="2" borderId="149" xfId="0" applyFont="1" applyFill="1" applyBorder="1" applyAlignment="1">
      <alignment horizontal="center"/>
    </xf>
    <xf numFmtId="164" fontId="6" fillId="0" borderId="150" xfId="0" applyNumberFormat="1" applyFont="1" applyBorder="1" applyAlignment="1">
      <alignment horizontal="center"/>
    </xf>
    <xf numFmtId="164" fontId="6" fillId="0" borderId="151" xfId="0" applyNumberFormat="1" applyFont="1" applyBorder="1" applyAlignment="1">
      <alignment horizontal="center"/>
    </xf>
    <xf numFmtId="0" fontId="0" fillId="3" borderId="91" xfId="0" applyFont="1" applyFill="1" applyBorder="1" applyAlignment="1">
      <alignment horizontal="center"/>
    </xf>
    <xf numFmtId="0" fontId="0" fillId="3" borderId="117" xfId="0" applyFont="1" applyFill="1" applyBorder="1" applyAlignment="1">
      <alignment horizontal="center"/>
    </xf>
    <xf numFmtId="2" fontId="7" fillId="2" borderId="91" xfId="0" applyNumberFormat="1" applyFont="1" applyFill="1" applyBorder="1" applyAlignment="1">
      <alignment horizontal="center"/>
    </xf>
    <xf numFmtId="2" fontId="7" fillId="2" borderId="117" xfId="0" applyNumberFormat="1" applyFont="1" applyFill="1" applyBorder="1" applyAlignment="1">
      <alignment horizontal="center"/>
    </xf>
    <xf numFmtId="0" fontId="0" fillId="3" borderId="121" xfId="0" applyFont="1" applyFill="1" applyBorder="1" applyAlignment="1">
      <alignment horizontal="center"/>
    </xf>
    <xf numFmtId="0" fontId="2" fillId="2" borderId="87" xfId="0" applyFont="1" applyFill="1" applyBorder="1" applyAlignment="1">
      <alignment horizontal="center"/>
    </xf>
    <xf numFmtId="0" fontId="7" fillId="2" borderId="70" xfId="0" applyFont="1" applyFill="1" applyBorder="1" applyAlignment="1">
      <alignment horizontal="center"/>
    </xf>
    <xf numFmtId="0" fontId="7" fillId="2" borderId="59" xfId="0" applyFont="1" applyFill="1" applyBorder="1" applyAlignment="1">
      <alignment horizontal="center"/>
    </xf>
    <xf numFmtId="0" fontId="0" fillId="0" borderId="70" xfId="0" applyFont="1" applyBorder="1" applyAlignment="1">
      <alignment horizontal="center"/>
    </xf>
    <xf numFmtId="0" fontId="0" fillId="0" borderId="59" xfId="0" applyFont="1" applyBorder="1" applyAlignment="1">
      <alignment horizontal="center"/>
    </xf>
    <xf numFmtId="2" fontId="7" fillId="3" borderId="91" xfId="0" applyNumberFormat="1" applyFont="1" applyFill="1" applyBorder="1" applyAlignment="1">
      <alignment horizontal="center"/>
    </xf>
    <xf numFmtId="2" fontId="7" fillId="3" borderId="149" xfId="0" applyNumberFormat="1" applyFont="1" applyFill="1" applyBorder="1" applyAlignment="1">
      <alignment horizontal="center"/>
    </xf>
    <xf numFmtId="0" fontId="11" fillId="6" borderId="15" xfId="0" applyFont="1" applyFill="1" applyBorder="1" applyAlignment="1">
      <alignment horizontal="center"/>
    </xf>
    <xf numFmtId="0" fontId="11" fillId="6" borderId="32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0" fillId="0" borderId="101" xfId="0" applyFont="1" applyBorder="1" applyAlignment="1">
      <alignment horizontal="center"/>
    </xf>
    <xf numFmtId="0" fontId="0" fillId="0" borderId="125" xfId="0" applyFont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2" fillId="2" borderId="99" xfId="0" applyFont="1" applyFill="1" applyBorder="1" applyAlignment="1">
      <alignment horizontal="center"/>
    </xf>
    <xf numFmtId="0" fontId="2" fillId="2" borderId="101" xfId="0" applyFont="1" applyFill="1" applyBorder="1" applyAlignment="1">
      <alignment horizontal="center"/>
    </xf>
    <xf numFmtId="0" fontId="2" fillId="2" borderId="125" xfId="0" applyFont="1" applyFill="1" applyBorder="1" applyAlignment="1">
      <alignment horizontal="center"/>
    </xf>
    <xf numFmtId="0" fontId="7" fillId="3" borderId="70" xfId="0" applyFont="1" applyFill="1" applyBorder="1" applyAlignment="1">
      <alignment horizontal="center"/>
    </xf>
    <xf numFmtId="0" fontId="7" fillId="3" borderId="73" xfId="0" applyFont="1" applyFill="1" applyBorder="1" applyAlignment="1">
      <alignment horizontal="center"/>
    </xf>
    <xf numFmtId="0" fontId="0" fillId="0" borderId="121" xfId="0" applyFont="1" applyBorder="1" applyAlignment="1">
      <alignment horizontal="center"/>
    </xf>
    <xf numFmtId="0" fontId="0" fillId="0" borderId="134" xfId="0" applyFont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0" fillId="0" borderId="126" xfId="0" applyFont="1" applyBorder="1" applyAlignment="1">
      <alignment horizontal="left"/>
    </xf>
    <xf numFmtId="0" fontId="0" fillId="0" borderId="127" xfId="0" applyFont="1" applyBorder="1" applyAlignment="1">
      <alignment horizontal="left"/>
    </xf>
    <xf numFmtId="0" fontId="0" fillId="0" borderId="128" xfId="0" applyFont="1" applyBorder="1" applyAlignment="1">
      <alignment horizontal="left"/>
    </xf>
    <xf numFmtId="0" fontId="0" fillId="0" borderId="129" xfId="0" applyFont="1" applyBorder="1" applyAlignment="1">
      <alignment horizontal="left"/>
    </xf>
    <xf numFmtId="0" fontId="0" fillId="0" borderId="130" xfId="0" applyFont="1" applyBorder="1" applyAlignment="1">
      <alignment horizontal="left"/>
    </xf>
    <xf numFmtId="0" fontId="0" fillId="0" borderId="131" xfId="0" applyFont="1" applyBorder="1" applyAlignment="1">
      <alignment horizontal="left"/>
    </xf>
    <xf numFmtId="0" fontId="0" fillId="0" borderId="41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30" xfId="0" applyFont="1" applyBorder="1" applyAlignment="1">
      <alignment horizontal="left"/>
    </xf>
    <xf numFmtId="0" fontId="0" fillId="0" borderId="127" xfId="0" applyFont="1" applyBorder="1" applyAlignment="1">
      <alignment horizontal="center"/>
    </xf>
    <xf numFmtId="0" fontId="0" fillId="0" borderId="128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0" fillId="0" borderId="102" xfId="1" applyNumberFormat="1" applyFont="1" applyBorder="1" applyAlignment="1">
      <alignment horizontal="center"/>
    </xf>
    <xf numFmtId="164" fontId="0" fillId="0" borderId="70" xfId="1" applyNumberFormat="1" applyFont="1" applyBorder="1" applyAlignment="1">
      <alignment horizontal="center"/>
    </xf>
    <xf numFmtId="164" fontId="0" fillId="0" borderId="73" xfId="1" applyNumberFormat="1" applyFont="1" applyBorder="1" applyAlignment="1">
      <alignment horizontal="center"/>
    </xf>
    <xf numFmtId="164" fontId="6" fillId="0" borderId="148" xfId="0" applyNumberFormat="1" applyFont="1" applyBorder="1" applyAlignment="1">
      <alignment horizontal="center"/>
    </xf>
    <xf numFmtId="164" fontId="6" fillId="0" borderId="78" xfId="0" applyNumberFormat="1" applyFont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164" fontId="0" fillId="0" borderId="91" xfId="1" applyNumberFormat="1" applyFont="1" applyBorder="1" applyAlignment="1">
      <alignment horizontal="center"/>
    </xf>
    <xf numFmtId="164" fontId="0" fillId="0" borderId="149" xfId="1" applyNumberFormat="1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65"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numFmt numFmtId="170" formatCode="#,##0.0"/>
    </dxf>
    <dxf>
      <numFmt numFmtId="170" formatCode="#,##0.0"/>
    </dxf>
    <dxf>
      <alignment wrapText="1"/>
    </dxf>
    <dxf>
      <numFmt numFmtId="164" formatCode="0.0%"/>
    </dxf>
    <dxf>
      <alignment horizontal="center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general"/>
    </dxf>
    <dxf>
      <alignment horizontal="general"/>
    </dxf>
    <dxf>
      <alignment horizontal="center"/>
    </dxf>
    <dxf>
      <alignment horizontal="center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numFmt numFmtId="170" formatCode="#,##0.0"/>
    </dxf>
    <dxf>
      <numFmt numFmtId="170" formatCode="#,##0.0"/>
    </dxf>
    <dxf>
      <alignment wrapText="1"/>
    </dxf>
    <dxf>
      <numFmt numFmtId="164" formatCode="0.0%"/>
    </dxf>
    <dxf>
      <alignment horizontal="center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general"/>
    </dxf>
    <dxf>
      <alignment horizontal="general"/>
    </dxf>
    <dxf>
      <alignment horizontal="center"/>
    </dxf>
    <dxf>
      <alignment horizontal="center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wrapText="1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general"/>
    </dxf>
    <dxf>
      <alignment horizontal="general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center"/>
    </dxf>
    <dxf>
      <numFmt numFmtId="164" formatCode="0.0%"/>
    </dxf>
    <dxf>
      <alignment wrapText="1"/>
    </dxf>
    <dxf>
      <numFmt numFmtId="170" formatCode="#,##0.0"/>
    </dxf>
    <dxf>
      <numFmt numFmtId="170" formatCode="#,##0.0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colors>
    <mruColors>
      <color rgb="FFCC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1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aig Johnson" refreshedDate="42940.699195833331" createdVersion="6" refreshedVersion="6" minRefreshableVersion="3" recordCount="65" xr:uid="{00000000-000A-0000-FFFF-FFFF00000000}">
  <cacheSource type="worksheet">
    <worksheetSource ref="A3:P68" sheet="100TCarrier"/>
  </cacheSource>
  <cacheFields count="22">
    <cacheField name="Date" numFmtId="14">
      <sharedItems containsSemiMixedTypes="0" containsNonDate="0" containsDate="1" containsString="0" minDate="2017-06-01T00:00:00" maxDate="2017-07-01T00:00:00" count="30"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</sharedItems>
    </cacheField>
    <cacheField name="Shift" numFmtId="0">
      <sharedItems containsString="0" containsBlank="1" containsNumber="1" containsInteger="1" minValue="1" maxValue="2"/>
    </cacheField>
    <cacheField name="Machine" numFmtId="0">
      <sharedItems containsBlank="1" count="2">
        <s v="100Carrier"/>
        <m/>
      </sharedItems>
    </cacheField>
    <cacheField name="Product" numFmtId="0">
      <sharedItems containsBlank="1" count="3">
        <s v="40/70M"/>
        <s v="100M"/>
        <m/>
      </sharedItems>
    </cacheField>
    <cacheField name="Crew" numFmtId="0">
      <sharedItems containsBlank="1" count="12">
        <s v="Boone"/>
        <s v="Blakely"/>
        <s v="BMartinez"/>
        <s v="Lehrman"/>
        <s v="Wolf"/>
        <s v="Jackson"/>
        <m/>
        <s v="Huckeba"/>
        <s v="McCoy"/>
        <s v="Lmartinez"/>
        <s v="Markalonis"/>
        <s v="Shelton"/>
      </sharedItems>
    </cacheField>
    <cacheField name="Run Time (Mins)" numFmtId="0">
      <sharedItems containsString="0" containsBlank="1" containsNumber="1" minValue="45" maxValue="720"/>
    </cacheField>
    <cacheField name="Delay Time (Mins)" numFmtId="0">
      <sharedItems containsString="0" containsBlank="1" containsNumber="1" minValue="0" maxValue="675"/>
    </cacheField>
    <cacheField name="Gross Time (Mins)" numFmtId="167">
      <sharedItems containsSemiMixedTypes="0" containsString="0" containsNumber="1" minValue="0" maxValue="720"/>
    </cacheField>
    <cacheField name="Feeder Belt" numFmtId="167">
      <sharedItems/>
    </cacheField>
    <cacheField name="Moisture %" numFmtId="0">
      <sharedItems containsString="0" containsBlank="1" containsNumber="1" minValue="0" maxValue="8.3699999999999997E-2"/>
    </cacheField>
    <cacheField name="Gross Tons" numFmtId="0">
      <sharedItems containsString="0" containsBlank="1" containsNumber="1" containsInteger="1" minValue="45" maxValue="1144"/>
    </cacheField>
    <cacheField name="Net Tons" numFmtId="167">
      <sharedItems containsSemiMixedTypes="0" containsString="0" containsNumber="1" minValue="0" maxValue="1105.104"/>
    </cacheField>
    <cacheField name="Silo Tag" numFmtId="0">
      <sharedItems containsNonDate="0" containsString="0" containsBlank="1"/>
    </cacheField>
    <cacheField name="Speed (GTph)" numFmtId="167">
      <sharedItems containsMixedTypes="1" containsNumber="1" minValue="27.1" maxValue="178.5"/>
    </cacheField>
    <cacheField name="Net Tons per Gr hour" numFmtId="167">
      <sharedItems containsMixedTypes="1" containsNumber="1" minValue="3.75" maxValue="171.8955"/>
    </cacheField>
    <cacheField name="Delay %" numFmtId="164">
      <sharedItems containsMixedTypes="1" containsNumber="1" minValue="0" maxValue="0.9375"/>
    </cacheField>
    <cacheField name="Run Hours" numFmtId="0" formula="('Run Time (Mins)'/60)" databaseField="0"/>
    <cacheField name="Gross Hours" numFmtId="0" formula="('Gross Time (Mins)'/60)" databaseField="0"/>
    <cacheField name="Gross TPH" numFmtId="0" formula="('Gross Tons'/'Run Hours')" databaseField="0"/>
    <cacheField name="Net Tons/GrHr" numFmtId="0" formula="('Net Tons'/'Run Hours')" databaseField="0"/>
    <cacheField name="Yield %" numFmtId="0" formula="('Gross Tons'-'Net Tons')/'Gross Tons'" databaseField="0"/>
    <cacheField name=" Moisture %" numFmtId="0" formula="('Gross Tons'-'Net Tons')/'Net Ton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aig Johnson" refreshedDate="42975.631702777777" createdVersion="6" refreshedVersion="6" minRefreshableVersion="3" recordCount="129" xr:uid="{00000000-000A-0000-FFFF-FFFF02000000}">
  <cacheSource type="worksheet">
    <worksheetSource ref="A3:Y132" sheet="100TCarrier"/>
  </cacheSource>
  <cacheFields count="32">
    <cacheField name="Date" numFmtId="14">
      <sharedItems containsSemiMixedTypes="0" containsNonDate="0" containsDate="1" containsString="0" minDate="2017-06-01T00:00:00" maxDate="2017-08-01T00:00:00" count="61"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</sharedItems>
      <fieldGroup par="31" base="0">
        <rangePr groupBy="days" startDate="2017-06-01T00:00:00" endDate="2017-08-01T00:00:00"/>
        <groupItems count="368">
          <s v="&lt;6/1/2017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1/2017"/>
        </groupItems>
      </fieldGroup>
    </cacheField>
    <cacheField name="Shift" numFmtId="0">
      <sharedItems containsString="0" containsBlank="1" containsNumber="1" containsInteger="1" minValue="1" maxValue="2"/>
    </cacheField>
    <cacheField name="Machine" numFmtId="0">
      <sharedItems containsBlank="1" count="2">
        <s v="100Carrier"/>
        <m/>
      </sharedItems>
    </cacheField>
    <cacheField name="Product" numFmtId="0">
      <sharedItems containsBlank="1" count="3">
        <s v="40/70M"/>
        <s v="100M"/>
        <m/>
      </sharedItems>
    </cacheField>
    <cacheField name="Crew" numFmtId="0">
      <sharedItems containsBlank="1" count="13">
        <s v="Boone"/>
        <s v="Blakely"/>
        <s v="BMartinez"/>
        <s v="Lehrman"/>
        <s v="Wolf"/>
        <s v="Jackson"/>
        <m/>
        <s v="Huckeba"/>
        <s v="McCoy"/>
        <s v="Lmartinez"/>
        <s v="Markalonis"/>
        <s v="Shelton"/>
        <s v="Rmartinez"/>
      </sharedItems>
    </cacheField>
    <cacheField name="Run Time (Mins)" numFmtId="0">
      <sharedItems containsString="0" containsBlank="1" containsNumber="1" minValue="0" maxValue="720"/>
    </cacheField>
    <cacheField name="Delay Time (Mins)" numFmtId="0">
      <sharedItems containsString="0" containsBlank="1" containsNumber="1" minValue="0" maxValue="675"/>
    </cacheField>
    <cacheField name="Gross Time (Mins)" numFmtId="167">
      <sharedItems containsSemiMixedTypes="0" containsString="0" containsNumber="1" minValue="0" maxValue="720"/>
    </cacheField>
    <cacheField name="Feeder Belt" numFmtId="167">
      <sharedItems/>
    </cacheField>
    <cacheField name="Moisture %" numFmtId="0">
      <sharedItems containsString="0" containsBlank="1" containsNumber="1" minValue="0" maxValue="8.3699999999999997E-2"/>
    </cacheField>
    <cacheField name="Gross Tons" numFmtId="0">
      <sharedItems containsString="0" containsBlank="1" containsNumber="1" containsInteger="1" minValue="45" maxValue="1291"/>
    </cacheField>
    <cacheField name="Net Tons" numFmtId="167">
      <sharedItems containsSemiMixedTypes="0" containsString="0" containsNumber="1" minValue="0" maxValue="1241.942"/>
    </cacheField>
    <cacheField name="Silo Tag" numFmtId="0">
      <sharedItems containsNonDate="0" containsString="0" containsBlank="1"/>
    </cacheField>
    <cacheField name="Speed (GTph)" numFmtId="167">
      <sharedItems containsMixedTypes="1" containsNumber="1" minValue="27.1" maxValue="178.5"/>
    </cacheField>
    <cacheField name="Net Tons per Gr hour" numFmtId="167">
      <sharedItems containsMixedTypes="1" containsNumber="1" minValue="3.75" maxValue="171.8955"/>
    </cacheField>
    <cacheField name="Delay %" numFmtId="164">
      <sharedItems containsMixedTypes="1" containsNumber="1" minValue="0" maxValue="0.9375"/>
    </cacheField>
    <cacheField name="(+70)" numFmtId="164">
      <sharedItems containsSemiMixedTypes="0" containsString="0" containsNumber="1" minValue="0" maxValue="0.95524999999999993"/>
    </cacheField>
    <cacheField name="(-40+70)" numFmtId="164">
      <sharedItems containsSemiMixedTypes="0" containsString="0" containsNumber="1" minValue="0" maxValue="0.88099999999999989"/>
    </cacheField>
    <cacheField name="(-70)" numFmtId="164">
      <sharedItems containsSemiMixedTypes="0" containsString="0" containsNumber="1" minValue="0" maxValue="0.24024999999999999"/>
    </cacheField>
    <cacheField name="70 " numFmtId="164">
      <sharedItems containsSemiMixedTypes="0" containsString="0" containsNumber="1" minValue="0" maxValue="0.44146666666666662"/>
    </cacheField>
    <cacheField name="-140 " numFmtId="164">
      <sharedItems containsSemiMixedTypes="0" containsString="0" containsNumber="1" minValue="0" maxValue="0.93374999999999997"/>
    </cacheField>
    <cacheField name=" '(-40+70) " numFmtId="164">
      <sharedItems containsSemiMixedTypes="0" containsString="0" containsNumber="1" minValue="0" maxValue="0.95"/>
    </cacheField>
    <cacheField name="(+70) " numFmtId="164">
      <sharedItems containsSemiMixedTypes="0" containsString="0" containsNumber="1" minValue="0" maxValue="0.91302499999999998"/>
    </cacheField>
    <cacheField name="(-140)  " numFmtId="0">
      <sharedItems containsString="0" containsBlank="1" containsNumber="1" minValue="0" maxValue="0.3793333333333333"/>
    </cacheField>
    <cacheField name="Month" numFmtId="0">
      <sharedItems containsSemiMixedTypes="0" containsString="0" containsNumber="1" containsInteger="1" minValue="6" maxValue="7" count="2">
        <n v="6"/>
        <n v="7"/>
      </sharedItems>
    </cacheField>
    <cacheField name="Gross Hrs" numFmtId="0" formula="('Gross Time (Mins)'/60)" databaseField="0"/>
    <cacheField name="Run Hrs" numFmtId="0" formula="('Run Time (Mins)'/60)" databaseField="0"/>
    <cacheField name="Gross TOns / Gross Hr" numFmtId="0" formula="('Gross Tons'/'Gross Hrs')" databaseField="0"/>
    <cacheField name="Net Tons / GrHr" numFmtId="0" formula="('Net Tons'/'Gross Hrs')" databaseField="0"/>
    <cacheField name="Moisture%" numFmtId="0" formula="(('Gross Tons'-'Net Tons')/'Gross Tons')" databaseField="0"/>
    <cacheField name="Gross Tons / NetHr" numFmtId="0" formula="('Gross Tons'/'Run Hrs')" databaseField="0"/>
    <cacheField name="Months" numFmtId="0" databaseField="0">
      <fieldGroup base="0">
        <rangePr groupBy="months" startDate="2017-06-01T00:00:00" endDate="2017-08-01T00:00:00"/>
        <groupItems count="14">
          <s v="&lt;6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1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">
  <r>
    <x v="0"/>
    <n v="1"/>
    <x v="0"/>
    <x v="0"/>
    <x v="0"/>
    <n v="720"/>
    <n v="0"/>
    <n v="720"/>
    <s v="BC100"/>
    <n v="4.1500000000000002E-2"/>
    <n v="1143"/>
    <n v="1095.5654999999999"/>
    <m/>
    <n v="95.25"/>
    <n v="91.297124999999994"/>
    <n v="0"/>
  </r>
  <r>
    <x v="0"/>
    <n v="2"/>
    <x v="0"/>
    <x v="0"/>
    <x v="1"/>
    <n v="720"/>
    <n v="0"/>
    <n v="720"/>
    <s v="BC100"/>
    <n v="4.7E-2"/>
    <n v="1040"/>
    <n v="991.12"/>
    <m/>
    <n v="86.666666666666671"/>
    <n v="82.593333333333334"/>
    <n v="0"/>
  </r>
  <r>
    <x v="1"/>
    <n v="1"/>
    <x v="0"/>
    <x v="0"/>
    <x v="0"/>
    <n v="426"/>
    <n v="294"/>
    <n v="720"/>
    <s v="BC100"/>
    <n v="5.67E-2"/>
    <n v="642"/>
    <n v="605.59860000000003"/>
    <m/>
    <n v="90.422535211267615"/>
    <n v="50.466550000000005"/>
    <n v="0.40833333333333333"/>
  </r>
  <r>
    <x v="1"/>
    <n v="2"/>
    <x v="0"/>
    <x v="0"/>
    <x v="2"/>
    <n v="585"/>
    <n v="135"/>
    <n v="720"/>
    <s v="BC100"/>
    <n v="5.6500000000000002E-2"/>
    <n v="875"/>
    <n v="825.5625"/>
    <m/>
    <n v="89.743589743589737"/>
    <n v="68.796875"/>
    <n v="0.1875"/>
  </r>
  <r>
    <x v="2"/>
    <n v="1"/>
    <x v="0"/>
    <x v="0"/>
    <x v="0"/>
    <n v="681"/>
    <n v="39"/>
    <n v="720"/>
    <s v="BC100"/>
    <n v="5.5500000000000001E-2"/>
    <n v="817"/>
    <n v="771.65650000000005"/>
    <m/>
    <n v="71.982378854625551"/>
    <n v="64.304708333333338"/>
    <n v="5.4166666666666669E-2"/>
  </r>
  <r>
    <x v="2"/>
    <n v="2"/>
    <x v="0"/>
    <x v="0"/>
    <x v="2"/>
    <n v="720"/>
    <n v="0"/>
    <n v="720"/>
    <s v="BC100"/>
    <n v="0.05"/>
    <n v="900"/>
    <n v="855"/>
    <m/>
    <n v="75"/>
    <n v="71.25"/>
    <n v="0"/>
  </r>
  <r>
    <x v="3"/>
    <n v="1"/>
    <x v="0"/>
    <x v="0"/>
    <x v="0"/>
    <n v="720"/>
    <n v="0"/>
    <n v="720"/>
    <s v="BC100"/>
    <n v="4.8000000000000001E-2"/>
    <n v="870"/>
    <n v="828.24"/>
    <m/>
    <n v="72.5"/>
    <n v="69.02"/>
    <n v="0"/>
  </r>
  <r>
    <x v="3"/>
    <n v="2"/>
    <x v="0"/>
    <x v="0"/>
    <x v="2"/>
    <n v="714"/>
    <n v="6"/>
    <n v="720"/>
    <s v="BC100"/>
    <n v="4.4999999999999998E-2"/>
    <n v="1035"/>
    <n v="988.42499999999995"/>
    <m/>
    <n v="86.974789915966383"/>
    <n v="82.368749999999991"/>
    <n v="8.3333333333333332E-3"/>
  </r>
  <r>
    <x v="4"/>
    <n v="1"/>
    <x v="0"/>
    <x v="0"/>
    <x v="0"/>
    <n v="720"/>
    <n v="0"/>
    <n v="720"/>
    <s v="BC100"/>
    <n v="4.8000000000000001E-2"/>
    <n v="870"/>
    <n v="828.24"/>
    <m/>
    <n v="72.5"/>
    <n v="69.02"/>
    <n v="0"/>
  </r>
  <r>
    <x v="4"/>
    <n v="2"/>
    <x v="0"/>
    <x v="0"/>
    <x v="2"/>
    <n v="606"/>
    <n v="114"/>
    <n v="720"/>
    <s v="BC100"/>
    <n v="4.3999999999999997E-2"/>
    <n v="889"/>
    <n v="849.88400000000001"/>
    <m/>
    <n v="88.019801980198025"/>
    <n v="70.823666666666668"/>
    <n v="0.15833333333333333"/>
  </r>
  <r>
    <x v="5"/>
    <n v="1"/>
    <x v="0"/>
    <x v="0"/>
    <x v="0"/>
    <n v="720"/>
    <n v="0"/>
    <n v="720"/>
    <s v="BC100"/>
    <n v="4.6199999999999998E-2"/>
    <n v="1051"/>
    <n v="1002.4438"/>
    <m/>
    <n v="87.583333333333329"/>
    <n v="83.536983333333339"/>
    <n v="0"/>
  </r>
  <r>
    <x v="5"/>
    <n v="2"/>
    <x v="0"/>
    <x v="0"/>
    <x v="2"/>
    <n v="660"/>
    <n v="60"/>
    <n v="720"/>
    <s v="BC100"/>
    <n v="4.7500000000000001E-2"/>
    <n v="828"/>
    <n v="788.67"/>
    <m/>
    <n v="75.272727272727266"/>
    <n v="65.722499999999997"/>
    <n v="8.3333333333333329E-2"/>
  </r>
  <r>
    <x v="6"/>
    <n v="1"/>
    <x v="0"/>
    <x v="0"/>
    <x v="3"/>
    <n v="75"/>
    <n v="0"/>
    <n v="75"/>
    <s v="BC100"/>
    <n v="5.0999999999999997E-2"/>
    <n v="121"/>
    <n v="114.82899999999999"/>
    <m/>
    <n v="96.8"/>
    <n v="91.863199999999992"/>
    <n v="0"/>
  </r>
  <r>
    <x v="6"/>
    <n v="1"/>
    <x v="0"/>
    <x v="1"/>
    <x v="3"/>
    <n v="556.79999999999995"/>
    <n v="88.2"/>
    <n v="645"/>
    <s v="BC100"/>
    <n v="4.7E-2"/>
    <n v="921"/>
    <n v="877.71299999999997"/>
    <m/>
    <n v="99.245689655172427"/>
    <n v="81.647720930232552"/>
    <n v="0.13674418604651165"/>
  </r>
  <r>
    <x v="6"/>
    <n v="2"/>
    <x v="0"/>
    <x v="1"/>
    <x v="4"/>
    <n v="600"/>
    <n v="120"/>
    <n v="720"/>
    <s v="BC100"/>
    <n v="7.0000000000000007E-2"/>
    <n v="710"/>
    <n v="660.3"/>
    <m/>
    <n v="71"/>
    <n v="55.024999999999999"/>
    <n v="0.16666666666666666"/>
  </r>
  <r>
    <x v="7"/>
    <n v="1"/>
    <x v="0"/>
    <x v="1"/>
    <x v="3"/>
    <n v="540"/>
    <n v="180"/>
    <n v="720"/>
    <s v="BC100"/>
    <n v="7.5999999999999998E-2"/>
    <n v="600"/>
    <n v="554.4"/>
    <m/>
    <n v="66.666666666666671"/>
    <n v="46.199999999999996"/>
    <n v="0.25"/>
  </r>
  <r>
    <x v="7"/>
    <n v="2"/>
    <x v="0"/>
    <x v="1"/>
    <x v="5"/>
    <n v="678"/>
    <n v="42"/>
    <n v="720"/>
    <s v="BC100"/>
    <n v="8.3699999999999997E-2"/>
    <n v="762"/>
    <n v="698.22059999999999"/>
    <m/>
    <n v="67.43362831858407"/>
    <n v="58.185049999999997"/>
    <n v="5.8333333333333334E-2"/>
  </r>
  <r>
    <x v="8"/>
    <n v="1"/>
    <x v="0"/>
    <x v="0"/>
    <x v="3"/>
    <n v="528"/>
    <n v="192"/>
    <n v="720"/>
    <s v="BC100"/>
    <n v="5.8000000000000003E-2"/>
    <n v="655"/>
    <n v="617.01"/>
    <m/>
    <n v="74.431818181818173"/>
    <n v="51.417499999999997"/>
    <n v="0.26666666666666666"/>
  </r>
  <r>
    <x v="8"/>
    <n v="2"/>
    <x v="0"/>
    <x v="1"/>
    <x v="5"/>
    <n v="660"/>
    <n v="60"/>
    <n v="720"/>
    <s v="BC100"/>
    <n v="7.3999999999999996E-2"/>
    <n v="800"/>
    <n v="740.80000000000007"/>
    <m/>
    <n v="72.727272727272734"/>
    <n v="61.733333333333341"/>
    <n v="8.3333333333333329E-2"/>
  </r>
  <r>
    <x v="9"/>
    <n v="1"/>
    <x v="0"/>
    <x v="1"/>
    <x v="3"/>
    <n v="642"/>
    <n v="78"/>
    <n v="720"/>
    <s v="BC100"/>
    <n v="5.8000000000000003E-2"/>
    <n v="914"/>
    <n v="860.98799999999994"/>
    <m/>
    <n v="85.420560747663558"/>
    <n v="71.748999999999995"/>
    <n v="0.10833333333333334"/>
  </r>
  <r>
    <x v="9"/>
    <n v="2"/>
    <x v="0"/>
    <x v="1"/>
    <x v="5"/>
    <n v="720"/>
    <n v="0"/>
    <n v="720"/>
    <s v="BC100"/>
    <n v="7.0000000000000007E-2"/>
    <n v="1066"/>
    <n v="991.37999999999988"/>
    <m/>
    <n v="88.833333333333329"/>
    <n v="82.614999999999995"/>
    <n v="0"/>
  </r>
  <r>
    <x v="10"/>
    <n v="1"/>
    <x v="0"/>
    <x v="1"/>
    <x v="3"/>
    <n v="612"/>
    <n v="108"/>
    <n v="720"/>
    <s v="BC100"/>
    <n v="2.1999999999999999E-2"/>
    <n v="950"/>
    <n v="929.1"/>
    <m/>
    <n v="93.137254901960787"/>
    <n v="77.424999999999997"/>
    <n v="0.15"/>
  </r>
  <r>
    <x v="10"/>
    <n v="2"/>
    <x v="0"/>
    <x v="1"/>
    <x v="5"/>
    <n v="720"/>
    <n v="0"/>
    <n v="720"/>
    <s v="BC100"/>
    <n v="6.2E-2"/>
    <n v="1025"/>
    <n v="961.44999999999993"/>
    <m/>
    <n v="85.416666666666671"/>
    <n v="80.120833333333323"/>
    <n v="0"/>
  </r>
  <r>
    <x v="11"/>
    <n v="1"/>
    <x v="0"/>
    <x v="1"/>
    <x v="3"/>
    <n v="708"/>
    <n v="12"/>
    <n v="720"/>
    <s v="BC100"/>
    <n v="5.3999999999999999E-2"/>
    <n v="1109"/>
    <n v="1049.114"/>
    <m/>
    <n v="93.983050847457619"/>
    <n v="87.426166666666674"/>
    <n v="1.6666666666666666E-2"/>
  </r>
  <r>
    <x v="11"/>
    <n v="2"/>
    <x v="0"/>
    <x v="1"/>
    <x v="5"/>
    <n v="720"/>
    <n v="0"/>
    <n v="720"/>
    <s v="BC100"/>
    <n v="5.3999999999999999E-2"/>
    <n v="1052"/>
    <n v="995.19199999999989"/>
    <m/>
    <n v="87.666666666666671"/>
    <n v="82.932666666666663"/>
    <n v="0"/>
  </r>
  <r>
    <x v="12"/>
    <m/>
    <x v="1"/>
    <x v="2"/>
    <x v="6"/>
    <m/>
    <m/>
    <n v="0"/>
    <e v="#N/A"/>
    <n v="5.8999999999999997E-2"/>
    <m/>
    <n v="0"/>
    <m/>
    <e v="#DIV/0!"/>
    <e v="#DIV/0!"/>
    <e v="#DIV/0!"/>
  </r>
  <r>
    <x v="12"/>
    <n v="2"/>
    <x v="0"/>
    <x v="1"/>
    <x v="7"/>
    <n v="720"/>
    <n v="0"/>
    <n v="720"/>
    <s v="BC100"/>
    <n v="6.3E-2"/>
    <n v="972"/>
    <n v="910.76400000000001"/>
    <m/>
    <n v="81"/>
    <n v="75.897000000000006"/>
    <n v="0"/>
  </r>
  <r>
    <x v="13"/>
    <n v="1"/>
    <x v="0"/>
    <x v="1"/>
    <x v="3"/>
    <n v="630"/>
    <n v="90"/>
    <n v="720"/>
    <s v="BC100"/>
    <n v="6.5000000000000002E-2"/>
    <n v="830"/>
    <n v="776.05000000000007"/>
    <m/>
    <n v="79.047619047619051"/>
    <n v="64.670833333333334"/>
    <n v="0.125"/>
  </r>
  <r>
    <x v="13"/>
    <n v="2"/>
    <x v="0"/>
    <x v="0"/>
    <x v="5"/>
    <n v="150"/>
    <n v="0"/>
    <n v="150"/>
    <s v="BC100"/>
    <n v="0.04"/>
    <n v="200"/>
    <n v="192"/>
    <m/>
    <n v="80"/>
    <n v="76.8"/>
    <n v="0"/>
  </r>
  <r>
    <x v="13"/>
    <n v="2"/>
    <x v="0"/>
    <x v="1"/>
    <x v="5"/>
    <n v="570"/>
    <n v="0"/>
    <n v="570"/>
    <s v="BC100"/>
    <n v="8.1000000000000003E-2"/>
    <n v="457"/>
    <n v="419.983"/>
    <m/>
    <n v="48.10526315789474"/>
    <n v="44.20873684210526"/>
    <n v="0"/>
  </r>
  <r>
    <x v="14"/>
    <n v="1"/>
    <x v="0"/>
    <x v="0"/>
    <x v="8"/>
    <n v="720"/>
    <n v="0"/>
    <n v="720"/>
    <s v="BC100"/>
    <n v="3.5000000000000003E-2"/>
    <n v="1132"/>
    <n v="1092.3799999999999"/>
    <m/>
    <n v="94.333333333333329"/>
    <n v="91.031666666666652"/>
    <n v="0"/>
  </r>
  <r>
    <x v="14"/>
    <n v="2"/>
    <x v="0"/>
    <x v="1"/>
    <x v="2"/>
    <n v="720"/>
    <n v="0"/>
    <n v="720"/>
    <s v="BC100"/>
    <n v="3.7999999999999999E-2"/>
    <n v="1125"/>
    <n v="1082.25"/>
    <m/>
    <n v="93.75"/>
    <n v="90.1875"/>
    <n v="0"/>
  </r>
  <r>
    <x v="15"/>
    <n v="1"/>
    <x v="0"/>
    <x v="0"/>
    <x v="8"/>
    <n v="379.8"/>
    <n v="340.2"/>
    <n v="720"/>
    <s v="BC100"/>
    <n v="3.6999999999999998E-2"/>
    <n v="571"/>
    <n v="549.87299999999993"/>
    <m/>
    <n v="90.205371248025273"/>
    <n v="45.822749999999992"/>
    <n v="0.47249999999999998"/>
  </r>
  <r>
    <x v="15"/>
    <n v="2"/>
    <x v="0"/>
    <x v="1"/>
    <x v="2"/>
    <n v="720"/>
    <n v="0"/>
    <n v="720"/>
    <s v="BC100"/>
    <n v="3.6999999999999998E-2"/>
    <n v="925"/>
    <n v="890.77499999999998"/>
    <m/>
    <n v="77.083333333333329"/>
    <n v="74.231250000000003"/>
    <n v="0"/>
  </r>
  <r>
    <x v="16"/>
    <n v="1"/>
    <x v="0"/>
    <x v="1"/>
    <x v="0"/>
    <n v="684"/>
    <n v="36"/>
    <n v="720"/>
    <s v="BC100"/>
    <n v="0.03"/>
    <n v="1104"/>
    <n v="1070.8799999999999"/>
    <m/>
    <n v="96.84210526315789"/>
    <n v="89.24"/>
    <n v="0.05"/>
  </r>
  <r>
    <x v="16"/>
    <n v="2"/>
    <x v="0"/>
    <x v="1"/>
    <x v="2"/>
    <n v="720"/>
    <n v="0"/>
    <n v="720"/>
    <s v="BC100"/>
    <n v="6.2E-2"/>
    <n v="588"/>
    <n v="551.54399999999998"/>
    <m/>
    <n v="49"/>
    <n v="45.961999999999996"/>
    <n v="0"/>
  </r>
  <r>
    <x v="17"/>
    <n v="1"/>
    <x v="0"/>
    <x v="1"/>
    <x v="9"/>
    <n v="546.59999999999991"/>
    <n v="173.39999999999998"/>
    <n v="719.99999999999989"/>
    <s v="BC100"/>
    <n v="6.6000000000000003E-2"/>
    <n v="663"/>
    <n v="619.24199999999996"/>
    <m/>
    <n v="72.777167947310673"/>
    <n v="51.603500000000004"/>
    <n v="0.24083333333333334"/>
  </r>
  <r>
    <x v="17"/>
    <n v="2"/>
    <x v="0"/>
    <x v="1"/>
    <x v="2"/>
    <n v="720"/>
    <n v="0"/>
    <n v="720"/>
    <s v="BC100"/>
    <n v="5.8999999999999997E-2"/>
    <n v="1015"/>
    <n v="955.11500000000001"/>
    <m/>
    <n v="84.583333333333329"/>
    <n v="79.592916666666667"/>
    <n v="0"/>
  </r>
  <r>
    <x v="18"/>
    <n v="1"/>
    <x v="0"/>
    <x v="1"/>
    <x v="0"/>
    <n v="482.4"/>
    <n v="237.6"/>
    <n v="720"/>
    <s v="BC100"/>
    <n v="1.9E-2"/>
    <n v="742"/>
    <n v="727.90200000000004"/>
    <m/>
    <n v="92.28855721393036"/>
    <n v="60.658500000000004"/>
    <n v="0.33"/>
  </r>
  <r>
    <x v="18"/>
    <n v="2"/>
    <x v="0"/>
    <x v="1"/>
    <x v="1"/>
    <n v="720"/>
    <n v="0"/>
    <n v="720"/>
    <s v="BC100"/>
    <n v="6.0999999999999999E-2"/>
    <n v="965"/>
    <n v="906.1350000000001"/>
    <m/>
    <n v="80.416666666666671"/>
    <n v="75.511250000000004"/>
    <n v="0"/>
  </r>
  <r>
    <x v="19"/>
    <n v="1"/>
    <x v="0"/>
    <x v="0"/>
    <x v="0"/>
    <n v="180"/>
    <n v="0"/>
    <n v="180"/>
    <s v="BC100"/>
    <n v="3.3000000000000002E-2"/>
    <n v="120"/>
    <n v="116.03999999999999"/>
    <m/>
    <n v="40"/>
    <n v="38.68"/>
    <n v="0"/>
  </r>
  <r>
    <x v="19"/>
    <n v="1"/>
    <x v="0"/>
    <x v="1"/>
    <x v="0"/>
    <n v="498.00000000000006"/>
    <n v="42"/>
    <n v="540"/>
    <s v="BC100"/>
    <n v="0.05"/>
    <n v="850"/>
    <n v="807.5"/>
    <m/>
    <n v="102.40963855421685"/>
    <n v="89.722222222222229"/>
    <n v="7.7777777777777779E-2"/>
  </r>
  <r>
    <x v="19"/>
    <n v="2"/>
    <x v="0"/>
    <x v="0"/>
    <x v="1"/>
    <n v="720"/>
    <n v="0"/>
    <n v="720"/>
    <s v="BC100"/>
    <n v="3.4000000000000002E-2"/>
    <n v="1110"/>
    <n v="1072.26"/>
    <m/>
    <n v="92.5"/>
    <n v="89.355000000000004"/>
    <n v="0"/>
  </r>
  <r>
    <x v="20"/>
    <n v="1"/>
    <x v="0"/>
    <x v="0"/>
    <x v="0"/>
    <n v="720"/>
    <n v="0"/>
    <n v="720"/>
    <s v="BC100"/>
    <n v="3.6999999999999998E-2"/>
    <n v="1087"/>
    <n v="1046.7809999999999"/>
    <m/>
    <n v="90.583333333333329"/>
    <n v="87.231749999999991"/>
    <n v="0"/>
  </r>
  <r>
    <x v="20"/>
    <n v="2"/>
    <x v="0"/>
    <x v="0"/>
    <x v="10"/>
    <m/>
    <m/>
    <n v="0"/>
    <s v="BC100"/>
    <m/>
    <m/>
    <n v="0"/>
    <m/>
    <e v="#DIV/0!"/>
    <e v="#DIV/0!"/>
    <e v="#DIV/0!"/>
  </r>
  <r>
    <x v="21"/>
    <n v="1"/>
    <x v="0"/>
    <x v="0"/>
    <x v="3"/>
    <n v="675"/>
    <n v="45"/>
    <n v="720"/>
    <s v="BC100"/>
    <n v="3.3000000000000002E-2"/>
    <n v="1120"/>
    <n v="1083.04"/>
    <m/>
    <n v="99.555555555555557"/>
    <n v="90.25333333333333"/>
    <n v="6.25E-2"/>
  </r>
  <r>
    <x v="21"/>
    <n v="2"/>
    <x v="0"/>
    <x v="0"/>
    <x v="5"/>
    <n v="720"/>
    <n v="0"/>
    <n v="720"/>
    <s v="BC100"/>
    <n v="3.4000000000000002E-2"/>
    <n v="1144"/>
    <n v="1105.104"/>
    <m/>
    <n v="95.333333333333329"/>
    <n v="92.091999999999999"/>
    <n v="0"/>
  </r>
  <r>
    <x v="22"/>
    <n v="1"/>
    <x v="0"/>
    <x v="0"/>
    <x v="3"/>
    <n v="45"/>
    <n v="675"/>
    <n v="720"/>
    <s v="BC100"/>
    <n v="0"/>
    <n v="45"/>
    <n v="45"/>
    <m/>
    <n v="60"/>
    <n v="3.75"/>
    <n v="0.9375"/>
  </r>
  <r>
    <x v="22"/>
    <n v="2"/>
    <x v="0"/>
    <x v="0"/>
    <x v="5"/>
    <n v="660"/>
    <n v="60"/>
    <n v="720"/>
    <s v="BC100"/>
    <n v="4.2999999999999997E-2"/>
    <n v="980"/>
    <n v="937.86"/>
    <m/>
    <n v="89.090909090909093"/>
    <n v="78.155000000000001"/>
    <n v="8.3333333333333329E-2"/>
  </r>
  <r>
    <x v="23"/>
    <n v="1"/>
    <x v="0"/>
    <x v="0"/>
    <x v="3"/>
    <n v="210"/>
    <n v="0"/>
    <n v="210"/>
    <s v="BC100"/>
    <n v="4.2999999999999997E-2"/>
    <n v="310"/>
    <n v="296.67"/>
    <m/>
    <n v="88.571428571428569"/>
    <n v="84.762857142857143"/>
    <n v="0"/>
  </r>
  <r>
    <x v="23"/>
    <n v="1"/>
    <x v="0"/>
    <x v="1"/>
    <x v="3"/>
    <n v="510"/>
    <n v="0"/>
    <n v="510"/>
    <s v="BC100"/>
    <n v="6.5000000000000002E-2"/>
    <n v="900"/>
    <n v="841.5"/>
    <m/>
    <n v="105.88235294117646"/>
    <n v="99"/>
    <n v="0"/>
  </r>
  <r>
    <x v="23"/>
    <n v="2"/>
    <x v="0"/>
    <x v="1"/>
    <x v="5"/>
    <n v="720"/>
    <n v="0"/>
    <n v="720"/>
    <s v="BC100"/>
    <n v="7.2999999999999995E-2"/>
    <n v="828"/>
    <n v="767.55600000000004"/>
    <m/>
    <n v="69"/>
    <n v="63.963000000000001"/>
    <n v="0"/>
  </r>
  <r>
    <x v="24"/>
    <n v="1"/>
    <x v="0"/>
    <x v="0"/>
    <x v="3"/>
    <n v="720"/>
    <n v="0"/>
    <n v="720"/>
    <s v="BC100"/>
    <n v="6.2E-2"/>
    <n v="1019"/>
    <n v="955.82199999999989"/>
    <m/>
    <n v="84.916666666666671"/>
    <n v="79.651833333333329"/>
    <n v="0"/>
  </r>
  <r>
    <x v="24"/>
    <n v="2"/>
    <x v="0"/>
    <x v="1"/>
    <x v="5"/>
    <n v="720"/>
    <n v="0"/>
    <n v="720"/>
    <s v="BC100"/>
    <n v="6.3E-2"/>
    <n v="990"/>
    <n v="927.63000000000011"/>
    <m/>
    <n v="82.5"/>
    <n v="77.302500000000009"/>
    <n v="0"/>
  </r>
  <r>
    <x v="25"/>
    <n v="1"/>
    <x v="0"/>
    <x v="1"/>
    <x v="3"/>
    <n v="600"/>
    <n v="120"/>
    <n v="720"/>
    <s v="BC100"/>
    <n v="6.8000000000000005E-2"/>
    <n v="796"/>
    <n v="741.87199999999996"/>
    <m/>
    <n v="79.599999999999994"/>
    <n v="61.822666666666663"/>
    <n v="0.16666666666666666"/>
  </r>
  <r>
    <x v="25"/>
    <n v="2"/>
    <x v="0"/>
    <x v="1"/>
    <x v="5"/>
    <n v="720"/>
    <n v="0"/>
    <n v="720"/>
    <s v="BC100"/>
    <n v="6.6000000000000003E-2"/>
    <n v="910"/>
    <n v="849.93999999999994"/>
    <m/>
    <n v="75.833333333333329"/>
    <n v="70.828333333333333"/>
    <n v="0"/>
  </r>
  <r>
    <x v="26"/>
    <n v="1"/>
    <x v="0"/>
    <x v="1"/>
    <x v="11"/>
    <n v="720"/>
    <n v="0"/>
    <n v="720"/>
    <s v="BC100"/>
    <n v="6.0999999999999999E-2"/>
    <n v="1044"/>
    <n v="980.31600000000003"/>
    <m/>
    <n v="87"/>
    <n v="81.692999999999998"/>
    <n v="0"/>
  </r>
  <r>
    <x v="26"/>
    <n v="2"/>
    <x v="0"/>
    <x v="0"/>
    <x v="5"/>
    <n v="720"/>
    <n v="0"/>
    <n v="720"/>
    <s v="BC100"/>
    <n v="4.2000000000000003E-2"/>
    <n v="1080"/>
    <n v="1034.6399999999999"/>
    <m/>
    <n v="90"/>
    <n v="86.219999999999985"/>
    <n v="0"/>
  </r>
  <r>
    <x v="27"/>
    <n v="1"/>
    <x v="0"/>
    <x v="1"/>
    <x v="11"/>
    <n v="630"/>
    <n v="90"/>
    <n v="720"/>
    <s v="BC100"/>
    <n v="4.2000000000000003E-2"/>
    <n v="985"/>
    <n v="943.63"/>
    <m/>
    <n v="93.80952380952381"/>
    <n v="78.635833333333338"/>
    <n v="0.125"/>
  </r>
  <r>
    <x v="27"/>
    <n v="2"/>
    <x v="0"/>
    <x v="1"/>
    <x v="5"/>
    <n v="360"/>
    <n v="0"/>
    <n v="360"/>
    <s v="BC100"/>
    <n v="3.6999999999999998E-2"/>
    <n v="815"/>
    <n v="784.84500000000003"/>
    <m/>
    <n v="135.83333333333334"/>
    <n v="130.8075"/>
    <n v="0"/>
  </r>
  <r>
    <x v="27"/>
    <n v="2"/>
    <x v="0"/>
    <x v="0"/>
    <x v="5"/>
    <n v="360"/>
    <n v="0"/>
    <n v="360"/>
    <s v="BC100"/>
    <n v="3.6999999999999998E-2"/>
    <n v="1071"/>
    <n v="1031.373"/>
    <m/>
    <n v="178.5"/>
    <n v="171.8955"/>
    <n v="0"/>
  </r>
  <r>
    <x v="28"/>
    <n v="1"/>
    <x v="0"/>
    <x v="1"/>
    <x v="1"/>
    <n v="360"/>
    <n v="360"/>
    <n v="720"/>
    <s v="BC100"/>
    <n v="0"/>
    <n v="502"/>
    <n v="502"/>
    <m/>
    <n v="83.666666666666671"/>
    <n v="41.833333333333336"/>
    <n v="0.5"/>
  </r>
  <r>
    <x v="28"/>
    <n v="2"/>
    <x v="0"/>
    <x v="1"/>
    <x v="0"/>
    <n v="624"/>
    <n v="96"/>
    <n v="720"/>
    <s v="BC100"/>
    <n v="2.1999999999999999E-2"/>
    <n v="986"/>
    <n v="964.30799999999999"/>
    <m/>
    <n v="94.807692307692307"/>
    <n v="80.358999999999995"/>
    <n v="0.13333333333333333"/>
  </r>
  <r>
    <x v="29"/>
    <n v="1"/>
    <x v="0"/>
    <x v="1"/>
    <x v="10"/>
    <n v="720"/>
    <n v="0"/>
    <n v="720"/>
    <s v="BC100"/>
    <n v="5.5E-2"/>
    <n v="1052"/>
    <n v="994.14"/>
    <m/>
    <n v="87.666666666666671"/>
    <n v="82.844999999999999"/>
    <n v="0"/>
  </r>
  <r>
    <x v="29"/>
    <n v="2"/>
    <x v="0"/>
    <x v="0"/>
    <x v="0"/>
    <n v="600"/>
    <n v="120"/>
    <n v="720"/>
    <s v="BC100"/>
    <n v="0.06"/>
    <n v="271"/>
    <n v="254.73999999999998"/>
    <m/>
    <n v="27.1"/>
    <n v="21.228333333333332"/>
    <n v="0.1666666666666666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9">
  <r>
    <x v="0"/>
    <n v="1"/>
    <x v="0"/>
    <x v="0"/>
    <x v="0"/>
    <n v="720"/>
    <n v="0"/>
    <n v="720"/>
    <s v="BC100"/>
    <n v="4.1500000000000002E-2"/>
    <n v="1143"/>
    <n v="1095.5654999999999"/>
    <m/>
    <n v="95.25"/>
    <n v="91.297124999999994"/>
    <n v="0"/>
    <n v="0.91132500000000005"/>
    <n v="0.82817499999999999"/>
    <n v="7.5499999999999998E-2"/>
    <n v="0"/>
    <n v="0"/>
    <n v="0.92420000000000013"/>
    <n v="0"/>
    <n v="0"/>
    <x v="0"/>
  </r>
  <r>
    <x v="0"/>
    <n v="2"/>
    <x v="0"/>
    <x v="0"/>
    <x v="1"/>
    <n v="720"/>
    <n v="0"/>
    <n v="720"/>
    <s v="BC100"/>
    <n v="4.7E-2"/>
    <n v="1040"/>
    <n v="991.12"/>
    <m/>
    <n v="86.666666666666671"/>
    <n v="82.593333333333334"/>
    <n v="0"/>
    <n v="0.82300000000000006"/>
    <n v="0.75012500000000004"/>
    <n v="9.4799999999999995E-2"/>
    <n v="0"/>
    <n v="0"/>
    <n v="0.91694999999999993"/>
    <n v="0"/>
    <n v="0"/>
    <x v="0"/>
  </r>
  <r>
    <x v="1"/>
    <n v="1"/>
    <x v="0"/>
    <x v="0"/>
    <x v="0"/>
    <n v="426"/>
    <n v="294"/>
    <n v="720"/>
    <s v="BC100"/>
    <n v="5.67E-2"/>
    <n v="642"/>
    <n v="605.59860000000003"/>
    <m/>
    <n v="90.422535211267615"/>
    <n v="50.466550000000005"/>
    <n v="0.40833333333333333"/>
    <n v="0.91033333333333344"/>
    <n v="0.85156666666666669"/>
    <n v="7.9233333333333336E-2"/>
    <n v="0"/>
    <n v="0"/>
    <n v="0.9244"/>
    <n v="0"/>
    <n v="0"/>
    <x v="0"/>
  </r>
  <r>
    <x v="1"/>
    <n v="2"/>
    <x v="0"/>
    <x v="0"/>
    <x v="2"/>
    <n v="585"/>
    <n v="135"/>
    <n v="720"/>
    <s v="BC100"/>
    <n v="5.6500000000000002E-2"/>
    <n v="875"/>
    <n v="825.5625"/>
    <m/>
    <n v="89.743589743589737"/>
    <n v="68.796875"/>
    <n v="0.1875"/>
    <n v="0.82315000000000005"/>
    <n v="0.73647499999999999"/>
    <n v="0.12059999999999998"/>
    <n v="0"/>
    <n v="0.91752500000000015"/>
    <n v="0"/>
    <n v="0"/>
    <n v="0"/>
    <x v="0"/>
  </r>
  <r>
    <x v="2"/>
    <n v="1"/>
    <x v="0"/>
    <x v="0"/>
    <x v="0"/>
    <n v="681"/>
    <n v="39"/>
    <n v="720"/>
    <s v="BC100"/>
    <n v="5.5500000000000001E-2"/>
    <n v="817"/>
    <n v="771.65650000000005"/>
    <m/>
    <n v="71.982378854625551"/>
    <n v="64.304708333333338"/>
    <n v="5.4166666666666669E-2"/>
    <n v="0.88872499999999999"/>
    <n v="0.83802500000000002"/>
    <n v="9.8275000000000001E-2"/>
    <n v="0"/>
    <n v="0"/>
    <n v="0.92862500000000003"/>
    <n v="0"/>
    <n v="0"/>
    <x v="0"/>
  </r>
  <r>
    <x v="2"/>
    <n v="2"/>
    <x v="0"/>
    <x v="0"/>
    <x v="2"/>
    <n v="720"/>
    <n v="0"/>
    <n v="720"/>
    <s v="BC100"/>
    <n v="0.05"/>
    <n v="900"/>
    <n v="855"/>
    <m/>
    <n v="75"/>
    <n v="71.25"/>
    <n v="0"/>
    <n v="0.91370000000000007"/>
    <n v="0.8322250000000001"/>
    <n v="6.9074999999999998E-2"/>
    <n v="0"/>
    <n v="0"/>
    <n v="0.91700000000000004"/>
    <n v="0"/>
    <n v="0"/>
    <x v="0"/>
  </r>
  <r>
    <x v="3"/>
    <n v="1"/>
    <x v="0"/>
    <x v="0"/>
    <x v="0"/>
    <n v="720"/>
    <n v="0"/>
    <n v="720"/>
    <s v="BC100"/>
    <n v="4.8000000000000001E-2"/>
    <n v="870"/>
    <n v="828.24"/>
    <m/>
    <n v="72.5"/>
    <n v="69.02"/>
    <n v="0"/>
    <n v="0.83019999999999994"/>
    <n v="0.79337999999999997"/>
    <n v="0.12559999999999999"/>
    <n v="0"/>
    <n v="0"/>
    <n v="0.90380000000000005"/>
    <n v="0"/>
    <n v="0"/>
    <x v="0"/>
  </r>
  <r>
    <x v="3"/>
    <n v="2"/>
    <x v="0"/>
    <x v="0"/>
    <x v="2"/>
    <n v="714"/>
    <n v="6"/>
    <n v="720"/>
    <s v="BC100"/>
    <n v="4.4999999999999998E-2"/>
    <n v="1035"/>
    <n v="988.42499999999995"/>
    <m/>
    <n v="86.974789915966383"/>
    <n v="82.368749999999991"/>
    <n v="8.3333333333333332E-3"/>
    <n v="0.92315000000000003"/>
    <n v="0.87095"/>
    <n v="7.3325000000000001E-2"/>
    <n v="0"/>
    <n v="0"/>
    <n v="0.94104999999999994"/>
    <n v="0"/>
    <n v="0"/>
    <x v="0"/>
  </r>
  <r>
    <x v="4"/>
    <n v="1"/>
    <x v="0"/>
    <x v="0"/>
    <x v="0"/>
    <n v="720"/>
    <n v="0"/>
    <n v="720"/>
    <s v="BC100"/>
    <n v="4.8000000000000001E-2"/>
    <n v="870"/>
    <n v="828.24"/>
    <m/>
    <n v="72.5"/>
    <n v="69.02"/>
    <n v="0"/>
    <n v="0.91866666666666674"/>
    <n v="0.88099999999999989"/>
    <n v="7.7666666666666662E-2"/>
    <n v="0"/>
    <n v="0"/>
    <n v="0.93163333333333342"/>
    <n v="0"/>
    <n v="0"/>
    <x v="0"/>
  </r>
  <r>
    <x v="4"/>
    <n v="2"/>
    <x v="0"/>
    <x v="0"/>
    <x v="2"/>
    <n v="606"/>
    <n v="114"/>
    <n v="720"/>
    <s v="BC100"/>
    <n v="4.3999999999999997E-2"/>
    <n v="889"/>
    <n v="849.88400000000001"/>
    <m/>
    <n v="88.019801980198025"/>
    <n v="70.823666666666668"/>
    <n v="0.15833333333333333"/>
    <n v="0.89910000000000001"/>
    <n v="0.73419999999999996"/>
    <n v="8.2799999999999999E-2"/>
    <n v="0"/>
    <n v="0"/>
    <n v="0.92530000000000001"/>
    <n v="0"/>
    <n v="0"/>
    <x v="0"/>
  </r>
  <r>
    <x v="5"/>
    <n v="1"/>
    <x v="0"/>
    <x v="0"/>
    <x v="0"/>
    <n v="720"/>
    <n v="0"/>
    <n v="720"/>
    <s v="BC100"/>
    <n v="4.6199999999999998E-2"/>
    <n v="1051"/>
    <n v="1002.4438"/>
    <m/>
    <n v="87.583333333333329"/>
    <n v="83.536983333333339"/>
    <n v="0"/>
    <n v="0.89340000000000008"/>
    <n v="0.8335999999999999"/>
    <n v="8.4400000000000003E-2"/>
    <n v="0"/>
    <n v="0"/>
    <n v="0.92189999999999994"/>
    <n v="0"/>
    <n v="0"/>
    <x v="0"/>
  </r>
  <r>
    <x v="5"/>
    <n v="2"/>
    <x v="0"/>
    <x v="0"/>
    <x v="2"/>
    <n v="660"/>
    <n v="60"/>
    <n v="720"/>
    <s v="BC100"/>
    <n v="4.7500000000000001E-2"/>
    <n v="828"/>
    <n v="788.67"/>
    <m/>
    <n v="75.272727272727266"/>
    <n v="65.722499999999997"/>
    <n v="8.3333333333333329E-2"/>
    <n v="0.91062500000000002"/>
    <n v="0.81240000000000001"/>
    <n v="7.2374999999999995E-2"/>
    <n v="0"/>
    <n v="0"/>
    <n v="0.92965000000000009"/>
    <n v="0"/>
    <n v="0"/>
    <x v="0"/>
  </r>
  <r>
    <x v="6"/>
    <n v="1"/>
    <x v="0"/>
    <x v="0"/>
    <x v="3"/>
    <n v="75"/>
    <n v="0"/>
    <n v="75"/>
    <s v="BC100"/>
    <n v="5.0999999999999997E-2"/>
    <n v="121"/>
    <n v="114.82899999999999"/>
    <m/>
    <n v="96.8"/>
    <n v="91.863199999999992"/>
    <n v="0"/>
    <n v="0.89700000000000002"/>
    <n v="0.83799999999999997"/>
    <n v="7.5999999999999998E-2"/>
    <n v="0"/>
    <n v="0"/>
    <n v="0.91400000000000003"/>
    <n v="0"/>
    <n v="0"/>
    <x v="0"/>
  </r>
  <r>
    <x v="6"/>
    <n v="1"/>
    <x v="0"/>
    <x v="1"/>
    <x v="3"/>
    <n v="556.79999999999995"/>
    <n v="88.2"/>
    <n v="645"/>
    <s v="BC100"/>
    <n v="4.7E-2"/>
    <n v="921"/>
    <n v="877.71299999999997"/>
    <m/>
    <n v="99.245689655172427"/>
    <n v="81.647720930232552"/>
    <n v="0.13674418604651165"/>
    <n v="0.89700000000000002"/>
    <n v="0.83799999999999997"/>
    <n v="7.5999999999999998E-2"/>
    <n v="0.23899999999999999"/>
    <n v="0.13187500000000002"/>
    <n v="0.91400000000000003"/>
    <n v="2.9749999999999999E-2"/>
    <n v="0.30275000000000002"/>
    <x v="0"/>
  </r>
  <r>
    <x v="6"/>
    <n v="2"/>
    <x v="0"/>
    <x v="1"/>
    <x v="4"/>
    <n v="600"/>
    <n v="120"/>
    <n v="720"/>
    <s v="BC100"/>
    <n v="7.0000000000000007E-2"/>
    <n v="710"/>
    <n v="660.3"/>
    <m/>
    <n v="71"/>
    <n v="55.024999999999999"/>
    <n v="0.16666666666666666"/>
    <n v="0"/>
    <n v="0"/>
    <n v="0"/>
    <n v="0.242225"/>
    <n v="0.12089999999999999"/>
    <n v="0"/>
    <n v="0.10496666666666667"/>
    <n v="0.19796666666666665"/>
    <x v="0"/>
  </r>
  <r>
    <x v="7"/>
    <n v="1"/>
    <x v="0"/>
    <x v="1"/>
    <x v="3"/>
    <n v="540"/>
    <n v="180"/>
    <n v="720"/>
    <s v="BC100"/>
    <n v="7.5999999999999998E-2"/>
    <n v="600"/>
    <n v="554.4"/>
    <m/>
    <n v="66.666666666666671"/>
    <n v="46.199999999999996"/>
    <n v="0.25"/>
    <n v="0"/>
    <n v="0"/>
    <n v="0"/>
    <n v="0.20200000000000004"/>
    <n v="0.1476666666666667"/>
    <n v="0"/>
    <n v="3.5666666666666673E-2"/>
    <n v="0.22966666666666669"/>
    <x v="0"/>
  </r>
  <r>
    <x v="7"/>
    <n v="2"/>
    <x v="0"/>
    <x v="1"/>
    <x v="5"/>
    <n v="678"/>
    <n v="42"/>
    <n v="720"/>
    <s v="BC100"/>
    <n v="8.3699999999999997E-2"/>
    <n v="762"/>
    <n v="698.22059999999999"/>
    <m/>
    <n v="67.43362831858407"/>
    <n v="58.185049999999997"/>
    <n v="5.8333333333333334E-2"/>
    <n v="0"/>
    <n v="0"/>
    <n v="0"/>
    <n v="0.26699999999999996"/>
    <n v="0.12966666666666668"/>
    <n v="0"/>
    <n v="4.2666666666666665E-2"/>
    <n v="0.25233333333333335"/>
    <x v="0"/>
  </r>
  <r>
    <x v="8"/>
    <n v="1"/>
    <x v="0"/>
    <x v="0"/>
    <x v="3"/>
    <n v="528"/>
    <n v="192"/>
    <n v="720"/>
    <s v="BC100"/>
    <n v="5.8000000000000003E-2"/>
    <n v="655"/>
    <n v="617.01"/>
    <m/>
    <n v="74.431818181818173"/>
    <n v="51.417499999999997"/>
    <n v="0.26666666666666666"/>
    <n v="0"/>
    <n v="0"/>
    <n v="0"/>
    <n v="0.24099999999999999"/>
    <n v="9.9000000000000005E-2"/>
    <n v="4.2999999999999997E-2"/>
    <n v="0.22900000000000001"/>
    <n v="0"/>
    <x v="0"/>
  </r>
  <r>
    <x v="8"/>
    <n v="2"/>
    <x v="0"/>
    <x v="1"/>
    <x v="5"/>
    <n v="660"/>
    <n v="60"/>
    <n v="720"/>
    <s v="BC100"/>
    <n v="7.3999999999999996E-2"/>
    <n v="800"/>
    <n v="740.80000000000007"/>
    <m/>
    <n v="72.727272727272734"/>
    <n v="61.733333333333341"/>
    <n v="8.3333333333333329E-2"/>
    <n v="0"/>
    <n v="0"/>
    <n v="0"/>
    <n v="0.1895"/>
    <n v="0.14250000000000002"/>
    <n v="0"/>
    <n v="3.9500000000000007E-2"/>
    <n v="0.19874999999999998"/>
    <x v="0"/>
  </r>
  <r>
    <x v="9"/>
    <n v="1"/>
    <x v="0"/>
    <x v="1"/>
    <x v="3"/>
    <n v="642"/>
    <n v="78"/>
    <n v="720"/>
    <s v="BC100"/>
    <n v="5.8000000000000003E-2"/>
    <n v="914"/>
    <n v="860.98799999999994"/>
    <m/>
    <n v="85.420560747663558"/>
    <n v="71.748999999999995"/>
    <n v="0.10833333333333334"/>
    <n v="0"/>
    <n v="0"/>
    <n v="0"/>
    <n v="0.14833333333333332"/>
    <n v="0.1466666666666667"/>
    <n v="0"/>
    <n v="3.4666666666666672E-2"/>
    <n v="0.24333333333333332"/>
    <x v="0"/>
  </r>
  <r>
    <x v="9"/>
    <n v="2"/>
    <x v="0"/>
    <x v="1"/>
    <x v="5"/>
    <n v="720"/>
    <n v="0"/>
    <n v="720"/>
    <s v="BC100"/>
    <n v="7.0000000000000007E-2"/>
    <n v="1066"/>
    <n v="991.37999999999988"/>
    <m/>
    <n v="88.833333333333329"/>
    <n v="82.614999999999995"/>
    <n v="0"/>
    <n v="0"/>
    <n v="0"/>
    <n v="0"/>
    <n v="0.17174999999999996"/>
    <n v="0.14800000000000002"/>
    <n v="0"/>
    <n v="3.6749999999999998E-2"/>
    <n v="0.24025000000000002"/>
    <x v="0"/>
  </r>
  <r>
    <x v="10"/>
    <n v="1"/>
    <x v="0"/>
    <x v="1"/>
    <x v="3"/>
    <n v="612"/>
    <n v="108"/>
    <n v="720"/>
    <s v="BC100"/>
    <n v="2.1999999999999999E-2"/>
    <n v="950"/>
    <n v="929.1"/>
    <m/>
    <n v="93.137254901960787"/>
    <n v="77.424999999999997"/>
    <n v="0.15"/>
    <n v="0"/>
    <n v="0"/>
    <n v="0"/>
    <n v="0.214"/>
    <n v="0.11849999999999999"/>
    <n v="0"/>
    <n v="4.7500000000000001E-2"/>
    <n v="0.153"/>
    <x v="0"/>
  </r>
  <r>
    <x v="10"/>
    <n v="2"/>
    <x v="0"/>
    <x v="1"/>
    <x v="5"/>
    <n v="720"/>
    <n v="0"/>
    <n v="720"/>
    <s v="BC100"/>
    <n v="6.2E-2"/>
    <n v="1025"/>
    <n v="961.44999999999993"/>
    <m/>
    <n v="85.416666666666671"/>
    <n v="80.120833333333323"/>
    <n v="0"/>
    <n v="0"/>
    <n v="0"/>
    <n v="0"/>
    <n v="0.24725000000000003"/>
    <n v="9.6000000000000002E-2"/>
    <n v="0"/>
    <n v="0.13899999999999998"/>
    <n v="0.11749999999999999"/>
    <x v="0"/>
  </r>
  <r>
    <x v="11"/>
    <n v="1"/>
    <x v="0"/>
    <x v="1"/>
    <x v="3"/>
    <n v="708"/>
    <n v="12"/>
    <n v="720"/>
    <s v="BC100"/>
    <n v="5.3999999999999999E-2"/>
    <n v="1109"/>
    <n v="1049.114"/>
    <m/>
    <n v="93.983050847457619"/>
    <n v="87.426166666666674"/>
    <n v="1.6666666666666666E-2"/>
    <n v="0"/>
    <n v="0"/>
    <n v="0"/>
    <n v="0.28699999999999998"/>
    <n v="9.6000000000000016E-2"/>
    <n v="0"/>
    <n v="0.10833333333333334"/>
    <n v="0.24399999999999999"/>
    <x v="0"/>
  </r>
  <r>
    <x v="11"/>
    <n v="2"/>
    <x v="0"/>
    <x v="1"/>
    <x v="5"/>
    <n v="720"/>
    <n v="0"/>
    <n v="720"/>
    <s v="BC100"/>
    <n v="5.3999999999999999E-2"/>
    <n v="1052"/>
    <n v="995.19199999999989"/>
    <m/>
    <n v="87.666666666666671"/>
    <n v="82.932666666666663"/>
    <n v="0"/>
    <n v="0"/>
    <n v="0"/>
    <n v="0"/>
    <n v="0.28825000000000001"/>
    <n v="0.12075"/>
    <n v="0"/>
    <n v="4.8750000000000002E-2"/>
    <n v="0.253"/>
    <x v="0"/>
  </r>
  <r>
    <x v="12"/>
    <m/>
    <x v="1"/>
    <x v="2"/>
    <x v="6"/>
    <m/>
    <m/>
    <n v="0"/>
    <e v="#N/A"/>
    <n v="5.8999999999999997E-2"/>
    <m/>
    <n v="0"/>
    <m/>
    <e v="#DIV/0!"/>
    <e v="#DIV/0!"/>
    <e v="#DIV/0!"/>
    <n v="0"/>
    <n v="0"/>
    <n v="0"/>
    <n v="0.27533333333333332"/>
    <n v="0.10966666666666668"/>
    <n v="0"/>
    <n v="0.19140000000000001"/>
    <n v="0.19180000000000003"/>
    <x v="0"/>
  </r>
  <r>
    <x v="12"/>
    <n v="2"/>
    <x v="0"/>
    <x v="1"/>
    <x v="7"/>
    <n v="720"/>
    <n v="0"/>
    <n v="720"/>
    <s v="BC100"/>
    <n v="6.3E-2"/>
    <n v="972"/>
    <n v="910.76400000000001"/>
    <m/>
    <n v="81"/>
    <n v="75.897000000000006"/>
    <n v="0"/>
    <n v="0"/>
    <n v="0"/>
    <n v="0"/>
    <n v="0.19866666666666669"/>
    <n v="0.12033333333333333"/>
    <n v="0"/>
    <n v="3.1E-2"/>
    <n v="0.28133333333333327"/>
    <x v="0"/>
  </r>
  <r>
    <x v="13"/>
    <n v="1"/>
    <x v="0"/>
    <x v="1"/>
    <x v="3"/>
    <n v="630"/>
    <n v="90"/>
    <n v="720"/>
    <s v="BC100"/>
    <n v="6.5000000000000002E-2"/>
    <n v="830"/>
    <n v="776.05000000000007"/>
    <m/>
    <n v="79.047619047619051"/>
    <n v="64.670833333333334"/>
    <n v="0.125"/>
    <n v="0"/>
    <n v="0"/>
    <n v="0"/>
    <n v="0.14700000000000002"/>
    <n v="0.2515"/>
    <n v="0"/>
    <n v="6.4000000000000001E-2"/>
    <n v="0.35299999999999998"/>
    <x v="0"/>
  </r>
  <r>
    <x v="13"/>
    <n v="2"/>
    <x v="0"/>
    <x v="0"/>
    <x v="5"/>
    <n v="150"/>
    <n v="0"/>
    <n v="150"/>
    <s v="BC100"/>
    <n v="0.04"/>
    <n v="200"/>
    <n v="192"/>
    <m/>
    <n v="80"/>
    <n v="76.8"/>
    <n v="0"/>
    <n v="0.95499999999999996"/>
    <n v="0.79"/>
    <n v="0.2"/>
    <n v="0.11633333333333333"/>
    <n v="0.30433333333333334"/>
    <n v="0.95"/>
    <n v="2.4333333333333335E-2"/>
    <n v="0.3793333333333333"/>
    <x v="0"/>
  </r>
  <r>
    <x v="13"/>
    <n v="2"/>
    <x v="0"/>
    <x v="1"/>
    <x v="5"/>
    <n v="570"/>
    <n v="0"/>
    <n v="570"/>
    <s v="BC100"/>
    <n v="8.1000000000000003E-2"/>
    <n v="457"/>
    <n v="419.983"/>
    <m/>
    <n v="48.10526315789474"/>
    <n v="44.20873684210526"/>
    <n v="0"/>
    <n v="0.95499999999999996"/>
    <n v="0.79"/>
    <n v="0.2"/>
    <n v="0.11633333333333333"/>
    <n v="0.30433333333333334"/>
    <n v="0.95"/>
    <n v="2.4333333333333335E-2"/>
    <n v="0.3793333333333333"/>
    <x v="0"/>
  </r>
  <r>
    <x v="14"/>
    <n v="1"/>
    <x v="0"/>
    <x v="0"/>
    <x v="8"/>
    <n v="720"/>
    <n v="0"/>
    <n v="720"/>
    <s v="BC100"/>
    <n v="3.5000000000000003E-2"/>
    <n v="1132"/>
    <n v="1092.3799999999999"/>
    <m/>
    <n v="94.333333333333329"/>
    <n v="91.031666666666652"/>
    <n v="0"/>
    <n v="0.92933333333333346"/>
    <n v="0.88"/>
    <n v="6.7666666666666667E-2"/>
    <n v="0"/>
    <n v="0"/>
    <n v="0.92079999999999995"/>
    <n v="0"/>
    <n v="0"/>
    <x v="0"/>
  </r>
  <r>
    <x v="14"/>
    <n v="2"/>
    <x v="0"/>
    <x v="1"/>
    <x v="2"/>
    <n v="720"/>
    <n v="0"/>
    <n v="720"/>
    <s v="BC100"/>
    <n v="3.7999999999999999E-2"/>
    <n v="1125"/>
    <n v="1082.25"/>
    <m/>
    <n v="93.75"/>
    <n v="90.1875"/>
    <n v="0"/>
    <n v="0.92812250000000007"/>
    <n v="0.81727499999999997"/>
    <n v="6.905E-2"/>
    <n v="0"/>
    <n v="0"/>
    <n v="0.9173"/>
    <n v="0"/>
    <n v="0"/>
    <x v="0"/>
  </r>
  <r>
    <x v="15"/>
    <n v="1"/>
    <x v="0"/>
    <x v="0"/>
    <x v="8"/>
    <n v="379.8"/>
    <n v="340.2"/>
    <n v="720"/>
    <s v="BC100"/>
    <n v="3.6999999999999998E-2"/>
    <n v="571"/>
    <n v="549.87299999999993"/>
    <m/>
    <n v="90.205371248025273"/>
    <n v="45.822749999999992"/>
    <n v="0.47249999999999998"/>
    <n v="0.90932499999999994"/>
    <n v="0.86685000000000001"/>
    <n v="8.3749999999999991E-2"/>
    <n v="0"/>
    <n v="0"/>
    <n v="0.91425000000000001"/>
    <n v="0"/>
    <n v="0"/>
    <x v="0"/>
  </r>
  <r>
    <x v="15"/>
    <n v="2"/>
    <x v="0"/>
    <x v="1"/>
    <x v="2"/>
    <n v="720"/>
    <n v="0"/>
    <n v="720"/>
    <s v="BC100"/>
    <n v="3.6999999999999998E-2"/>
    <n v="925"/>
    <n v="890.77499999999998"/>
    <m/>
    <n v="77.083333333333329"/>
    <n v="74.231250000000003"/>
    <n v="0"/>
    <n v="0.92094999999999994"/>
    <n v="0.80257500000000004"/>
    <n v="7.4749999999999997E-2"/>
    <n v="0"/>
    <n v="0"/>
    <n v="0"/>
    <n v="0.91302499999999998"/>
    <n v="0"/>
    <x v="0"/>
  </r>
  <r>
    <x v="16"/>
    <n v="1"/>
    <x v="0"/>
    <x v="1"/>
    <x v="0"/>
    <n v="684"/>
    <n v="36"/>
    <n v="720"/>
    <s v="BC100"/>
    <n v="0.03"/>
    <n v="1104"/>
    <n v="1070.8799999999999"/>
    <m/>
    <n v="96.84210526315789"/>
    <n v="89.24"/>
    <n v="0.05"/>
    <n v="0"/>
    <n v="0"/>
    <n v="0"/>
    <n v="0.18509999999999999"/>
    <n v="0.13422499999999998"/>
    <n v="0"/>
    <n v="4.5124999999999992E-2"/>
    <n v="0.25622499999999998"/>
    <x v="0"/>
  </r>
  <r>
    <x v="16"/>
    <n v="2"/>
    <x v="0"/>
    <x v="1"/>
    <x v="2"/>
    <n v="720"/>
    <n v="0"/>
    <n v="720"/>
    <s v="BC100"/>
    <n v="6.2E-2"/>
    <n v="588"/>
    <n v="551.54399999999998"/>
    <m/>
    <n v="49"/>
    <n v="45.961999999999996"/>
    <n v="0"/>
    <n v="0"/>
    <n v="0"/>
    <n v="0"/>
    <n v="0.28454999999999997"/>
    <n v="0.11227499999999999"/>
    <n v="0"/>
    <n v="4.36E-2"/>
    <n v="0.25532500000000002"/>
    <x v="0"/>
  </r>
  <r>
    <x v="17"/>
    <n v="1"/>
    <x v="0"/>
    <x v="1"/>
    <x v="9"/>
    <n v="546.59999999999991"/>
    <n v="173.39999999999998"/>
    <n v="719.99999999999989"/>
    <s v="BC100"/>
    <n v="6.6000000000000003E-2"/>
    <n v="663"/>
    <n v="619.24199999999996"/>
    <m/>
    <n v="72.777167947310673"/>
    <n v="51.603500000000004"/>
    <n v="0.24083333333333334"/>
    <n v="0"/>
    <n v="0"/>
    <n v="0"/>
    <n v="0.11426666666666667"/>
    <n v="0.16149999999999998"/>
    <n v="0"/>
    <n v="3.1E-2"/>
    <n v="0.26179999999999998"/>
    <x v="0"/>
  </r>
  <r>
    <x v="17"/>
    <n v="2"/>
    <x v="0"/>
    <x v="1"/>
    <x v="2"/>
    <n v="720"/>
    <n v="0"/>
    <n v="720"/>
    <s v="BC100"/>
    <n v="5.8999999999999997E-2"/>
    <n v="1015"/>
    <n v="955.11500000000001"/>
    <m/>
    <n v="84.583333333333329"/>
    <n v="79.592916666666667"/>
    <n v="0"/>
    <n v="0"/>
    <n v="0"/>
    <n v="0"/>
    <n v="0.24465000000000001"/>
    <n v="0.1071"/>
    <n v="0"/>
    <n v="5.2025000000000002E-2"/>
    <n v="0.23882499999999998"/>
    <x v="0"/>
  </r>
  <r>
    <x v="18"/>
    <n v="1"/>
    <x v="0"/>
    <x v="1"/>
    <x v="0"/>
    <n v="482.4"/>
    <n v="237.6"/>
    <n v="720"/>
    <s v="BC100"/>
    <n v="1.9E-2"/>
    <n v="742"/>
    <n v="727.90200000000004"/>
    <m/>
    <n v="92.28855721393036"/>
    <n v="60.658500000000004"/>
    <n v="0.33"/>
    <n v="0"/>
    <n v="0"/>
    <n v="0"/>
    <n v="0.14326666666666668"/>
    <n v="0.14536666666666667"/>
    <n v="0"/>
    <n v="4.2766666666666675E-2"/>
    <n v="0.19093333333333332"/>
    <x v="0"/>
  </r>
  <r>
    <x v="18"/>
    <n v="2"/>
    <x v="0"/>
    <x v="1"/>
    <x v="1"/>
    <n v="720"/>
    <n v="0"/>
    <n v="720"/>
    <s v="BC100"/>
    <n v="6.0999999999999999E-2"/>
    <n v="965"/>
    <n v="906.1350000000001"/>
    <m/>
    <n v="80.416666666666671"/>
    <n v="75.511250000000004"/>
    <n v="0"/>
    <n v="0"/>
    <n v="0"/>
    <n v="0"/>
    <n v="0.44146666666666662"/>
    <n v="0.10393333333333332"/>
    <n v="0"/>
    <n v="9.5199999999999993E-2"/>
    <n v="0.20443333333333333"/>
    <x v="0"/>
  </r>
  <r>
    <x v="19"/>
    <n v="1"/>
    <x v="0"/>
    <x v="0"/>
    <x v="0"/>
    <n v="180"/>
    <n v="0"/>
    <n v="180"/>
    <s v="BC100"/>
    <n v="3.3000000000000002E-2"/>
    <n v="120"/>
    <n v="116.03999999999999"/>
    <m/>
    <n v="40"/>
    <n v="38.68"/>
    <n v="0"/>
    <n v="0.90400000000000003"/>
    <n v="0.85399999999999998"/>
    <n v="7.2999999999999995E-2"/>
    <n v="0.1797"/>
    <n v="0.1056"/>
    <n v="0.92659999999999998"/>
    <n v="4.99E-2"/>
    <n v="0.1696"/>
    <x v="0"/>
  </r>
  <r>
    <x v="19"/>
    <n v="1"/>
    <x v="0"/>
    <x v="1"/>
    <x v="0"/>
    <n v="498.00000000000006"/>
    <n v="42"/>
    <n v="540"/>
    <s v="BC100"/>
    <n v="0.05"/>
    <n v="850"/>
    <n v="807.5"/>
    <m/>
    <n v="102.40963855421685"/>
    <n v="89.722222222222229"/>
    <n v="7.7777777777777779E-2"/>
    <n v="0.90400000000000003"/>
    <n v="0.85399999999999998"/>
    <n v="7.2999999999999995E-2"/>
    <n v="0.1797"/>
    <n v="0.1056"/>
    <n v="0.92659999999999998"/>
    <n v="4.99E-2"/>
    <n v="0.1696"/>
    <x v="0"/>
  </r>
  <r>
    <x v="19"/>
    <n v="2"/>
    <x v="0"/>
    <x v="0"/>
    <x v="1"/>
    <n v="720"/>
    <n v="0"/>
    <n v="720"/>
    <s v="BC100"/>
    <n v="3.4000000000000002E-2"/>
    <n v="1110"/>
    <n v="1072.26"/>
    <m/>
    <n v="92.5"/>
    <n v="89.355000000000004"/>
    <n v="0"/>
    <n v="0.92077500000000001"/>
    <n v="0.82285000000000008"/>
    <n v="7.3874999999999996E-2"/>
    <n v="0"/>
    <n v="0"/>
    <n v="0.90982500000000011"/>
    <n v="0"/>
    <n v="0"/>
    <x v="0"/>
  </r>
  <r>
    <x v="20"/>
    <n v="1"/>
    <x v="0"/>
    <x v="0"/>
    <x v="0"/>
    <n v="720"/>
    <n v="0"/>
    <n v="720"/>
    <s v="BC100"/>
    <n v="3.6999999999999998E-2"/>
    <n v="1087"/>
    <n v="1046.7809999999999"/>
    <m/>
    <n v="90.583333333333329"/>
    <n v="87.231749999999991"/>
    <n v="0"/>
    <n v="0.83525000000000005"/>
    <n v="0.77974999999999994"/>
    <n v="0.11375000000000002"/>
    <n v="0"/>
    <n v="0"/>
    <n v="0.90287500000000009"/>
    <n v="0"/>
    <n v="0"/>
    <x v="0"/>
  </r>
  <r>
    <x v="20"/>
    <n v="2"/>
    <x v="0"/>
    <x v="0"/>
    <x v="10"/>
    <m/>
    <m/>
    <n v="0"/>
    <s v="BC100"/>
    <m/>
    <m/>
    <n v="0"/>
    <m/>
    <e v="#DIV/0!"/>
    <e v="#DIV/0!"/>
    <e v="#DIV/0!"/>
    <n v="0.93735000000000002"/>
    <n v="0.80062500000000003"/>
    <n v="6.0324999999999997E-2"/>
    <n v="0"/>
    <n v="0"/>
    <n v="0.92520000000000002"/>
    <n v="0"/>
    <n v="0"/>
    <x v="0"/>
  </r>
  <r>
    <x v="21"/>
    <n v="1"/>
    <x v="0"/>
    <x v="0"/>
    <x v="3"/>
    <n v="675"/>
    <n v="45"/>
    <n v="720"/>
    <s v="BC100"/>
    <n v="3.3000000000000002E-2"/>
    <n v="1120"/>
    <n v="1083.04"/>
    <m/>
    <n v="99.555555555555557"/>
    <n v="90.25333333333333"/>
    <n v="6.25E-2"/>
    <n v="0.92260000000000009"/>
    <n v="0.88029999999999997"/>
    <n v="7.4275000000000008E-2"/>
    <n v="0"/>
    <n v="0"/>
    <n v="0.92792499999999989"/>
    <n v="0"/>
    <n v="0"/>
    <x v="0"/>
  </r>
  <r>
    <x v="21"/>
    <n v="2"/>
    <x v="0"/>
    <x v="0"/>
    <x v="5"/>
    <n v="720"/>
    <n v="0"/>
    <n v="720"/>
    <s v="BC100"/>
    <n v="3.4000000000000002E-2"/>
    <n v="1144"/>
    <n v="1105.104"/>
    <m/>
    <n v="95.333333333333329"/>
    <n v="92.091999999999999"/>
    <n v="0"/>
    <n v="0.90825"/>
    <n v="0.8570000000000001"/>
    <n v="9.0999999999999998E-2"/>
    <n v="0"/>
    <n v="0"/>
    <n v="0.92600000000000005"/>
    <n v="0"/>
    <n v="0"/>
    <x v="0"/>
  </r>
  <r>
    <x v="22"/>
    <n v="1"/>
    <x v="0"/>
    <x v="0"/>
    <x v="3"/>
    <n v="45"/>
    <n v="675"/>
    <n v="720"/>
    <s v="BC100"/>
    <n v="0"/>
    <n v="45"/>
    <n v="45"/>
    <m/>
    <n v="60"/>
    <n v="3.75"/>
    <n v="0.9375"/>
    <n v="0"/>
    <n v="0"/>
    <n v="0"/>
    <n v="0"/>
    <n v="0"/>
    <n v="0"/>
    <n v="0"/>
    <n v="0"/>
    <x v="0"/>
  </r>
  <r>
    <x v="22"/>
    <n v="2"/>
    <x v="0"/>
    <x v="0"/>
    <x v="5"/>
    <n v="660"/>
    <n v="60"/>
    <n v="720"/>
    <s v="BC100"/>
    <n v="4.2999999999999997E-2"/>
    <n v="980"/>
    <n v="937.86"/>
    <m/>
    <n v="89.090909090909093"/>
    <n v="78.155000000000001"/>
    <n v="8.3333333333333329E-2"/>
    <n v="0.90725"/>
    <n v="0.85649999999999993"/>
    <n v="7.9500000000000001E-2"/>
    <n v="0"/>
    <n v="0"/>
    <n v="0.92825000000000002"/>
    <n v="0"/>
    <n v="0"/>
    <x v="0"/>
  </r>
  <r>
    <x v="23"/>
    <n v="1"/>
    <x v="0"/>
    <x v="0"/>
    <x v="3"/>
    <n v="210"/>
    <n v="0"/>
    <n v="210"/>
    <s v="BC100"/>
    <n v="4.2999999999999997E-2"/>
    <n v="310"/>
    <n v="296.67"/>
    <m/>
    <n v="88.571428571428569"/>
    <n v="84.762857142857143"/>
    <n v="0"/>
    <n v="0.9214"/>
    <n v="0.86699999999999999"/>
    <n v="7.0199999999999999E-2"/>
    <n v="0.18616666666666667"/>
    <n v="0.18113333333333334"/>
    <n v="0.91600000000000004"/>
    <n v="0.1283"/>
    <n v="0.21916666666666665"/>
    <x v="0"/>
  </r>
  <r>
    <x v="23"/>
    <n v="1"/>
    <x v="0"/>
    <x v="1"/>
    <x v="3"/>
    <n v="510"/>
    <n v="0"/>
    <n v="510"/>
    <s v="BC100"/>
    <n v="6.5000000000000002E-2"/>
    <n v="900"/>
    <n v="841.5"/>
    <m/>
    <n v="105.88235294117646"/>
    <n v="99"/>
    <n v="0"/>
    <n v="0.9214"/>
    <n v="0.86699999999999999"/>
    <n v="7.0199999999999999E-2"/>
    <n v="0.18616666666666667"/>
    <n v="0.18113333333333334"/>
    <n v="0.91600000000000004"/>
    <n v="0.1283"/>
    <n v="0.21916666666666665"/>
    <x v="0"/>
  </r>
  <r>
    <x v="23"/>
    <n v="2"/>
    <x v="0"/>
    <x v="1"/>
    <x v="5"/>
    <n v="720"/>
    <n v="0"/>
    <n v="720"/>
    <s v="BC100"/>
    <n v="7.2999999999999995E-2"/>
    <n v="828"/>
    <n v="767.55600000000004"/>
    <m/>
    <n v="69"/>
    <n v="63.963000000000001"/>
    <n v="0"/>
    <n v="0"/>
    <n v="0"/>
    <n v="0"/>
    <n v="0.20624999999999999"/>
    <n v="0.17299999999999999"/>
    <n v="0"/>
    <n v="2.75E-2"/>
    <n v="0.26600000000000001"/>
    <x v="0"/>
  </r>
  <r>
    <x v="24"/>
    <n v="1"/>
    <x v="0"/>
    <x v="0"/>
    <x v="3"/>
    <n v="720"/>
    <n v="0"/>
    <n v="720"/>
    <s v="BC100"/>
    <n v="6.2E-2"/>
    <n v="1019"/>
    <n v="955.82199999999989"/>
    <m/>
    <n v="84.916666666666671"/>
    <n v="79.651833333333329"/>
    <n v="0"/>
    <n v="0"/>
    <n v="0"/>
    <n v="0"/>
    <n v="0.17850000000000002"/>
    <n v="0.17333333333333334"/>
    <n v="0"/>
    <n v="0.113"/>
    <n v="0.24386666666666668"/>
    <x v="0"/>
  </r>
  <r>
    <x v="24"/>
    <n v="2"/>
    <x v="0"/>
    <x v="1"/>
    <x v="5"/>
    <n v="720"/>
    <n v="0"/>
    <n v="720"/>
    <s v="BC100"/>
    <n v="6.3E-2"/>
    <n v="990"/>
    <n v="927.63000000000011"/>
    <m/>
    <n v="82.5"/>
    <n v="77.302500000000009"/>
    <n v="0"/>
    <n v="0"/>
    <n v="0"/>
    <n v="0"/>
    <n v="0.18674999999999997"/>
    <n v="0.19749999999999998"/>
    <n v="0"/>
    <n v="2.6000000000000002E-2"/>
    <n v="0.28250000000000003"/>
    <x v="0"/>
  </r>
  <r>
    <x v="25"/>
    <n v="1"/>
    <x v="0"/>
    <x v="1"/>
    <x v="3"/>
    <n v="600"/>
    <n v="120"/>
    <n v="720"/>
    <s v="BC100"/>
    <n v="6.8000000000000005E-2"/>
    <n v="796"/>
    <n v="741.87199999999996"/>
    <m/>
    <n v="79.599999999999994"/>
    <n v="61.822666666666663"/>
    <n v="0.16666666666666666"/>
    <n v="0"/>
    <n v="0"/>
    <n v="0"/>
    <n v="0.16376666666666664"/>
    <n v="0.19940000000000002"/>
    <n v="0"/>
    <n v="0.1283"/>
    <n v="0.23203333333333331"/>
    <x v="0"/>
  </r>
  <r>
    <x v="25"/>
    <n v="2"/>
    <x v="0"/>
    <x v="1"/>
    <x v="5"/>
    <n v="720"/>
    <n v="0"/>
    <n v="720"/>
    <s v="BC100"/>
    <n v="6.6000000000000003E-2"/>
    <n v="910"/>
    <n v="849.93999999999994"/>
    <m/>
    <n v="75.833333333333329"/>
    <n v="70.828333333333333"/>
    <n v="0"/>
    <n v="0"/>
    <n v="0"/>
    <n v="0"/>
    <n v="0.20049999999999998"/>
    <n v="0.17550000000000002"/>
    <n v="0"/>
    <n v="2.8000000000000001E-2"/>
    <n v="0.26124999999999998"/>
    <x v="0"/>
  </r>
  <r>
    <x v="26"/>
    <n v="1"/>
    <x v="0"/>
    <x v="1"/>
    <x v="11"/>
    <n v="720"/>
    <n v="0"/>
    <n v="720"/>
    <s v="BC100"/>
    <n v="6.0999999999999999E-2"/>
    <n v="1044"/>
    <n v="980.31600000000003"/>
    <m/>
    <n v="87"/>
    <n v="81.692999999999998"/>
    <n v="0"/>
    <n v="0"/>
    <n v="0"/>
    <n v="0"/>
    <n v="0.145375"/>
    <n v="0.21617500000000001"/>
    <n v="0"/>
    <n v="0.12720000000000001"/>
    <n v="0.255025"/>
    <x v="0"/>
  </r>
  <r>
    <x v="26"/>
    <n v="2"/>
    <x v="0"/>
    <x v="0"/>
    <x v="5"/>
    <n v="720"/>
    <n v="0"/>
    <n v="720"/>
    <s v="BC100"/>
    <n v="4.2000000000000003E-2"/>
    <n v="1080"/>
    <n v="1034.6399999999999"/>
    <m/>
    <n v="90"/>
    <n v="86.219999999999985"/>
    <n v="0"/>
    <n v="0.93725000000000003"/>
    <n v="0.8307500000000001"/>
    <n v="6.0500000000000005E-2"/>
    <n v="0.17199999999999999"/>
    <n v="0.23300000000000001"/>
    <n v="0.93375000000000008"/>
    <n v="1.7999999999999999E-2"/>
    <n v="0.3"/>
    <x v="0"/>
  </r>
  <r>
    <x v="27"/>
    <n v="1"/>
    <x v="0"/>
    <x v="1"/>
    <x v="11"/>
    <n v="630"/>
    <n v="90"/>
    <n v="720"/>
    <s v="BC100"/>
    <n v="4.2000000000000003E-2"/>
    <n v="985"/>
    <n v="943.63"/>
    <m/>
    <n v="93.80952380952381"/>
    <n v="78.635833333333338"/>
    <n v="0.125"/>
    <n v="0.9121999999999999"/>
    <n v="0.84746666666666659"/>
    <n v="7.0400000000000004E-2"/>
    <n v="0"/>
    <n v="0"/>
    <n v="0.91786666666666672"/>
    <n v="0"/>
    <n v="0"/>
    <x v="0"/>
  </r>
  <r>
    <x v="27"/>
    <n v="2"/>
    <x v="0"/>
    <x v="1"/>
    <x v="5"/>
    <n v="360"/>
    <n v="0"/>
    <n v="360"/>
    <s v="BC100"/>
    <n v="3.6999999999999998E-2"/>
    <n v="815"/>
    <n v="784.84500000000003"/>
    <m/>
    <n v="135.83333333333334"/>
    <n v="130.8075"/>
    <n v="0"/>
    <n v="0.92600000000000016"/>
    <n v="0.84633333333333338"/>
    <n v="7.3999999999999996E-2"/>
    <n v="0"/>
    <n v="0"/>
    <n v="0"/>
    <n v="0"/>
    <n v="0"/>
    <x v="0"/>
  </r>
  <r>
    <x v="27"/>
    <n v="2"/>
    <x v="0"/>
    <x v="0"/>
    <x v="5"/>
    <n v="360"/>
    <n v="0"/>
    <n v="360"/>
    <s v="BC100"/>
    <n v="3.6999999999999998E-2"/>
    <n v="1071"/>
    <n v="1031.373"/>
    <m/>
    <n v="178.5"/>
    <n v="171.8955"/>
    <n v="0"/>
    <n v="0.92600000000000016"/>
    <n v="0.84633333333333338"/>
    <n v="7.3999999999999996E-2"/>
    <n v="0"/>
    <n v="0"/>
    <n v="0"/>
    <n v="0"/>
    <n v="0"/>
    <x v="0"/>
  </r>
  <r>
    <x v="28"/>
    <n v="1"/>
    <x v="0"/>
    <x v="1"/>
    <x v="1"/>
    <n v="360"/>
    <n v="360"/>
    <n v="720"/>
    <s v="BC100"/>
    <n v="0"/>
    <n v="502"/>
    <n v="502"/>
    <m/>
    <n v="83.666666666666671"/>
    <n v="41.833333333333336"/>
    <n v="0.5"/>
    <n v="0"/>
    <n v="0"/>
    <n v="0"/>
    <n v="0.1177"/>
    <n v="0.15265000000000001"/>
    <n v="0.11380000000000001"/>
    <n v="2.4800000000000003E-2"/>
    <n v="0.1817"/>
    <x v="0"/>
  </r>
  <r>
    <x v="28"/>
    <n v="2"/>
    <x v="0"/>
    <x v="1"/>
    <x v="0"/>
    <n v="624"/>
    <n v="96"/>
    <n v="720"/>
    <s v="BC100"/>
    <n v="2.1999999999999999E-2"/>
    <n v="986"/>
    <n v="964.30799999999999"/>
    <m/>
    <n v="94.807692307692307"/>
    <n v="80.358999999999995"/>
    <n v="0.13333333333333333"/>
    <n v="0"/>
    <n v="0"/>
    <n v="0"/>
    <n v="0.18917499999999998"/>
    <n v="0.21754999999999999"/>
    <n v="0"/>
    <n v="2.4675000000000002E-2"/>
    <n v="0.26492499999999997"/>
    <x v="0"/>
  </r>
  <r>
    <x v="29"/>
    <n v="1"/>
    <x v="0"/>
    <x v="1"/>
    <x v="10"/>
    <n v="720"/>
    <n v="0"/>
    <n v="720"/>
    <s v="BC100"/>
    <n v="5.5E-2"/>
    <n v="1052"/>
    <n v="994.14"/>
    <m/>
    <n v="87.666666666666671"/>
    <n v="82.844999999999999"/>
    <n v="0"/>
    <n v="0"/>
    <n v="0"/>
    <n v="0"/>
    <n v="0.1847"/>
    <n v="0.196025"/>
    <n v="0"/>
    <n v="2.265E-2"/>
    <n v="0.33807500000000001"/>
    <x v="0"/>
  </r>
  <r>
    <x v="29"/>
    <n v="2"/>
    <x v="0"/>
    <x v="0"/>
    <x v="0"/>
    <n v="600"/>
    <n v="120"/>
    <n v="720"/>
    <s v="BC100"/>
    <n v="0.06"/>
    <n v="271"/>
    <n v="254.73999999999998"/>
    <m/>
    <n v="27.1"/>
    <n v="21.228333333333332"/>
    <n v="0.16666666666666666"/>
    <n v="0.94599999999999995"/>
    <n v="0.68189999999999995"/>
    <n v="4.7800000000000002E-2"/>
    <n v="0.23005"/>
    <n v="0.17604999999999998"/>
    <n v="0.94199999999999995"/>
    <n v="2.7800000000000002E-2"/>
    <n v="0.24135000000000001"/>
    <x v="0"/>
  </r>
  <r>
    <x v="29"/>
    <n v="2"/>
    <x v="0"/>
    <x v="1"/>
    <x v="0"/>
    <n v="0"/>
    <n v="0"/>
    <n v="0"/>
    <s v="BC100"/>
    <n v="0.06"/>
    <n v="424"/>
    <n v="398.56"/>
    <m/>
    <e v="#DIV/0!"/>
    <e v="#DIV/0!"/>
    <e v="#DIV/0!"/>
    <n v="0.94599999999999995"/>
    <n v="0.68189999999999995"/>
    <n v="4.7800000000000002E-2"/>
    <n v="0.23005"/>
    <n v="0.17604999999999998"/>
    <n v="0.94199999999999995"/>
    <n v="2.7800000000000002E-2"/>
    <n v="0.24135000000000001"/>
    <x v="0"/>
  </r>
  <r>
    <x v="30"/>
    <n v="1"/>
    <x v="0"/>
    <x v="0"/>
    <x v="1"/>
    <n v="720"/>
    <n v="0"/>
    <n v="720"/>
    <s v="BC100"/>
    <n v="0.04"/>
    <n v="918"/>
    <n v="881.28"/>
    <m/>
    <n v="76.5"/>
    <n v="73.44"/>
    <n v="0"/>
    <n v="0.85875000000000001"/>
    <n v="0.81374999999999997"/>
    <n v="8.900000000000001E-2"/>
    <n v="0"/>
    <n v="0"/>
    <n v="0.91495000000000004"/>
    <n v="0"/>
    <n v="0"/>
    <x v="1"/>
  </r>
  <r>
    <x v="30"/>
    <n v="2"/>
    <x v="0"/>
    <x v="0"/>
    <x v="0"/>
    <n v="720"/>
    <n v="0"/>
    <n v="720"/>
    <s v="BC100"/>
    <n v="5.2999999999999999E-2"/>
    <n v="892"/>
    <n v="844.72399999999993"/>
    <m/>
    <n v="74.333333333333329"/>
    <n v="70.393666666666661"/>
    <n v="0"/>
    <n v="0.75889999999999991"/>
    <n v="0.63430000000000009"/>
    <n v="0.11873333333333334"/>
    <n v="0"/>
    <n v="0"/>
    <n v="0.90549999999999997"/>
    <n v="0"/>
    <n v="0"/>
    <x v="1"/>
  </r>
  <r>
    <x v="31"/>
    <n v="1"/>
    <x v="0"/>
    <x v="0"/>
    <x v="1"/>
    <n v="720"/>
    <n v="0"/>
    <n v="720"/>
    <s v="BC100"/>
    <n v="4.2000000000000003E-2"/>
    <n v="778"/>
    <n v="745.32399999999996"/>
    <m/>
    <n v="64.833333333333329"/>
    <n v="62.11033333333333"/>
    <n v="0"/>
    <n v="0.88875000000000004"/>
    <n v="0.82050000000000001"/>
    <n v="0"/>
    <n v="0"/>
    <n v="0"/>
    <n v="0.92205000000000004"/>
    <n v="0"/>
    <n v="0"/>
    <x v="1"/>
  </r>
  <r>
    <x v="31"/>
    <n v="2"/>
    <x v="0"/>
    <x v="0"/>
    <x v="0"/>
    <n v="720"/>
    <n v="0"/>
    <n v="720"/>
    <s v="BC100"/>
    <n v="3.6999999999999998E-2"/>
    <n v="851"/>
    <n v="819.51299999999992"/>
    <m/>
    <n v="70.916666666666671"/>
    <n v="68.292749999999998"/>
    <n v="0"/>
    <n v="0.91833333333333333"/>
    <n v="0.73433333333333328"/>
    <n v="6.2333333333333331E-2"/>
    <n v="0"/>
    <n v="0"/>
    <n v="0.91600000000000004"/>
    <n v="0"/>
    <n v="0"/>
    <x v="1"/>
  </r>
  <r>
    <x v="32"/>
    <n v="1"/>
    <x v="0"/>
    <x v="0"/>
    <x v="1"/>
    <n v="720"/>
    <n v="0"/>
    <n v="720"/>
    <s v="BC100"/>
    <n v="3.6999999999999998E-2"/>
    <n v="926"/>
    <n v="891.73799999999994"/>
    <m/>
    <n v="77.166666666666671"/>
    <n v="74.311499999999995"/>
    <n v="0"/>
    <n v="0.9099600000000001"/>
    <n v="0.86272000000000004"/>
    <n v="7.5459999999999999E-2"/>
    <n v="0"/>
    <n v="0"/>
    <n v="0.91264000000000001"/>
    <n v="0"/>
    <n v="0"/>
    <x v="1"/>
  </r>
  <r>
    <x v="32"/>
    <n v="2"/>
    <x v="0"/>
    <x v="0"/>
    <x v="0"/>
    <n v="685.8"/>
    <n v="34.199999999999996"/>
    <n v="720"/>
    <s v="BC100"/>
    <n v="4.1000000000000002E-2"/>
    <n v="1067"/>
    <n v="1023.2529999999999"/>
    <m/>
    <n v="93.350831146106742"/>
    <n v="85.271083333333323"/>
    <n v="4.7499999999999994E-2"/>
    <n v="0.93133333333333335"/>
    <n v="0.77623333333333333"/>
    <n v="5.1999999999999991E-2"/>
    <n v="0"/>
    <n v="0"/>
    <n v="0.91506666666666669"/>
    <n v="0"/>
    <n v="0"/>
    <x v="1"/>
  </r>
  <r>
    <x v="33"/>
    <n v="1"/>
    <x v="0"/>
    <x v="0"/>
    <x v="1"/>
    <n v="714"/>
    <n v="6"/>
    <n v="720"/>
    <s v="BC100"/>
    <n v="3.5999999999999997E-2"/>
    <n v="880"/>
    <n v="848.31999999999994"/>
    <m/>
    <n v="73.949579831932766"/>
    <n v="70.693333333333328"/>
    <n v="8.3333333333333332E-3"/>
    <n v="0.89800000000000002"/>
    <n v="0.83253333333333346"/>
    <n v="8.1000000000000003E-2"/>
    <n v="0.17799999999999999"/>
    <n v="0.1862"/>
    <n v="0.91513333333333335"/>
    <n v="2.1100000000000001E-2"/>
    <n v="0.3599"/>
    <x v="1"/>
  </r>
  <r>
    <x v="33"/>
    <n v="1"/>
    <x v="0"/>
    <x v="0"/>
    <x v="1"/>
    <m/>
    <m/>
    <n v="0"/>
    <s v="BC100"/>
    <n v="7.4999999999999997E-2"/>
    <n v="140"/>
    <n v="129.5"/>
    <m/>
    <e v="#DIV/0!"/>
    <e v="#DIV/0!"/>
    <e v="#DIV/0!"/>
    <n v="0.89800000000000002"/>
    <n v="0.83253333333333346"/>
    <n v="8.1000000000000003E-2"/>
    <n v="0.17799999999999999"/>
    <n v="0.1862"/>
    <n v="0.91513333333333335"/>
    <n v="2.1100000000000001E-2"/>
    <n v="0.3599"/>
    <x v="1"/>
  </r>
  <r>
    <x v="33"/>
    <n v="2"/>
    <x v="0"/>
    <x v="0"/>
    <x v="0"/>
    <n v="667.19999999999993"/>
    <n v="52.8"/>
    <n v="719.99999999999989"/>
    <s v="BC100"/>
    <n v="4.2999999999999997E-2"/>
    <n v="1092"/>
    <n v="1045.0439999999999"/>
    <m/>
    <n v="98.201438848920873"/>
    <n v="87.087000000000003"/>
    <n v="7.3333333333333348E-2"/>
    <n v="0.88175000000000003"/>
    <n v="0.78024999999999989"/>
    <n v="7.9750000000000001E-2"/>
    <n v="0"/>
    <n v="0"/>
    <n v="0.91825000000000012"/>
    <n v="0"/>
    <n v="0"/>
    <x v="1"/>
  </r>
  <r>
    <x v="34"/>
    <n v="1"/>
    <x v="0"/>
    <x v="0"/>
    <x v="1"/>
    <n v="720"/>
    <n v="0"/>
    <n v="720"/>
    <s v="BC100"/>
    <n v="4.3999999999999997E-2"/>
    <n v="1075"/>
    <n v="1027.7"/>
    <m/>
    <n v="89.583333333333329"/>
    <n v="85.641666666666666"/>
    <n v="0"/>
    <n v="0.91352500000000003"/>
    <n v="0.85582500000000006"/>
    <n v="5.4450000000000005E-2"/>
    <n v="0"/>
    <n v="0"/>
    <n v="0.92389999999999994"/>
    <n v="0"/>
    <n v="0"/>
    <x v="1"/>
  </r>
  <r>
    <x v="34"/>
    <n v="2"/>
    <x v="0"/>
    <x v="0"/>
    <x v="0"/>
    <n v="720"/>
    <n v="0"/>
    <n v="720"/>
    <s v="BC100"/>
    <n v="3.3000000000000002E-2"/>
    <n v="969"/>
    <n v="937.02300000000002"/>
    <m/>
    <n v="80.75"/>
    <n v="78.085250000000002"/>
    <n v="0"/>
    <n v="0.90300000000000002"/>
    <n v="0.76524999999999999"/>
    <n v="6.7400000000000002E-2"/>
    <n v="0"/>
    <n v="0"/>
    <n v="0.91333333333333344"/>
    <n v="0"/>
    <n v="0"/>
    <x v="1"/>
  </r>
  <r>
    <x v="35"/>
    <n v="1"/>
    <x v="0"/>
    <x v="0"/>
    <x v="7"/>
    <n v="720"/>
    <n v="0"/>
    <n v="720"/>
    <s v="BC100"/>
    <n v="3.2000000000000001E-2"/>
    <n v="1123"/>
    <n v="1087.0640000000001"/>
    <m/>
    <n v="93.583333333333329"/>
    <n v="90.588666666666668"/>
    <n v="0"/>
    <n v="0.91133333333333333"/>
    <n v="0.85699999999999987"/>
    <n v="6.8333333333333343E-2"/>
    <n v="0"/>
    <n v="0"/>
    <n v="0.92266666666666675"/>
    <n v="0"/>
    <n v="0"/>
    <x v="1"/>
  </r>
  <r>
    <x v="35"/>
    <n v="2"/>
    <x v="0"/>
    <x v="0"/>
    <x v="3"/>
    <n v="330"/>
    <n v="390"/>
    <n v="720"/>
    <s v="BC100"/>
    <n v="3.3000000000000002E-2"/>
    <n v="486"/>
    <n v="469.96199999999999"/>
    <m/>
    <n v="88.36363636363636"/>
    <n v="39.163499999999999"/>
    <n v="0.54166666666666663"/>
    <n v="0.90749999999999997"/>
    <n v="0.86399999999999999"/>
    <n v="9.2499999999999999E-2"/>
    <n v="0"/>
    <n v="0"/>
    <n v="0.92749999999999999"/>
    <n v="0"/>
    <n v="0"/>
    <x v="1"/>
  </r>
  <r>
    <x v="36"/>
    <n v="1"/>
    <x v="0"/>
    <x v="0"/>
    <x v="7"/>
    <n v="312"/>
    <n v="408"/>
    <n v="720"/>
    <s v="BC100"/>
    <n v="2.7E-2"/>
    <n v="469"/>
    <n v="456.33699999999999"/>
    <m/>
    <n v="90.192307692307693"/>
    <n v="38.028083333333335"/>
    <n v="0.56666666666666665"/>
    <n v="0.91549999999999998"/>
    <n v="0.86549999999999994"/>
    <n v="8.4499999999999992E-2"/>
    <n v="0"/>
    <n v="0"/>
    <n v="0.92949999999999999"/>
    <n v="0"/>
    <n v="0"/>
    <x v="1"/>
  </r>
  <r>
    <x v="36"/>
    <n v="2"/>
    <x v="0"/>
    <x v="0"/>
    <x v="3"/>
    <n v="690"/>
    <n v="30"/>
    <n v="720"/>
    <s v="BC100"/>
    <n v="4.2999999999999997E-2"/>
    <n v="1093"/>
    <n v="1046.001"/>
    <m/>
    <n v="95.043478260869563"/>
    <n v="87.166749999999993"/>
    <n v="4.1666666666666664E-2"/>
    <n v="0.87700000000000011"/>
    <n v="0.84333333333333327"/>
    <n v="0.123"/>
    <n v="0"/>
    <n v="0"/>
    <n v="0.92400000000000004"/>
    <n v="0"/>
    <n v="0"/>
    <x v="1"/>
  </r>
  <r>
    <x v="37"/>
    <n v="1"/>
    <x v="0"/>
    <x v="0"/>
    <x v="5"/>
    <n v="702"/>
    <n v="18"/>
    <n v="720"/>
    <s v="BC100"/>
    <n v="3.5999999999999997E-2"/>
    <n v="1095"/>
    <n v="1055.58"/>
    <m/>
    <n v="93.589743589743591"/>
    <n v="87.964999999999989"/>
    <n v="2.5000000000000001E-2"/>
    <n v="0.89300000000000002"/>
    <n v="0.82099999999999995"/>
    <n v="0.10225000000000001"/>
    <n v="0"/>
    <n v="0"/>
    <n v="0.91550000000000009"/>
    <n v="0"/>
    <n v="0"/>
    <x v="1"/>
  </r>
  <r>
    <x v="37"/>
    <n v="2"/>
    <x v="0"/>
    <x v="0"/>
    <x v="3"/>
    <n v="720"/>
    <n v="0"/>
    <n v="720"/>
    <s v="BC100"/>
    <n v="0.05"/>
    <n v="1141"/>
    <n v="1083.95"/>
    <m/>
    <n v="95.083333333333329"/>
    <n v="90.329166666666666"/>
    <n v="0"/>
    <n v="0.93449999999999989"/>
    <n v="0.84099999999999997"/>
    <n v="6.5750000000000003E-2"/>
    <n v="0"/>
    <n v="0"/>
    <n v="0.93025000000000002"/>
    <n v="0"/>
    <n v="0"/>
    <x v="1"/>
  </r>
  <r>
    <x v="38"/>
    <n v="1"/>
    <x v="0"/>
    <x v="0"/>
    <x v="5"/>
    <n v="660"/>
    <n v="60"/>
    <n v="720"/>
    <s v="BC100"/>
    <n v="0.04"/>
    <n v="1048"/>
    <n v="1006.0799999999999"/>
    <m/>
    <n v="95.272727272727266"/>
    <n v="83.839999999999989"/>
    <n v="8.3333333333333329E-2"/>
    <n v="0.93925000000000003"/>
    <n v="0.87349999999999994"/>
    <n v="6.1749999999999999E-2"/>
    <n v="0"/>
    <n v="0"/>
    <n v="0.9325"/>
    <n v="0"/>
    <n v="0"/>
    <x v="1"/>
  </r>
  <r>
    <x v="38"/>
    <n v="2"/>
    <x v="0"/>
    <x v="0"/>
    <x v="3"/>
    <n v="705"/>
    <n v="15"/>
    <n v="720"/>
    <s v="BC100"/>
    <n v="0.04"/>
    <n v="1135"/>
    <n v="1089.5999999999999"/>
    <m/>
    <n v="96.59574468085107"/>
    <n v="90.8"/>
    <n v="2.0833333333333332E-2"/>
    <n v="0.93299999999999994"/>
    <n v="0.76924999999999999"/>
    <n v="6.6500000000000004E-2"/>
    <n v="0"/>
    <n v="0"/>
    <n v="0.93274999999999997"/>
    <n v="0"/>
    <n v="0"/>
    <x v="1"/>
  </r>
  <r>
    <x v="39"/>
    <n v="1"/>
    <x v="0"/>
    <x v="0"/>
    <x v="5"/>
    <n v="720"/>
    <n v="0"/>
    <n v="720"/>
    <s v="BC100"/>
    <n v="3.9E-2"/>
    <n v="1156"/>
    <n v="1110.9159999999999"/>
    <m/>
    <n v="96.333333333333329"/>
    <n v="92.576333333333324"/>
    <n v="0"/>
    <n v="0.92525000000000002"/>
    <n v="0.85499999999999998"/>
    <n v="7.4749999999999997E-2"/>
    <n v="0"/>
    <n v="0"/>
    <n v="0.91575000000000006"/>
    <n v="0"/>
    <n v="0"/>
    <x v="1"/>
  </r>
  <r>
    <x v="39"/>
    <n v="2"/>
    <x v="0"/>
    <x v="0"/>
    <x v="3"/>
    <n v="720"/>
    <n v="0"/>
    <n v="720"/>
    <s v="BC100"/>
    <n v="3.9E-2"/>
    <n v="948"/>
    <n v="911.02800000000002"/>
    <m/>
    <n v="79"/>
    <n v="75.918999999999997"/>
    <n v="0"/>
    <n v="0.91966666666666663"/>
    <n v="0.85066666666666668"/>
    <n v="7.6999999999999999E-2"/>
    <n v="0"/>
    <n v="0"/>
    <n v="0.92366666666666664"/>
    <n v="0"/>
    <n v="0"/>
    <x v="1"/>
  </r>
  <r>
    <x v="40"/>
    <n v="1"/>
    <x v="0"/>
    <x v="0"/>
    <x v="5"/>
    <n v="720"/>
    <n v="0"/>
    <n v="720"/>
    <s v="BC100"/>
    <n v="3.9E-2"/>
    <n v="1020"/>
    <n v="980.21999999999991"/>
    <m/>
    <n v="85"/>
    <n v="81.684999999999988"/>
    <n v="0"/>
    <n v="0.93599999999999994"/>
    <n v="0.86266666666666669"/>
    <n v="6.433333333333334E-2"/>
    <n v="0"/>
    <n v="0"/>
    <n v="0.93800000000000006"/>
    <n v="0"/>
    <n v="0"/>
    <x v="1"/>
  </r>
  <r>
    <x v="40"/>
    <n v="2"/>
    <x v="0"/>
    <x v="0"/>
    <x v="3"/>
    <n v="720"/>
    <n v="0"/>
    <n v="720"/>
    <s v="BC100"/>
    <n v="5.0999999999999997E-2"/>
    <n v="933"/>
    <n v="885.41699999999992"/>
    <m/>
    <n v="77.75"/>
    <n v="73.784749999999988"/>
    <n v="0"/>
    <n v="0.91850000000000009"/>
    <n v="0.82750000000000001"/>
    <n v="7.4750000000000011E-2"/>
    <n v="0"/>
    <n v="0"/>
    <n v="0.93025000000000002"/>
    <n v="0"/>
    <n v="0"/>
    <x v="1"/>
  </r>
  <r>
    <x v="41"/>
    <n v="1"/>
    <x v="0"/>
    <x v="0"/>
    <x v="5"/>
    <n v="720"/>
    <n v="0"/>
    <n v="720"/>
    <s v="BC100"/>
    <n v="3.5000000000000003E-2"/>
    <n v="1128"/>
    <n v="1088.52"/>
    <m/>
    <n v="94"/>
    <n v="90.71"/>
    <n v="0"/>
    <n v="0.92525000000000002"/>
    <n v="0.86"/>
    <n v="7.4749999999999997E-2"/>
    <n v="0"/>
    <n v="0"/>
    <n v="0.93149999999999999"/>
    <n v="0"/>
    <n v="0"/>
    <x v="1"/>
  </r>
  <r>
    <x v="41"/>
    <n v="2"/>
    <x v="0"/>
    <x v="0"/>
    <x v="3"/>
    <n v="714"/>
    <n v="0"/>
    <n v="714"/>
    <s v="BC100"/>
    <n v="0.04"/>
    <n v="1142"/>
    <n v="1096.32"/>
    <m/>
    <n v="95.966386554621849"/>
    <n v="92.12773109243696"/>
    <n v="0"/>
    <n v="0.92133333333333345"/>
    <n v="0.78366666666666662"/>
    <n v="7.8666666666666663E-2"/>
    <n v="0"/>
    <n v="0"/>
    <n v="0.91733333333333322"/>
    <n v="0"/>
    <n v="0"/>
    <x v="1"/>
  </r>
  <r>
    <x v="42"/>
    <n v="1"/>
    <x v="0"/>
    <x v="0"/>
    <x v="4"/>
    <n v="720"/>
    <n v="0"/>
    <n v="720"/>
    <s v="BC100"/>
    <n v="4.4999999999999998E-2"/>
    <n v="1140"/>
    <n v="1088.7"/>
    <m/>
    <n v="95"/>
    <n v="90.725000000000009"/>
    <n v="0"/>
    <n v="0.90257499999999991"/>
    <n v="0.85084999999999988"/>
    <n v="7.7374999999999999E-2"/>
    <n v="0"/>
    <n v="0"/>
    <n v="0.92614999999999992"/>
    <n v="0"/>
    <n v="0"/>
    <x v="1"/>
  </r>
  <r>
    <x v="42"/>
    <n v="2"/>
    <x v="0"/>
    <x v="0"/>
    <x v="9"/>
    <n v="676.8"/>
    <n v="43.199999999999996"/>
    <n v="720"/>
    <s v="BC100"/>
    <n v="4.2999999999999997E-2"/>
    <n v="1138"/>
    <n v="1089.066"/>
    <m/>
    <n v="100.88652482269504"/>
    <n v="90.755499999999998"/>
    <n v="5.9999999999999991E-2"/>
    <n v="0.88119999999999987"/>
    <n v="0.79856666666666654"/>
    <n v="0.11866666666666666"/>
    <n v="0"/>
    <n v="0"/>
    <n v="0.91120000000000001"/>
    <n v="0"/>
    <n v="0"/>
    <x v="1"/>
  </r>
  <r>
    <x v="43"/>
    <n v="1"/>
    <x v="0"/>
    <x v="0"/>
    <x v="10"/>
    <n v="390"/>
    <n v="330"/>
    <n v="720"/>
    <s v="BC100"/>
    <n v="4.2000000000000003E-2"/>
    <n v="650"/>
    <n v="622.69999999999993"/>
    <m/>
    <n v="100"/>
    <n v="51.891666666666659"/>
    <n v="0.45833333333333331"/>
    <n v="0.91270000000000007"/>
    <n v="0.85614999999999997"/>
    <n v="7.0249999999999993E-2"/>
    <n v="0"/>
    <n v="0"/>
    <n v="0.93855"/>
    <n v="0"/>
    <n v="0"/>
    <x v="1"/>
  </r>
  <r>
    <x v="43"/>
    <n v="2"/>
    <x v="0"/>
    <x v="0"/>
    <x v="9"/>
    <n v="720"/>
    <n v="0"/>
    <n v="720"/>
    <s v="BC100"/>
    <n v="4.2000000000000003E-2"/>
    <n v="1255"/>
    <n v="1202.29"/>
    <m/>
    <n v="104.58333333333333"/>
    <n v="100.19083333333333"/>
    <n v="0"/>
    <n v="0.93064999999999998"/>
    <n v="0.74879999999999991"/>
    <n v="5.5725000000000011E-2"/>
    <n v="0"/>
    <n v="0"/>
    <n v="0.91075000000000006"/>
    <n v="0"/>
    <n v="0"/>
    <x v="1"/>
  </r>
  <r>
    <x v="44"/>
    <n v="1"/>
    <x v="0"/>
    <x v="0"/>
    <x v="10"/>
    <n v="714"/>
    <n v="6"/>
    <n v="720"/>
    <s v="BC100"/>
    <n v="4.3999999999999997E-2"/>
    <n v="1116"/>
    <n v="1066.896"/>
    <m/>
    <n v="93.78151260504201"/>
    <n v="88.908000000000001"/>
    <n v="8.3333333333333332E-3"/>
    <n v="0.75229999999999997"/>
    <n v="0.71014999999999995"/>
    <n v="0.139325"/>
    <n v="0"/>
    <n v="0"/>
    <n v="0.91684999999999994"/>
    <n v="0"/>
    <n v="0"/>
    <x v="1"/>
  </r>
  <r>
    <x v="44"/>
    <n v="2"/>
    <x v="0"/>
    <x v="0"/>
    <x v="0"/>
    <n v="720"/>
    <n v="0"/>
    <n v="720"/>
    <s v="BC100"/>
    <n v="4.8000000000000001E-2"/>
    <n v="1092"/>
    <n v="1039.5840000000001"/>
    <m/>
    <n v="91"/>
    <n v="86.632000000000005"/>
    <n v="0"/>
    <n v="0.9321666666666667"/>
    <n v="0.84909999999999997"/>
    <n v="5.7833333333333327E-2"/>
    <n v="0"/>
    <n v="0"/>
    <n v="0.91695000000000004"/>
    <n v="0"/>
    <n v="0"/>
    <x v="1"/>
  </r>
  <r>
    <x v="45"/>
    <n v="1"/>
    <x v="0"/>
    <x v="0"/>
    <x v="4"/>
    <n v="720"/>
    <n v="0"/>
    <n v="720"/>
    <s v="BC100"/>
    <n v="3.9E-2"/>
    <n v="930"/>
    <n v="893.73"/>
    <m/>
    <n v="77.5"/>
    <n v="74.477500000000006"/>
    <n v="0"/>
    <n v="0.87844999999999995"/>
    <n v="0.81727499999999997"/>
    <n v="9.7425000000000012E-2"/>
    <n v="0"/>
    <n v="0"/>
    <n v="0.89712500000000006"/>
    <n v="0"/>
    <n v="0"/>
    <x v="1"/>
  </r>
  <r>
    <x v="45"/>
    <n v="2"/>
    <x v="0"/>
    <x v="0"/>
    <x v="9"/>
    <n v="720"/>
    <m/>
    <n v="720"/>
    <s v="BC100"/>
    <n v="3.9E-2"/>
    <n v="853"/>
    <n v="819.73299999999995"/>
    <m/>
    <n v="71.083333333333329"/>
    <n v="68.311083333333329"/>
    <n v="0"/>
    <n v="0.9094000000000001"/>
    <n v="0.78223333333333323"/>
    <n v="8.7033333333333338E-2"/>
    <n v="0"/>
    <n v="0"/>
    <n v="0.92300000000000004"/>
    <n v="0"/>
    <n v="0"/>
    <x v="1"/>
  </r>
  <r>
    <x v="46"/>
    <n v="1"/>
    <x v="0"/>
    <x v="0"/>
    <x v="12"/>
    <n v="720"/>
    <n v="0"/>
    <n v="720"/>
    <s v="BC100"/>
    <n v="3.5999999999999997E-2"/>
    <n v="975"/>
    <n v="939.9"/>
    <m/>
    <n v="81.25"/>
    <n v="78.325000000000003"/>
    <n v="0"/>
    <n v="0.92327499999999996"/>
    <n v="0.83625000000000005"/>
    <n v="6.3099999999999989E-2"/>
    <n v="0"/>
    <n v="0"/>
    <n v="0.92549999999999999"/>
    <n v="0"/>
    <n v="0"/>
    <x v="1"/>
  </r>
  <r>
    <x v="46"/>
    <n v="2"/>
    <x v="0"/>
    <x v="0"/>
    <x v="9"/>
    <n v="634.20000000000005"/>
    <n v="85.8"/>
    <n v="720"/>
    <s v="BC100"/>
    <n v="3.5000000000000003E-2"/>
    <n v="952"/>
    <n v="918.68"/>
    <m/>
    <n v="90.066225165562912"/>
    <n v="76.556666666666658"/>
    <n v="0.11916666666666666"/>
    <n v="0.93257500000000004"/>
    <n v="0.81822499999999998"/>
    <n v="6.7250000000000004E-2"/>
    <n v="0"/>
    <n v="0"/>
    <n v="0.9275500000000001"/>
    <n v="0"/>
    <n v="0"/>
    <x v="1"/>
  </r>
  <r>
    <x v="47"/>
    <n v="1"/>
    <x v="0"/>
    <x v="0"/>
    <x v="10"/>
    <n v="585"/>
    <n v="135"/>
    <n v="720"/>
    <s v="BC100"/>
    <n v="3.5000000000000003E-2"/>
    <n v="980"/>
    <n v="945.69999999999993"/>
    <m/>
    <n v="100.51282051282051"/>
    <n v="78.808333333333323"/>
    <n v="0.1875"/>
    <n v="0.93982500000000002"/>
    <n v="0.84699999999999998"/>
    <n v="5.3775000000000003E-2"/>
    <n v="0"/>
    <n v="0"/>
    <n v="0.93447499999999994"/>
    <n v="0"/>
    <n v="0"/>
    <x v="1"/>
  </r>
  <r>
    <x v="47"/>
    <n v="2"/>
    <x v="0"/>
    <x v="0"/>
    <x v="9"/>
    <n v="690"/>
    <n v="30"/>
    <n v="720"/>
    <s v="BC100"/>
    <n v="3.5999999999999997E-2"/>
    <n v="1253"/>
    <n v="1207.8920000000001"/>
    <m/>
    <n v="108.95652173913044"/>
    <n v="100.65766666666667"/>
    <n v="4.1666666666666664E-2"/>
    <n v="0.9235000000000001"/>
    <n v="0.81100000000000005"/>
    <n v="7.6499999999999999E-2"/>
    <n v="0"/>
    <n v="0"/>
    <n v="0.90525"/>
    <n v="0"/>
    <n v="0"/>
    <x v="1"/>
  </r>
  <r>
    <x v="48"/>
    <n v="1"/>
    <x v="0"/>
    <x v="0"/>
    <x v="12"/>
    <n v="600"/>
    <n v="120"/>
    <n v="720"/>
    <s v="BC100"/>
    <n v="3.5000000000000003E-2"/>
    <n v="1010"/>
    <n v="974.65"/>
    <m/>
    <n v="101"/>
    <n v="81.220833333333331"/>
    <n v="0.16666666666666666"/>
    <n v="0.89336666666666664"/>
    <n v="0.83956666666666668"/>
    <n v="8.4900000000000017E-2"/>
    <n v="0"/>
    <n v="0"/>
    <n v="0.9083"/>
    <n v="0"/>
    <n v="0"/>
    <x v="1"/>
  </r>
  <r>
    <x v="48"/>
    <n v="2"/>
    <x v="0"/>
    <x v="0"/>
    <x v="9"/>
    <n v="684.6"/>
    <n v="35.4"/>
    <n v="720"/>
    <s v="BC100"/>
    <n v="3.5000000000000003E-2"/>
    <n v="1190"/>
    <n v="1148.3499999999999"/>
    <m/>
    <n v="104.29447852760737"/>
    <n v="95.695833333333326"/>
    <n v="4.9166666666666664E-2"/>
    <n v="0.92415000000000003"/>
    <n v="0.83365"/>
    <n v="7.5750000000000012E-2"/>
    <n v="0"/>
    <n v="0"/>
    <n v="0.90834999999999999"/>
    <n v="0"/>
    <n v="0"/>
    <x v="1"/>
  </r>
  <r>
    <x v="49"/>
    <n v="1"/>
    <x v="0"/>
    <x v="0"/>
    <x v="5"/>
    <n v="720"/>
    <n v="0"/>
    <n v="720"/>
    <s v="BC100"/>
    <n v="4.6300000000000001E-2"/>
    <n v="1253"/>
    <n v="1194.9861000000001"/>
    <m/>
    <n v="104.41666666666667"/>
    <n v="99.582175000000007"/>
    <n v="0"/>
    <n v="0.89700000000000002"/>
    <n v="0.84724999999999984"/>
    <n v="0.10574999999999998"/>
    <n v="0"/>
    <n v="0"/>
    <n v="0.92025000000000001"/>
    <n v="0"/>
    <n v="0"/>
    <x v="1"/>
  </r>
  <r>
    <x v="49"/>
    <n v="2"/>
    <x v="0"/>
    <x v="0"/>
    <x v="3"/>
    <n v="690"/>
    <n v="30"/>
    <n v="720"/>
    <s v="BC100"/>
    <n v="5.1999999999999998E-2"/>
    <n v="1253"/>
    <n v="1187.8440000000001"/>
    <m/>
    <n v="108.95652173913044"/>
    <n v="98.987000000000009"/>
    <n v="4.1666666666666664E-2"/>
    <n v="0.92066666666666663"/>
    <n v="0.84199999999999997"/>
    <n v="7.9333333333333325E-2"/>
    <n v="0"/>
    <n v="0"/>
    <n v="0.92333333333333334"/>
    <n v="0"/>
    <n v="0"/>
    <x v="1"/>
  </r>
  <r>
    <x v="50"/>
    <n v="1"/>
    <x v="0"/>
    <x v="0"/>
    <x v="5"/>
    <n v="720"/>
    <n v="0"/>
    <n v="720"/>
    <s v="BC100"/>
    <n v="4.3999999999999997E-2"/>
    <n v="1220"/>
    <n v="1166.32"/>
    <m/>
    <n v="101.66666666666667"/>
    <n v="97.193333333333328"/>
    <n v="0"/>
    <n v="0.89933333333333332"/>
    <n v="0.85433333333333328"/>
    <n v="0.10066666666666668"/>
    <n v="0"/>
    <n v="0"/>
    <n v="0.91733333333333322"/>
    <n v="0"/>
    <n v="0"/>
    <x v="1"/>
  </r>
  <r>
    <x v="50"/>
    <n v="2"/>
    <x v="0"/>
    <x v="0"/>
    <x v="3"/>
    <n v="720"/>
    <n v="0"/>
    <n v="720"/>
    <s v="BC100"/>
    <n v="4.2999999999999997E-2"/>
    <n v="1289"/>
    <n v="1233.5729999999999"/>
    <m/>
    <n v="107.41666666666667"/>
    <n v="102.79774999999999"/>
    <n v="0"/>
    <n v="0.90700000000000003"/>
    <n v="0.83245000000000002"/>
    <n v="8.3224999999999993E-2"/>
    <n v="0"/>
    <n v="0"/>
    <n v="0.91342500000000004"/>
    <n v="0"/>
    <n v="0"/>
    <x v="1"/>
  </r>
  <r>
    <x v="51"/>
    <n v="1"/>
    <x v="0"/>
    <x v="0"/>
    <x v="5"/>
    <n v="630"/>
    <n v="90"/>
    <n v="720"/>
    <s v="BC100"/>
    <n v="4.2999999999999997E-2"/>
    <n v="967"/>
    <n v="925.41899999999998"/>
    <m/>
    <n v="92.095238095238102"/>
    <n v="77.118250000000003"/>
    <n v="0.125"/>
    <n v="0.86499999999999999"/>
    <n v="0.83079999999999998"/>
    <n v="0.12179999999999999"/>
    <n v="0"/>
    <n v="0"/>
    <n v="0.89540000000000008"/>
    <n v="0"/>
    <n v="0"/>
    <x v="1"/>
  </r>
  <r>
    <x v="51"/>
    <n v="2"/>
    <x v="0"/>
    <x v="0"/>
    <x v="3"/>
    <n v="720"/>
    <n v="0"/>
    <n v="720"/>
    <s v="BC100"/>
    <n v="3.9E-2"/>
    <n v="1200"/>
    <n v="1153.2"/>
    <m/>
    <n v="100"/>
    <n v="96.100000000000009"/>
    <n v="0"/>
    <n v="0.92344999999999999"/>
    <n v="0.80820000000000003"/>
    <n v="7.8275000000000011E-2"/>
    <n v="0"/>
    <n v="0"/>
    <n v="0.92930000000000001"/>
    <n v="0"/>
    <n v="0"/>
    <x v="1"/>
  </r>
  <r>
    <x v="52"/>
    <n v="1"/>
    <x v="0"/>
    <x v="0"/>
    <x v="5"/>
    <n v="720"/>
    <n v="0"/>
    <n v="720"/>
    <s v="BC100"/>
    <n v="4.9000000000000002E-2"/>
    <n v="1237"/>
    <n v="1176.3869999999999"/>
    <m/>
    <n v="103.08333333333333"/>
    <n v="98.032249999999991"/>
    <n v="0"/>
    <n v="0.90450000000000008"/>
    <n v="0.85399999999999998"/>
    <n v="9.2749999999999999E-2"/>
    <n v="0"/>
    <n v="0"/>
    <n v="0.91250000000000009"/>
    <n v="0"/>
    <n v="0"/>
    <x v="1"/>
  </r>
  <r>
    <x v="52"/>
    <n v="2"/>
    <x v="0"/>
    <x v="0"/>
    <x v="3"/>
    <n v="705"/>
    <n v="15"/>
    <n v="720"/>
    <s v="BC100"/>
    <n v="4.2000000000000003E-2"/>
    <n v="1245"/>
    <n v="1192.71"/>
    <m/>
    <n v="105.95744680851064"/>
    <n v="99.392499999999998"/>
    <n v="2.0833333333333332E-2"/>
    <n v="0.91849999999999998"/>
    <n v="0.80275000000000007"/>
    <n v="8.2000000000000003E-2"/>
    <n v="0"/>
    <n v="0"/>
    <n v="0.91549999999999998"/>
    <n v="0"/>
    <n v="0"/>
    <x v="1"/>
  </r>
  <r>
    <x v="53"/>
    <n v="1"/>
    <x v="0"/>
    <x v="0"/>
    <x v="5"/>
    <n v="720"/>
    <n v="0"/>
    <n v="720"/>
    <s v="BC100"/>
    <n v="4.1000000000000002E-2"/>
    <n v="1275"/>
    <n v="1222.7249999999999"/>
    <m/>
    <n v="106.25"/>
    <n v="101.89375"/>
    <n v="0"/>
    <n v="0.90933333333333344"/>
    <n v="0.86033333333333328"/>
    <n v="9.1333333333333322E-2"/>
    <n v="0"/>
    <n v="0"/>
    <n v="0.91833333333333345"/>
    <n v="0"/>
    <n v="0"/>
    <x v="1"/>
  </r>
  <r>
    <x v="53"/>
    <n v="2"/>
    <x v="0"/>
    <x v="0"/>
    <x v="3"/>
    <n v="720"/>
    <n v="0"/>
    <n v="720"/>
    <s v="BC100"/>
    <n v="3.7999999999999999E-2"/>
    <n v="1291"/>
    <n v="1241.942"/>
    <m/>
    <n v="107.58333333333333"/>
    <n v="103.49516666666666"/>
    <n v="0"/>
    <n v="0.93524999999999991"/>
    <n v="0.80024999999999991"/>
    <n v="6.5000000000000002E-2"/>
    <n v="0"/>
    <n v="0"/>
    <n v="0.92575000000000007"/>
    <n v="0"/>
    <n v="0"/>
    <x v="1"/>
  </r>
  <r>
    <x v="54"/>
    <n v="1"/>
    <x v="0"/>
    <x v="0"/>
    <x v="5"/>
    <n v="720"/>
    <m/>
    <n v="720"/>
    <s v="BC100"/>
    <n v="3.9E-2"/>
    <n v="1271"/>
    <n v="1221.431"/>
    <m/>
    <n v="105.91666666666667"/>
    <n v="101.78591666666667"/>
    <n v="0"/>
    <n v="0.93500000000000005"/>
    <n v="0.81925000000000003"/>
    <n v="6.8000000000000005E-2"/>
    <n v="0"/>
    <n v="0"/>
    <n v="0.92400000000000004"/>
    <n v="0"/>
    <n v="0"/>
    <x v="1"/>
  </r>
  <r>
    <x v="54"/>
    <n v="2"/>
    <x v="0"/>
    <x v="0"/>
    <x v="3"/>
    <n v="720"/>
    <m/>
    <n v="720"/>
    <s v="BC100"/>
    <n v="0.04"/>
    <n v="1224"/>
    <n v="1175.04"/>
    <m/>
    <n v="102"/>
    <n v="97.92"/>
    <n v="0"/>
    <n v="0.78100000000000003"/>
    <n v="5.6999999999999995E-2"/>
    <n v="0"/>
    <n v="0"/>
    <n v="0.93374999999999997"/>
    <n v="0"/>
    <n v="0"/>
    <m/>
    <x v="1"/>
  </r>
  <r>
    <x v="55"/>
    <n v="1"/>
    <x v="0"/>
    <x v="0"/>
    <x v="5"/>
    <n v="720"/>
    <n v="0"/>
    <n v="720"/>
    <s v="BC100"/>
    <n v="3.9E-2"/>
    <n v="1260"/>
    <n v="1210.8599999999999"/>
    <m/>
    <n v="105"/>
    <n v="100.90499999999999"/>
    <n v="0"/>
    <n v="0.95400000000000007"/>
    <n v="0.82499999999999984"/>
    <n v="4.6666666666666669E-2"/>
    <n v="0"/>
    <n v="0"/>
    <n v="0.93366666666666676"/>
    <n v="0"/>
    <n v="0"/>
    <x v="1"/>
  </r>
  <r>
    <x v="55"/>
    <n v="2"/>
    <x v="0"/>
    <x v="0"/>
    <x v="3"/>
    <n v="720"/>
    <n v="0"/>
    <n v="720"/>
    <s v="BC100"/>
    <n v="3.7999999999999999E-2"/>
    <n v="1266"/>
    <n v="1217.8920000000001"/>
    <m/>
    <n v="105.5"/>
    <n v="101.491"/>
    <n v="0"/>
    <n v="0.95524999999999993"/>
    <n v="0.80474999999999997"/>
    <n v="4.65E-2"/>
    <n v="0"/>
    <n v="0"/>
    <n v="0.94574999999999998"/>
    <n v="0"/>
    <n v="0"/>
    <x v="1"/>
  </r>
  <r>
    <x v="56"/>
    <n v="1"/>
    <x v="0"/>
    <x v="0"/>
    <x v="4"/>
    <n v="450"/>
    <n v="270"/>
    <n v="720"/>
    <s v="BC100"/>
    <n v="3.5999999999999997E-2"/>
    <n v="696"/>
    <n v="670.94399999999996"/>
    <m/>
    <n v="92.8"/>
    <n v="55.911999999999999"/>
    <n v="0.375"/>
    <n v="0.94669999999999999"/>
    <n v="0.85345000000000004"/>
    <n v="4.6899999999999997E-2"/>
    <n v="0"/>
    <n v="0"/>
    <n v="0.93405000000000005"/>
    <n v="0"/>
    <n v="0"/>
    <x v="1"/>
  </r>
  <r>
    <x v="56"/>
    <n v="2"/>
    <x v="0"/>
    <x v="0"/>
    <x v="8"/>
    <n v="693"/>
    <n v="27"/>
    <n v="720"/>
    <s v="BC100"/>
    <n v="0.04"/>
    <n v="862"/>
    <n v="827.52"/>
    <m/>
    <n v="74.632034632034632"/>
    <n v="68.959999999999994"/>
    <n v="3.7499999999999999E-2"/>
    <n v="0.94886666666666664"/>
    <n v="0.78359999999999996"/>
    <n v="5.1666666666666666E-2"/>
    <n v="0"/>
    <n v="0"/>
    <n v="0.91977500000000001"/>
    <n v="0"/>
    <n v="0"/>
    <x v="1"/>
  </r>
  <r>
    <x v="57"/>
    <n v="1"/>
    <x v="0"/>
    <x v="0"/>
    <x v="1"/>
    <n v="720"/>
    <n v="0"/>
    <n v="720"/>
    <s v="BC100"/>
    <n v="3.6999999999999998E-2"/>
    <n v="850"/>
    <n v="818.55"/>
    <m/>
    <n v="70.833333333333329"/>
    <n v="68.212499999999991"/>
    <n v="0"/>
    <n v="0.9254"/>
    <n v="0.84892499999999993"/>
    <n v="6.08E-2"/>
    <n v="0"/>
    <n v="0"/>
    <n v="0.93589999999999995"/>
    <n v="0"/>
    <n v="0"/>
    <x v="1"/>
  </r>
  <r>
    <x v="57"/>
    <n v="2"/>
    <x v="0"/>
    <x v="0"/>
    <x v="9"/>
    <n v="666"/>
    <n v="54"/>
    <n v="720"/>
    <s v="BC100"/>
    <n v="3.6999999999999998E-2"/>
    <n v="748"/>
    <n v="720.32399999999996"/>
    <m/>
    <n v="67.387387387387392"/>
    <n v="60.026999999999994"/>
    <n v="7.4999999999999997E-2"/>
    <n v="0.75984999999999991"/>
    <n v="0.70699999999999996"/>
    <n v="0.24024999999999999"/>
    <n v="0"/>
    <n v="0"/>
    <n v="0.91188000000000002"/>
    <n v="0"/>
    <n v="0"/>
    <x v="1"/>
  </r>
  <r>
    <x v="58"/>
    <n v="1"/>
    <x v="0"/>
    <x v="0"/>
    <x v="4"/>
    <n v="720"/>
    <n v="0"/>
    <n v="720"/>
    <s v="BC100"/>
    <n v="4.2000000000000003E-2"/>
    <n v="701"/>
    <n v="671.55799999999999"/>
    <m/>
    <n v="58.416666666666664"/>
    <n v="55.963166666666666"/>
    <n v="0"/>
    <n v="0.75064999999999993"/>
    <n v="0.67762499999999992"/>
    <n v="0.13439999999999999"/>
    <n v="0"/>
    <n v="0"/>
    <n v="0.91852500000000004"/>
    <n v="0"/>
    <n v="0"/>
    <x v="1"/>
  </r>
  <r>
    <x v="58"/>
    <n v="2"/>
    <x v="0"/>
    <x v="0"/>
    <x v="9"/>
    <n v="666.59999999999991"/>
    <n v="53.4"/>
    <n v="719.99999999999989"/>
    <s v="BC100"/>
    <n v="4.1000000000000002E-2"/>
    <n v="783"/>
    <n v="750.89699999999993"/>
    <m/>
    <n v="70.477047704770499"/>
    <n v="62.574750000000002"/>
    <n v="7.4166666666666672E-2"/>
    <n v="0.93874999999999997"/>
    <n v="0.76075000000000004"/>
    <n v="6.1499999999999999E-2"/>
    <n v="0"/>
    <n v="0"/>
    <n v="0.93575000000000008"/>
    <n v="0"/>
    <n v="0"/>
    <x v="1"/>
  </r>
  <r>
    <x v="59"/>
    <n v="1"/>
    <x v="0"/>
    <x v="0"/>
    <x v="4"/>
    <n v="720"/>
    <n v="0"/>
    <n v="720"/>
    <s v="BC100"/>
    <n v="4.2999999999999997E-2"/>
    <n v="811"/>
    <n v="776.12699999999995"/>
    <m/>
    <n v="67.583333333333329"/>
    <n v="64.677250000000001"/>
    <n v="0"/>
    <n v="0.92349999999999999"/>
    <n v="0.78725000000000001"/>
    <n v="6.133333333333333E-2"/>
    <n v="0"/>
    <n v="0"/>
    <n v="0.93247500000000005"/>
    <n v="0"/>
    <n v="0"/>
    <x v="1"/>
  </r>
  <r>
    <x v="59"/>
    <n v="2"/>
    <x v="0"/>
    <x v="0"/>
    <x v="9"/>
    <n v="720"/>
    <n v="0"/>
    <n v="720"/>
    <s v="BC100"/>
    <n v="4.3999999999999997E-2"/>
    <n v="813"/>
    <n v="777.22799999999995"/>
    <m/>
    <n v="67.75"/>
    <n v="64.768999999999991"/>
    <n v="0"/>
    <n v="0.93005000000000004"/>
    <n v="0.77597499999999997"/>
    <n v="7.0000000000000007E-2"/>
    <n v="0"/>
    <n v="0"/>
    <n v="0.92965000000000009"/>
    <n v="0"/>
    <n v="0"/>
    <x v="1"/>
  </r>
  <r>
    <x v="60"/>
    <n v="1"/>
    <x v="0"/>
    <x v="0"/>
    <x v="1"/>
    <n v="720"/>
    <n v="0"/>
    <n v="720"/>
    <s v="BC100"/>
    <n v="3.9E-2"/>
    <n v="814"/>
    <n v="782.25400000000002"/>
    <m/>
    <n v="67.833333333333329"/>
    <n v="65.18783333333333"/>
    <n v="0"/>
    <n v="0.91525000000000001"/>
    <n v="0.79374999999999996"/>
    <n v="6.9250000000000006E-2"/>
    <n v="0"/>
    <n v="0"/>
    <n v="0.93235000000000001"/>
    <n v="0"/>
    <n v="0"/>
    <x v="1"/>
  </r>
  <r>
    <x v="60"/>
    <n v="2"/>
    <x v="0"/>
    <x v="0"/>
    <x v="9"/>
    <n v="546.59999999999991"/>
    <n v="173.4"/>
    <n v="719.99999999999989"/>
    <s v="BC100"/>
    <n v="3.9E-2"/>
    <n v="619"/>
    <n v="594.85899999999992"/>
    <m/>
    <n v="67.947310647639981"/>
    <n v="49.571583333333336"/>
    <n v="0.24083333333333337"/>
    <n v="0.91633333333333333"/>
    <n v="0.81530000000000002"/>
    <n v="8.3666666666666667E-2"/>
    <n v="0"/>
    <n v="0"/>
    <n v="0.92910000000000004"/>
    <n v="0"/>
    <n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0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>
  <location ref="A4:H35" firstHeaderRow="0" firstDataRow="1" firstDataCol="1" rowPageCount="1" colPageCount="1"/>
  <pivotFields count="22">
    <pivotField axis="axisRow" numFmtId="14" showAll="0">
      <items count="31"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ubtotalTop="0" showAll="0"/>
    <pivotField axis="axisPage" subtotalTop="0" showAll="0">
      <items count="3">
        <item x="0"/>
        <item x="1"/>
        <item t="default"/>
      </items>
    </pivotField>
    <pivotField subtotalTop="0" multipleItemSelectionAllowed="1" showAll="0"/>
    <pivotField subtotalTop="0" showAll="0">
      <items count="13">
        <item sd="0" x="1"/>
        <item sd="0" x="2"/>
        <item sd="0" x="0"/>
        <item sd="0" x="7"/>
        <item sd="0" x="5"/>
        <item sd="0" x="3"/>
        <item sd="0" x="9"/>
        <item sd="0" x="10"/>
        <item sd="0" x="8"/>
        <item sd="0" x="4"/>
        <item sd="0" x="6"/>
        <item sd="0" x="11"/>
        <item t="default"/>
      </items>
    </pivotField>
    <pivotField subtotalTop="0" showAll="0"/>
    <pivotField subtotalTop="0" showAll="0"/>
    <pivotField numFmtId="167" subtotalTop="0" showAll="0"/>
    <pivotField subtotalTop="0" showAll="0"/>
    <pivotField subtotalTop="0" showAll="0"/>
    <pivotField dataField="1" subtotalTop="0" showAll="0"/>
    <pivotField dataField="1" numFmtId="167" subtotalTop="0" showAll="0"/>
    <pivotField subtotalTop="0" showAll="0"/>
    <pivotField subtotalTop="0" showAll="0"/>
    <pivotField subtotalTop="0" showAll="0"/>
    <pivotField subtotalTop="0" showAll="0"/>
    <pivotField dataField="1" dragToRow="0" dragToCol="0" dragToPage="0" showAll="0"/>
    <pivotField dataField="1" dragToRow="0" dragToCol="0" dragToPage="0" showAll="0"/>
    <pivotField dataField="1" dragToRow="0" dragToCol="0" dragToPage="0" showAll="0"/>
    <pivotField dataField="1" dragToRow="0" dragToCol="0" dragToPage="0" showAll="0"/>
    <pivotField dragToRow="0" dragToCol="0" dragToPage="0" showAll="0"/>
    <pivotField dataField="1" dragToRow="0" dragToCol="0" dragToPage="0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2" hier="-1"/>
  </pageFields>
  <dataFields count="7">
    <dataField name="Sum of Gross Tons" fld="10" baseField="1" baseItem="1" numFmtId="3"/>
    <dataField name="Sum of Net Tons" fld="11" baseField="1" baseItem="0" numFmtId="3"/>
    <dataField name="Sum of Gross Hours" fld="17" baseField="0" baseItem="0" numFmtId="167"/>
    <dataField name="Sum of Run Hours" fld="16" baseField="1" baseItem="1" numFmtId="170"/>
    <dataField name="Gross Tons per GrHr" fld="18" baseField="0" baseItem="18" numFmtId="170"/>
    <dataField name="Sum of Net Tons/GrHr" fld="19" baseField="0" baseItem="18" numFmtId="170"/>
    <dataField name="Sum of  Moisture %" fld="21" baseField="4" baseItem="0" numFmtId="164"/>
  </dataFields>
  <formats count="21">
    <format dxfId="64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3">
      <pivotArea field="4" type="button" dataOnly="0" labelOnly="1" outline="0"/>
    </format>
    <format dxfId="6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1">
      <pivotArea field="4" type="button" dataOnly="0" labelOnly="1" outline="0"/>
    </format>
    <format dxfId="6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9">
      <pivotArea outline="0" fieldPosition="0">
        <references count="1">
          <reference field="4294967294" count="1">
            <x v="4"/>
          </reference>
        </references>
      </pivotArea>
    </format>
    <format dxfId="58">
      <pivotArea outline="0" fieldPosition="0">
        <references count="1">
          <reference field="4294967294" count="1">
            <x v="5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6">
      <pivotArea outline="0" fieldPosition="0">
        <references count="1">
          <reference field="4294967294" count="1">
            <x v="6"/>
          </reference>
        </references>
      </pivotArea>
    </format>
    <format dxfId="5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4">
      <pivotArea field="4" type="button" dataOnly="0" labelOnly="1" outline="0"/>
    </format>
    <format dxfId="53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52">
      <pivotArea field="4" type="button" dataOnly="0" labelOnly="1" outline="0"/>
    </format>
    <format dxfId="51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50">
      <pivotArea field="4" type="button" dataOnly="0" labelOnly="1" outline="0"/>
    </format>
    <format dxfId="49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48">
      <pivotArea field="4" type="button" dataOnly="0" labelOnly="1" outline="0"/>
    </format>
    <format dxfId="47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46">
      <pivotArea collapsedLevelsAreSubtotals="1" fieldPosition="0">
        <references count="2">
          <reference field="4294967294" count="1" selected="0">
            <x v="0"/>
          </reference>
          <reference field="0" count="1">
            <x v="4"/>
          </reference>
        </references>
      </pivotArea>
    </format>
    <format dxfId="45">
      <pivotArea collapsedLevelsAreSubtotals="1" fieldPosition="0">
        <references count="2">
          <reference field="4294967294" count="1" selected="0">
            <x v="0"/>
          </reference>
          <reference field="0" count="1">
            <x v="6"/>
          </reference>
        </references>
      </pivotArea>
    </format>
    <format dxfId="44">
      <pivotArea collapsedLevelsAreSubtotals="1" fieldPosition="0">
        <references count="2">
          <reference field="4294967294" count="1" selected="0">
            <x v="0"/>
          </reference>
          <reference field="0" count="1"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I61" firstHeaderRow="0" firstDataRow="1" firstDataCol="1" rowPageCount="2" colPageCount="1"/>
  <pivotFields count="32">
    <pivotField axis="axisRow" numFmtId="14" subtotalTop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ubtotalTop="0" showAll="0"/>
    <pivotField axis="axisPage" subtotalTop="0" showAll="0">
      <items count="3">
        <item x="0"/>
        <item x="1"/>
        <item t="default"/>
      </items>
    </pivotField>
    <pivotField axis="axisPage" subtotalTop="0" showAll="0">
      <items count="4">
        <item x="1"/>
        <item x="0"/>
        <item x="2"/>
        <item t="default"/>
      </items>
    </pivotField>
    <pivotField subtotalTop="0" showAll="0">
      <items count="14">
        <item x="1"/>
        <item x="2"/>
        <item x="0"/>
        <item x="7"/>
        <item x="5"/>
        <item x="3"/>
        <item x="9"/>
        <item x="10"/>
        <item x="8"/>
        <item x="12"/>
        <item x="11"/>
        <item x="4"/>
        <item h="1" x="6"/>
        <item t="default"/>
      </items>
    </pivotField>
    <pivotField subtotalTop="0" showAll="0"/>
    <pivotField subtotalTop="0" showAll="0"/>
    <pivotField numFmtId="167" subtotalTop="0" showAll="0"/>
    <pivotField subtotalTop="0" showAll="0"/>
    <pivotField subtotalTop="0" showAll="0"/>
    <pivotField dataField="1" subtotalTop="0" showAll="0"/>
    <pivotField dataField="1" numFmtId="167" subtotalTop="0" showAll="0"/>
    <pivotField subtotalTop="0" showAll="0"/>
    <pivotField subtotalTop="0" showAll="0"/>
    <pivotField subtotalTop="0" showAll="0"/>
    <pivotField subtotalTop="0" showAll="0"/>
    <pivotField numFmtId="164" subtotalTop="0" showAll="0"/>
    <pivotField numFmtId="164" subtotalTop="0" showAll="0"/>
    <pivotField numFmtId="164" subtotalTop="0" showAll="0"/>
    <pivotField numFmtId="164" subtotalTop="0" showAll="0"/>
    <pivotField numFmtId="164" subtotalTop="0" showAll="0"/>
    <pivotField numFmtId="164" subtotalTop="0" showAll="0"/>
    <pivotField numFmtId="164" subtotalTop="0" showAll="0"/>
    <pivotField subtotalTop="0" showAll="0"/>
    <pivotField axis="axisRow" subtotalTop="0" showAll="0">
      <items count="3">
        <item x="0"/>
        <item x="1"/>
        <item t="default"/>
      </items>
    </pivotField>
    <pivotField dataField="1" dragToRow="0" dragToCol="0" dragToPage="0" showAll="0"/>
    <pivotField dataField="1" dragToRow="0" dragToCol="0" dragToPage="0" showAll="0"/>
    <pivotField dataField="1" dragToRow="0" dragToCol="0" dragToPage="0" showAll="0"/>
    <pivotField dataField="1" dragToRow="0" dragToCol="0" dragToPage="0" showAll="0"/>
    <pivotField dataField="1" dragToRow="0" dragToCol="0" dragToPage="0" showAll="0"/>
    <pivotField dataField="1" dragToRow="0" dragToCol="0" dragToPage="0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4"/>
    <field x="0"/>
  </rowFields>
  <rowItems count="56">
    <i>
      <x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1"/>
    </i>
    <i r="1">
      <x v="166"/>
    </i>
    <i r="1">
      <x v="167"/>
    </i>
    <i r="1">
      <x v="168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9"/>
    </i>
    <i r="1">
      <x v="180"/>
    </i>
    <i r="1">
      <x v="182"/>
    </i>
    <i t="default">
      <x/>
    </i>
    <i>
      <x v="1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t="default">
      <x v="1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2" hier="-1"/>
    <pageField fld="3" item="1" hier="-1"/>
  </pageFields>
  <dataFields count="8">
    <dataField name="Sum of Gross Tons" fld="10" baseField="4" baseItem="6" numFmtId="171"/>
    <dataField name="Sum of Net Tons" fld="11" baseField="4" baseItem="4" numFmtId="171"/>
    <dataField name="Sum of Gross Hrs" fld="25" baseField="0" baseItem="0" numFmtId="167"/>
    <dataField name="Sum of Run Hrs" fld="26" baseField="4" baseItem="5" numFmtId="171"/>
    <dataField name=" Gross Tons / NetHr" fld="30" baseField="0" baseItem="0" numFmtId="171"/>
    <dataField name="Gross Tons / GrHr" fld="27" baseField="4" baseItem="2" numFmtId="171"/>
    <dataField name=" Net Tons / GrHr" fld="28" baseField="0" baseItem="0" numFmtId="171"/>
    <dataField name=" Moisture%" fld="29" baseField="4" baseItem="5" numFmtId="164"/>
  </dataFields>
  <formats count="2">
    <format dxfId="4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2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5"/>
  <sheetViews>
    <sheetView workbookViewId="0">
      <selection activeCell="A4" sqref="A4"/>
    </sheetView>
  </sheetViews>
  <sheetFormatPr defaultRowHeight="14.4" x14ac:dyDescent="0.3"/>
  <cols>
    <col min="1" max="1" width="14.33203125" customWidth="1"/>
    <col min="2" max="2" width="10.6640625" customWidth="1"/>
    <col min="3" max="3" width="10.33203125" customWidth="1"/>
    <col min="4" max="4" width="14.44140625" customWidth="1"/>
    <col min="5" max="5" width="12.88671875" customWidth="1"/>
    <col min="6" max="6" width="11.21875" customWidth="1"/>
    <col min="7" max="7" width="9.6640625" customWidth="1"/>
    <col min="8" max="8" width="8.88671875" customWidth="1"/>
    <col min="9" max="9" width="3.5546875" customWidth="1"/>
    <col min="10" max="13" width="4" customWidth="1"/>
    <col min="14" max="15" width="3.77734375" customWidth="1"/>
    <col min="16" max="21" width="4" customWidth="1"/>
    <col min="22" max="22" width="5" customWidth="1"/>
    <col min="23" max="30" width="4" customWidth="1"/>
    <col min="31" max="31" width="7" customWidth="1"/>
    <col min="32" max="32" width="10.77734375" customWidth="1"/>
  </cols>
  <sheetData>
    <row r="2" spans="1:8" x14ac:dyDescent="0.3">
      <c r="A2" s="334" t="s">
        <v>120</v>
      </c>
      <c r="B2" t="s">
        <v>160</v>
      </c>
    </row>
    <row r="4" spans="1:8" ht="70.2" customHeight="1" x14ac:dyDescent="0.3">
      <c r="A4" s="334" t="s">
        <v>162</v>
      </c>
      <c r="B4" s="341" t="s">
        <v>164</v>
      </c>
      <c r="C4" s="341" t="s">
        <v>163</v>
      </c>
      <c r="D4" s="341" t="s">
        <v>166</v>
      </c>
      <c r="E4" s="341" t="s">
        <v>165</v>
      </c>
      <c r="F4" s="341" t="s">
        <v>168</v>
      </c>
      <c r="G4" s="341" t="s">
        <v>167</v>
      </c>
      <c r="H4" s="341" t="s">
        <v>172</v>
      </c>
    </row>
    <row r="5" spans="1:8" x14ac:dyDescent="0.3">
      <c r="A5" s="342">
        <v>42887</v>
      </c>
      <c r="B5" s="335">
        <v>2183</v>
      </c>
      <c r="C5" s="335">
        <v>2086.6855</v>
      </c>
      <c r="D5" s="336">
        <v>24</v>
      </c>
      <c r="E5" s="337">
        <v>24</v>
      </c>
      <c r="F5" s="337">
        <v>90.958333333333329</v>
      </c>
      <c r="G5" s="337">
        <v>86.945229166666664</v>
      </c>
      <c r="H5" s="340">
        <v>4.6156692036245978E-2</v>
      </c>
    </row>
    <row r="6" spans="1:8" x14ac:dyDescent="0.3">
      <c r="A6" s="342">
        <v>42888</v>
      </c>
      <c r="B6" s="335">
        <v>1517</v>
      </c>
      <c r="C6" s="335">
        <v>1431.1611</v>
      </c>
      <c r="D6" s="336">
        <v>24</v>
      </c>
      <c r="E6" s="337">
        <v>16.850000000000001</v>
      </c>
      <c r="F6" s="337">
        <v>90.029673590504444</v>
      </c>
      <c r="G6" s="337">
        <v>84.935376854599397</v>
      </c>
      <c r="H6" s="340">
        <v>5.9978502769534446E-2</v>
      </c>
    </row>
    <row r="7" spans="1:8" x14ac:dyDescent="0.3">
      <c r="A7" s="342">
        <v>42889</v>
      </c>
      <c r="B7" s="335">
        <v>1717</v>
      </c>
      <c r="C7" s="335">
        <v>1626.6565000000001</v>
      </c>
      <c r="D7" s="336">
        <v>24</v>
      </c>
      <c r="E7" s="337">
        <v>23.35</v>
      </c>
      <c r="F7" s="337">
        <v>73.533190578158454</v>
      </c>
      <c r="G7" s="337">
        <v>69.664089935760174</v>
      </c>
      <c r="H7" s="340">
        <v>5.5539384006395909E-2</v>
      </c>
    </row>
    <row r="8" spans="1:8" x14ac:dyDescent="0.3">
      <c r="A8" s="342">
        <v>42890</v>
      </c>
      <c r="B8" s="335">
        <v>1905</v>
      </c>
      <c r="C8" s="335">
        <v>1816.665</v>
      </c>
      <c r="D8" s="336">
        <v>24</v>
      </c>
      <c r="E8" s="337">
        <v>23.9</v>
      </c>
      <c r="F8" s="337">
        <v>79.707112970711307</v>
      </c>
      <c r="G8" s="337">
        <v>76.011087866108795</v>
      </c>
      <c r="H8" s="340">
        <v>4.8624815252124108E-2</v>
      </c>
    </row>
    <row r="9" spans="1:8" x14ac:dyDescent="0.3">
      <c r="A9" s="342">
        <v>42891</v>
      </c>
      <c r="B9" s="343">
        <v>1759</v>
      </c>
      <c r="C9" s="335">
        <v>1678.124</v>
      </c>
      <c r="D9" s="336">
        <v>24</v>
      </c>
      <c r="E9" s="337">
        <v>22.1</v>
      </c>
      <c r="F9" s="337">
        <v>79.592760180995469</v>
      </c>
      <c r="G9" s="337">
        <v>75.933212669683257</v>
      </c>
      <c r="H9" s="340">
        <v>4.8194293151161638E-2</v>
      </c>
    </row>
    <row r="10" spans="1:8" x14ac:dyDescent="0.3">
      <c r="A10" s="342">
        <v>42892</v>
      </c>
      <c r="B10" s="335">
        <v>1879</v>
      </c>
      <c r="C10" s="335">
        <v>1791.1138000000001</v>
      </c>
      <c r="D10" s="336">
        <v>24</v>
      </c>
      <c r="E10" s="337">
        <v>23</v>
      </c>
      <c r="F10" s="337">
        <v>81.695652173913047</v>
      </c>
      <c r="G10" s="337">
        <v>77.87451304347826</v>
      </c>
      <c r="H10" s="340">
        <v>4.9067904004759445E-2</v>
      </c>
    </row>
    <row r="11" spans="1:8" x14ac:dyDescent="0.3">
      <c r="A11" s="342">
        <v>42893</v>
      </c>
      <c r="B11" s="343">
        <v>1752</v>
      </c>
      <c r="C11" s="335">
        <v>1652.8419999999999</v>
      </c>
      <c r="D11" s="336">
        <v>24</v>
      </c>
      <c r="E11" s="337">
        <v>20.529999999999998</v>
      </c>
      <c r="F11" s="337">
        <v>85.338528981977603</v>
      </c>
      <c r="G11" s="337">
        <v>80.508621529469067</v>
      </c>
      <c r="H11" s="340">
        <v>5.9992425168285977E-2</v>
      </c>
    </row>
    <row r="12" spans="1:8" x14ac:dyDescent="0.3">
      <c r="A12" s="342">
        <v>42894</v>
      </c>
      <c r="B12" s="335">
        <v>1362</v>
      </c>
      <c r="C12" s="335">
        <v>1252.6206</v>
      </c>
      <c r="D12" s="336">
        <v>24</v>
      </c>
      <c r="E12" s="337">
        <v>20.3</v>
      </c>
      <c r="F12" s="337">
        <v>67.093596059113295</v>
      </c>
      <c r="G12" s="337">
        <v>61.705448275862068</v>
      </c>
      <c r="H12" s="340">
        <v>8.7320454413730736E-2</v>
      </c>
    </row>
    <row r="13" spans="1:8" x14ac:dyDescent="0.3">
      <c r="A13" s="342">
        <v>42895</v>
      </c>
      <c r="B13" s="335">
        <v>1455</v>
      </c>
      <c r="C13" s="335">
        <v>1357.81</v>
      </c>
      <c r="D13" s="336">
        <v>24</v>
      </c>
      <c r="E13" s="337">
        <v>19.8</v>
      </c>
      <c r="F13" s="337">
        <v>73.484848484848484</v>
      </c>
      <c r="G13" s="337">
        <v>68.576262626262618</v>
      </c>
      <c r="H13" s="340">
        <v>7.1578497727959031E-2</v>
      </c>
    </row>
    <row r="14" spans="1:8" x14ac:dyDescent="0.3">
      <c r="A14" s="342">
        <v>42896</v>
      </c>
      <c r="B14" s="335">
        <v>1980</v>
      </c>
      <c r="C14" s="335">
        <v>1852.3679999999999</v>
      </c>
      <c r="D14" s="336">
        <v>24</v>
      </c>
      <c r="E14" s="337">
        <v>22.7</v>
      </c>
      <c r="F14" s="337">
        <v>87.224669603524234</v>
      </c>
      <c r="G14" s="337">
        <v>81.602114537444933</v>
      </c>
      <c r="H14" s="340">
        <v>6.8902075613485048E-2</v>
      </c>
    </row>
    <row r="15" spans="1:8" x14ac:dyDescent="0.3">
      <c r="A15" s="342">
        <v>42897</v>
      </c>
      <c r="B15" s="335">
        <v>1975</v>
      </c>
      <c r="C15" s="335">
        <v>1890.55</v>
      </c>
      <c r="D15" s="336">
        <v>24</v>
      </c>
      <c r="E15" s="337">
        <v>22.2</v>
      </c>
      <c r="F15" s="337">
        <v>88.963963963963963</v>
      </c>
      <c r="G15" s="337">
        <v>85.159909909909913</v>
      </c>
      <c r="H15" s="340">
        <v>4.4669540609875456E-2</v>
      </c>
    </row>
    <row r="16" spans="1:8" x14ac:dyDescent="0.3">
      <c r="A16" s="342">
        <v>42898</v>
      </c>
      <c r="B16" s="343">
        <v>2161</v>
      </c>
      <c r="C16" s="335">
        <v>2044.306</v>
      </c>
      <c r="D16" s="336">
        <v>24</v>
      </c>
      <c r="E16" s="337">
        <v>23.8</v>
      </c>
      <c r="F16" s="337">
        <v>90.798319327731093</v>
      </c>
      <c r="G16" s="337">
        <v>85.895210084033607</v>
      </c>
      <c r="H16" s="340">
        <v>5.7082452431289621E-2</v>
      </c>
    </row>
    <row r="17" spans="1:8" x14ac:dyDescent="0.3">
      <c r="A17" s="342">
        <v>42899</v>
      </c>
      <c r="B17" s="335">
        <v>972</v>
      </c>
      <c r="C17" s="335">
        <v>910.76400000000001</v>
      </c>
      <c r="D17" s="336">
        <v>12</v>
      </c>
      <c r="E17" s="337">
        <v>12</v>
      </c>
      <c r="F17" s="337">
        <v>81</v>
      </c>
      <c r="G17" s="337">
        <v>75.897000000000006</v>
      </c>
      <c r="H17" s="340">
        <v>6.7235859124866584E-2</v>
      </c>
    </row>
    <row r="18" spans="1:8" x14ac:dyDescent="0.3">
      <c r="A18" s="342">
        <v>42900</v>
      </c>
      <c r="B18" s="335">
        <v>1487</v>
      </c>
      <c r="C18" s="335">
        <v>1388.0330000000001</v>
      </c>
      <c r="D18" s="336">
        <v>24</v>
      </c>
      <c r="E18" s="337">
        <v>22.5</v>
      </c>
      <c r="F18" s="337">
        <v>66.088888888888889</v>
      </c>
      <c r="G18" s="337">
        <v>61.690355555555563</v>
      </c>
      <c r="H18" s="340">
        <v>7.1300178021703992E-2</v>
      </c>
    </row>
    <row r="19" spans="1:8" x14ac:dyDescent="0.3">
      <c r="A19" s="342">
        <v>42901</v>
      </c>
      <c r="B19" s="335">
        <v>2257</v>
      </c>
      <c r="C19" s="335">
        <v>2174.63</v>
      </c>
      <c r="D19" s="336">
        <v>24</v>
      </c>
      <c r="E19" s="337">
        <v>24</v>
      </c>
      <c r="F19" s="337">
        <v>94.041666666666671</v>
      </c>
      <c r="G19" s="337">
        <v>90.609583333333333</v>
      </c>
      <c r="H19" s="340">
        <v>3.7877707931924E-2</v>
      </c>
    </row>
    <row r="20" spans="1:8" x14ac:dyDescent="0.3">
      <c r="A20" s="342">
        <v>42902</v>
      </c>
      <c r="B20" s="335">
        <v>1496</v>
      </c>
      <c r="C20" s="335">
        <v>1440.6479999999999</v>
      </c>
      <c r="D20" s="336">
        <v>24</v>
      </c>
      <c r="E20" s="337">
        <v>18.329999999999998</v>
      </c>
      <c r="F20" s="337">
        <v>81.614839061647587</v>
      </c>
      <c r="G20" s="337">
        <v>78.595090016366612</v>
      </c>
      <c r="H20" s="340">
        <v>3.8421599169262785E-2</v>
      </c>
    </row>
    <row r="21" spans="1:8" x14ac:dyDescent="0.3">
      <c r="A21" s="342">
        <v>42903</v>
      </c>
      <c r="B21" s="335">
        <v>1692</v>
      </c>
      <c r="C21" s="335">
        <v>1622.424</v>
      </c>
      <c r="D21" s="336">
        <v>24</v>
      </c>
      <c r="E21" s="337">
        <v>23.4</v>
      </c>
      <c r="F21" s="337">
        <v>72.307692307692307</v>
      </c>
      <c r="G21" s="337">
        <v>69.334358974358977</v>
      </c>
      <c r="H21" s="340">
        <v>4.2883981006198148E-2</v>
      </c>
    </row>
    <row r="22" spans="1:8" x14ac:dyDescent="0.3">
      <c r="A22" s="342">
        <v>42904</v>
      </c>
      <c r="B22" s="335">
        <v>1678</v>
      </c>
      <c r="C22" s="335">
        <v>1574.357</v>
      </c>
      <c r="D22" s="336">
        <v>24</v>
      </c>
      <c r="E22" s="337">
        <v>21.11</v>
      </c>
      <c r="F22" s="337">
        <v>79.488394126006639</v>
      </c>
      <c r="G22" s="337">
        <v>74.578730459497862</v>
      </c>
      <c r="H22" s="340">
        <v>6.583195552215923E-2</v>
      </c>
    </row>
    <row r="23" spans="1:8" x14ac:dyDescent="0.3">
      <c r="A23" s="342">
        <v>42905</v>
      </c>
      <c r="B23" s="335">
        <v>1707</v>
      </c>
      <c r="C23" s="335">
        <v>1634.0370000000003</v>
      </c>
      <c r="D23" s="336">
        <v>24</v>
      </c>
      <c r="E23" s="337">
        <v>20.040000000000003</v>
      </c>
      <c r="F23" s="337">
        <v>85.179640718562865</v>
      </c>
      <c r="G23" s="337">
        <v>81.538772455089827</v>
      </c>
      <c r="H23" s="340">
        <v>4.4651987684489226E-2</v>
      </c>
    </row>
    <row r="24" spans="1:8" x14ac:dyDescent="0.3">
      <c r="A24" s="342">
        <v>42906</v>
      </c>
      <c r="B24" s="335">
        <v>2080</v>
      </c>
      <c r="C24" s="335">
        <v>1995.8</v>
      </c>
      <c r="D24" s="336">
        <v>24</v>
      </c>
      <c r="E24" s="337">
        <v>23.3</v>
      </c>
      <c r="F24" s="337">
        <v>89.27038626609442</v>
      </c>
      <c r="G24" s="337">
        <v>85.656652360515011</v>
      </c>
      <c r="H24" s="340">
        <v>4.2188596051708611E-2</v>
      </c>
    </row>
    <row r="25" spans="1:8" x14ac:dyDescent="0.3">
      <c r="A25" s="342">
        <v>42907</v>
      </c>
      <c r="B25" s="335">
        <v>1087</v>
      </c>
      <c r="C25" s="335">
        <v>1046.7809999999999</v>
      </c>
      <c r="D25" s="336">
        <v>12</v>
      </c>
      <c r="E25" s="337">
        <v>12</v>
      </c>
      <c r="F25" s="337">
        <v>90.583333333333329</v>
      </c>
      <c r="G25" s="337">
        <v>87.231749999999991</v>
      </c>
      <c r="H25" s="340">
        <v>3.8421599169262771E-2</v>
      </c>
    </row>
    <row r="26" spans="1:8" x14ac:dyDescent="0.3">
      <c r="A26" s="342">
        <v>42908</v>
      </c>
      <c r="B26" s="335">
        <v>2264</v>
      </c>
      <c r="C26" s="335">
        <v>2188.1440000000002</v>
      </c>
      <c r="D26" s="336">
        <v>24</v>
      </c>
      <c r="E26" s="337">
        <v>23.25</v>
      </c>
      <c r="F26" s="337">
        <v>97.376344086021504</v>
      </c>
      <c r="G26" s="337">
        <v>94.113720430107534</v>
      </c>
      <c r="H26" s="340">
        <v>3.46668226588377E-2</v>
      </c>
    </row>
    <row r="27" spans="1:8" x14ac:dyDescent="0.3">
      <c r="A27" s="342">
        <v>42909</v>
      </c>
      <c r="B27" s="335">
        <v>1025</v>
      </c>
      <c r="C27" s="335">
        <v>982.86</v>
      </c>
      <c r="D27" s="336">
        <v>24</v>
      </c>
      <c r="E27" s="337">
        <v>11.75</v>
      </c>
      <c r="F27" s="337">
        <v>87.234042553191486</v>
      </c>
      <c r="G27" s="337">
        <v>83.647659574468079</v>
      </c>
      <c r="H27" s="340">
        <v>4.2874875363734397E-2</v>
      </c>
    </row>
    <row r="28" spans="1:8" x14ac:dyDescent="0.3">
      <c r="A28" s="342">
        <v>42910</v>
      </c>
      <c r="B28" s="335">
        <v>2038</v>
      </c>
      <c r="C28" s="335">
        <v>1905.7260000000001</v>
      </c>
      <c r="D28" s="336">
        <v>24</v>
      </c>
      <c r="E28" s="337">
        <v>24</v>
      </c>
      <c r="F28" s="337">
        <v>84.916666666666671</v>
      </c>
      <c r="G28" s="337">
        <v>79.405250000000009</v>
      </c>
      <c r="H28" s="340">
        <v>6.9408718776990966E-2</v>
      </c>
    </row>
    <row r="29" spans="1:8" x14ac:dyDescent="0.3">
      <c r="A29" s="342">
        <v>42911</v>
      </c>
      <c r="B29" s="335">
        <v>2009</v>
      </c>
      <c r="C29" s="335">
        <v>1883.452</v>
      </c>
      <c r="D29" s="336">
        <v>24</v>
      </c>
      <c r="E29" s="337">
        <v>24</v>
      </c>
      <c r="F29" s="337">
        <v>83.708333333333329</v>
      </c>
      <c r="G29" s="337">
        <v>78.477166666666662</v>
      </c>
      <c r="H29" s="340">
        <v>6.6658454794706737E-2</v>
      </c>
    </row>
    <row r="30" spans="1:8" x14ac:dyDescent="0.3">
      <c r="A30" s="342">
        <v>42912</v>
      </c>
      <c r="B30" s="335">
        <v>1706</v>
      </c>
      <c r="C30" s="335">
        <v>1591.8119999999999</v>
      </c>
      <c r="D30" s="336">
        <v>24</v>
      </c>
      <c r="E30" s="337">
        <v>22</v>
      </c>
      <c r="F30" s="337">
        <v>77.545454545454547</v>
      </c>
      <c r="G30" s="337">
        <v>72.355090909090904</v>
      </c>
      <c r="H30" s="340">
        <v>7.1734601824838679E-2</v>
      </c>
    </row>
    <row r="31" spans="1:8" x14ac:dyDescent="0.3">
      <c r="A31" s="342">
        <v>42913</v>
      </c>
      <c r="B31" s="335">
        <v>2124</v>
      </c>
      <c r="C31" s="335">
        <v>2014.9559999999999</v>
      </c>
      <c r="D31" s="336">
        <v>24</v>
      </c>
      <c r="E31" s="337">
        <v>24</v>
      </c>
      <c r="F31" s="337">
        <v>88.5</v>
      </c>
      <c r="G31" s="337">
        <v>83.956499999999991</v>
      </c>
      <c r="H31" s="340">
        <v>5.4117310750209979E-2</v>
      </c>
    </row>
    <row r="32" spans="1:8" x14ac:dyDescent="0.3">
      <c r="A32" s="342">
        <v>42914</v>
      </c>
      <c r="B32" s="335">
        <v>2871</v>
      </c>
      <c r="C32" s="335">
        <v>2759.848</v>
      </c>
      <c r="D32" s="336">
        <v>24</v>
      </c>
      <c r="E32" s="337">
        <v>22.5</v>
      </c>
      <c r="F32" s="337">
        <v>127.6</v>
      </c>
      <c r="G32" s="337">
        <v>122.65991111111111</v>
      </c>
      <c r="H32" s="340">
        <v>4.0274681794069837E-2</v>
      </c>
    </row>
    <row r="33" spans="1:8" x14ac:dyDescent="0.3">
      <c r="A33" s="342">
        <v>42915</v>
      </c>
      <c r="B33" s="335">
        <v>1488</v>
      </c>
      <c r="C33" s="335">
        <v>1466.308</v>
      </c>
      <c r="D33" s="336">
        <v>24</v>
      </c>
      <c r="E33" s="337">
        <v>16.399999999999999</v>
      </c>
      <c r="F33" s="337">
        <v>90.731707317073173</v>
      </c>
      <c r="G33" s="337">
        <v>89.409024390243914</v>
      </c>
      <c r="H33" s="340">
        <v>1.4793617711967751E-2</v>
      </c>
    </row>
    <row r="34" spans="1:8" x14ac:dyDescent="0.3">
      <c r="A34" s="342">
        <v>42916</v>
      </c>
      <c r="B34" s="335">
        <v>1323</v>
      </c>
      <c r="C34" s="335">
        <v>1248.8799999999999</v>
      </c>
      <c r="D34" s="336">
        <v>24</v>
      </c>
      <c r="E34" s="337">
        <v>22</v>
      </c>
      <c r="F34" s="337">
        <v>60.136363636363633</v>
      </c>
      <c r="G34" s="337">
        <v>56.767272727272719</v>
      </c>
      <c r="H34" s="340">
        <v>5.9349176862468871E-2</v>
      </c>
    </row>
    <row r="35" spans="1:8" x14ac:dyDescent="0.3">
      <c r="A35" s="342" t="s">
        <v>161</v>
      </c>
      <c r="B35" s="335">
        <v>52949</v>
      </c>
      <c r="C35" s="335">
        <v>50310.362499999996</v>
      </c>
      <c r="D35" s="336">
        <v>696</v>
      </c>
      <c r="E35" s="337">
        <v>629.11</v>
      </c>
      <c r="F35" s="337">
        <v>84.164931411040996</v>
      </c>
      <c r="G35" s="337">
        <v>79.970692724642731</v>
      </c>
      <c r="H35" s="340">
        <v>5.2447197135580416E-2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61"/>
  <sheetViews>
    <sheetView tabSelected="1" workbookViewId="0">
      <selection activeCell="D22" sqref="D22"/>
    </sheetView>
  </sheetViews>
  <sheetFormatPr defaultRowHeight="14.4" x14ac:dyDescent="0.3"/>
  <cols>
    <col min="1" max="1" width="12.5546875" bestFit="1" customWidth="1"/>
    <col min="2" max="2" width="16.5546875" bestFit="1" customWidth="1"/>
    <col min="3" max="3" width="15" bestFit="1" customWidth="1"/>
    <col min="4" max="4" width="15.21875" bestFit="1" customWidth="1"/>
    <col min="5" max="5" width="14" bestFit="1" customWidth="1"/>
    <col min="6" max="6" width="11.77734375" bestFit="1" customWidth="1"/>
    <col min="7" max="7" width="15.6640625" bestFit="1" customWidth="1"/>
    <col min="8" max="8" width="14.5546875" bestFit="1" customWidth="1"/>
    <col min="9" max="9" width="10.44140625" bestFit="1" customWidth="1"/>
    <col min="10" max="10" width="14" bestFit="1" customWidth="1"/>
    <col min="11" max="11" width="25.77734375" bestFit="1" customWidth="1"/>
    <col min="12" max="12" width="21.44140625" bestFit="1" customWidth="1"/>
    <col min="13" max="13" width="19.77734375" bestFit="1" customWidth="1"/>
    <col min="14" max="14" width="20" bestFit="1" customWidth="1"/>
    <col min="15" max="15" width="18.77734375" bestFit="1" customWidth="1"/>
    <col min="16" max="16" width="30.5546875" bestFit="1" customWidth="1"/>
  </cols>
  <sheetData>
    <row r="2" spans="1:9" x14ac:dyDescent="0.3">
      <c r="A2" s="334" t="s">
        <v>120</v>
      </c>
      <c r="B2" t="s">
        <v>160</v>
      </c>
    </row>
    <row r="3" spans="1:9" x14ac:dyDescent="0.3">
      <c r="A3" s="334" t="s">
        <v>40</v>
      </c>
      <c r="B3" t="s">
        <v>130</v>
      </c>
    </row>
    <row r="5" spans="1:9" ht="29.4" customHeight="1" x14ac:dyDescent="0.3">
      <c r="A5" s="334" t="s">
        <v>162</v>
      </c>
      <c r="B5" t="s">
        <v>164</v>
      </c>
      <c r="C5" t="s">
        <v>163</v>
      </c>
      <c r="D5" t="s">
        <v>182</v>
      </c>
      <c r="E5" t="s">
        <v>183</v>
      </c>
      <c r="F5" s="347" t="s">
        <v>187</v>
      </c>
      <c r="G5" t="s">
        <v>184</v>
      </c>
      <c r="H5" t="s">
        <v>185</v>
      </c>
      <c r="I5" t="s">
        <v>186</v>
      </c>
    </row>
    <row r="6" spans="1:9" x14ac:dyDescent="0.3">
      <c r="A6" s="338">
        <v>6</v>
      </c>
      <c r="B6" s="346"/>
      <c r="C6" s="346"/>
      <c r="D6" s="336"/>
      <c r="E6" s="346"/>
      <c r="F6" s="346"/>
      <c r="G6" s="346"/>
      <c r="H6" s="346"/>
      <c r="I6" s="340"/>
    </row>
    <row r="7" spans="1:9" x14ac:dyDescent="0.3">
      <c r="A7" s="348" t="s">
        <v>190</v>
      </c>
      <c r="B7" s="346">
        <v>2183</v>
      </c>
      <c r="C7" s="346">
        <v>2086.6855</v>
      </c>
      <c r="D7" s="336">
        <v>24</v>
      </c>
      <c r="E7" s="346">
        <v>24</v>
      </c>
      <c r="F7" s="346">
        <v>90.958333333333329</v>
      </c>
      <c r="G7" s="346">
        <v>90.958333333333329</v>
      </c>
      <c r="H7" s="346">
        <v>86.945229166666664</v>
      </c>
      <c r="I7" s="340">
        <v>4.4120247366010057E-2</v>
      </c>
    </row>
    <row r="8" spans="1:9" x14ac:dyDescent="0.3">
      <c r="A8" s="348" t="s">
        <v>192</v>
      </c>
      <c r="B8" s="346">
        <v>1517</v>
      </c>
      <c r="C8" s="346">
        <v>1431.1611</v>
      </c>
      <c r="D8" s="336">
        <v>24</v>
      </c>
      <c r="E8" s="346">
        <v>16.850000000000001</v>
      </c>
      <c r="F8" s="346">
        <v>90.029673590504444</v>
      </c>
      <c r="G8" s="346">
        <v>63.208333333333336</v>
      </c>
      <c r="H8" s="346">
        <v>59.631712499999999</v>
      </c>
      <c r="I8" s="340">
        <v>5.6584640738299254E-2</v>
      </c>
    </row>
    <row r="9" spans="1:9" x14ac:dyDescent="0.3">
      <c r="A9" s="348" t="s">
        <v>193</v>
      </c>
      <c r="B9" s="346">
        <v>1717</v>
      </c>
      <c r="C9" s="346">
        <v>1626.6565000000001</v>
      </c>
      <c r="D9" s="336">
        <v>24</v>
      </c>
      <c r="E9" s="346">
        <v>23.35</v>
      </c>
      <c r="F9" s="346">
        <v>73.533190578158454</v>
      </c>
      <c r="G9" s="346">
        <v>71.541666666666671</v>
      </c>
      <c r="H9" s="346">
        <v>67.777354166666669</v>
      </c>
      <c r="I9" s="340">
        <v>5.2617064647641203E-2</v>
      </c>
    </row>
    <row r="10" spans="1:9" x14ac:dyDescent="0.3">
      <c r="A10" s="348" t="s">
        <v>194</v>
      </c>
      <c r="B10" s="346">
        <v>1905</v>
      </c>
      <c r="C10" s="346">
        <v>1816.665</v>
      </c>
      <c r="D10" s="336">
        <v>24</v>
      </c>
      <c r="E10" s="346">
        <v>23.9</v>
      </c>
      <c r="F10" s="346">
        <v>79.707112970711307</v>
      </c>
      <c r="G10" s="346">
        <v>79.375</v>
      </c>
      <c r="H10" s="346">
        <v>75.694374999999994</v>
      </c>
      <c r="I10" s="340">
        <v>4.63700787401575E-2</v>
      </c>
    </row>
    <row r="11" spans="1:9" x14ac:dyDescent="0.3">
      <c r="A11" s="348" t="s">
        <v>195</v>
      </c>
      <c r="B11" s="346">
        <v>1759</v>
      </c>
      <c r="C11" s="346">
        <v>1678.124</v>
      </c>
      <c r="D11" s="336">
        <v>24</v>
      </c>
      <c r="E11" s="346">
        <v>22.1</v>
      </c>
      <c r="F11" s="346">
        <v>79.592760180995469</v>
      </c>
      <c r="G11" s="346">
        <v>73.291666666666671</v>
      </c>
      <c r="H11" s="346">
        <v>69.921833333333339</v>
      </c>
      <c r="I11" s="340">
        <v>4.5978396816372925E-2</v>
      </c>
    </row>
    <row r="12" spans="1:9" x14ac:dyDescent="0.3">
      <c r="A12" s="348" t="s">
        <v>196</v>
      </c>
      <c r="B12" s="346">
        <v>1879</v>
      </c>
      <c r="C12" s="346">
        <v>1791.1138000000001</v>
      </c>
      <c r="D12" s="336">
        <v>24</v>
      </c>
      <c r="E12" s="346">
        <v>23</v>
      </c>
      <c r="F12" s="346">
        <v>81.695652173913047</v>
      </c>
      <c r="G12" s="346">
        <v>78.291666666666671</v>
      </c>
      <c r="H12" s="346">
        <v>74.629741666666675</v>
      </c>
      <c r="I12" s="340">
        <v>4.6772857903139925E-2</v>
      </c>
    </row>
    <row r="13" spans="1:9" x14ac:dyDescent="0.3">
      <c r="A13" s="348" t="s">
        <v>209</v>
      </c>
      <c r="B13" s="346">
        <v>121</v>
      </c>
      <c r="C13" s="346">
        <v>114.82899999999999</v>
      </c>
      <c r="D13" s="336">
        <v>1.25</v>
      </c>
      <c r="E13" s="346">
        <v>1.25</v>
      </c>
      <c r="F13" s="346">
        <v>96.8</v>
      </c>
      <c r="G13" s="346">
        <v>96.8</v>
      </c>
      <c r="H13" s="346">
        <v>91.863199999999992</v>
      </c>
      <c r="I13" s="340">
        <v>5.1000000000000052E-2</v>
      </c>
    </row>
    <row r="14" spans="1:9" x14ac:dyDescent="0.3">
      <c r="A14" s="348" t="s">
        <v>201</v>
      </c>
      <c r="B14" s="346">
        <v>655</v>
      </c>
      <c r="C14" s="346">
        <v>617.01</v>
      </c>
      <c r="D14" s="336">
        <v>12</v>
      </c>
      <c r="E14" s="346">
        <v>8.8000000000000007</v>
      </c>
      <c r="F14" s="346">
        <v>74.431818181818173</v>
      </c>
      <c r="G14" s="346">
        <v>54.583333333333336</v>
      </c>
      <c r="H14" s="346">
        <v>51.417499999999997</v>
      </c>
      <c r="I14" s="340">
        <v>5.8000000000000017E-2</v>
      </c>
    </row>
    <row r="15" spans="1:9" x14ac:dyDescent="0.3">
      <c r="A15" s="348" t="s">
        <v>202</v>
      </c>
      <c r="B15" s="346">
        <v>200</v>
      </c>
      <c r="C15" s="346">
        <v>192</v>
      </c>
      <c r="D15" s="336">
        <v>2.5</v>
      </c>
      <c r="E15" s="346">
        <v>2.5</v>
      </c>
      <c r="F15" s="346">
        <v>80</v>
      </c>
      <c r="G15" s="346">
        <v>80</v>
      </c>
      <c r="H15" s="346">
        <v>76.8</v>
      </c>
      <c r="I15" s="340">
        <v>0.04</v>
      </c>
    </row>
    <row r="16" spans="1:9" x14ac:dyDescent="0.3">
      <c r="A16" s="348" t="s">
        <v>197</v>
      </c>
      <c r="B16" s="346">
        <v>1132</v>
      </c>
      <c r="C16" s="346">
        <v>1092.3799999999999</v>
      </c>
      <c r="D16" s="336">
        <v>12</v>
      </c>
      <c r="E16" s="346">
        <v>12</v>
      </c>
      <c r="F16" s="346">
        <v>94.333333333333329</v>
      </c>
      <c r="G16" s="346">
        <v>94.333333333333329</v>
      </c>
      <c r="H16" s="346">
        <v>91.031666666666652</v>
      </c>
      <c r="I16" s="340">
        <v>3.5000000000000107E-2</v>
      </c>
    </row>
    <row r="17" spans="1:11" x14ac:dyDescent="0.3">
      <c r="A17" s="348" t="s">
        <v>198</v>
      </c>
      <c r="B17" s="346">
        <v>571</v>
      </c>
      <c r="C17" s="346">
        <v>549.87299999999993</v>
      </c>
      <c r="D17" s="336">
        <v>12</v>
      </c>
      <c r="E17" s="346">
        <v>6.33</v>
      </c>
      <c r="F17" s="346">
        <v>90.205371248025273</v>
      </c>
      <c r="G17" s="346">
        <v>47.583333333333336</v>
      </c>
      <c r="H17" s="346">
        <v>45.822749999999992</v>
      </c>
      <c r="I17" s="340">
        <v>3.7000000000000116E-2</v>
      </c>
    </row>
    <row r="18" spans="1:11" x14ac:dyDescent="0.3">
      <c r="A18" s="348" t="s">
        <v>191</v>
      </c>
      <c r="B18" s="346">
        <v>1230</v>
      </c>
      <c r="C18" s="346">
        <v>1188.3</v>
      </c>
      <c r="D18" s="336">
        <v>15</v>
      </c>
      <c r="E18" s="346">
        <v>15</v>
      </c>
      <c r="F18" s="346">
        <v>82</v>
      </c>
      <c r="G18" s="346">
        <v>82</v>
      </c>
      <c r="H18" s="346">
        <v>79.22</v>
      </c>
      <c r="I18" s="340">
        <v>3.3902439024390281E-2</v>
      </c>
    </row>
    <row r="19" spans="1:11" x14ac:dyDescent="0.3">
      <c r="A19" s="348" t="s">
        <v>199</v>
      </c>
      <c r="B19" s="346">
        <v>1087</v>
      </c>
      <c r="C19" s="346">
        <v>1046.7809999999999</v>
      </c>
      <c r="D19" s="336">
        <v>12</v>
      </c>
      <c r="E19" s="346">
        <v>12</v>
      </c>
      <c r="F19" s="346">
        <v>90.583333333333329</v>
      </c>
      <c r="G19" s="346">
        <v>90.583333333333329</v>
      </c>
      <c r="H19" s="346">
        <v>87.231749999999991</v>
      </c>
      <c r="I19" s="340">
        <v>3.7000000000000047E-2</v>
      </c>
      <c r="K19">
        <f>65*30</f>
        <v>1950</v>
      </c>
    </row>
    <row r="20" spans="1:11" x14ac:dyDescent="0.3">
      <c r="A20" s="348" t="s">
        <v>203</v>
      </c>
      <c r="B20" s="346">
        <v>2264</v>
      </c>
      <c r="C20" s="346">
        <v>2188.1440000000002</v>
      </c>
      <c r="D20" s="336">
        <v>24</v>
      </c>
      <c r="E20" s="346">
        <v>23.25</v>
      </c>
      <c r="F20" s="346">
        <v>97.376344086021504</v>
      </c>
      <c r="G20" s="346">
        <v>94.333333333333329</v>
      </c>
      <c r="H20" s="346">
        <v>91.172666666666672</v>
      </c>
      <c r="I20" s="340">
        <v>3.350530035335679E-2</v>
      </c>
    </row>
    <row r="21" spans="1:11" x14ac:dyDescent="0.3">
      <c r="A21" s="348" t="s">
        <v>204</v>
      </c>
      <c r="B21" s="346">
        <v>1025</v>
      </c>
      <c r="C21" s="346">
        <v>982.86</v>
      </c>
      <c r="D21" s="336">
        <v>24</v>
      </c>
      <c r="E21" s="346">
        <v>11.75</v>
      </c>
      <c r="F21" s="346">
        <v>87.234042553191486</v>
      </c>
      <c r="G21" s="346">
        <v>42.708333333333336</v>
      </c>
      <c r="H21" s="346">
        <v>40.952500000000001</v>
      </c>
      <c r="I21" s="340">
        <v>4.1112195121951203E-2</v>
      </c>
    </row>
    <row r="22" spans="1:11" x14ac:dyDescent="0.3">
      <c r="A22" s="348" t="s">
        <v>205</v>
      </c>
      <c r="B22" s="346">
        <v>310</v>
      </c>
      <c r="C22" s="346">
        <v>296.67</v>
      </c>
      <c r="D22" s="336">
        <v>3.5</v>
      </c>
      <c r="E22" s="346">
        <v>3.5</v>
      </c>
      <c r="F22" s="346">
        <v>88.571428571428569</v>
      </c>
      <c r="G22" s="346">
        <v>88.571428571428569</v>
      </c>
      <c r="H22" s="346">
        <v>84.762857142857143</v>
      </c>
      <c r="I22" s="340">
        <v>4.2999999999999948E-2</v>
      </c>
    </row>
    <row r="23" spans="1:11" x14ac:dyDescent="0.3">
      <c r="A23" s="348" t="s">
        <v>206</v>
      </c>
      <c r="B23" s="346">
        <v>1019</v>
      </c>
      <c r="C23" s="346">
        <v>955.82199999999989</v>
      </c>
      <c r="D23" s="336">
        <v>12</v>
      </c>
      <c r="E23" s="346">
        <v>12</v>
      </c>
      <c r="F23" s="346">
        <v>84.916666666666671</v>
      </c>
      <c r="G23" s="346">
        <v>84.916666666666671</v>
      </c>
      <c r="H23" s="346">
        <v>79.651833333333329</v>
      </c>
      <c r="I23" s="340">
        <v>6.2000000000000111E-2</v>
      </c>
    </row>
    <row r="24" spans="1:11" x14ac:dyDescent="0.3">
      <c r="A24" s="348" t="s">
        <v>207</v>
      </c>
      <c r="B24" s="346">
        <v>1080</v>
      </c>
      <c r="C24" s="346">
        <v>1034.6399999999999</v>
      </c>
      <c r="D24" s="336">
        <v>12</v>
      </c>
      <c r="E24" s="346">
        <v>12</v>
      </c>
      <c r="F24" s="346">
        <v>90</v>
      </c>
      <c r="G24" s="346">
        <v>90</v>
      </c>
      <c r="H24" s="346">
        <v>86.219999999999985</v>
      </c>
      <c r="I24" s="340">
        <v>4.2000000000000121E-2</v>
      </c>
    </row>
    <row r="25" spans="1:11" x14ac:dyDescent="0.3">
      <c r="A25" s="348" t="s">
        <v>208</v>
      </c>
      <c r="B25" s="346">
        <v>1071</v>
      </c>
      <c r="C25" s="346">
        <v>1031.373</v>
      </c>
      <c r="D25" s="336">
        <v>6</v>
      </c>
      <c r="E25" s="346">
        <v>6</v>
      </c>
      <c r="F25" s="346">
        <v>178.5</v>
      </c>
      <c r="G25" s="346">
        <v>178.5</v>
      </c>
      <c r="H25" s="346">
        <v>171.8955</v>
      </c>
      <c r="I25" s="340">
        <v>3.6999999999999957E-2</v>
      </c>
    </row>
    <row r="26" spans="1:11" x14ac:dyDescent="0.3">
      <c r="A26" s="348" t="s">
        <v>200</v>
      </c>
      <c r="B26" s="346">
        <v>271</v>
      </c>
      <c r="C26" s="346">
        <v>254.73999999999998</v>
      </c>
      <c r="D26" s="336">
        <v>12</v>
      </c>
      <c r="E26" s="346">
        <v>10</v>
      </c>
      <c r="F26" s="346">
        <v>27.1</v>
      </c>
      <c r="G26" s="346">
        <v>22.583333333333332</v>
      </c>
      <c r="H26" s="346">
        <v>21.228333333333332</v>
      </c>
      <c r="I26" s="340">
        <v>6.0000000000000074E-2</v>
      </c>
    </row>
    <row r="27" spans="1:11" x14ac:dyDescent="0.3">
      <c r="A27" s="338" t="s">
        <v>188</v>
      </c>
      <c r="B27" s="346">
        <v>22996</v>
      </c>
      <c r="C27" s="346">
        <v>21975.8279</v>
      </c>
      <c r="D27" s="336">
        <v>304.25</v>
      </c>
      <c r="E27" s="346">
        <v>269.58</v>
      </c>
      <c r="F27" s="346">
        <v>85.303064025521181</v>
      </c>
      <c r="G27" s="346">
        <v>75.582580115036976</v>
      </c>
      <c r="H27" s="346">
        <v>72.229508299096139</v>
      </c>
      <c r="I27" s="340">
        <v>4.4363024004174627E-2</v>
      </c>
    </row>
    <row r="28" spans="1:11" x14ac:dyDescent="0.3">
      <c r="A28" s="338">
        <v>7</v>
      </c>
      <c r="B28" s="346"/>
      <c r="C28" s="346"/>
      <c r="D28" s="336"/>
      <c r="E28" s="346"/>
      <c r="F28" s="346"/>
      <c r="G28" s="346"/>
      <c r="H28" s="346"/>
      <c r="I28" s="340"/>
    </row>
    <row r="29" spans="1:11" x14ac:dyDescent="0.3">
      <c r="A29" s="348" t="s">
        <v>210</v>
      </c>
      <c r="B29" s="346">
        <v>1810</v>
      </c>
      <c r="C29" s="346">
        <v>1726.0039999999999</v>
      </c>
      <c r="D29" s="336">
        <v>24</v>
      </c>
      <c r="E29" s="346">
        <v>24</v>
      </c>
      <c r="F29" s="346">
        <v>75.416666666666671</v>
      </c>
      <c r="G29" s="346">
        <v>75.416666666666671</v>
      </c>
      <c r="H29" s="346">
        <v>71.916833333333329</v>
      </c>
      <c r="I29" s="340">
        <v>4.6406629834254198E-2</v>
      </c>
    </row>
    <row r="30" spans="1:11" x14ac:dyDescent="0.3">
      <c r="A30" s="348" t="s">
        <v>211</v>
      </c>
      <c r="B30" s="346">
        <v>1629</v>
      </c>
      <c r="C30" s="346">
        <v>1564.837</v>
      </c>
      <c r="D30" s="336">
        <v>24</v>
      </c>
      <c r="E30" s="346">
        <v>24</v>
      </c>
      <c r="F30" s="346">
        <v>67.875</v>
      </c>
      <c r="G30" s="346">
        <v>67.875</v>
      </c>
      <c r="H30" s="346">
        <v>65.201541666666671</v>
      </c>
      <c r="I30" s="340">
        <v>3.9387968078575822E-2</v>
      </c>
    </row>
    <row r="31" spans="1:11" x14ac:dyDescent="0.3">
      <c r="A31" s="348" t="s">
        <v>212</v>
      </c>
      <c r="B31" s="346">
        <v>1993</v>
      </c>
      <c r="C31" s="346">
        <v>1914.991</v>
      </c>
      <c r="D31" s="336">
        <v>24</v>
      </c>
      <c r="E31" s="346">
        <v>23.43</v>
      </c>
      <c r="F31" s="346">
        <v>85.061886470337171</v>
      </c>
      <c r="G31" s="346">
        <v>83.041666666666671</v>
      </c>
      <c r="H31" s="346">
        <v>79.791291666666666</v>
      </c>
      <c r="I31" s="340">
        <v>3.9141495233316614E-2</v>
      </c>
    </row>
    <row r="32" spans="1:11" x14ac:dyDescent="0.3">
      <c r="A32" s="348" t="s">
        <v>213</v>
      </c>
      <c r="B32" s="346">
        <v>2112</v>
      </c>
      <c r="C32" s="346">
        <v>2022.8639999999998</v>
      </c>
      <c r="D32" s="336">
        <v>24</v>
      </c>
      <c r="E32" s="346">
        <v>23.019999999999996</v>
      </c>
      <c r="F32" s="346">
        <v>91.746307558644673</v>
      </c>
      <c r="G32" s="346">
        <v>88</v>
      </c>
      <c r="H32" s="346">
        <v>84.285999999999987</v>
      </c>
      <c r="I32" s="340">
        <v>4.220454545454555E-2</v>
      </c>
    </row>
    <row r="33" spans="1:9" x14ac:dyDescent="0.3">
      <c r="A33" s="348" t="s">
        <v>214</v>
      </c>
      <c r="B33" s="346">
        <v>2044</v>
      </c>
      <c r="C33" s="346">
        <v>1964.723</v>
      </c>
      <c r="D33" s="336">
        <v>24</v>
      </c>
      <c r="E33" s="346">
        <v>24</v>
      </c>
      <c r="F33" s="346">
        <v>85.166666666666671</v>
      </c>
      <c r="G33" s="346">
        <v>85.166666666666671</v>
      </c>
      <c r="H33" s="346">
        <v>81.863458333333327</v>
      </c>
      <c r="I33" s="340">
        <v>3.8785225048923698E-2</v>
      </c>
    </row>
    <row r="34" spans="1:9" x14ac:dyDescent="0.3">
      <c r="A34" s="348" t="s">
        <v>218</v>
      </c>
      <c r="B34" s="346">
        <v>1609</v>
      </c>
      <c r="C34" s="346">
        <v>1557.0260000000001</v>
      </c>
      <c r="D34" s="336">
        <v>24</v>
      </c>
      <c r="E34" s="346">
        <v>17.5</v>
      </c>
      <c r="F34" s="346">
        <v>91.942857142857136</v>
      </c>
      <c r="G34" s="346">
        <v>67.041666666666671</v>
      </c>
      <c r="H34" s="346">
        <v>64.876083333333341</v>
      </c>
      <c r="I34" s="340">
        <v>3.2302050963331219E-2</v>
      </c>
    </row>
    <row r="35" spans="1:9" x14ac:dyDescent="0.3">
      <c r="A35" s="348" t="s">
        <v>219</v>
      </c>
      <c r="B35" s="346">
        <v>1562</v>
      </c>
      <c r="C35" s="346">
        <v>1502.338</v>
      </c>
      <c r="D35" s="336">
        <v>24</v>
      </c>
      <c r="E35" s="346">
        <v>16.7</v>
      </c>
      <c r="F35" s="346">
        <v>93.532934131736525</v>
      </c>
      <c r="G35" s="346">
        <v>65.083333333333329</v>
      </c>
      <c r="H35" s="346">
        <v>62.597416666666668</v>
      </c>
      <c r="I35" s="340">
        <v>3.8195902688860459E-2</v>
      </c>
    </row>
    <row r="36" spans="1:9" x14ac:dyDescent="0.3">
      <c r="A36" s="348" t="s">
        <v>220</v>
      </c>
      <c r="B36" s="346">
        <v>2236</v>
      </c>
      <c r="C36" s="346">
        <v>2139.5299999999997</v>
      </c>
      <c r="D36" s="336">
        <v>24</v>
      </c>
      <c r="E36" s="346">
        <v>23.7</v>
      </c>
      <c r="F36" s="346">
        <v>94.345991561181435</v>
      </c>
      <c r="G36" s="346">
        <v>93.166666666666671</v>
      </c>
      <c r="H36" s="346">
        <v>89.147083333333327</v>
      </c>
      <c r="I36" s="340">
        <v>4.3144007155635176E-2</v>
      </c>
    </row>
    <row r="37" spans="1:9" x14ac:dyDescent="0.3">
      <c r="A37" s="348" t="s">
        <v>221</v>
      </c>
      <c r="B37" s="346">
        <v>2183</v>
      </c>
      <c r="C37" s="346">
        <v>2095.6799999999998</v>
      </c>
      <c r="D37" s="336">
        <v>24</v>
      </c>
      <c r="E37" s="346">
        <v>22.75</v>
      </c>
      <c r="F37" s="346">
        <v>95.956043956043956</v>
      </c>
      <c r="G37" s="346">
        <v>90.958333333333329</v>
      </c>
      <c r="H37" s="346">
        <v>87.32</v>
      </c>
      <c r="I37" s="340">
        <v>4.0000000000000077E-2</v>
      </c>
    </row>
    <row r="38" spans="1:9" x14ac:dyDescent="0.3">
      <c r="A38" s="348" t="s">
        <v>222</v>
      </c>
      <c r="B38" s="346">
        <v>2104</v>
      </c>
      <c r="C38" s="346">
        <v>2021.944</v>
      </c>
      <c r="D38" s="336">
        <v>24</v>
      </c>
      <c r="E38" s="346">
        <v>24</v>
      </c>
      <c r="F38" s="346">
        <v>87.666666666666671</v>
      </c>
      <c r="G38" s="346">
        <v>87.666666666666671</v>
      </c>
      <c r="H38" s="346">
        <v>84.24766666666666</v>
      </c>
      <c r="I38" s="340">
        <v>3.9000000000000021E-2</v>
      </c>
    </row>
    <row r="39" spans="1:9" x14ac:dyDescent="0.3">
      <c r="A39" s="348" t="s">
        <v>223</v>
      </c>
      <c r="B39" s="346">
        <v>1953</v>
      </c>
      <c r="C39" s="346">
        <v>1865.6369999999997</v>
      </c>
      <c r="D39" s="336">
        <v>24</v>
      </c>
      <c r="E39" s="346">
        <v>24</v>
      </c>
      <c r="F39" s="346">
        <v>81.375</v>
      </c>
      <c r="G39" s="346">
        <v>81.375</v>
      </c>
      <c r="H39" s="346">
        <v>77.734874999999988</v>
      </c>
      <c r="I39" s="340">
        <v>4.4732718894009364E-2</v>
      </c>
    </row>
    <row r="40" spans="1:9" x14ac:dyDescent="0.3">
      <c r="A40" s="348" t="s">
        <v>224</v>
      </c>
      <c r="B40" s="346">
        <v>2270</v>
      </c>
      <c r="C40" s="346">
        <v>2184.84</v>
      </c>
      <c r="D40" s="336">
        <v>23.9</v>
      </c>
      <c r="E40" s="346">
        <v>23.9</v>
      </c>
      <c r="F40" s="346">
        <v>94.979079497907961</v>
      </c>
      <c r="G40" s="346">
        <v>94.979079497907961</v>
      </c>
      <c r="H40" s="346">
        <v>91.415899581589969</v>
      </c>
      <c r="I40" s="340">
        <v>3.751541850220258E-2</v>
      </c>
    </row>
    <row r="41" spans="1:9" x14ac:dyDescent="0.3">
      <c r="A41" s="348" t="s">
        <v>232</v>
      </c>
      <c r="B41" s="346">
        <v>2278</v>
      </c>
      <c r="C41" s="346">
        <v>2177.7660000000001</v>
      </c>
      <c r="D41" s="336">
        <v>24</v>
      </c>
      <c r="E41" s="346">
        <v>23.279999999999998</v>
      </c>
      <c r="F41" s="346">
        <v>97.852233676975956</v>
      </c>
      <c r="G41" s="346">
        <v>94.916666666666671</v>
      </c>
      <c r="H41" s="346">
        <v>90.740250000000003</v>
      </c>
      <c r="I41" s="340">
        <v>4.4000877963125518E-2</v>
      </c>
    </row>
    <row r="42" spans="1:9" x14ac:dyDescent="0.3">
      <c r="A42" s="348" t="s">
        <v>233</v>
      </c>
      <c r="B42" s="346">
        <v>1905</v>
      </c>
      <c r="C42" s="346">
        <v>1824.9899999999998</v>
      </c>
      <c r="D42" s="336">
        <v>24</v>
      </c>
      <c r="E42" s="346">
        <v>18.5</v>
      </c>
      <c r="F42" s="346">
        <v>102.97297297297297</v>
      </c>
      <c r="G42" s="346">
        <v>79.375</v>
      </c>
      <c r="H42" s="346">
        <v>76.041249999999991</v>
      </c>
      <c r="I42" s="340">
        <v>4.2000000000000114E-2</v>
      </c>
    </row>
    <row r="43" spans="1:9" x14ac:dyDescent="0.3">
      <c r="A43" s="348" t="s">
        <v>217</v>
      </c>
      <c r="B43" s="346">
        <v>2208</v>
      </c>
      <c r="C43" s="346">
        <v>2106.48</v>
      </c>
      <c r="D43" s="336">
        <v>24</v>
      </c>
      <c r="E43" s="346">
        <v>23.9</v>
      </c>
      <c r="F43" s="346">
        <v>92.384937238493734</v>
      </c>
      <c r="G43" s="346">
        <v>92</v>
      </c>
      <c r="H43" s="346">
        <v>87.77</v>
      </c>
      <c r="I43" s="340">
        <v>4.5978260869565211E-2</v>
      </c>
    </row>
    <row r="44" spans="1:9" x14ac:dyDescent="0.3">
      <c r="A44" s="348" t="s">
        <v>234</v>
      </c>
      <c r="B44" s="346">
        <v>1783</v>
      </c>
      <c r="C44" s="346">
        <v>1713.463</v>
      </c>
      <c r="D44" s="336">
        <v>24</v>
      </c>
      <c r="E44" s="346">
        <v>24</v>
      </c>
      <c r="F44" s="346">
        <v>74.291666666666671</v>
      </c>
      <c r="G44" s="346">
        <v>74.291666666666671</v>
      </c>
      <c r="H44" s="346">
        <v>71.39429166666666</v>
      </c>
      <c r="I44" s="340">
        <v>3.9000000000000021E-2</v>
      </c>
    </row>
    <row r="45" spans="1:9" x14ac:dyDescent="0.3">
      <c r="A45" s="348" t="s">
        <v>235</v>
      </c>
      <c r="B45" s="346">
        <v>1927</v>
      </c>
      <c r="C45" s="346">
        <v>1858.58</v>
      </c>
      <c r="D45" s="336">
        <v>24</v>
      </c>
      <c r="E45" s="346">
        <v>22.57</v>
      </c>
      <c r="F45" s="346">
        <v>85.378821444395214</v>
      </c>
      <c r="G45" s="346">
        <v>80.291666666666671</v>
      </c>
      <c r="H45" s="346">
        <v>77.44083333333333</v>
      </c>
      <c r="I45" s="340">
        <v>3.550596782563574E-2</v>
      </c>
    </row>
    <row r="46" spans="1:9" x14ac:dyDescent="0.3">
      <c r="A46" s="348" t="s">
        <v>236</v>
      </c>
      <c r="B46" s="346">
        <v>2233</v>
      </c>
      <c r="C46" s="346">
        <v>2153.5920000000001</v>
      </c>
      <c r="D46" s="336">
        <v>24</v>
      </c>
      <c r="E46" s="346">
        <v>21.25</v>
      </c>
      <c r="F46" s="346">
        <v>105.08235294117647</v>
      </c>
      <c r="G46" s="346">
        <v>93.041666666666671</v>
      </c>
      <c r="H46" s="346">
        <v>89.733000000000004</v>
      </c>
      <c r="I46" s="340">
        <v>3.5561128526645724E-2</v>
      </c>
    </row>
    <row r="47" spans="1:9" x14ac:dyDescent="0.3">
      <c r="A47" s="348" t="s">
        <v>237</v>
      </c>
      <c r="B47" s="346">
        <v>2200</v>
      </c>
      <c r="C47" s="346">
        <v>2123</v>
      </c>
      <c r="D47" s="336">
        <v>24</v>
      </c>
      <c r="E47" s="346">
        <v>21.41</v>
      </c>
      <c r="F47" s="346">
        <v>102.75572162540868</v>
      </c>
      <c r="G47" s="346">
        <v>91.666666666666671</v>
      </c>
      <c r="H47" s="346">
        <v>88.458333333333329</v>
      </c>
      <c r="I47" s="340">
        <v>3.5000000000000003E-2</v>
      </c>
    </row>
    <row r="48" spans="1:9" x14ac:dyDescent="0.3">
      <c r="A48" s="348" t="s">
        <v>225</v>
      </c>
      <c r="B48" s="346">
        <v>2506</v>
      </c>
      <c r="C48" s="346">
        <v>2382.8301000000001</v>
      </c>
      <c r="D48" s="336">
        <v>24</v>
      </c>
      <c r="E48" s="346">
        <v>23.5</v>
      </c>
      <c r="F48" s="346">
        <v>106.63829787234043</v>
      </c>
      <c r="G48" s="346">
        <v>104.41666666666667</v>
      </c>
      <c r="H48" s="346">
        <v>99.284587500000001</v>
      </c>
      <c r="I48" s="340">
        <v>4.9149999999999951E-2</v>
      </c>
    </row>
    <row r="49" spans="1:9" x14ac:dyDescent="0.3">
      <c r="A49" s="348" t="s">
        <v>226</v>
      </c>
      <c r="B49" s="346">
        <v>2509</v>
      </c>
      <c r="C49" s="346">
        <v>2399.893</v>
      </c>
      <c r="D49" s="336">
        <v>24</v>
      </c>
      <c r="E49" s="346">
        <v>24</v>
      </c>
      <c r="F49" s="346">
        <v>104.54166666666667</v>
      </c>
      <c r="G49" s="346">
        <v>104.54166666666667</v>
      </c>
      <c r="H49" s="346">
        <v>99.995541666666668</v>
      </c>
      <c r="I49" s="340">
        <v>4.3486249501793535E-2</v>
      </c>
    </row>
    <row r="50" spans="1:9" x14ac:dyDescent="0.3">
      <c r="A50" s="348" t="s">
        <v>227</v>
      </c>
      <c r="B50" s="346">
        <v>2167</v>
      </c>
      <c r="C50" s="346">
        <v>2078.6190000000001</v>
      </c>
      <c r="D50" s="336">
        <v>24</v>
      </c>
      <c r="E50" s="346">
        <v>22.5</v>
      </c>
      <c r="F50" s="346">
        <v>96.311111111111117</v>
      </c>
      <c r="G50" s="346">
        <v>90.291666666666671</v>
      </c>
      <c r="H50" s="346">
        <v>86.609125000000006</v>
      </c>
      <c r="I50" s="340">
        <v>4.0784956160590614E-2</v>
      </c>
    </row>
    <row r="51" spans="1:9" x14ac:dyDescent="0.3">
      <c r="A51" s="348" t="s">
        <v>228</v>
      </c>
      <c r="B51" s="346">
        <v>2482</v>
      </c>
      <c r="C51" s="346">
        <v>2369.0969999999998</v>
      </c>
      <c r="D51" s="336">
        <v>24</v>
      </c>
      <c r="E51" s="346">
        <v>23.75</v>
      </c>
      <c r="F51" s="346">
        <v>104.50526315789473</v>
      </c>
      <c r="G51" s="346">
        <v>103.41666666666667</v>
      </c>
      <c r="H51" s="346">
        <v>98.712374999999994</v>
      </c>
      <c r="I51" s="340">
        <v>4.5488718775181403E-2</v>
      </c>
    </row>
    <row r="52" spans="1:9" x14ac:dyDescent="0.3">
      <c r="A52" s="348" t="s">
        <v>229</v>
      </c>
      <c r="B52" s="346">
        <v>2566</v>
      </c>
      <c r="C52" s="346">
        <v>2464.6669999999999</v>
      </c>
      <c r="D52" s="336">
        <v>24</v>
      </c>
      <c r="E52" s="346">
        <v>24</v>
      </c>
      <c r="F52" s="346">
        <v>106.91666666666667</v>
      </c>
      <c r="G52" s="346">
        <v>106.91666666666667</v>
      </c>
      <c r="H52" s="346">
        <v>102.69445833333333</v>
      </c>
      <c r="I52" s="340">
        <v>3.9490646921278287E-2</v>
      </c>
    </row>
    <row r="53" spans="1:9" x14ac:dyDescent="0.3">
      <c r="A53" s="348" t="s">
        <v>230</v>
      </c>
      <c r="B53" s="346">
        <v>2495</v>
      </c>
      <c r="C53" s="346">
        <v>2396.471</v>
      </c>
      <c r="D53" s="336">
        <v>24</v>
      </c>
      <c r="E53" s="346">
        <v>24</v>
      </c>
      <c r="F53" s="346">
        <v>103.95833333333333</v>
      </c>
      <c r="G53" s="346">
        <v>103.95833333333333</v>
      </c>
      <c r="H53" s="346">
        <v>99.852958333333333</v>
      </c>
      <c r="I53" s="340">
        <v>3.9490581162324651E-2</v>
      </c>
    </row>
    <row r="54" spans="1:9" x14ac:dyDescent="0.3">
      <c r="A54" s="348" t="s">
        <v>231</v>
      </c>
      <c r="B54" s="346">
        <v>2526</v>
      </c>
      <c r="C54" s="346">
        <v>2428.752</v>
      </c>
      <c r="D54" s="336">
        <v>24</v>
      </c>
      <c r="E54" s="346">
        <v>24</v>
      </c>
      <c r="F54" s="346">
        <v>105.25</v>
      </c>
      <c r="G54" s="346">
        <v>105.25</v>
      </c>
      <c r="H54" s="346">
        <v>101.19799999999999</v>
      </c>
      <c r="I54" s="340">
        <v>3.8498812351543961E-2</v>
      </c>
    </row>
    <row r="55" spans="1:9" x14ac:dyDescent="0.3">
      <c r="A55" s="348" t="s">
        <v>240</v>
      </c>
      <c r="B55" s="346">
        <v>1558</v>
      </c>
      <c r="C55" s="346">
        <v>1498.4639999999999</v>
      </c>
      <c r="D55" s="336">
        <v>24</v>
      </c>
      <c r="E55" s="346">
        <v>19.05</v>
      </c>
      <c r="F55" s="346">
        <v>81.784776902887131</v>
      </c>
      <c r="G55" s="346">
        <v>64.916666666666671</v>
      </c>
      <c r="H55" s="346">
        <v>62.436</v>
      </c>
      <c r="I55" s="340">
        <v>3.8213093709884502E-2</v>
      </c>
    </row>
    <row r="56" spans="1:9" x14ac:dyDescent="0.3">
      <c r="A56" s="348" t="s">
        <v>215</v>
      </c>
      <c r="B56" s="346">
        <v>1598</v>
      </c>
      <c r="C56" s="346">
        <v>1538.8739999999998</v>
      </c>
      <c r="D56" s="336">
        <v>24</v>
      </c>
      <c r="E56" s="346">
        <v>23.1</v>
      </c>
      <c r="F56" s="346">
        <v>69.177489177489178</v>
      </c>
      <c r="G56" s="346">
        <v>66.583333333333329</v>
      </c>
      <c r="H56" s="346">
        <v>64.119749999999996</v>
      </c>
      <c r="I56" s="340">
        <v>3.700000000000013E-2</v>
      </c>
    </row>
    <row r="57" spans="1:9" x14ac:dyDescent="0.3">
      <c r="A57" s="348" t="s">
        <v>238</v>
      </c>
      <c r="B57" s="346">
        <v>1484</v>
      </c>
      <c r="C57" s="346">
        <v>1422.4549999999999</v>
      </c>
      <c r="D57" s="336">
        <v>24</v>
      </c>
      <c r="E57" s="346">
        <v>23.11</v>
      </c>
      <c r="F57" s="346">
        <v>64.214625703158802</v>
      </c>
      <c r="G57" s="346">
        <v>61.833333333333336</v>
      </c>
      <c r="H57" s="346">
        <v>59.26895833333333</v>
      </c>
      <c r="I57" s="340">
        <v>4.1472371967655033E-2</v>
      </c>
    </row>
    <row r="58" spans="1:9" x14ac:dyDescent="0.3">
      <c r="A58" s="348" t="s">
        <v>239</v>
      </c>
      <c r="B58" s="346">
        <v>1624</v>
      </c>
      <c r="C58" s="346">
        <v>1553.355</v>
      </c>
      <c r="D58" s="336">
        <v>24</v>
      </c>
      <c r="E58" s="346">
        <v>24</v>
      </c>
      <c r="F58" s="346">
        <v>67.666666666666671</v>
      </c>
      <c r="G58" s="346">
        <v>67.666666666666671</v>
      </c>
      <c r="H58" s="346">
        <v>64.723124999999996</v>
      </c>
      <c r="I58" s="340">
        <v>4.3500615763546788E-2</v>
      </c>
    </row>
    <row r="59" spans="1:9" x14ac:dyDescent="0.3">
      <c r="A59" s="348" t="s">
        <v>216</v>
      </c>
      <c r="B59" s="346">
        <v>1433</v>
      </c>
      <c r="C59" s="346">
        <v>1377.1129999999998</v>
      </c>
      <c r="D59" s="336">
        <v>24</v>
      </c>
      <c r="E59" s="346">
        <v>21.11</v>
      </c>
      <c r="F59" s="346">
        <v>67.882520132638561</v>
      </c>
      <c r="G59" s="346">
        <v>59.708333333333336</v>
      </c>
      <c r="H59" s="346">
        <v>57.379708333333326</v>
      </c>
      <c r="I59" s="340">
        <v>3.9000000000000118E-2</v>
      </c>
    </row>
    <row r="60" spans="1:9" x14ac:dyDescent="0.3">
      <c r="A60" s="338" t="s">
        <v>189</v>
      </c>
      <c r="B60" s="346">
        <v>62987</v>
      </c>
      <c r="C60" s="346">
        <v>60428.875099999997</v>
      </c>
      <c r="D60" s="336">
        <v>743.9</v>
      </c>
      <c r="E60" s="346">
        <v>702.03</v>
      </c>
      <c r="F60" s="346">
        <v>89.721236984174467</v>
      </c>
      <c r="G60" s="346">
        <v>84.671326791235387</v>
      </c>
      <c r="H60" s="346">
        <v>81.232524667293987</v>
      </c>
      <c r="I60" s="340">
        <v>4.061353771413153E-2</v>
      </c>
    </row>
    <row r="61" spans="1:9" x14ac:dyDescent="0.3">
      <c r="A61" s="338" t="s">
        <v>161</v>
      </c>
      <c r="B61" s="346">
        <v>85983</v>
      </c>
      <c r="C61" s="346">
        <v>82404.703000000009</v>
      </c>
      <c r="D61" s="336">
        <v>1048.1500000000001</v>
      </c>
      <c r="E61" s="346">
        <v>971.61</v>
      </c>
      <c r="F61" s="346">
        <v>88.495383950350444</v>
      </c>
      <c r="G61" s="346">
        <v>82.033105948576051</v>
      </c>
      <c r="H61" s="346">
        <v>78.619189047369161</v>
      </c>
      <c r="I61" s="340">
        <v>4.1616331135224477E-2</v>
      </c>
    </row>
  </sheetData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140"/>
  <sheetViews>
    <sheetView workbookViewId="0">
      <pane xSplit="5" ySplit="3" topLeftCell="I105" activePane="bottomRight" state="frozen"/>
      <selection pane="topRight" activeCell="F1" sqref="F1"/>
      <selection pane="bottomLeft" activeCell="A4" sqref="A4"/>
      <selection pane="bottomRight" activeCell="M124" sqref="M124"/>
    </sheetView>
  </sheetViews>
  <sheetFormatPr defaultRowHeight="14.4" x14ac:dyDescent="0.3"/>
  <cols>
    <col min="1" max="1" width="9.5546875" customWidth="1"/>
    <col min="3" max="3" width="12.77734375" bestFit="1" customWidth="1"/>
    <col min="5" max="5" width="10" bestFit="1" customWidth="1"/>
    <col min="9" max="9" width="8.88671875" style="331"/>
    <col min="10" max="10" width="10" bestFit="1" customWidth="1"/>
    <col min="11" max="12" width="9.109375" customWidth="1"/>
    <col min="19" max="19" width="10" bestFit="1" customWidth="1"/>
  </cols>
  <sheetData>
    <row r="2" spans="1:25" ht="43.8" customHeight="1" x14ac:dyDescent="0.3">
      <c r="G2">
        <f>6*150+300</f>
        <v>1200</v>
      </c>
      <c r="Q2" s="349" t="s">
        <v>170</v>
      </c>
      <c r="R2" s="350"/>
      <c r="S2" s="350"/>
      <c r="T2" s="351" t="s">
        <v>171</v>
      </c>
      <c r="U2" s="352"/>
      <c r="V2" s="352"/>
      <c r="W2" s="352"/>
      <c r="X2" s="353"/>
    </row>
    <row r="3" spans="1:25" ht="43.2" x14ac:dyDescent="0.3">
      <c r="A3" s="15" t="s">
        <v>121</v>
      </c>
      <c r="B3" s="15" t="s">
        <v>122</v>
      </c>
      <c r="C3" s="15" t="s">
        <v>120</v>
      </c>
      <c r="D3" s="15" t="s">
        <v>40</v>
      </c>
      <c r="E3" s="15" t="s">
        <v>123</v>
      </c>
      <c r="F3" s="318" t="s">
        <v>124</v>
      </c>
      <c r="G3" s="318" t="s">
        <v>125</v>
      </c>
      <c r="H3" s="318" t="s">
        <v>126</v>
      </c>
      <c r="I3" s="330" t="s">
        <v>147</v>
      </c>
      <c r="J3" s="318" t="s">
        <v>141</v>
      </c>
      <c r="K3" s="318" t="s">
        <v>127</v>
      </c>
      <c r="L3" s="318" t="s">
        <v>128</v>
      </c>
      <c r="M3" s="318" t="s">
        <v>41</v>
      </c>
      <c r="N3" s="318" t="s">
        <v>142</v>
      </c>
      <c r="O3" s="318" t="s">
        <v>154</v>
      </c>
      <c r="P3" s="318" t="s">
        <v>144</v>
      </c>
      <c r="Q3" s="345" t="s">
        <v>53</v>
      </c>
      <c r="R3" s="345" t="s">
        <v>57</v>
      </c>
      <c r="S3" s="345" t="s">
        <v>55</v>
      </c>
      <c r="T3" s="345" t="s">
        <v>177</v>
      </c>
      <c r="U3" s="345" t="s">
        <v>178</v>
      </c>
      <c r="V3" s="339" t="s">
        <v>179</v>
      </c>
      <c r="W3" s="345" t="s">
        <v>180</v>
      </c>
      <c r="X3" s="345" t="s">
        <v>181</v>
      </c>
      <c r="Y3" s="344" t="s">
        <v>176</v>
      </c>
    </row>
    <row r="4" spans="1:25" x14ac:dyDescent="0.3">
      <c r="A4" s="320">
        <v>42887</v>
      </c>
      <c r="B4">
        <v>1</v>
      </c>
      <c r="C4" t="s">
        <v>133</v>
      </c>
      <c r="D4" t="s">
        <v>130</v>
      </c>
      <c r="E4" t="s">
        <v>150</v>
      </c>
      <c r="F4">
        <v>720</v>
      </c>
      <c r="G4">
        <v>0</v>
      </c>
      <c r="H4" s="325">
        <f>G4+F4</f>
        <v>720</v>
      </c>
      <c r="I4" s="325" t="str">
        <f>VLOOKUP(C4,'Drop Downs Master'!$D$6:$E$9,2,FALSE)</f>
        <v>BC100</v>
      </c>
      <c r="J4" s="321">
        <v>4.1500000000000002E-2</v>
      </c>
      <c r="K4" s="326">
        <v>1143</v>
      </c>
      <c r="L4" s="325">
        <f>K4*(1-J4)</f>
        <v>1095.5654999999999</v>
      </c>
      <c r="N4" s="325">
        <f t="shared" ref="N4:N31" si="0">K4/(F4/60)</f>
        <v>95.25</v>
      </c>
      <c r="O4" s="325">
        <f t="shared" ref="O4:O31" si="1">L4/(H4/60)</f>
        <v>91.297124999999994</v>
      </c>
      <c r="P4" s="329">
        <f>(G4/H4)</f>
        <v>0</v>
      </c>
      <c r="Q4" s="321">
        <v>0.91132500000000005</v>
      </c>
      <c r="R4" s="321">
        <v>0.82817499999999999</v>
      </c>
      <c r="S4" s="321">
        <v>7.5499999999999998E-2</v>
      </c>
      <c r="T4" s="321">
        <v>0</v>
      </c>
      <c r="U4" s="321">
        <v>0</v>
      </c>
      <c r="V4" s="321">
        <v>0.92420000000000013</v>
      </c>
      <c r="W4" s="321">
        <v>0</v>
      </c>
      <c r="X4" s="321">
        <v>0</v>
      </c>
      <c r="Y4">
        <f>MONTH(A4)</f>
        <v>6</v>
      </c>
    </row>
    <row r="5" spans="1:25" x14ac:dyDescent="0.3">
      <c r="A5" s="320">
        <v>42887</v>
      </c>
      <c r="B5">
        <v>2</v>
      </c>
      <c r="C5" t="s">
        <v>133</v>
      </c>
      <c r="D5" t="s">
        <v>130</v>
      </c>
      <c r="E5" t="s">
        <v>145</v>
      </c>
      <c r="F5">
        <v>720</v>
      </c>
      <c r="G5">
        <v>0</v>
      </c>
      <c r="H5" s="325">
        <f>G5+F5</f>
        <v>720</v>
      </c>
      <c r="I5" s="325" t="str">
        <f>VLOOKUP(C5,'Drop Downs Master'!$D$6:$E$9,2,FALSE)</f>
        <v>BC100</v>
      </c>
      <c r="J5" s="321">
        <v>4.7E-2</v>
      </c>
      <c r="K5" s="326">
        <v>1040</v>
      </c>
      <c r="L5" s="325">
        <f>K5*(1-J5)</f>
        <v>991.12</v>
      </c>
      <c r="N5" s="325">
        <f t="shared" si="0"/>
        <v>86.666666666666671</v>
      </c>
      <c r="O5" s="325">
        <f t="shared" si="1"/>
        <v>82.593333333333334</v>
      </c>
      <c r="P5" s="329">
        <f>(G5/H5)</f>
        <v>0</v>
      </c>
      <c r="Q5" s="321">
        <v>0.82300000000000006</v>
      </c>
      <c r="R5" s="321">
        <v>0.75012500000000004</v>
      </c>
      <c r="S5" s="321">
        <v>9.4799999999999995E-2</v>
      </c>
      <c r="T5" s="321">
        <v>0</v>
      </c>
      <c r="U5" s="321">
        <v>0</v>
      </c>
      <c r="V5" s="321">
        <v>0.91694999999999993</v>
      </c>
      <c r="W5" s="321">
        <v>0</v>
      </c>
      <c r="X5" s="321">
        <v>0</v>
      </c>
      <c r="Y5">
        <f t="shared" ref="Y5:Y68" si="2">MONTH(A5)</f>
        <v>6</v>
      </c>
    </row>
    <row r="6" spans="1:25" x14ac:dyDescent="0.3">
      <c r="A6" s="320">
        <v>42888</v>
      </c>
      <c r="B6">
        <v>1</v>
      </c>
      <c r="C6" t="s">
        <v>133</v>
      </c>
      <c r="D6" t="s">
        <v>130</v>
      </c>
      <c r="E6" t="s">
        <v>150</v>
      </c>
      <c r="F6">
        <f>7.1*60</f>
        <v>426</v>
      </c>
      <c r="G6">
        <f>4.9*60</f>
        <v>294</v>
      </c>
      <c r="H6" s="325">
        <f t="shared" ref="H6:H31" si="3">G6+F6</f>
        <v>720</v>
      </c>
      <c r="I6" s="325" t="str">
        <f>VLOOKUP(C6,'Drop Downs Master'!$D$6:$E$9,2,FALSE)</f>
        <v>BC100</v>
      </c>
      <c r="J6" s="321">
        <v>5.67E-2</v>
      </c>
      <c r="K6" s="326">
        <v>642</v>
      </c>
      <c r="L6" s="325">
        <f t="shared" ref="L6:L31" si="4">K6*(1-J6)</f>
        <v>605.59860000000003</v>
      </c>
      <c r="N6" s="325">
        <f t="shared" si="0"/>
        <v>90.422535211267615</v>
      </c>
      <c r="O6" s="325">
        <f t="shared" si="1"/>
        <v>50.466550000000005</v>
      </c>
      <c r="P6" s="329">
        <f t="shared" ref="P6:P31" si="5">(G6/H6)</f>
        <v>0.40833333333333333</v>
      </c>
      <c r="Q6" s="321">
        <v>0.91033333333333344</v>
      </c>
      <c r="R6" s="321">
        <v>0.85156666666666669</v>
      </c>
      <c r="S6" s="321">
        <v>7.9233333333333336E-2</v>
      </c>
      <c r="T6" s="321">
        <v>0</v>
      </c>
      <c r="U6" s="321">
        <v>0</v>
      </c>
      <c r="V6" s="321">
        <v>0.9244</v>
      </c>
      <c r="W6" s="321">
        <v>0</v>
      </c>
      <c r="X6" s="321">
        <v>0</v>
      </c>
      <c r="Y6">
        <f t="shared" si="2"/>
        <v>6</v>
      </c>
    </row>
    <row r="7" spans="1:25" x14ac:dyDescent="0.3">
      <c r="A7" s="320">
        <v>42888</v>
      </c>
      <c r="B7">
        <v>2</v>
      </c>
      <c r="C7" t="s">
        <v>133</v>
      </c>
      <c r="D7" t="s">
        <v>130</v>
      </c>
      <c r="E7" t="s">
        <v>157</v>
      </c>
      <c r="F7">
        <f>9.75*60</f>
        <v>585</v>
      </c>
      <c r="G7">
        <f>2.25*60</f>
        <v>135</v>
      </c>
      <c r="H7" s="325">
        <f t="shared" si="3"/>
        <v>720</v>
      </c>
      <c r="I7" s="325" t="str">
        <f>VLOOKUP(C7,'Drop Downs Master'!$D$6:$E$9,2,FALSE)</f>
        <v>BC100</v>
      </c>
      <c r="J7" s="321">
        <v>5.6500000000000002E-2</v>
      </c>
      <c r="K7" s="326">
        <v>875</v>
      </c>
      <c r="L7" s="325">
        <f t="shared" si="4"/>
        <v>825.5625</v>
      </c>
      <c r="N7" s="325">
        <f t="shared" si="0"/>
        <v>89.743589743589737</v>
      </c>
      <c r="O7" s="325">
        <f t="shared" si="1"/>
        <v>68.796875</v>
      </c>
      <c r="P7" s="329">
        <f t="shared" si="5"/>
        <v>0.1875</v>
      </c>
      <c r="Q7" s="321">
        <v>0.82315000000000005</v>
      </c>
      <c r="R7" s="321">
        <v>0.73647499999999999</v>
      </c>
      <c r="S7" s="321">
        <v>0.12059999999999998</v>
      </c>
      <c r="T7" s="321">
        <v>0</v>
      </c>
      <c r="U7" s="321">
        <v>0.91752500000000015</v>
      </c>
      <c r="V7" s="321">
        <v>0</v>
      </c>
      <c r="W7" s="321">
        <v>0</v>
      </c>
      <c r="X7" s="321">
        <v>0</v>
      </c>
      <c r="Y7">
        <f t="shared" si="2"/>
        <v>6</v>
      </c>
    </row>
    <row r="8" spans="1:25" x14ac:dyDescent="0.3">
      <c r="A8" s="320">
        <f>A7+1</f>
        <v>42889</v>
      </c>
      <c r="B8">
        <v>1</v>
      </c>
      <c r="C8" t="s">
        <v>133</v>
      </c>
      <c r="D8" t="s">
        <v>130</v>
      </c>
      <c r="E8" t="s">
        <v>150</v>
      </c>
      <c r="F8">
        <f>11.35*60</f>
        <v>681</v>
      </c>
      <c r="G8">
        <f>0.65*60</f>
        <v>39</v>
      </c>
      <c r="H8" s="325">
        <f t="shared" si="3"/>
        <v>720</v>
      </c>
      <c r="I8" s="325" t="str">
        <f>VLOOKUP(C8,'Drop Downs Master'!$D$6:$E$9,2,FALSE)</f>
        <v>BC100</v>
      </c>
      <c r="J8" s="321">
        <v>5.5500000000000001E-2</v>
      </c>
      <c r="K8" s="326">
        <v>817</v>
      </c>
      <c r="L8" s="325">
        <f t="shared" si="4"/>
        <v>771.65650000000005</v>
      </c>
      <c r="N8" s="325">
        <f t="shared" si="0"/>
        <v>71.982378854625551</v>
      </c>
      <c r="O8" s="325">
        <f t="shared" si="1"/>
        <v>64.304708333333338</v>
      </c>
      <c r="P8" s="329">
        <f t="shared" si="5"/>
        <v>5.4166666666666669E-2</v>
      </c>
      <c r="Q8" s="321">
        <v>0.88872499999999999</v>
      </c>
      <c r="R8" s="321">
        <v>0.83802500000000002</v>
      </c>
      <c r="S8" s="321">
        <v>9.8275000000000001E-2</v>
      </c>
      <c r="T8" s="321">
        <v>0</v>
      </c>
      <c r="U8" s="321">
        <v>0</v>
      </c>
      <c r="V8" s="321">
        <v>0.92862500000000003</v>
      </c>
      <c r="W8" s="321">
        <v>0</v>
      </c>
      <c r="X8" s="321">
        <v>0</v>
      </c>
      <c r="Y8">
        <f t="shared" si="2"/>
        <v>6</v>
      </c>
    </row>
    <row r="9" spans="1:25" x14ac:dyDescent="0.3">
      <c r="A9" s="320">
        <v>42889</v>
      </c>
      <c r="B9">
        <v>2</v>
      </c>
      <c r="C9" t="s">
        <v>133</v>
      </c>
      <c r="D9" t="s">
        <v>130</v>
      </c>
      <c r="E9" t="s">
        <v>157</v>
      </c>
      <c r="F9">
        <v>720</v>
      </c>
      <c r="G9">
        <v>0</v>
      </c>
      <c r="H9" s="325">
        <f t="shared" si="3"/>
        <v>720</v>
      </c>
      <c r="I9" s="325" t="str">
        <f>VLOOKUP(C9,'Drop Downs Master'!$D$6:$E$9,2,FALSE)</f>
        <v>BC100</v>
      </c>
      <c r="J9" s="321">
        <v>0.05</v>
      </c>
      <c r="K9" s="326">
        <v>900</v>
      </c>
      <c r="L9" s="325">
        <f t="shared" si="4"/>
        <v>855</v>
      </c>
      <c r="N9" s="325">
        <f t="shared" si="0"/>
        <v>75</v>
      </c>
      <c r="O9" s="325">
        <f t="shared" si="1"/>
        <v>71.25</v>
      </c>
      <c r="P9" s="329">
        <f t="shared" si="5"/>
        <v>0</v>
      </c>
      <c r="Q9" s="321">
        <v>0.91370000000000007</v>
      </c>
      <c r="R9" s="321">
        <v>0.8322250000000001</v>
      </c>
      <c r="S9" s="321">
        <v>6.9074999999999998E-2</v>
      </c>
      <c r="T9" s="321">
        <v>0</v>
      </c>
      <c r="U9" s="321">
        <v>0</v>
      </c>
      <c r="V9" s="321">
        <v>0.91700000000000004</v>
      </c>
      <c r="W9" s="321">
        <v>0</v>
      </c>
      <c r="X9" s="321">
        <v>0</v>
      </c>
      <c r="Y9">
        <f t="shared" si="2"/>
        <v>6</v>
      </c>
    </row>
    <row r="10" spans="1:25" x14ac:dyDescent="0.3">
      <c r="A10" s="320">
        <v>42890</v>
      </c>
      <c r="B10">
        <v>1</v>
      </c>
      <c r="C10" t="s">
        <v>133</v>
      </c>
      <c r="D10" t="s">
        <v>130</v>
      </c>
      <c r="E10" t="s">
        <v>150</v>
      </c>
      <c r="F10">
        <v>720</v>
      </c>
      <c r="G10">
        <v>0</v>
      </c>
      <c r="H10" s="325">
        <f t="shared" si="3"/>
        <v>720</v>
      </c>
      <c r="I10" s="325" t="str">
        <f>VLOOKUP(C10,'Drop Downs Master'!$D$6:$E$9,2,FALSE)</f>
        <v>BC100</v>
      </c>
      <c r="J10" s="321">
        <v>4.8000000000000001E-2</v>
      </c>
      <c r="K10" s="326">
        <v>870</v>
      </c>
      <c r="L10" s="325">
        <f t="shared" si="4"/>
        <v>828.24</v>
      </c>
      <c r="N10" s="325">
        <f t="shared" si="0"/>
        <v>72.5</v>
      </c>
      <c r="O10" s="325">
        <f t="shared" si="1"/>
        <v>69.02</v>
      </c>
      <c r="P10" s="329">
        <f t="shared" si="5"/>
        <v>0</v>
      </c>
      <c r="Q10" s="321">
        <v>0.83019999999999994</v>
      </c>
      <c r="R10" s="321">
        <v>0.79337999999999997</v>
      </c>
      <c r="S10" s="321">
        <v>0.12559999999999999</v>
      </c>
      <c r="T10" s="321">
        <v>0</v>
      </c>
      <c r="U10" s="321">
        <v>0</v>
      </c>
      <c r="V10" s="321">
        <v>0.90380000000000005</v>
      </c>
      <c r="W10" s="321">
        <v>0</v>
      </c>
      <c r="X10" s="321">
        <v>0</v>
      </c>
      <c r="Y10">
        <f t="shared" si="2"/>
        <v>6</v>
      </c>
    </row>
    <row r="11" spans="1:25" x14ac:dyDescent="0.3">
      <c r="A11" s="320">
        <v>42890</v>
      </c>
      <c r="B11">
        <v>2</v>
      </c>
      <c r="C11" t="s">
        <v>133</v>
      </c>
      <c r="D11" t="s">
        <v>130</v>
      </c>
      <c r="E11" t="s">
        <v>157</v>
      </c>
      <c r="F11">
        <f>11.9*60</f>
        <v>714</v>
      </c>
      <c r="G11">
        <f>0.1*60</f>
        <v>6</v>
      </c>
      <c r="H11" s="325">
        <f t="shared" si="3"/>
        <v>720</v>
      </c>
      <c r="I11" s="325" t="str">
        <f>VLOOKUP(C11,'Drop Downs Master'!$D$6:$E$9,2,FALSE)</f>
        <v>BC100</v>
      </c>
      <c r="J11" s="321">
        <v>4.4999999999999998E-2</v>
      </c>
      <c r="K11" s="326">
        <v>1035</v>
      </c>
      <c r="L11" s="325">
        <f t="shared" si="4"/>
        <v>988.42499999999995</v>
      </c>
      <c r="N11" s="325">
        <f t="shared" si="0"/>
        <v>86.974789915966383</v>
      </c>
      <c r="O11" s="325">
        <f t="shared" si="1"/>
        <v>82.368749999999991</v>
      </c>
      <c r="P11" s="329">
        <f t="shared" si="5"/>
        <v>8.3333333333333332E-3</v>
      </c>
      <c r="Q11" s="321">
        <v>0.92315000000000003</v>
      </c>
      <c r="R11" s="321">
        <v>0.87095</v>
      </c>
      <c r="S11" s="321">
        <v>7.3325000000000001E-2</v>
      </c>
      <c r="T11" s="321">
        <v>0</v>
      </c>
      <c r="U11" s="321">
        <v>0</v>
      </c>
      <c r="V11" s="321">
        <v>0.94104999999999994</v>
      </c>
      <c r="W11" s="321">
        <v>0</v>
      </c>
      <c r="X11" s="321">
        <v>0</v>
      </c>
      <c r="Y11">
        <f t="shared" si="2"/>
        <v>6</v>
      </c>
    </row>
    <row r="12" spans="1:25" x14ac:dyDescent="0.3">
      <c r="A12" s="320">
        <v>42891</v>
      </c>
      <c r="B12">
        <v>1</v>
      </c>
      <c r="C12" t="s">
        <v>133</v>
      </c>
      <c r="D12" t="s">
        <v>130</v>
      </c>
      <c r="E12" t="s">
        <v>150</v>
      </c>
      <c r="F12">
        <v>720</v>
      </c>
      <c r="G12">
        <v>0</v>
      </c>
      <c r="H12" s="325">
        <f t="shared" si="3"/>
        <v>720</v>
      </c>
      <c r="I12" s="325" t="str">
        <f>VLOOKUP(C12,'Drop Downs Master'!$D$6:$E$9,2,FALSE)</f>
        <v>BC100</v>
      </c>
      <c r="J12" s="321">
        <v>4.8000000000000001E-2</v>
      </c>
      <c r="K12" s="326">
        <v>870</v>
      </c>
      <c r="L12" s="325">
        <f t="shared" si="4"/>
        <v>828.24</v>
      </c>
      <c r="N12" s="325">
        <f t="shared" si="0"/>
        <v>72.5</v>
      </c>
      <c r="O12" s="325">
        <f t="shared" si="1"/>
        <v>69.02</v>
      </c>
      <c r="P12" s="329">
        <f t="shared" si="5"/>
        <v>0</v>
      </c>
      <c r="Q12" s="321">
        <v>0.91866666666666674</v>
      </c>
      <c r="R12" s="321">
        <v>0.88099999999999989</v>
      </c>
      <c r="S12" s="321">
        <v>7.7666666666666662E-2</v>
      </c>
      <c r="T12" s="321">
        <v>0</v>
      </c>
      <c r="U12" s="321">
        <v>0</v>
      </c>
      <c r="V12" s="321">
        <v>0.93163333333333342</v>
      </c>
      <c r="W12" s="321">
        <v>0</v>
      </c>
      <c r="X12" s="321">
        <v>0</v>
      </c>
      <c r="Y12">
        <f t="shared" si="2"/>
        <v>6</v>
      </c>
    </row>
    <row r="13" spans="1:25" x14ac:dyDescent="0.3">
      <c r="A13" s="320">
        <v>42891</v>
      </c>
      <c r="B13">
        <v>2</v>
      </c>
      <c r="C13" t="s">
        <v>133</v>
      </c>
      <c r="D13" t="s">
        <v>130</v>
      </c>
      <c r="E13" t="s">
        <v>157</v>
      </c>
      <c r="F13">
        <f>10.1*60</f>
        <v>606</v>
      </c>
      <c r="G13">
        <f>1.9*60</f>
        <v>114</v>
      </c>
      <c r="H13" s="325">
        <f t="shared" si="3"/>
        <v>720</v>
      </c>
      <c r="I13" s="325" t="str">
        <f>VLOOKUP(C13,'Drop Downs Master'!$D$6:$E$9,2,FALSE)</f>
        <v>BC100</v>
      </c>
      <c r="J13" s="321">
        <v>4.3999999999999997E-2</v>
      </c>
      <c r="K13" s="326">
        <v>889</v>
      </c>
      <c r="L13" s="325">
        <f t="shared" si="4"/>
        <v>849.88400000000001</v>
      </c>
      <c r="N13" s="325">
        <f t="shared" si="0"/>
        <v>88.019801980198025</v>
      </c>
      <c r="O13" s="325">
        <f t="shared" si="1"/>
        <v>70.823666666666668</v>
      </c>
      <c r="P13" s="329">
        <f t="shared" si="5"/>
        <v>0.15833333333333333</v>
      </c>
      <c r="Q13" s="321">
        <v>0.89910000000000001</v>
      </c>
      <c r="R13" s="321">
        <v>0.73419999999999996</v>
      </c>
      <c r="S13" s="321">
        <v>8.2799999999999999E-2</v>
      </c>
      <c r="T13" s="321">
        <v>0</v>
      </c>
      <c r="U13" s="321">
        <v>0</v>
      </c>
      <c r="V13" s="321">
        <v>0.92530000000000001</v>
      </c>
      <c r="W13" s="321">
        <v>0</v>
      </c>
      <c r="X13" s="321">
        <v>0</v>
      </c>
      <c r="Y13">
        <f t="shared" si="2"/>
        <v>6</v>
      </c>
    </row>
    <row r="14" spans="1:25" x14ac:dyDescent="0.3">
      <c r="A14" s="320">
        <v>42892</v>
      </c>
      <c r="B14">
        <v>1</v>
      </c>
      <c r="C14" t="s">
        <v>133</v>
      </c>
      <c r="D14" t="s">
        <v>130</v>
      </c>
      <c r="E14" t="s">
        <v>150</v>
      </c>
      <c r="F14">
        <v>720</v>
      </c>
      <c r="G14">
        <v>0</v>
      </c>
      <c r="H14" s="325">
        <f t="shared" si="3"/>
        <v>720</v>
      </c>
      <c r="I14" s="325" t="str">
        <f>VLOOKUP(C14,'Drop Downs Master'!$D$6:$E$9,2,FALSE)</f>
        <v>BC100</v>
      </c>
      <c r="J14" s="321">
        <v>4.6199999999999998E-2</v>
      </c>
      <c r="K14" s="326">
        <v>1051</v>
      </c>
      <c r="L14" s="325">
        <f t="shared" si="4"/>
        <v>1002.4438</v>
      </c>
      <c r="N14" s="325">
        <f t="shared" si="0"/>
        <v>87.583333333333329</v>
      </c>
      <c r="O14" s="325">
        <f t="shared" si="1"/>
        <v>83.536983333333339</v>
      </c>
      <c r="P14" s="329">
        <f t="shared" si="5"/>
        <v>0</v>
      </c>
      <c r="Q14" s="321">
        <v>0.89340000000000008</v>
      </c>
      <c r="R14" s="321">
        <v>0.8335999999999999</v>
      </c>
      <c r="S14" s="321">
        <v>8.4400000000000003E-2</v>
      </c>
      <c r="T14" s="321">
        <v>0</v>
      </c>
      <c r="U14" s="321">
        <v>0</v>
      </c>
      <c r="V14" s="321">
        <v>0.92189999999999994</v>
      </c>
      <c r="W14" s="321">
        <v>0</v>
      </c>
      <c r="X14" s="321">
        <v>0</v>
      </c>
      <c r="Y14">
        <f t="shared" si="2"/>
        <v>6</v>
      </c>
    </row>
    <row r="15" spans="1:25" x14ac:dyDescent="0.3">
      <c r="A15" s="320">
        <v>42892</v>
      </c>
      <c r="B15">
        <v>2</v>
      </c>
      <c r="C15" t="s">
        <v>133</v>
      </c>
      <c r="D15" t="s">
        <v>130</v>
      </c>
      <c r="E15" t="s">
        <v>157</v>
      </c>
      <c r="F15">
        <v>660</v>
      </c>
      <c r="G15">
        <v>60</v>
      </c>
      <c r="H15" s="325">
        <f t="shared" si="3"/>
        <v>720</v>
      </c>
      <c r="I15" s="325" t="str">
        <f>VLOOKUP(C15,'Drop Downs Master'!$D$6:$E$9,2,FALSE)</f>
        <v>BC100</v>
      </c>
      <c r="J15" s="321">
        <v>4.7500000000000001E-2</v>
      </c>
      <c r="K15" s="326">
        <v>828</v>
      </c>
      <c r="L15" s="325">
        <f t="shared" si="4"/>
        <v>788.67</v>
      </c>
      <c r="N15" s="325">
        <f t="shared" si="0"/>
        <v>75.272727272727266</v>
      </c>
      <c r="O15" s="325">
        <f t="shared" si="1"/>
        <v>65.722499999999997</v>
      </c>
      <c r="P15" s="329">
        <f t="shared" si="5"/>
        <v>8.3333333333333329E-2</v>
      </c>
      <c r="Q15" s="321">
        <v>0.91062500000000002</v>
      </c>
      <c r="R15" s="321">
        <v>0.81240000000000001</v>
      </c>
      <c r="S15" s="321">
        <v>7.2374999999999995E-2</v>
      </c>
      <c r="T15" s="321">
        <v>0</v>
      </c>
      <c r="U15" s="321">
        <v>0</v>
      </c>
      <c r="V15" s="321">
        <v>0.92965000000000009</v>
      </c>
      <c r="W15" s="321">
        <v>0</v>
      </c>
      <c r="X15" s="321">
        <v>0</v>
      </c>
      <c r="Y15">
        <f t="shared" si="2"/>
        <v>6</v>
      </c>
    </row>
    <row r="16" spans="1:25" x14ac:dyDescent="0.3">
      <c r="A16" s="320">
        <v>42893</v>
      </c>
      <c r="B16">
        <v>1</v>
      </c>
      <c r="C16" t="s">
        <v>133</v>
      </c>
      <c r="D16" t="s">
        <v>130</v>
      </c>
      <c r="E16" s="332" t="s">
        <v>151</v>
      </c>
      <c r="F16" s="332">
        <v>75</v>
      </c>
      <c r="G16">
        <v>0</v>
      </c>
      <c r="H16" s="325">
        <f t="shared" si="3"/>
        <v>75</v>
      </c>
      <c r="I16" s="325" t="str">
        <f>VLOOKUP(C16,'Drop Downs Master'!$D$6:$E$9,2,FALSE)</f>
        <v>BC100</v>
      </c>
      <c r="J16" s="321">
        <v>5.0999999999999997E-2</v>
      </c>
      <c r="K16" s="326">
        <v>121</v>
      </c>
      <c r="L16" s="325">
        <f t="shared" si="4"/>
        <v>114.82899999999999</v>
      </c>
      <c r="N16" s="325">
        <f t="shared" si="0"/>
        <v>96.8</v>
      </c>
      <c r="O16" s="325">
        <f t="shared" si="1"/>
        <v>91.863199999999992</v>
      </c>
      <c r="P16" s="329">
        <f t="shared" si="5"/>
        <v>0</v>
      </c>
      <c r="Q16" s="321">
        <v>0.89700000000000002</v>
      </c>
      <c r="R16" s="321">
        <v>0.83799999999999997</v>
      </c>
      <c r="S16" s="321">
        <v>7.5999999999999998E-2</v>
      </c>
      <c r="T16" s="321">
        <v>0</v>
      </c>
      <c r="U16" s="321">
        <v>0</v>
      </c>
      <c r="V16" s="321">
        <v>0.91400000000000003</v>
      </c>
      <c r="W16" s="321">
        <v>0</v>
      </c>
      <c r="X16" s="321">
        <v>0</v>
      </c>
      <c r="Y16">
        <f t="shared" si="2"/>
        <v>6</v>
      </c>
    </row>
    <row r="17" spans="1:25" x14ac:dyDescent="0.3">
      <c r="A17" s="320">
        <v>42893</v>
      </c>
      <c r="B17">
        <v>1</v>
      </c>
      <c r="C17" t="s">
        <v>133</v>
      </c>
      <c r="D17" t="s">
        <v>131</v>
      </c>
      <c r="E17" s="332" t="s">
        <v>151</v>
      </c>
      <c r="F17" s="332">
        <f>(10.53*60)-75</f>
        <v>556.79999999999995</v>
      </c>
      <c r="G17">
        <f>1.47*60</f>
        <v>88.2</v>
      </c>
      <c r="H17" s="325">
        <f t="shared" ref="H17" si="6">G17+F17</f>
        <v>645</v>
      </c>
      <c r="I17" s="325" t="str">
        <f>VLOOKUP(C17,'Drop Downs Master'!$D$6:$E$9,2,FALSE)</f>
        <v>BC100</v>
      </c>
      <c r="J17" s="321">
        <v>4.7E-2</v>
      </c>
      <c r="K17" s="326">
        <v>921</v>
      </c>
      <c r="L17" s="325">
        <f t="shared" si="4"/>
        <v>877.71299999999997</v>
      </c>
      <c r="N17" s="325">
        <f t="shared" si="0"/>
        <v>99.245689655172427</v>
      </c>
      <c r="O17" s="325">
        <f t="shared" si="1"/>
        <v>81.647720930232552</v>
      </c>
      <c r="P17" s="329">
        <f t="shared" si="5"/>
        <v>0.13674418604651165</v>
      </c>
      <c r="Q17" s="321">
        <v>0.89700000000000002</v>
      </c>
      <c r="R17" s="321">
        <v>0.83799999999999997</v>
      </c>
      <c r="S17" s="321">
        <v>7.5999999999999998E-2</v>
      </c>
      <c r="T17" s="321">
        <v>0.23899999999999999</v>
      </c>
      <c r="U17" s="321">
        <v>0.13187500000000002</v>
      </c>
      <c r="V17" s="321">
        <v>0.91400000000000003</v>
      </c>
      <c r="W17" s="321">
        <v>2.9749999999999999E-2</v>
      </c>
      <c r="X17" s="321">
        <v>0.30275000000000002</v>
      </c>
      <c r="Y17">
        <f t="shared" si="2"/>
        <v>6</v>
      </c>
    </row>
    <row r="18" spans="1:25" x14ac:dyDescent="0.3">
      <c r="A18" s="320">
        <v>42893</v>
      </c>
      <c r="B18">
        <v>2</v>
      </c>
      <c r="C18" t="s">
        <v>133</v>
      </c>
      <c r="D18" t="s">
        <v>131</v>
      </c>
      <c r="E18" t="s">
        <v>152</v>
      </c>
      <c r="F18">
        <f>10*60</f>
        <v>600</v>
      </c>
      <c r="G18">
        <v>120</v>
      </c>
      <c r="H18" s="325">
        <f t="shared" si="3"/>
        <v>720</v>
      </c>
      <c r="I18" s="325" t="str">
        <f>VLOOKUP(C18,'Drop Downs Master'!$D$6:$E$9,2,FALSE)</f>
        <v>BC100</v>
      </c>
      <c r="J18" s="321">
        <v>7.0000000000000007E-2</v>
      </c>
      <c r="K18" s="326">
        <v>710</v>
      </c>
      <c r="L18" s="325">
        <f t="shared" si="4"/>
        <v>660.3</v>
      </c>
      <c r="N18" s="325">
        <f t="shared" si="0"/>
        <v>71</v>
      </c>
      <c r="O18" s="325">
        <f t="shared" si="1"/>
        <v>55.024999999999999</v>
      </c>
      <c r="P18" s="329">
        <f t="shared" si="5"/>
        <v>0.16666666666666666</v>
      </c>
      <c r="Q18" s="321">
        <v>0</v>
      </c>
      <c r="R18" s="321">
        <v>0</v>
      </c>
      <c r="S18" s="321">
        <v>0</v>
      </c>
      <c r="T18" s="321">
        <v>0.242225</v>
      </c>
      <c r="U18" s="321">
        <v>0.12089999999999999</v>
      </c>
      <c r="V18" s="321">
        <v>0</v>
      </c>
      <c r="W18" s="321">
        <v>0.10496666666666667</v>
      </c>
      <c r="X18" s="321">
        <v>0.19796666666666665</v>
      </c>
      <c r="Y18">
        <f t="shared" si="2"/>
        <v>6</v>
      </c>
    </row>
    <row r="19" spans="1:25" x14ac:dyDescent="0.3">
      <c r="A19" s="320">
        <v>42894</v>
      </c>
      <c r="B19">
        <v>1</v>
      </c>
      <c r="C19" t="s">
        <v>133</v>
      </c>
      <c r="D19" t="s">
        <v>131</v>
      </c>
      <c r="E19" s="331" t="s">
        <v>151</v>
      </c>
      <c r="F19">
        <v>540</v>
      </c>
      <c r="G19">
        <v>180</v>
      </c>
      <c r="H19" s="325">
        <f t="shared" ref="H19:H20" si="7">G19+F19</f>
        <v>720</v>
      </c>
      <c r="I19" s="325" t="str">
        <f>VLOOKUP(C19,'Drop Downs Master'!$D$6:$E$9,2,FALSE)</f>
        <v>BC100</v>
      </c>
      <c r="J19" s="321">
        <v>7.5999999999999998E-2</v>
      </c>
      <c r="K19" s="326">
        <v>600</v>
      </c>
      <c r="L19" s="325">
        <f t="shared" ref="L19:L20" si="8">K19*(1-J19)</f>
        <v>554.4</v>
      </c>
      <c r="N19" s="325">
        <f t="shared" ref="N19:N20" si="9">K19/(F19/60)</f>
        <v>66.666666666666671</v>
      </c>
      <c r="O19" s="325">
        <f t="shared" ref="O19:O20" si="10">L19/(H19/60)</f>
        <v>46.199999999999996</v>
      </c>
      <c r="P19" s="329">
        <f t="shared" ref="P19:P20" si="11">(G19/H19)</f>
        <v>0.25</v>
      </c>
      <c r="Q19" s="321">
        <v>0</v>
      </c>
      <c r="R19" s="321">
        <v>0</v>
      </c>
      <c r="S19" s="321">
        <v>0</v>
      </c>
      <c r="T19" s="321">
        <v>0.20200000000000004</v>
      </c>
      <c r="U19" s="321">
        <v>0.1476666666666667</v>
      </c>
      <c r="V19" s="321">
        <v>0</v>
      </c>
      <c r="W19" s="321">
        <v>3.5666666666666673E-2</v>
      </c>
      <c r="X19" s="321">
        <v>0.22966666666666669</v>
      </c>
      <c r="Y19">
        <f t="shared" si="2"/>
        <v>6</v>
      </c>
    </row>
    <row r="20" spans="1:25" x14ac:dyDescent="0.3">
      <c r="A20" s="320">
        <v>42894</v>
      </c>
      <c r="B20">
        <v>2</v>
      </c>
      <c r="C20" t="s">
        <v>133</v>
      </c>
      <c r="D20" t="s">
        <v>131</v>
      </c>
      <c r="E20" t="s">
        <v>153</v>
      </c>
      <c r="F20">
        <f>11.3*60</f>
        <v>678</v>
      </c>
      <c r="G20">
        <f>0.7*60</f>
        <v>42</v>
      </c>
      <c r="H20" s="325">
        <f t="shared" si="7"/>
        <v>720</v>
      </c>
      <c r="I20" s="325" t="str">
        <f>VLOOKUP(C20,'Drop Downs Master'!$D$6:$E$9,2,FALSE)</f>
        <v>BC100</v>
      </c>
      <c r="J20" s="321">
        <v>8.3699999999999997E-2</v>
      </c>
      <c r="K20" s="326">
        <v>762</v>
      </c>
      <c r="L20" s="325">
        <f t="shared" si="8"/>
        <v>698.22059999999999</v>
      </c>
      <c r="N20" s="325">
        <f t="shared" si="9"/>
        <v>67.43362831858407</v>
      </c>
      <c r="O20" s="325">
        <f t="shared" si="10"/>
        <v>58.185049999999997</v>
      </c>
      <c r="P20" s="329">
        <f t="shared" si="11"/>
        <v>5.8333333333333334E-2</v>
      </c>
      <c r="Q20" s="321">
        <v>0</v>
      </c>
      <c r="R20" s="321">
        <v>0</v>
      </c>
      <c r="S20" s="321">
        <v>0</v>
      </c>
      <c r="T20" s="321">
        <v>0.26699999999999996</v>
      </c>
      <c r="U20" s="321">
        <v>0.12966666666666668</v>
      </c>
      <c r="V20" s="321">
        <v>0</v>
      </c>
      <c r="W20" s="321">
        <v>4.2666666666666665E-2</v>
      </c>
      <c r="X20" s="321">
        <v>0.25233333333333335</v>
      </c>
      <c r="Y20">
        <f t="shared" si="2"/>
        <v>6</v>
      </c>
    </row>
    <row r="21" spans="1:25" x14ac:dyDescent="0.3">
      <c r="A21" s="320">
        <v>42895</v>
      </c>
      <c r="B21">
        <v>1</v>
      </c>
      <c r="C21" t="s">
        <v>133</v>
      </c>
      <c r="D21" t="s">
        <v>130</v>
      </c>
      <c r="E21" t="s">
        <v>151</v>
      </c>
      <c r="F21">
        <f>8.8*60</f>
        <v>528</v>
      </c>
      <c r="G21">
        <f>3.2*60</f>
        <v>192</v>
      </c>
      <c r="H21" s="325">
        <f t="shared" ref="H21" si="12">G21+F21</f>
        <v>720</v>
      </c>
      <c r="I21" s="325" t="str">
        <f>VLOOKUP(C21,'Drop Downs Master'!$D$6:$E$9,2,FALSE)</f>
        <v>BC100</v>
      </c>
      <c r="J21" s="321">
        <v>5.8000000000000003E-2</v>
      </c>
      <c r="K21" s="326">
        <v>655</v>
      </c>
      <c r="L21" s="325">
        <f t="shared" si="4"/>
        <v>617.01</v>
      </c>
      <c r="N21" s="325">
        <f t="shared" si="0"/>
        <v>74.431818181818173</v>
      </c>
      <c r="O21" s="325">
        <f t="shared" si="1"/>
        <v>51.417499999999997</v>
      </c>
      <c r="P21" s="329">
        <f t="shared" si="5"/>
        <v>0.26666666666666666</v>
      </c>
      <c r="Q21" s="321">
        <v>0</v>
      </c>
      <c r="R21" s="321">
        <v>0</v>
      </c>
      <c r="S21" s="321">
        <v>0</v>
      </c>
      <c r="T21" s="321">
        <v>0.24099999999999999</v>
      </c>
      <c r="U21" s="321">
        <v>9.9000000000000005E-2</v>
      </c>
      <c r="V21" s="321">
        <v>4.2999999999999997E-2</v>
      </c>
      <c r="W21" s="321">
        <v>0.22900000000000001</v>
      </c>
      <c r="X21" s="321">
        <v>0</v>
      </c>
      <c r="Y21">
        <f t="shared" si="2"/>
        <v>6</v>
      </c>
    </row>
    <row r="22" spans="1:25" x14ac:dyDescent="0.3">
      <c r="A22" s="320">
        <v>42895</v>
      </c>
      <c r="B22">
        <v>2</v>
      </c>
      <c r="C22" t="s">
        <v>133</v>
      </c>
      <c r="D22" t="s">
        <v>131</v>
      </c>
      <c r="E22" t="s">
        <v>153</v>
      </c>
      <c r="F22">
        <v>660</v>
      </c>
      <c r="G22">
        <v>60</v>
      </c>
      <c r="H22" s="325">
        <f t="shared" si="3"/>
        <v>720</v>
      </c>
      <c r="I22" s="325" t="str">
        <f>VLOOKUP(C22,'Drop Downs Master'!$D$6:$E$9,2,FALSE)</f>
        <v>BC100</v>
      </c>
      <c r="J22" s="321">
        <v>7.3999999999999996E-2</v>
      </c>
      <c r="K22" s="326">
        <v>800</v>
      </c>
      <c r="L22" s="325">
        <f t="shared" si="4"/>
        <v>740.80000000000007</v>
      </c>
      <c r="N22" s="325">
        <f t="shared" si="0"/>
        <v>72.727272727272734</v>
      </c>
      <c r="O22" s="325">
        <f t="shared" si="1"/>
        <v>61.733333333333341</v>
      </c>
      <c r="P22" s="329">
        <f t="shared" si="5"/>
        <v>8.3333333333333329E-2</v>
      </c>
      <c r="Q22" s="321">
        <v>0</v>
      </c>
      <c r="R22" s="321">
        <v>0</v>
      </c>
      <c r="S22" s="321">
        <v>0</v>
      </c>
      <c r="T22" s="321">
        <v>0.1895</v>
      </c>
      <c r="U22" s="321">
        <v>0.14250000000000002</v>
      </c>
      <c r="V22" s="321">
        <v>0</v>
      </c>
      <c r="W22" s="321">
        <v>3.9500000000000007E-2</v>
      </c>
      <c r="X22" s="321">
        <v>0.19874999999999998</v>
      </c>
      <c r="Y22">
        <f t="shared" si="2"/>
        <v>6</v>
      </c>
    </row>
    <row r="23" spans="1:25" x14ac:dyDescent="0.3">
      <c r="A23" s="320">
        <v>42896</v>
      </c>
      <c r="B23">
        <v>1</v>
      </c>
      <c r="C23" t="s">
        <v>133</v>
      </c>
      <c r="D23" t="s">
        <v>131</v>
      </c>
      <c r="E23" s="331" t="s">
        <v>151</v>
      </c>
      <c r="F23">
        <f>10.7*60</f>
        <v>642</v>
      </c>
      <c r="G23">
        <f>1.3*60</f>
        <v>78</v>
      </c>
      <c r="H23" s="325">
        <f t="shared" si="3"/>
        <v>720</v>
      </c>
      <c r="I23" s="325" t="str">
        <f>VLOOKUP(C23,'Drop Downs Master'!$D$6:$E$9,2,FALSE)</f>
        <v>BC100</v>
      </c>
      <c r="J23" s="321">
        <v>5.8000000000000003E-2</v>
      </c>
      <c r="K23" s="326">
        <v>914</v>
      </c>
      <c r="L23" s="325">
        <f t="shared" si="4"/>
        <v>860.98799999999994</v>
      </c>
      <c r="N23" s="325">
        <f t="shared" si="0"/>
        <v>85.420560747663558</v>
      </c>
      <c r="O23" s="325">
        <f t="shared" si="1"/>
        <v>71.748999999999995</v>
      </c>
      <c r="P23" s="329">
        <f t="shared" si="5"/>
        <v>0.10833333333333334</v>
      </c>
      <c r="Q23" s="321">
        <v>0</v>
      </c>
      <c r="R23" s="321">
        <v>0</v>
      </c>
      <c r="S23" s="321">
        <v>0</v>
      </c>
      <c r="T23" s="321">
        <v>0.14833333333333332</v>
      </c>
      <c r="U23" s="321">
        <v>0.1466666666666667</v>
      </c>
      <c r="V23" s="321">
        <v>0</v>
      </c>
      <c r="W23" s="321">
        <v>3.4666666666666672E-2</v>
      </c>
      <c r="X23" s="321">
        <v>0.24333333333333332</v>
      </c>
      <c r="Y23">
        <f t="shared" si="2"/>
        <v>6</v>
      </c>
    </row>
    <row r="24" spans="1:25" x14ac:dyDescent="0.3">
      <c r="A24" s="320">
        <v>42896</v>
      </c>
      <c r="B24">
        <v>2</v>
      </c>
      <c r="C24" t="s">
        <v>133</v>
      </c>
      <c r="D24" t="s">
        <v>131</v>
      </c>
      <c r="E24" t="s">
        <v>153</v>
      </c>
      <c r="F24">
        <v>720</v>
      </c>
      <c r="G24">
        <v>0</v>
      </c>
      <c r="H24" s="325">
        <f t="shared" si="3"/>
        <v>720</v>
      </c>
      <c r="I24" s="325" t="str">
        <f>VLOOKUP(C24,'Drop Downs Master'!$D$6:$E$9,2,FALSE)</f>
        <v>BC100</v>
      </c>
      <c r="J24" s="321">
        <v>7.0000000000000007E-2</v>
      </c>
      <c r="K24" s="326">
        <v>1066</v>
      </c>
      <c r="L24" s="325">
        <f t="shared" si="4"/>
        <v>991.37999999999988</v>
      </c>
      <c r="N24" s="325">
        <f t="shared" si="0"/>
        <v>88.833333333333329</v>
      </c>
      <c r="O24" s="325">
        <f t="shared" si="1"/>
        <v>82.614999999999995</v>
      </c>
      <c r="P24" s="329">
        <f t="shared" si="5"/>
        <v>0</v>
      </c>
      <c r="Q24" s="321">
        <v>0</v>
      </c>
      <c r="R24" s="321">
        <v>0</v>
      </c>
      <c r="S24" s="321">
        <v>0</v>
      </c>
      <c r="T24" s="321">
        <v>0.17174999999999996</v>
      </c>
      <c r="U24" s="321">
        <v>0.14800000000000002</v>
      </c>
      <c r="V24" s="321">
        <v>0</v>
      </c>
      <c r="W24" s="321">
        <v>3.6749999999999998E-2</v>
      </c>
      <c r="X24" s="321">
        <v>0.24025000000000002</v>
      </c>
      <c r="Y24">
        <f t="shared" si="2"/>
        <v>6</v>
      </c>
    </row>
    <row r="25" spans="1:25" x14ac:dyDescent="0.3">
      <c r="A25" s="320">
        <v>42897</v>
      </c>
      <c r="B25">
        <v>1</v>
      </c>
      <c r="C25" t="s">
        <v>133</v>
      </c>
      <c r="D25" t="s">
        <v>131</v>
      </c>
      <c r="E25" s="331" t="s">
        <v>151</v>
      </c>
      <c r="F25">
        <f>10.2*60</f>
        <v>612</v>
      </c>
      <c r="G25">
        <v>108</v>
      </c>
      <c r="H25" s="325">
        <f t="shared" si="3"/>
        <v>720</v>
      </c>
      <c r="I25" s="325" t="str">
        <f>VLOOKUP(C25,'Drop Downs Master'!$D$6:$E$9,2,FALSE)</f>
        <v>BC100</v>
      </c>
      <c r="J25" s="321">
        <v>2.1999999999999999E-2</v>
      </c>
      <c r="K25" s="326">
        <v>950</v>
      </c>
      <c r="L25" s="325">
        <f t="shared" si="4"/>
        <v>929.1</v>
      </c>
      <c r="N25" s="325">
        <f t="shared" si="0"/>
        <v>93.137254901960787</v>
      </c>
      <c r="O25" s="325">
        <f t="shared" si="1"/>
        <v>77.424999999999997</v>
      </c>
      <c r="P25" s="329">
        <f t="shared" si="5"/>
        <v>0.15</v>
      </c>
      <c r="Q25" s="321">
        <v>0</v>
      </c>
      <c r="R25" s="321">
        <v>0</v>
      </c>
      <c r="S25" s="321">
        <v>0</v>
      </c>
      <c r="T25" s="321">
        <v>0.214</v>
      </c>
      <c r="U25" s="321">
        <v>0.11849999999999999</v>
      </c>
      <c r="V25" s="321">
        <v>0</v>
      </c>
      <c r="W25" s="321">
        <v>4.7500000000000001E-2</v>
      </c>
      <c r="X25" s="321">
        <v>0.153</v>
      </c>
      <c r="Y25">
        <f t="shared" si="2"/>
        <v>6</v>
      </c>
    </row>
    <row r="26" spans="1:25" x14ac:dyDescent="0.3">
      <c r="A26" s="320">
        <v>42897</v>
      </c>
      <c r="B26">
        <v>2</v>
      </c>
      <c r="C26" t="s">
        <v>133</v>
      </c>
      <c r="D26" t="s">
        <v>131</v>
      </c>
      <c r="E26" s="332" t="s">
        <v>153</v>
      </c>
      <c r="F26">
        <v>720</v>
      </c>
      <c r="G26">
        <v>0</v>
      </c>
      <c r="H26" s="325">
        <f t="shared" si="3"/>
        <v>720</v>
      </c>
      <c r="I26" s="325" t="str">
        <f>VLOOKUP(C26,'Drop Downs Master'!$D$6:$E$9,2,FALSE)</f>
        <v>BC100</v>
      </c>
      <c r="J26" s="321">
        <v>6.2E-2</v>
      </c>
      <c r="K26" s="326">
        <v>1025</v>
      </c>
      <c r="L26" s="325">
        <f t="shared" si="4"/>
        <v>961.44999999999993</v>
      </c>
      <c r="N26" s="325">
        <f t="shared" si="0"/>
        <v>85.416666666666671</v>
      </c>
      <c r="O26" s="325">
        <f t="shared" si="1"/>
        <v>80.120833333333323</v>
      </c>
      <c r="P26" s="329">
        <f t="shared" si="5"/>
        <v>0</v>
      </c>
      <c r="Q26" s="321">
        <v>0</v>
      </c>
      <c r="R26" s="321">
        <v>0</v>
      </c>
      <c r="S26" s="321">
        <v>0</v>
      </c>
      <c r="T26" s="321">
        <v>0.24725000000000003</v>
      </c>
      <c r="U26" s="321">
        <v>9.6000000000000002E-2</v>
      </c>
      <c r="V26" s="321">
        <v>0</v>
      </c>
      <c r="W26" s="321">
        <v>0.13899999999999998</v>
      </c>
      <c r="X26" s="321">
        <v>0.11749999999999999</v>
      </c>
      <c r="Y26">
        <f t="shared" si="2"/>
        <v>6</v>
      </c>
    </row>
    <row r="27" spans="1:25" x14ac:dyDescent="0.3">
      <c r="A27" s="320">
        <v>42898</v>
      </c>
      <c r="B27">
        <v>1</v>
      </c>
      <c r="C27" t="s">
        <v>133</v>
      </c>
      <c r="D27" t="s">
        <v>131</v>
      </c>
      <c r="E27" s="331" t="s">
        <v>151</v>
      </c>
      <c r="F27">
        <f>11.8*60</f>
        <v>708</v>
      </c>
      <c r="G27">
        <v>12</v>
      </c>
      <c r="H27" s="325">
        <f t="shared" si="3"/>
        <v>720</v>
      </c>
      <c r="I27" s="325" t="str">
        <f>VLOOKUP(C27,'Drop Downs Master'!$D$6:$E$9,2,FALSE)</f>
        <v>BC100</v>
      </c>
      <c r="J27" s="321">
        <v>5.3999999999999999E-2</v>
      </c>
      <c r="K27" s="326">
        <v>1109</v>
      </c>
      <c r="L27" s="325">
        <f t="shared" si="4"/>
        <v>1049.114</v>
      </c>
      <c r="N27" s="325">
        <f t="shared" si="0"/>
        <v>93.983050847457619</v>
      </c>
      <c r="O27" s="325">
        <f t="shared" si="1"/>
        <v>87.426166666666674</v>
      </c>
      <c r="P27" s="329">
        <f t="shared" si="5"/>
        <v>1.6666666666666666E-2</v>
      </c>
      <c r="Q27" s="321">
        <v>0</v>
      </c>
      <c r="R27" s="321">
        <v>0</v>
      </c>
      <c r="S27" s="321">
        <v>0</v>
      </c>
      <c r="T27" s="321">
        <v>0.28699999999999998</v>
      </c>
      <c r="U27" s="321">
        <v>9.6000000000000016E-2</v>
      </c>
      <c r="V27" s="321">
        <v>0</v>
      </c>
      <c r="W27" s="321">
        <v>0.10833333333333334</v>
      </c>
      <c r="X27" s="321">
        <v>0.24399999999999999</v>
      </c>
      <c r="Y27">
        <f t="shared" si="2"/>
        <v>6</v>
      </c>
    </row>
    <row r="28" spans="1:25" x14ac:dyDescent="0.3">
      <c r="A28" s="320">
        <v>42898</v>
      </c>
      <c r="B28">
        <v>2</v>
      </c>
      <c r="C28" t="s">
        <v>133</v>
      </c>
      <c r="D28" t="s">
        <v>131</v>
      </c>
      <c r="E28" s="332" t="s">
        <v>153</v>
      </c>
      <c r="F28">
        <v>720</v>
      </c>
      <c r="G28">
        <v>0</v>
      </c>
      <c r="H28" s="325">
        <f t="shared" si="3"/>
        <v>720</v>
      </c>
      <c r="I28" s="325" t="str">
        <f>VLOOKUP(C28,'Drop Downs Master'!$D$6:$E$9,2,FALSE)</f>
        <v>BC100</v>
      </c>
      <c r="J28" s="321">
        <v>5.3999999999999999E-2</v>
      </c>
      <c r="K28" s="326">
        <v>1052</v>
      </c>
      <c r="L28" s="325">
        <f t="shared" si="4"/>
        <v>995.19199999999989</v>
      </c>
      <c r="N28" s="325">
        <f t="shared" si="0"/>
        <v>87.666666666666671</v>
      </c>
      <c r="O28" s="325">
        <f t="shared" si="1"/>
        <v>82.932666666666663</v>
      </c>
      <c r="P28" s="329">
        <f t="shared" si="5"/>
        <v>0</v>
      </c>
      <c r="Q28" s="321">
        <v>0</v>
      </c>
      <c r="R28" s="321">
        <v>0</v>
      </c>
      <c r="S28" s="321">
        <v>0</v>
      </c>
      <c r="T28" s="321">
        <v>0.28825000000000001</v>
      </c>
      <c r="U28" s="321">
        <v>0.12075</v>
      </c>
      <c r="V28" s="321">
        <v>0</v>
      </c>
      <c r="W28" s="321">
        <v>4.8750000000000002E-2</v>
      </c>
      <c r="X28" s="321">
        <v>0.253</v>
      </c>
      <c r="Y28">
        <f t="shared" si="2"/>
        <v>6</v>
      </c>
    </row>
    <row r="29" spans="1:25" x14ac:dyDescent="0.3">
      <c r="A29" s="320">
        <v>42899</v>
      </c>
      <c r="B29" s="332"/>
      <c r="C29" s="332"/>
      <c r="D29" s="332"/>
      <c r="E29" s="332"/>
      <c r="F29" s="332"/>
      <c r="G29" s="332"/>
      <c r="H29" s="325">
        <f t="shared" si="3"/>
        <v>0</v>
      </c>
      <c r="I29" s="325" t="e">
        <f>VLOOKUP(C29,'Drop Downs Master'!$D$6:$E$9,2,FALSE)</f>
        <v>#N/A</v>
      </c>
      <c r="J29" s="321">
        <v>5.8999999999999997E-2</v>
      </c>
      <c r="K29" s="326"/>
      <c r="L29" s="325">
        <f t="shared" si="4"/>
        <v>0</v>
      </c>
      <c r="N29" s="325" t="e">
        <f t="shared" si="0"/>
        <v>#DIV/0!</v>
      </c>
      <c r="O29" s="325" t="e">
        <f t="shared" si="1"/>
        <v>#DIV/0!</v>
      </c>
      <c r="P29" s="329" t="e">
        <f t="shared" si="5"/>
        <v>#DIV/0!</v>
      </c>
      <c r="Q29" s="321">
        <v>0</v>
      </c>
      <c r="R29" s="321">
        <v>0</v>
      </c>
      <c r="S29" s="321">
        <v>0</v>
      </c>
      <c r="T29" s="321">
        <v>0.27533333333333332</v>
      </c>
      <c r="U29" s="321">
        <v>0.10966666666666668</v>
      </c>
      <c r="V29" s="321">
        <v>0</v>
      </c>
      <c r="W29" s="321">
        <v>0.19140000000000001</v>
      </c>
      <c r="X29" s="321">
        <v>0.19180000000000003</v>
      </c>
      <c r="Y29">
        <f t="shared" si="2"/>
        <v>6</v>
      </c>
    </row>
    <row r="30" spans="1:25" x14ac:dyDescent="0.3">
      <c r="A30" s="320">
        <v>42899</v>
      </c>
      <c r="B30">
        <v>2</v>
      </c>
      <c r="C30" t="s">
        <v>133</v>
      </c>
      <c r="D30" t="s">
        <v>131</v>
      </c>
      <c r="E30" s="331" t="s">
        <v>155</v>
      </c>
      <c r="F30">
        <v>720</v>
      </c>
      <c r="G30">
        <v>0</v>
      </c>
      <c r="H30" s="325">
        <f t="shared" si="3"/>
        <v>720</v>
      </c>
      <c r="I30" s="325" t="str">
        <f>VLOOKUP(C30,'Drop Downs Master'!$D$6:$E$9,2,FALSE)</f>
        <v>BC100</v>
      </c>
      <c r="J30" s="321">
        <v>6.3E-2</v>
      </c>
      <c r="K30" s="326">
        <v>972</v>
      </c>
      <c r="L30" s="325">
        <f t="shared" si="4"/>
        <v>910.76400000000001</v>
      </c>
      <c r="N30" s="325">
        <f t="shared" si="0"/>
        <v>81</v>
      </c>
      <c r="O30" s="325">
        <f t="shared" si="1"/>
        <v>75.897000000000006</v>
      </c>
      <c r="P30" s="329">
        <f t="shared" si="5"/>
        <v>0</v>
      </c>
      <c r="Q30" s="321">
        <v>0</v>
      </c>
      <c r="R30" s="321">
        <v>0</v>
      </c>
      <c r="S30" s="321">
        <v>0</v>
      </c>
      <c r="T30" s="321">
        <v>0.19866666666666669</v>
      </c>
      <c r="U30" s="321">
        <v>0.12033333333333333</v>
      </c>
      <c r="V30" s="321">
        <v>0</v>
      </c>
      <c r="W30" s="321">
        <v>3.1E-2</v>
      </c>
      <c r="X30" s="321">
        <v>0.28133333333333327</v>
      </c>
      <c r="Y30">
        <f t="shared" si="2"/>
        <v>6</v>
      </c>
    </row>
    <row r="31" spans="1:25" x14ac:dyDescent="0.3">
      <c r="A31" s="320">
        <v>42900</v>
      </c>
      <c r="B31">
        <v>1</v>
      </c>
      <c r="C31" t="s">
        <v>133</v>
      </c>
      <c r="D31" t="s">
        <v>131</v>
      </c>
      <c r="E31" s="331" t="s">
        <v>151</v>
      </c>
      <c r="F31">
        <f>10.5*60</f>
        <v>630</v>
      </c>
      <c r="G31">
        <v>90</v>
      </c>
      <c r="H31" s="325">
        <f t="shared" si="3"/>
        <v>720</v>
      </c>
      <c r="I31" s="325" t="str">
        <f>VLOOKUP(C31,'Drop Downs Master'!$D$6:$E$9,2,FALSE)</f>
        <v>BC100</v>
      </c>
      <c r="J31" s="321">
        <v>6.5000000000000002E-2</v>
      </c>
      <c r="K31" s="326">
        <v>830</v>
      </c>
      <c r="L31" s="325">
        <f t="shared" si="4"/>
        <v>776.05000000000007</v>
      </c>
      <c r="N31" s="325">
        <f t="shared" si="0"/>
        <v>79.047619047619051</v>
      </c>
      <c r="O31" s="325">
        <f t="shared" si="1"/>
        <v>64.670833333333334</v>
      </c>
      <c r="P31" s="329">
        <f t="shared" si="5"/>
        <v>0.125</v>
      </c>
      <c r="Q31" s="321">
        <v>0</v>
      </c>
      <c r="R31" s="321">
        <v>0</v>
      </c>
      <c r="S31" s="321">
        <v>0</v>
      </c>
      <c r="T31" s="321">
        <v>0.14700000000000002</v>
      </c>
      <c r="U31" s="321">
        <v>0.2515</v>
      </c>
      <c r="V31" s="321">
        <v>0</v>
      </c>
      <c r="W31" s="321">
        <v>6.4000000000000001E-2</v>
      </c>
      <c r="X31" s="321">
        <v>0.35299999999999998</v>
      </c>
      <c r="Y31">
        <f t="shared" si="2"/>
        <v>6</v>
      </c>
    </row>
    <row r="32" spans="1:25" x14ac:dyDescent="0.3">
      <c r="A32" s="320">
        <v>42900</v>
      </c>
      <c r="B32">
        <v>2</v>
      </c>
      <c r="C32" t="s">
        <v>133</v>
      </c>
      <c r="D32" t="s">
        <v>130</v>
      </c>
      <c r="E32" t="s">
        <v>153</v>
      </c>
      <c r="F32" s="332">
        <v>150</v>
      </c>
      <c r="G32" s="332">
        <v>0</v>
      </c>
      <c r="H32" s="325">
        <f t="shared" ref="H32:H35" si="13">G32+F32</f>
        <v>150</v>
      </c>
      <c r="I32" s="325" t="str">
        <f>VLOOKUP(C32,'Drop Downs Master'!$D$6:$E$9,2,FALSE)</f>
        <v>BC100</v>
      </c>
      <c r="J32" s="321">
        <v>0.04</v>
      </c>
      <c r="K32" s="326">
        <v>200</v>
      </c>
      <c r="L32" s="325">
        <f t="shared" ref="L32:L35" si="14">K32*(1-J32)</f>
        <v>192</v>
      </c>
      <c r="N32" s="325">
        <f t="shared" ref="N32:N35" si="15">K32/(F32/60)</f>
        <v>80</v>
      </c>
      <c r="O32" s="325">
        <f t="shared" ref="O32:O35" si="16">L32/(H32/60)</f>
        <v>76.8</v>
      </c>
      <c r="P32" s="329">
        <f t="shared" ref="P32:P35" si="17">(G32/H32)</f>
        <v>0</v>
      </c>
      <c r="Q32" s="321">
        <v>0.95499999999999996</v>
      </c>
      <c r="R32" s="321">
        <v>0.79</v>
      </c>
      <c r="S32" s="321">
        <v>0.2</v>
      </c>
      <c r="T32" s="321">
        <v>0.11633333333333333</v>
      </c>
      <c r="U32" s="321">
        <v>0.30433333333333334</v>
      </c>
      <c r="V32" s="321">
        <v>0.95</v>
      </c>
      <c r="W32" s="321">
        <v>2.4333333333333335E-2</v>
      </c>
      <c r="X32" s="321">
        <v>0.3793333333333333</v>
      </c>
      <c r="Y32">
        <f t="shared" si="2"/>
        <v>6</v>
      </c>
    </row>
    <row r="33" spans="1:25" x14ac:dyDescent="0.3">
      <c r="A33" s="320">
        <v>42900</v>
      </c>
      <c r="B33">
        <v>2</v>
      </c>
      <c r="C33" t="s">
        <v>133</v>
      </c>
      <c r="D33" t="s">
        <v>131</v>
      </c>
      <c r="E33" t="s">
        <v>153</v>
      </c>
      <c r="F33" s="332">
        <f>9.5*60</f>
        <v>570</v>
      </c>
      <c r="G33" s="332">
        <v>0</v>
      </c>
      <c r="H33" s="325">
        <f t="shared" ref="H33" si="18">G33+F33</f>
        <v>570</v>
      </c>
      <c r="I33" s="325" t="str">
        <f>VLOOKUP(C33,'Drop Downs Master'!$D$6:$E$9,2,FALSE)</f>
        <v>BC100</v>
      </c>
      <c r="J33" s="321">
        <v>8.1000000000000003E-2</v>
      </c>
      <c r="K33" s="326">
        <v>457</v>
      </c>
      <c r="L33" s="325">
        <f t="shared" ref="L33" si="19">K33*(1-J33)</f>
        <v>419.983</v>
      </c>
      <c r="N33" s="325">
        <f t="shared" ref="N33" si="20">K33/(F33/60)</f>
        <v>48.10526315789474</v>
      </c>
      <c r="O33" s="325">
        <f t="shared" ref="O33" si="21">L33/(H33/60)</f>
        <v>44.20873684210526</v>
      </c>
      <c r="P33" s="329">
        <f t="shared" ref="P33" si="22">(G33/H33)</f>
        <v>0</v>
      </c>
      <c r="Q33" s="321">
        <v>0.95499999999999996</v>
      </c>
      <c r="R33" s="321">
        <v>0.79</v>
      </c>
      <c r="S33" s="321">
        <v>0.2</v>
      </c>
      <c r="T33" s="321">
        <v>0.11633333333333333</v>
      </c>
      <c r="U33" s="321">
        <v>0.30433333333333334</v>
      </c>
      <c r="V33" s="321">
        <v>0.95</v>
      </c>
      <c r="W33" s="321">
        <v>2.4333333333333335E-2</v>
      </c>
      <c r="X33" s="321">
        <v>0.3793333333333333</v>
      </c>
      <c r="Y33">
        <f t="shared" si="2"/>
        <v>6</v>
      </c>
    </row>
    <row r="34" spans="1:25" x14ac:dyDescent="0.3">
      <c r="A34" s="320">
        <v>42901</v>
      </c>
      <c r="B34">
        <v>1</v>
      </c>
      <c r="C34" t="s">
        <v>133</v>
      </c>
      <c r="D34" t="s">
        <v>130</v>
      </c>
      <c r="E34" t="s">
        <v>156</v>
      </c>
      <c r="F34">
        <v>720</v>
      </c>
      <c r="G34" s="331">
        <v>0</v>
      </c>
      <c r="H34" s="325">
        <f t="shared" si="13"/>
        <v>720</v>
      </c>
      <c r="I34" s="325" t="str">
        <f>VLOOKUP(C34,'Drop Downs Master'!$D$6:$E$9,2,FALSE)</f>
        <v>BC100</v>
      </c>
      <c r="J34" s="321">
        <v>3.5000000000000003E-2</v>
      </c>
      <c r="K34" s="326">
        <v>1132</v>
      </c>
      <c r="L34" s="325">
        <f t="shared" si="14"/>
        <v>1092.3799999999999</v>
      </c>
      <c r="N34" s="325">
        <f t="shared" si="15"/>
        <v>94.333333333333329</v>
      </c>
      <c r="O34" s="325">
        <f t="shared" si="16"/>
        <v>91.031666666666652</v>
      </c>
      <c r="P34" s="329">
        <f t="shared" si="17"/>
        <v>0</v>
      </c>
      <c r="Q34" s="321">
        <v>0.92933333333333346</v>
      </c>
      <c r="R34" s="321">
        <v>0.88</v>
      </c>
      <c r="S34" s="321">
        <v>6.7666666666666667E-2</v>
      </c>
      <c r="T34" s="321">
        <v>0</v>
      </c>
      <c r="U34" s="321">
        <v>0</v>
      </c>
      <c r="V34" s="321">
        <v>0.92079999999999995</v>
      </c>
      <c r="W34" s="321">
        <v>0</v>
      </c>
      <c r="X34" s="321">
        <v>0</v>
      </c>
      <c r="Y34">
        <f t="shared" si="2"/>
        <v>6</v>
      </c>
    </row>
    <row r="35" spans="1:25" x14ac:dyDescent="0.3">
      <c r="A35" s="320">
        <v>42901</v>
      </c>
      <c r="B35">
        <v>2</v>
      </c>
      <c r="C35" t="s">
        <v>133</v>
      </c>
      <c r="D35" t="s">
        <v>131</v>
      </c>
      <c r="E35" t="s">
        <v>157</v>
      </c>
      <c r="F35">
        <v>720</v>
      </c>
      <c r="G35" s="331">
        <v>0</v>
      </c>
      <c r="H35" s="325">
        <f t="shared" si="13"/>
        <v>720</v>
      </c>
      <c r="I35" s="325" t="str">
        <f>VLOOKUP(C35,'Drop Downs Master'!$D$6:$E$9,2,FALSE)</f>
        <v>BC100</v>
      </c>
      <c r="J35" s="321">
        <v>3.7999999999999999E-2</v>
      </c>
      <c r="K35" s="326">
        <v>1125</v>
      </c>
      <c r="L35" s="325">
        <f t="shared" si="14"/>
        <v>1082.25</v>
      </c>
      <c r="N35" s="325">
        <f t="shared" si="15"/>
        <v>93.75</v>
      </c>
      <c r="O35" s="325">
        <f t="shared" si="16"/>
        <v>90.1875</v>
      </c>
      <c r="P35" s="329">
        <f t="shared" si="17"/>
        <v>0</v>
      </c>
      <c r="Q35" s="321">
        <v>0.92812250000000007</v>
      </c>
      <c r="R35" s="321">
        <v>0.81727499999999997</v>
      </c>
      <c r="S35" s="321">
        <v>6.905E-2</v>
      </c>
      <c r="T35" s="321">
        <v>0</v>
      </c>
      <c r="U35" s="321">
        <v>0</v>
      </c>
      <c r="V35" s="321">
        <v>0.9173</v>
      </c>
      <c r="W35" s="321">
        <v>0</v>
      </c>
      <c r="X35" s="321">
        <v>0</v>
      </c>
      <c r="Y35">
        <f t="shared" si="2"/>
        <v>6</v>
      </c>
    </row>
    <row r="36" spans="1:25" x14ac:dyDescent="0.3">
      <c r="A36" s="320">
        <v>42902</v>
      </c>
      <c r="B36">
        <v>1</v>
      </c>
      <c r="C36" t="s">
        <v>133</v>
      </c>
      <c r="D36" t="s">
        <v>130</v>
      </c>
      <c r="E36" t="s">
        <v>156</v>
      </c>
      <c r="F36">
        <f>6.33*60</f>
        <v>379.8</v>
      </c>
      <c r="G36">
        <f>5.67*60</f>
        <v>340.2</v>
      </c>
      <c r="H36" s="325">
        <f t="shared" ref="H36:H47" si="23">G36+F36</f>
        <v>720</v>
      </c>
      <c r="I36" s="325" t="str">
        <f>VLOOKUP(C36,'Drop Downs Master'!$D$6:$E$9,2,FALSE)</f>
        <v>BC100</v>
      </c>
      <c r="J36" s="321">
        <v>3.6999999999999998E-2</v>
      </c>
      <c r="K36" s="326">
        <v>571</v>
      </c>
      <c r="L36" s="325">
        <f t="shared" ref="L36:L71" si="24">K36*(1-J36)</f>
        <v>549.87299999999993</v>
      </c>
      <c r="N36" s="325">
        <f t="shared" ref="N36:N47" si="25">K36/(F36/60)</f>
        <v>90.205371248025273</v>
      </c>
      <c r="O36" s="325">
        <f t="shared" ref="O36:O47" si="26">L36/(H36/60)</f>
        <v>45.822749999999992</v>
      </c>
      <c r="P36" s="329">
        <f t="shared" ref="P36:P47" si="27">(G36/H36)</f>
        <v>0.47249999999999998</v>
      </c>
      <c r="Q36" s="321">
        <v>0.90932499999999994</v>
      </c>
      <c r="R36" s="321">
        <v>0.86685000000000001</v>
      </c>
      <c r="S36" s="321">
        <v>8.3749999999999991E-2</v>
      </c>
      <c r="T36" s="321">
        <v>0</v>
      </c>
      <c r="U36" s="321">
        <v>0</v>
      </c>
      <c r="V36" s="321">
        <v>0.91425000000000001</v>
      </c>
      <c r="W36" s="321">
        <v>0</v>
      </c>
      <c r="X36" s="321">
        <v>0</v>
      </c>
      <c r="Y36">
        <f t="shared" si="2"/>
        <v>6</v>
      </c>
    </row>
    <row r="37" spans="1:25" x14ac:dyDescent="0.3">
      <c r="A37" s="320">
        <v>42902</v>
      </c>
      <c r="B37">
        <v>2</v>
      </c>
      <c r="C37" t="s">
        <v>133</v>
      </c>
      <c r="D37" t="s">
        <v>131</v>
      </c>
      <c r="E37" t="s">
        <v>157</v>
      </c>
      <c r="F37">
        <v>720</v>
      </c>
      <c r="G37" s="331">
        <v>0</v>
      </c>
      <c r="H37" s="325">
        <f t="shared" si="23"/>
        <v>720</v>
      </c>
      <c r="I37" s="325" t="str">
        <f>VLOOKUP(C37,'Drop Downs Master'!$D$6:$E$9,2,FALSE)</f>
        <v>BC100</v>
      </c>
      <c r="J37" s="321">
        <v>3.6999999999999998E-2</v>
      </c>
      <c r="K37" s="326">
        <v>925</v>
      </c>
      <c r="L37" s="325">
        <f t="shared" si="24"/>
        <v>890.77499999999998</v>
      </c>
      <c r="N37" s="325">
        <f t="shared" si="25"/>
        <v>77.083333333333329</v>
      </c>
      <c r="O37" s="325">
        <f t="shared" si="26"/>
        <v>74.231250000000003</v>
      </c>
      <c r="P37" s="329">
        <f t="shared" si="27"/>
        <v>0</v>
      </c>
      <c r="Q37" s="321">
        <v>0.92094999999999994</v>
      </c>
      <c r="R37" s="321">
        <v>0.80257500000000004</v>
      </c>
      <c r="S37" s="321">
        <v>7.4749999999999997E-2</v>
      </c>
      <c r="T37" s="321">
        <v>0</v>
      </c>
      <c r="U37" s="321">
        <v>0</v>
      </c>
      <c r="V37" s="321">
        <v>0</v>
      </c>
      <c r="W37" s="321">
        <v>0.91302499999999998</v>
      </c>
      <c r="X37" s="321">
        <v>0</v>
      </c>
      <c r="Y37">
        <f t="shared" si="2"/>
        <v>6</v>
      </c>
    </row>
    <row r="38" spans="1:25" x14ac:dyDescent="0.3">
      <c r="A38" s="320">
        <v>42903</v>
      </c>
      <c r="B38">
        <v>1</v>
      </c>
      <c r="C38" t="s">
        <v>133</v>
      </c>
      <c r="D38" t="s">
        <v>131</v>
      </c>
      <c r="E38" t="s">
        <v>150</v>
      </c>
      <c r="F38">
        <f>11.4*60</f>
        <v>684</v>
      </c>
      <c r="G38">
        <f>0.6*60</f>
        <v>36</v>
      </c>
      <c r="H38" s="325">
        <f t="shared" si="23"/>
        <v>720</v>
      </c>
      <c r="I38" s="325" t="str">
        <f>VLOOKUP(C38,'Drop Downs Master'!$D$6:$E$9,2,FALSE)</f>
        <v>BC100</v>
      </c>
      <c r="J38" s="321">
        <v>0.03</v>
      </c>
      <c r="K38" s="326">
        <v>1104</v>
      </c>
      <c r="L38" s="325">
        <f t="shared" si="24"/>
        <v>1070.8799999999999</v>
      </c>
      <c r="N38" s="325">
        <f t="shared" si="25"/>
        <v>96.84210526315789</v>
      </c>
      <c r="O38" s="325">
        <f t="shared" si="26"/>
        <v>89.24</v>
      </c>
      <c r="P38" s="329">
        <f t="shared" si="27"/>
        <v>0.05</v>
      </c>
      <c r="Q38" s="321">
        <v>0</v>
      </c>
      <c r="R38" s="321">
        <v>0</v>
      </c>
      <c r="S38" s="321">
        <v>0</v>
      </c>
      <c r="T38" s="321">
        <v>0.18509999999999999</v>
      </c>
      <c r="U38" s="321">
        <v>0.13422499999999998</v>
      </c>
      <c r="V38" s="321">
        <v>0</v>
      </c>
      <c r="W38" s="321">
        <v>4.5124999999999992E-2</v>
      </c>
      <c r="X38" s="321">
        <v>0.25622499999999998</v>
      </c>
      <c r="Y38">
        <f t="shared" si="2"/>
        <v>6</v>
      </c>
    </row>
    <row r="39" spans="1:25" x14ac:dyDescent="0.3">
      <c r="A39" s="320">
        <v>42903</v>
      </c>
      <c r="B39">
        <v>2</v>
      </c>
      <c r="C39" t="s">
        <v>133</v>
      </c>
      <c r="D39" t="s">
        <v>131</v>
      </c>
      <c r="E39" t="s">
        <v>157</v>
      </c>
      <c r="F39">
        <v>720</v>
      </c>
      <c r="G39">
        <v>0</v>
      </c>
      <c r="H39" s="325">
        <f t="shared" si="23"/>
        <v>720</v>
      </c>
      <c r="I39" s="325" t="str">
        <f>VLOOKUP(C39,'Drop Downs Master'!$D$6:$E$9,2,FALSE)</f>
        <v>BC100</v>
      </c>
      <c r="J39" s="321">
        <v>6.2E-2</v>
      </c>
      <c r="K39" s="326">
        <v>588</v>
      </c>
      <c r="L39" s="325">
        <f t="shared" si="24"/>
        <v>551.54399999999998</v>
      </c>
      <c r="N39" s="325">
        <f t="shared" si="25"/>
        <v>49</v>
      </c>
      <c r="O39" s="325">
        <f t="shared" si="26"/>
        <v>45.961999999999996</v>
      </c>
      <c r="P39" s="329">
        <f t="shared" si="27"/>
        <v>0</v>
      </c>
      <c r="Q39" s="321">
        <v>0</v>
      </c>
      <c r="R39" s="321">
        <v>0</v>
      </c>
      <c r="S39" s="321">
        <v>0</v>
      </c>
      <c r="T39" s="321">
        <v>0.28454999999999997</v>
      </c>
      <c r="U39" s="321">
        <v>0.11227499999999999</v>
      </c>
      <c r="V39" s="321">
        <v>0</v>
      </c>
      <c r="W39" s="321">
        <v>4.36E-2</v>
      </c>
      <c r="X39" s="321">
        <v>0.25532500000000002</v>
      </c>
      <c r="Y39">
        <f t="shared" si="2"/>
        <v>6</v>
      </c>
    </row>
    <row r="40" spans="1:25" x14ac:dyDescent="0.3">
      <c r="A40" s="320">
        <v>42904</v>
      </c>
      <c r="B40">
        <v>1</v>
      </c>
      <c r="C40" t="s">
        <v>133</v>
      </c>
      <c r="D40" t="s">
        <v>131</v>
      </c>
      <c r="E40" t="s">
        <v>158</v>
      </c>
      <c r="F40">
        <f>9.11*60</f>
        <v>546.59999999999991</v>
      </c>
      <c r="G40">
        <f>720-546.6</f>
        <v>173.39999999999998</v>
      </c>
      <c r="H40" s="325">
        <f t="shared" si="23"/>
        <v>719.99999999999989</v>
      </c>
      <c r="I40" s="325" t="str">
        <f>VLOOKUP(C40,'Drop Downs Master'!$D$6:$E$9,2,FALSE)</f>
        <v>BC100</v>
      </c>
      <c r="J40" s="321">
        <v>6.6000000000000003E-2</v>
      </c>
      <c r="K40" s="326">
        <v>663</v>
      </c>
      <c r="L40" s="325">
        <f t="shared" si="24"/>
        <v>619.24199999999996</v>
      </c>
      <c r="N40" s="325">
        <f t="shared" si="25"/>
        <v>72.777167947310673</v>
      </c>
      <c r="O40" s="325">
        <f t="shared" si="26"/>
        <v>51.603500000000004</v>
      </c>
      <c r="P40" s="329">
        <f t="shared" si="27"/>
        <v>0.24083333333333334</v>
      </c>
      <c r="Q40" s="321">
        <v>0</v>
      </c>
      <c r="R40" s="321">
        <v>0</v>
      </c>
      <c r="S40" s="321">
        <v>0</v>
      </c>
      <c r="T40" s="321">
        <v>0.11426666666666667</v>
      </c>
      <c r="U40" s="321">
        <v>0.16149999999999998</v>
      </c>
      <c r="V40" s="321">
        <v>0</v>
      </c>
      <c r="W40" s="321">
        <v>3.1E-2</v>
      </c>
      <c r="X40" s="321">
        <v>0.26179999999999998</v>
      </c>
      <c r="Y40">
        <f t="shared" si="2"/>
        <v>6</v>
      </c>
    </row>
    <row r="41" spans="1:25" x14ac:dyDescent="0.3">
      <c r="A41" s="320">
        <v>42904</v>
      </c>
      <c r="B41">
        <v>2</v>
      </c>
      <c r="C41" t="s">
        <v>133</v>
      </c>
      <c r="D41" t="s">
        <v>131</v>
      </c>
      <c r="E41" t="s">
        <v>157</v>
      </c>
      <c r="F41">
        <v>720</v>
      </c>
      <c r="G41">
        <v>0</v>
      </c>
      <c r="H41" s="325">
        <f t="shared" si="23"/>
        <v>720</v>
      </c>
      <c r="I41" s="325" t="str">
        <f>VLOOKUP(C41,'Drop Downs Master'!$D$6:$E$9,2,FALSE)</f>
        <v>BC100</v>
      </c>
      <c r="J41" s="321">
        <v>5.8999999999999997E-2</v>
      </c>
      <c r="K41" s="326">
        <v>1015</v>
      </c>
      <c r="L41" s="325">
        <f t="shared" si="24"/>
        <v>955.11500000000001</v>
      </c>
      <c r="N41" s="325">
        <f t="shared" si="25"/>
        <v>84.583333333333329</v>
      </c>
      <c r="O41" s="325">
        <f t="shared" si="26"/>
        <v>79.592916666666667</v>
      </c>
      <c r="P41" s="329">
        <f t="shared" si="27"/>
        <v>0</v>
      </c>
      <c r="Q41" s="321">
        <v>0</v>
      </c>
      <c r="R41" s="321">
        <v>0</v>
      </c>
      <c r="S41" s="321">
        <v>0</v>
      </c>
      <c r="T41" s="321">
        <v>0.24465000000000001</v>
      </c>
      <c r="U41" s="321">
        <v>0.1071</v>
      </c>
      <c r="V41" s="321">
        <v>0</v>
      </c>
      <c r="W41" s="321">
        <v>5.2025000000000002E-2</v>
      </c>
      <c r="X41" s="321">
        <v>0.23882499999999998</v>
      </c>
      <c r="Y41">
        <f t="shared" si="2"/>
        <v>6</v>
      </c>
    </row>
    <row r="42" spans="1:25" x14ac:dyDescent="0.3">
      <c r="A42" s="320">
        <v>42905</v>
      </c>
      <c r="B42">
        <v>1</v>
      </c>
      <c r="C42" t="s">
        <v>133</v>
      </c>
      <c r="D42" t="s">
        <v>131</v>
      </c>
      <c r="E42" t="s">
        <v>150</v>
      </c>
      <c r="F42">
        <f>8.04*60</f>
        <v>482.4</v>
      </c>
      <c r="G42">
        <f>3.96*60</f>
        <v>237.6</v>
      </c>
      <c r="H42" s="325">
        <f t="shared" si="23"/>
        <v>720</v>
      </c>
      <c r="I42" s="325" t="str">
        <f>VLOOKUP(C42,'Drop Downs Master'!$D$6:$E$9,2,FALSE)</f>
        <v>BC100</v>
      </c>
      <c r="J42" s="321">
        <v>1.9E-2</v>
      </c>
      <c r="K42" s="326">
        <v>742</v>
      </c>
      <c r="L42" s="325">
        <f t="shared" si="24"/>
        <v>727.90200000000004</v>
      </c>
      <c r="N42" s="325">
        <f t="shared" si="25"/>
        <v>92.28855721393036</v>
      </c>
      <c r="O42" s="325">
        <f t="shared" si="26"/>
        <v>60.658500000000004</v>
      </c>
      <c r="P42" s="329">
        <f t="shared" si="27"/>
        <v>0.33</v>
      </c>
      <c r="Q42" s="321">
        <v>0</v>
      </c>
      <c r="R42" s="321">
        <v>0</v>
      </c>
      <c r="S42" s="321">
        <v>0</v>
      </c>
      <c r="T42" s="321">
        <v>0.14326666666666668</v>
      </c>
      <c r="U42" s="321">
        <v>0.14536666666666667</v>
      </c>
      <c r="V42" s="321">
        <v>0</v>
      </c>
      <c r="W42" s="321">
        <v>4.2766666666666675E-2</v>
      </c>
      <c r="X42" s="321">
        <v>0.19093333333333332</v>
      </c>
      <c r="Y42">
        <f t="shared" si="2"/>
        <v>6</v>
      </c>
    </row>
    <row r="43" spans="1:25" x14ac:dyDescent="0.3">
      <c r="A43" s="320">
        <v>42905</v>
      </c>
      <c r="B43">
        <v>2</v>
      </c>
      <c r="C43" t="s">
        <v>133</v>
      </c>
      <c r="D43" t="s">
        <v>131</v>
      </c>
      <c r="E43" t="s">
        <v>145</v>
      </c>
      <c r="F43">
        <v>720</v>
      </c>
      <c r="G43">
        <v>0</v>
      </c>
      <c r="H43" s="325">
        <f t="shared" si="23"/>
        <v>720</v>
      </c>
      <c r="I43" s="325" t="str">
        <f>VLOOKUP(C43,'Drop Downs Master'!$D$6:$E$9,2,FALSE)</f>
        <v>BC100</v>
      </c>
      <c r="J43" s="321">
        <v>6.0999999999999999E-2</v>
      </c>
      <c r="K43" s="326">
        <v>965</v>
      </c>
      <c r="L43" s="325">
        <f t="shared" si="24"/>
        <v>906.1350000000001</v>
      </c>
      <c r="N43" s="325">
        <f t="shared" si="25"/>
        <v>80.416666666666671</v>
      </c>
      <c r="O43" s="325">
        <f t="shared" si="26"/>
        <v>75.511250000000004</v>
      </c>
      <c r="P43" s="329">
        <f t="shared" si="27"/>
        <v>0</v>
      </c>
      <c r="Q43" s="321">
        <v>0</v>
      </c>
      <c r="R43" s="321">
        <v>0</v>
      </c>
      <c r="S43" s="321">
        <v>0</v>
      </c>
      <c r="T43" s="321">
        <v>0.44146666666666662</v>
      </c>
      <c r="U43" s="321">
        <v>0.10393333333333332</v>
      </c>
      <c r="V43" s="321">
        <v>0</v>
      </c>
      <c r="W43" s="321">
        <v>9.5199999999999993E-2</v>
      </c>
      <c r="X43" s="321">
        <v>0.20443333333333333</v>
      </c>
      <c r="Y43">
        <f t="shared" si="2"/>
        <v>6</v>
      </c>
    </row>
    <row r="44" spans="1:25" x14ac:dyDescent="0.3">
      <c r="A44" s="320">
        <v>42906</v>
      </c>
      <c r="B44">
        <v>1</v>
      </c>
      <c r="C44" t="s">
        <v>133</v>
      </c>
      <c r="D44" t="s">
        <v>130</v>
      </c>
      <c r="E44" s="332" t="s">
        <v>150</v>
      </c>
      <c r="F44">
        <v>180</v>
      </c>
      <c r="G44">
        <v>0</v>
      </c>
      <c r="H44" s="325">
        <f t="shared" si="23"/>
        <v>180</v>
      </c>
      <c r="I44" s="325" t="str">
        <f>VLOOKUP(C44,'Drop Downs Master'!$D$6:$E$9,2,FALSE)</f>
        <v>BC100</v>
      </c>
      <c r="J44" s="321">
        <v>3.3000000000000002E-2</v>
      </c>
      <c r="K44" s="326">
        <v>120</v>
      </c>
      <c r="L44" s="325">
        <f t="shared" si="24"/>
        <v>116.03999999999999</v>
      </c>
      <c r="N44" s="325">
        <f t="shared" si="25"/>
        <v>40</v>
      </c>
      <c r="O44" s="325">
        <f t="shared" si="26"/>
        <v>38.68</v>
      </c>
      <c r="P44" s="329">
        <f t="shared" si="27"/>
        <v>0</v>
      </c>
      <c r="Q44" s="321">
        <v>0.90400000000000003</v>
      </c>
      <c r="R44" s="321">
        <v>0.85399999999999998</v>
      </c>
      <c r="S44" s="321">
        <v>7.2999999999999995E-2</v>
      </c>
      <c r="T44" s="321">
        <v>0.1797</v>
      </c>
      <c r="U44" s="321">
        <v>0.1056</v>
      </c>
      <c r="V44" s="321">
        <v>0.92659999999999998</v>
      </c>
      <c r="W44" s="321">
        <v>4.99E-2</v>
      </c>
      <c r="X44" s="321">
        <v>0.1696</v>
      </c>
      <c r="Y44">
        <f t="shared" si="2"/>
        <v>6</v>
      </c>
    </row>
    <row r="45" spans="1:25" x14ac:dyDescent="0.3">
      <c r="A45" s="320">
        <v>42906</v>
      </c>
      <c r="B45">
        <v>1</v>
      </c>
      <c r="C45" t="s">
        <v>133</v>
      </c>
      <c r="D45" t="s">
        <v>131</v>
      </c>
      <c r="E45" s="332" t="s">
        <v>150</v>
      </c>
      <c r="F45">
        <f>8.3*60</f>
        <v>498.00000000000006</v>
      </c>
      <c r="G45">
        <f>0.7*60</f>
        <v>42</v>
      </c>
      <c r="H45" s="325">
        <f t="shared" si="23"/>
        <v>540</v>
      </c>
      <c r="I45" s="325" t="str">
        <f>VLOOKUP(C45,'Drop Downs Master'!$D$6:$E$9,2,FALSE)</f>
        <v>BC100</v>
      </c>
      <c r="J45" s="321">
        <v>0.05</v>
      </c>
      <c r="K45" s="326">
        <v>850</v>
      </c>
      <c r="L45" s="325">
        <f t="shared" si="24"/>
        <v>807.5</v>
      </c>
      <c r="N45" s="325">
        <f t="shared" si="25"/>
        <v>102.40963855421685</v>
      </c>
      <c r="O45" s="325">
        <f t="shared" si="26"/>
        <v>89.722222222222229</v>
      </c>
      <c r="P45" s="329">
        <f t="shared" si="27"/>
        <v>7.7777777777777779E-2</v>
      </c>
      <c r="Q45" s="321">
        <v>0.90400000000000003</v>
      </c>
      <c r="R45" s="321">
        <v>0.85399999999999998</v>
      </c>
      <c r="S45" s="321">
        <v>7.2999999999999995E-2</v>
      </c>
      <c r="T45" s="321">
        <v>0.1797</v>
      </c>
      <c r="U45" s="321">
        <v>0.1056</v>
      </c>
      <c r="V45" s="321">
        <v>0.92659999999999998</v>
      </c>
      <c r="W45" s="321">
        <v>4.99E-2</v>
      </c>
      <c r="X45" s="321">
        <v>0.1696</v>
      </c>
      <c r="Y45">
        <f t="shared" si="2"/>
        <v>6</v>
      </c>
    </row>
    <row r="46" spans="1:25" x14ac:dyDescent="0.3">
      <c r="A46" s="320">
        <v>42906</v>
      </c>
      <c r="B46">
        <v>2</v>
      </c>
      <c r="C46" t="s">
        <v>133</v>
      </c>
      <c r="D46" t="s">
        <v>130</v>
      </c>
      <c r="E46" t="s">
        <v>145</v>
      </c>
      <c r="F46">
        <v>720</v>
      </c>
      <c r="G46">
        <v>0</v>
      </c>
      <c r="H46" s="325">
        <f t="shared" si="23"/>
        <v>720</v>
      </c>
      <c r="I46" s="325" t="str">
        <f>VLOOKUP(C46,'Drop Downs Master'!$D$6:$E$9,2,FALSE)</f>
        <v>BC100</v>
      </c>
      <c r="J46" s="321">
        <v>3.4000000000000002E-2</v>
      </c>
      <c r="K46" s="326">
        <v>1110</v>
      </c>
      <c r="L46" s="325">
        <f t="shared" si="24"/>
        <v>1072.26</v>
      </c>
      <c r="N46" s="325">
        <f t="shared" si="25"/>
        <v>92.5</v>
      </c>
      <c r="O46" s="325">
        <f t="shared" si="26"/>
        <v>89.355000000000004</v>
      </c>
      <c r="P46" s="329">
        <f t="shared" si="27"/>
        <v>0</v>
      </c>
      <c r="Q46" s="321">
        <v>0.92077500000000001</v>
      </c>
      <c r="R46" s="321">
        <v>0.82285000000000008</v>
      </c>
      <c r="S46" s="321">
        <v>7.3874999999999996E-2</v>
      </c>
      <c r="T46" s="321">
        <v>0</v>
      </c>
      <c r="U46" s="321">
        <v>0</v>
      </c>
      <c r="V46" s="321">
        <v>0.90982500000000011</v>
      </c>
      <c r="W46" s="321">
        <v>0</v>
      </c>
      <c r="X46" s="321">
        <v>0</v>
      </c>
      <c r="Y46">
        <f t="shared" si="2"/>
        <v>6</v>
      </c>
    </row>
    <row r="47" spans="1:25" x14ac:dyDescent="0.3">
      <c r="A47" s="320">
        <v>42907</v>
      </c>
      <c r="B47">
        <v>1</v>
      </c>
      <c r="C47" t="s">
        <v>133</v>
      </c>
      <c r="D47" t="s">
        <v>130</v>
      </c>
      <c r="E47" t="s">
        <v>150</v>
      </c>
      <c r="F47">
        <v>720</v>
      </c>
      <c r="G47">
        <v>0</v>
      </c>
      <c r="H47" s="325">
        <f t="shared" si="23"/>
        <v>720</v>
      </c>
      <c r="I47" s="325" t="str">
        <f>VLOOKUP(C47,'Drop Downs Master'!$D$6:$E$9,2,FALSE)</f>
        <v>BC100</v>
      </c>
      <c r="J47" s="321">
        <v>3.6999999999999998E-2</v>
      </c>
      <c r="K47" s="326">
        <v>1087</v>
      </c>
      <c r="L47" s="325">
        <f t="shared" si="24"/>
        <v>1046.7809999999999</v>
      </c>
      <c r="N47" s="325">
        <f t="shared" si="25"/>
        <v>90.583333333333329</v>
      </c>
      <c r="O47" s="325">
        <f t="shared" si="26"/>
        <v>87.231749999999991</v>
      </c>
      <c r="P47" s="329">
        <f t="shared" si="27"/>
        <v>0</v>
      </c>
      <c r="Q47" s="321">
        <v>0.83525000000000005</v>
      </c>
      <c r="R47" s="321">
        <v>0.77974999999999994</v>
      </c>
      <c r="S47" s="321">
        <v>0.11375000000000002</v>
      </c>
      <c r="T47" s="321">
        <v>0</v>
      </c>
      <c r="U47" s="321">
        <v>0</v>
      </c>
      <c r="V47" s="321">
        <v>0.90287500000000009</v>
      </c>
      <c r="W47" s="321">
        <v>0</v>
      </c>
      <c r="X47" s="321">
        <v>0</v>
      </c>
      <c r="Y47">
        <f t="shared" si="2"/>
        <v>6</v>
      </c>
    </row>
    <row r="48" spans="1:25" x14ac:dyDescent="0.3">
      <c r="A48" s="320">
        <v>42907</v>
      </c>
      <c r="B48">
        <v>2</v>
      </c>
      <c r="C48" t="s">
        <v>133</v>
      </c>
      <c r="D48" t="s">
        <v>130</v>
      </c>
      <c r="E48" t="s">
        <v>159</v>
      </c>
      <c r="F48" s="332"/>
      <c r="G48" s="332"/>
      <c r="H48" s="325">
        <f t="shared" ref="H48:H54" si="28">G48+F48</f>
        <v>0</v>
      </c>
      <c r="I48" s="325" t="str">
        <f>VLOOKUP(C48,'Drop Downs Master'!$D$6:$E$9,2,FALSE)</f>
        <v>BC100</v>
      </c>
      <c r="J48" s="332"/>
      <c r="K48" s="332"/>
      <c r="L48" s="325">
        <f t="shared" si="24"/>
        <v>0</v>
      </c>
      <c r="N48" s="325" t="e">
        <f t="shared" ref="N48:N57" si="29">K48/(F48/60)</f>
        <v>#DIV/0!</v>
      </c>
      <c r="O48" s="325" t="e">
        <f t="shared" ref="O48:O57" si="30">L48/(H48/60)</f>
        <v>#DIV/0!</v>
      </c>
      <c r="P48" s="329" t="e">
        <f t="shared" ref="P48:P57" si="31">(G48/H48)</f>
        <v>#DIV/0!</v>
      </c>
      <c r="Q48" s="321">
        <v>0.93735000000000002</v>
      </c>
      <c r="R48" s="321">
        <v>0.80062500000000003</v>
      </c>
      <c r="S48" s="321">
        <v>6.0324999999999997E-2</v>
      </c>
      <c r="T48" s="321">
        <v>0</v>
      </c>
      <c r="U48" s="321">
        <v>0</v>
      </c>
      <c r="V48" s="321">
        <v>0.92520000000000002</v>
      </c>
      <c r="W48" s="321">
        <v>0</v>
      </c>
      <c r="X48" s="321">
        <v>0</v>
      </c>
      <c r="Y48">
        <f t="shared" si="2"/>
        <v>6</v>
      </c>
    </row>
    <row r="49" spans="1:25" x14ac:dyDescent="0.3">
      <c r="A49" s="320">
        <v>42908</v>
      </c>
      <c r="B49">
        <v>1</v>
      </c>
      <c r="C49" t="s">
        <v>133</v>
      </c>
      <c r="D49" t="s">
        <v>130</v>
      </c>
      <c r="E49" s="331" t="s">
        <v>151</v>
      </c>
      <c r="F49">
        <f>11.25*60</f>
        <v>675</v>
      </c>
      <c r="G49">
        <f>0.75*60</f>
        <v>45</v>
      </c>
      <c r="H49" s="325">
        <f t="shared" si="28"/>
        <v>720</v>
      </c>
      <c r="I49" s="325" t="str">
        <f>VLOOKUP(C49,'Drop Downs Master'!$D$6:$E$9,2,FALSE)</f>
        <v>BC100</v>
      </c>
      <c r="J49" s="321">
        <v>3.3000000000000002E-2</v>
      </c>
      <c r="K49" s="326">
        <v>1120</v>
      </c>
      <c r="L49" s="325">
        <f t="shared" si="24"/>
        <v>1083.04</v>
      </c>
      <c r="N49" s="325">
        <f t="shared" si="29"/>
        <v>99.555555555555557</v>
      </c>
      <c r="O49" s="325">
        <f t="shared" si="30"/>
        <v>90.25333333333333</v>
      </c>
      <c r="P49" s="329">
        <f t="shared" si="31"/>
        <v>6.25E-2</v>
      </c>
      <c r="Q49" s="321">
        <v>0.92260000000000009</v>
      </c>
      <c r="R49" s="321">
        <v>0.88029999999999997</v>
      </c>
      <c r="S49" s="321">
        <v>7.4275000000000008E-2</v>
      </c>
      <c r="T49" s="321">
        <v>0</v>
      </c>
      <c r="U49" s="321">
        <v>0</v>
      </c>
      <c r="V49" s="321">
        <v>0.92792499999999989</v>
      </c>
      <c r="W49" s="321">
        <v>0</v>
      </c>
      <c r="X49" s="321">
        <v>0</v>
      </c>
      <c r="Y49">
        <f t="shared" si="2"/>
        <v>6</v>
      </c>
    </row>
    <row r="50" spans="1:25" x14ac:dyDescent="0.3">
      <c r="A50" s="320">
        <v>42908</v>
      </c>
      <c r="B50">
        <v>2</v>
      </c>
      <c r="C50" t="s">
        <v>133</v>
      </c>
      <c r="D50" t="s">
        <v>130</v>
      </c>
      <c r="E50" t="s">
        <v>153</v>
      </c>
      <c r="F50">
        <v>720</v>
      </c>
      <c r="G50">
        <v>0</v>
      </c>
      <c r="H50" s="325">
        <f t="shared" si="28"/>
        <v>720</v>
      </c>
      <c r="I50" s="325" t="str">
        <f>VLOOKUP(C50,'Drop Downs Master'!$D$6:$E$9,2,FALSE)</f>
        <v>BC100</v>
      </c>
      <c r="J50" s="321">
        <v>3.4000000000000002E-2</v>
      </c>
      <c r="K50" s="326">
        <v>1144</v>
      </c>
      <c r="L50" s="325">
        <f t="shared" si="24"/>
        <v>1105.104</v>
      </c>
      <c r="N50" s="325">
        <f t="shared" si="29"/>
        <v>95.333333333333329</v>
      </c>
      <c r="O50" s="325">
        <f t="shared" si="30"/>
        <v>92.091999999999999</v>
      </c>
      <c r="P50" s="329">
        <f t="shared" si="31"/>
        <v>0</v>
      </c>
      <c r="Q50" s="321">
        <v>0.90825</v>
      </c>
      <c r="R50" s="321">
        <v>0.8570000000000001</v>
      </c>
      <c r="S50" s="321">
        <v>9.0999999999999998E-2</v>
      </c>
      <c r="T50" s="321">
        <v>0</v>
      </c>
      <c r="U50" s="321">
        <v>0</v>
      </c>
      <c r="V50" s="321">
        <v>0.92600000000000005</v>
      </c>
      <c r="W50" s="321">
        <v>0</v>
      </c>
      <c r="X50" s="321">
        <v>0</v>
      </c>
      <c r="Y50">
        <f t="shared" si="2"/>
        <v>6</v>
      </c>
    </row>
    <row r="51" spans="1:25" x14ac:dyDescent="0.3">
      <c r="A51" s="320">
        <v>42909</v>
      </c>
      <c r="B51">
        <v>1</v>
      </c>
      <c r="C51" t="s">
        <v>133</v>
      </c>
      <c r="D51" t="s">
        <v>130</v>
      </c>
      <c r="E51" s="331" t="s">
        <v>151</v>
      </c>
      <c r="F51">
        <v>45</v>
      </c>
      <c r="G51">
        <v>675</v>
      </c>
      <c r="H51" s="325">
        <f t="shared" si="28"/>
        <v>720</v>
      </c>
      <c r="I51" s="325" t="str">
        <f>VLOOKUP(C51,'Drop Downs Master'!$D$6:$E$9,2,FALSE)</f>
        <v>BC100</v>
      </c>
      <c r="J51" s="333">
        <v>0</v>
      </c>
      <c r="K51" s="326">
        <v>45</v>
      </c>
      <c r="L51" s="325">
        <f t="shared" si="24"/>
        <v>45</v>
      </c>
      <c r="N51" s="325">
        <f t="shared" si="29"/>
        <v>60</v>
      </c>
      <c r="O51" s="325">
        <f t="shared" si="30"/>
        <v>3.75</v>
      </c>
      <c r="P51" s="329">
        <f t="shared" si="31"/>
        <v>0.9375</v>
      </c>
      <c r="Q51" s="321">
        <v>0</v>
      </c>
      <c r="R51" s="321">
        <v>0</v>
      </c>
      <c r="S51" s="321">
        <v>0</v>
      </c>
      <c r="T51" s="321">
        <v>0</v>
      </c>
      <c r="U51" s="321">
        <v>0</v>
      </c>
      <c r="V51" s="321">
        <v>0</v>
      </c>
      <c r="W51" s="321">
        <v>0</v>
      </c>
      <c r="X51" s="321">
        <v>0</v>
      </c>
      <c r="Y51">
        <f t="shared" si="2"/>
        <v>6</v>
      </c>
    </row>
    <row r="52" spans="1:25" x14ac:dyDescent="0.3">
      <c r="A52" s="320">
        <v>42909</v>
      </c>
      <c r="B52">
        <v>2</v>
      </c>
      <c r="C52" t="s">
        <v>133</v>
      </c>
      <c r="D52" t="s">
        <v>130</v>
      </c>
      <c r="E52" t="s">
        <v>153</v>
      </c>
      <c r="F52">
        <v>660</v>
      </c>
      <c r="G52">
        <v>60</v>
      </c>
      <c r="H52" s="325">
        <f t="shared" si="28"/>
        <v>720</v>
      </c>
      <c r="I52" s="325" t="str">
        <f>VLOOKUP(C52,'Drop Downs Master'!$D$6:$E$9,2,FALSE)</f>
        <v>BC100</v>
      </c>
      <c r="J52" s="321">
        <v>4.2999999999999997E-2</v>
      </c>
      <c r="K52" s="326">
        <v>980</v>
      </c>
      <c r="L52" s="325">
        <f t="shared" si="24"/>
        <v>937.86</v>
      </c>
      <c r="N52" s="325">
        <f t="shared" si="29"/>
        <v>89.090909090909093</v>
      </c>
      <c r="O52" s="325">
        <f t="shared" si="30"/>
        <v>78.155000000000001</v>
      </c>
      <c r="P52" s="329">
        <f t="shared" si="31"/>
        <v>8.3333333333333329E-2</v>
      </c>
      <c r="Q52" s="321">
        <v>0.90725</v>
      </c>
      <c r="R52" s="321">
        <v>0.85649999999999993</v>
      </c>
      <c r="S52" s="321">
        <v>7.9500000000000001E-2</v>
      </c>
      <c r="T52" s="321">
        <v>0</v>
      </c>
      <c r="U52" s="321">
        <v>0</v>
      </c>
      <c r="V52" s="321">
        <v>0.92825000000000002</v>
      </c>
      <c r="W52" s="321">
        <v>0</v>
      </c>
      <c r="X52" s="321">
        <v>0</v>
      </c>
      <c r="Y52">
        <f t="shared" si="2"/>
        <v>6</v>
      </c>
    </row>
    <row r="53" spans="1:25" x14ac:dyDescent="0.3">
      <c r="A53" s="320">
        <v>42910</v>
      </c>
      <c r="B53">
        <v>1</v>
      </c>
      <c r="C53" t="s">
        <v>133</v>
      </c>
      <c r="D53" t="s">
        <v>130</v>
      </c>
      <c r="E53" s="331" t="s">
        <v>151</v>
      </c>
      <c r="F53">
        <f>3.5*60</f>
        <v>210</v>
      </c>
      <c r="G53">
        <v>0</v>
      </c>
      <c r="H53" s="325">
        <f t="shared" si="28"/>
        <v>210</v>
      </c>
      <c r="I53" s="325" t="str">
        <f>VLOOKUP(C53,'Drop Downs Master'!$D$6:$E$9,2,FALSE)</f>
        <v>BC100</v>
      </c>
      <c r="J53" s="321">
        <v>4.2999999999999997E-2</v>
      </c>
      <c r="K53" s="326">
        <v>310</v>
      </c>
      <c r="L53" s="325">
        <f t="shared" si="24"/>
        <v>296.67</v>
      </c>
      <c r="N53" s="325">
        <f t="shared" si="29"/>
        <v>88.571428571428569</v>
      </c>
      <c r="O53" s="325">
        <f t="shared" si="30"/>
        <v>84.762857142857143</v>
      </c>
      <c r="P53" s="329">
        <f t="shared" si="31"/>
        <v>0</v>
      </c>
      <c r="Q53" s="321">
        <v>0.9214</v>
      </c>
      <c r="R53" s="321">
        <v>0.86699999999999999</v>
      </c>
      <c r="S53" s="321">
        <v>7.0199999999999999E-2</v>
      </c>
      <c r="T53" s="321">
        <v>0.18616666666666667</v>
      </c>
      <c r="U53" s="321">
        <v>0.18113333333333334</v>
      </c>
      <c r="V53" s="321">
        <v>0.91600000000000004</v>
      </c>
      <c r="W53" s="321">
        <v>0.1283</v>
      </c>
      <c r="X53" s="321">
        <v>0.21916666666666665</v>
      </c>
      <c r="Y53">
        <f t="shared" si="2"/>
        <v>6</v>
      </c>
    </row>
    <row r="54" spans="1:25" x14ac:dyDescent="0.3">
      <c r="A54" s="320">
        <v>42910</v>
      </c>
      <c r="B54">
        <v>1</v>
      </c>
      <c r="C54" t="s">
        <v>133</v>
      </c>
      <c r="D54" t="s">
        <v>131</v>
      </c>
      <c r="E54" s="331" t="s">
        <v>151</v>
      </c>
      <c r="F54">
        <f>8.5*60</f>
        <v>510</v>
      </c>
      <c r="G54">
        <v>0</v>
      </c>
      <c r="H54" s="325">
        <f t="shared" si="28"/>
        <v>510</v>
      </c>
      <c r="I54" s="325" t="str">
        <f>VLOOKUP(C54,'Drop Downs Master'!$D$6:$E$9,2,FALSE)</f>
        <v>BC100</v>
      </c>
      <c r="J54" s="321">
        <v>6.5000000000000002E-2</v>
      </c>
      <c r="K54" s="326">
        <v>900</v>
      </c>
      <c r="L54" s="325">
        <f t="shared" si="24"/>
        <v>841.5</v>
      </c>
      <c r="N54" s="325">
        <f t="shared" si="29"/>
        <v>105.88235294117646</v>
      </c>
      <c r="O54" s="325">
        <f t="shared" si="30"/>
        <v>99</v>
      </c>
      <c r="P54" s="329">
        <f t="shared" si="31"/>
        <v>0</v>
      </c>
      <c r="Q54" s="321">
        <v>0.9214</v>
      </c>
      <c r="R54" s="321">
        <v>0.86699999999999999</v>
      </c>
      <c r="S54" s="321">
        <v>7.0199999999999999E-2</v>
      </c>
      <c r="T54" s="321">
        <v>0.18616666666666667</v>
      </c>
      <c r="U54" s="321">
        <v>0.18113333333333334</v>
      </c>
      <c r="V54" s="321">
        <v>0.91600000000000004</v>
      </c>
      <c r="W54" s="321">
        <v>0.1283</v>
      </c>
      <c r="X54" s="321">
        <v>0.21916666666666665</v>
      </c>
      <c r="Y54">
        <f t="shared" si="2"/>
        <v>6</v>
      </c>
    </row>
    <row r="55" spans="1:25" x14ac:dyDescent="0.3">
      <c r="A55" s="320">
        <v>42910</v>
      </c>
      <c r="B55">
        <v>2</v>
      </c>
      <c r="C55" t="s">
        <v>133</v>
      </c>
      <c r="D55" t="s">
        <v>131</v>
      </c>
      <c r="E55" t="s">
        <v>153</v>
      </c>
      <c r="F55">
        <v>720</v>
      </c>
      <c r="G55">
        <v>0</v>
      </c>
      <c r="H55" s="325">
        <f t="shared" ref="H55:H68" si="32">G55+F55</f>
        <v>720</v>
      </c>
      <c r="I55" s="325" t="str">
        <f>VLOOKUP(C55,'Drop Downs Master'!$D$6:$E$9,2,FALSE)</f>
        <v>BC100</v>
      </c>
      <c r="J55" s="321">
        <v>7.2999999999999995E-2</v>
      </c>
      <c r="K55" s="326">
        <v>828</v>
      </c>
      <c r="L55" s="325">
        <f t="shared" si="24"/>
        <v>767.55600000000004</v>
      </c>
      <c r="N55" s="325">
        <f t="shared" si="29"/>
        <v>69</v>
      </c>
      <c r="O55" s="325">
        <f t="shared" si="30"/>
        <v>63.963000000000001</v>
      </c>
      <c r="P55" s="329">
        <f t="shared" si="31"/>
        <v>0</v>
      </c>
      <c r="Q55" s="321">
        <v>0</v>
      </c>
      <c r="R55" s="321">
        <v>0</v>
      </c>
      <c r="S55" s="321">
        <v>0</v>
      </c>
      <c r="T55" s="321">
        <v>0.20624999999999999</v>
      </c>
      <c r="U55" s="321">
        <v>0.17299999999999999</v>
      </c>
      <c r="V55" s="321">
        <v>0</v>
      </c>
      <c r="W55" s="321">
        <v>2.75E-2</v>
      </c>
      <c r="X55" s="321">
        <v>0.26600000000000001</v>
      </c>
      <c r="Y55">
        <f t="shared" si="2"/>
        <v>6</v>
      </c>
    </row>
    <row r="56" spans="1:25" x14ac:dyDescent="0.3">
      <c r="A56" s="320">
        <v>42911</v>
      </c>
      <c r="B56">
        <v>1</v>
      </c>
      <c r="C56" t="s">
        <v>133</v>
      </c>
      <c r="D56" t="s">
        <v>130</v>
      </c>
      <c r="E56" s="331" t="s">
        <v>151</v>
      </c>
      <c r="F56">
        <v>720</v>
      </c>
      <c r="G56">
        <v>0</v>
      </c>
      <c r="H56" s="325">
        <f t="shared" si="32"/>
        <v>720</v>
      </c>
      <c r="I56" s="325" t="str">
        <f>VLOOKUP(C56,'Drop Downs Master'!$D$6:$E$9,2,FALSE)</f>
        <v>BC100</v>
      </c>
      <c r="J56" s="321">
        <v>6.2E-2</v>
      </c>
      <c r="K56" s="326">
        <v>1019</v>
      </c>
      <c r="L56" s="325">
        <f t="shared" si="24"/>
        <v>955.82199999999989</v>
      </c>
      <c r="N56" s="325">
        <f t="shared" si="29"/>
        <v>84.916666666666671</v>
      </c>
      <c r="O56" s="325">
        <f t="shared" si="30"/>
        <v>79.651833333333329</v>
      </c>
      <c r="P56" s="329">
        <f t="shared" si="31"/>
        <v>0</v>
      </c>
      <c r="Q56" s="321">
        <v>0</v>
      </c>
      <c r="R56" s="321">
        <v>0</v>
      </c>
      <c r="S56" s="321">
        <v>0</v>
      </c>
      <c r="T56" s="321">
        <v>0.17850000000000002</v>
      </c>
      <c r="U56" s="321">
        <v>0.17333333333333334</v>
      </c>
      <c r="V56" s="321">
        <v>0</v>
      </c>
      <c r="W56" s="321">
        <v>0.113</v>
      </c>
      <c r="X56" s="321">
        <v>0.24386666666666668</v>
      </c>
      <c r="Y56">
        <f t="shared" si="2"/>
        <v>6</v>
      </c>
    </row>
    <row r="57" spans="1:25" x14ac:dyDescent="0.3">
      <c r="A57" s="320">
        <v>42911</v>
      </c>
      <c r="B57">
        <v>2</v>
      </c>
      <c r="C57" t="s">
        <v>133</v>
      </c>
      <c r="D57" t="s">
        <v>131</v>
      </c>
      <c r="E57" t="s">
        <v>153</v>
      </c>
      <c r="F57">
        <v>720</v>
      </c>
      <c r="G57">
        <v>0</v>
      </c>
      <c r="H57" s="325">
        <f t="shared" si="32"/>
        <v>720</v>
      </c>
      <c r="I57" s="325" t="str">
        <f>VLOOKUP(C57,'Drop Downs Master'!$D$6:$E$9,2,FALSE)</f>
        <v>BC100</v>
      </c>
      <c r="J57" s="321">
        <v>6.3E-2</v>
      </c>
      <c r="K57" s="326">
        <v>990</v>
      </c>
      <c r="L57" s="325">
        <f t="shared" si="24"/>
        <v>927.63000000000011</v>
      </c>
      <c r="N57" s="325">
        <f t="shared" si="29"/>
        <v>82.5</v>
      </c>
      <c r="O57" s="325">
        <f t="shared" si="30"/>
        <v>77.302500000000009</v>
      </c>
      <c r="P57" s="329">
        <f t="shared" si="31"/>
        <v>0</v>
      </c>
      <c r="Q57" s="321">
        <v>0</v>
      </c>
      <c r="R57" s="321">
        <v>0</v>
      </c>
      <c r="S57" s="321">
        <v>0</v>
      </c>
      <c r="T57" s="321">
        <v>0.18674999999999997</v>
      </c>
      <c r="U57" s="321">
        <v>0.19749999999999998</v>
      </c>
      <c r="V57" s="321">
        <v>0</v>
      </c>
      <c r="W57" s="321">
        <v>2.6000000000000002E-2</v>
      </c>
      <c r="X57" s="321">
        <v>0.28250000000000003</v>
      </c>
      <c r="Y57">
        <f t="shared" si="2"/>
        <v>6</v>
      </c>
    </row>
    <row r="58" spans="1:25" x14ac:dyDescent="0.3">
      <c r="A58" s="320">
        <v>42912</v>
      </c>
      <c r="B58">
        <v>1</v>
      </c>
      <c r="C58" t="s">
        <v>133</v>
      </c>
      <c r="D58" t="s">
        <v>131</v>
      </c>
      <c r="E58" s="331" t="s">
        <v>151</v>
      </c>
      <c r="F58">
        <v>600</v>
      </c>
      <c r="G58">
        <v>120</v>
      </c>
      <c r="H58" s="325">
        <f t="shared" si="32"/>
        <v>720</v>
      </c>
      <c r="I58" s="325" t="str">
        <f>VLOOKUP(C58,'Drop Downs Master'!$D$6:$E$9,2,FALSE)</f>
        <v>BC100</v>
      </c>
      <c r="J58" s="321">
        <v>6.8000000000000005E-2</v>
      </c>
      <c r="K58" s="326">
        <v>796</v>
      </c>
      <c r="L58" s="325">
        <f t="shared" si="24"/>
        <v>741.87199999999996</v>
      </c>
      <c r="N58" s="325">
        <f t="shared" ref="N58:N71" si="33">K58/(F58/60)</f>
        <v>79.599999999999994</v>
      </c>
      <c r="O58" s="325">
        <f t="shared" ref="O58:O71" si="34">L58/(H58/60)</f>
        <v>61.822666666666663</v>
      </c>
      <c r="P58" s="329">
        <f t="shared" ref="P58:P71" si="35">(G58/H58)</f>
        <v>0.16666666666666666</v>
      </c>
      <c r="Q58" s="321">
        <v>0</v>
      </c>
      <c r="R58" s="321">
        <v>0</v>
      </c>
      <c r="S58" s="321">
        <v>0</v>
      </c>
      <c r="T58" s="321">
        <v>0.16376666666666664</v>
      </c>
      <c r="U58" s="321">
        <v>0.19940000000000002</v>
      </c>
      <c r="V58" s="321">
        <v>0</v>
      </c>
      <c r="W58" s="321">
        <v>0.1283</v>
      </c>
      <c r="X58" s="321">
        <v>0.23203333333333331</v>
      </c>
      <c r="Y58">
        <f t="shared" si="2"/>
        <v>6</v>
      </c>
    </row>
    <row r="59" spans="1:25" x14ac:dyDescent="0.3">
      <c r="A59" s="320">
        <v>42912</v>
      </c>
      <c r="B59">
        <v>2</v>
      </c>
      <c r="C59" t="s">
        <v>133</v>
      </c>
      <c r="D59" t="s">
        <v>131</v>
      </c>
      <c r="E59" t="s">
        <v>153</v>
      </c>
      <c r="F59">
        <v>720</v>
      </c>
      <c r="G59">
        <v>0</v>
      </c>
      <c r="H59" s="325">
        <f t="shared" si="32"/>
        <v>720</v>
      </c>
      <c r="I59" s="325" t="str">
        <f>VLOOKUP(C59,'Drop Downs Master'!$D$6:$E$9,2,FALSE)</f>
        <v>BC100</v>
      </c>
      <c r="J59" s="321">
        <v>6.6000000000000003E-2</v>
      </c>
      <c r="K59" s="326">
        <v>910</v>
      </c>
      <c r="L59" s="325">
        <f t="shared" si="24"/>
        <v>849.93999999999994</v>
      </c>
      <c r="N59" s="325">
        <f t="shared" si="33"/>
        <v>75.833333333333329</v>
      </c>
      <c r="O59" s="325">
        <f t="shared" si="34"/>
        <v>70.828333333333333</v>
      </c>
      <c r="P59" s="329">
        <f t="shared" si="35"/>
        <v>0</v>
      </c>
      <c r="Q59" s="321">
        <v>0</v>
      </c>
      <c r="R59" s="321">
        <v>0</v>
      </c>
      <c r="S59" s="321">
        <v>0</v>
      </c>
      <c r="T59" s="321">
        <v>0.20049999999999998</v>
      </c>
      <c r="U59" s="321">
        <v>0.17550000000000002</v>
      </c>
      <c r="V59" s="321">
        <v>0</v>
      </c>
      <c r="W59" s="321">
        <v>2.8000000000000001E-2</v>
      </c>
      <c r="X59" s="321">
        <v>0.26124999999999998</v>
      </c>
      <c r="Y59">
        <f t="shared" si="2"/>
        <v>6</v>
      </c>
    </row>
    <row r="60" spans="1:25" x14ac:dyDescent="0.3">
      <c r="A60" s="320">
        <v>42913</v>
      </c>
      <c r="B60">
        <v>1</v>
      </c>
      <c r="C60" t="s">
        <v>133</v>
      </c>
      <c r="D60" t="s">
        <v>131</v>
      </c>
      <c r="E60" t="s">
        <v>169</v>
      </c>
      <c r="F60">
        <v>720</v>
      </c>
      <c r="G60">
        <v>0</v>
      </c>
      <c r="H60" s="325">
        <f t="shared" si="32"/>
        <v>720</v>
      </c>
      <c r="I60" s="325" t="str">
        <f>VLOOKUP(C60,'Drop Downs Master'!$D$6:$E$9,2,FALSE)</f>
        <v>BC100</v>
      </c>
      <c r="J60" s="321">
        <v>6.0999999999999999E-2</v>
      </c>
      <c r="K60" s="326">
        <v>1044</v>
      </c>
      <c r="L60" s="325">
        <f t="shared" si="24"/>
        <v>980.31600000000003</v>
      </c>
      <c r="N60" s="325">
        <f t="shared" si="33"/>
        <v>87</v>
      </c>
      <c r="O60" s="325">
        <f t="shared" si="34"/>
        <v>81.692999999999998</v>
      </c>
      <c r="P60" s="329">
        <f t="shared" si="35"/>
        <v>0</v>
      </c>
      <c r="Q60" s="321">
        <v>0</v>
      </c>
      <c r="R60" s="321">
        <v>0</v>
      </c>
      <c r="S60" s="321">
        <v>0</v>
      </c>
      <c r="T60" s="321">
        <v>0.145375</v>
      </c>
      <c r="U60" s="321">
        <v>0.21617500000000001</v>
      </c>
      <c r="V60" s="321">
        <v>0</v>
      </c>
      <c r="W60" s="321">
        <v>0.12720000000000001</v>
      </c>
      <c r="X60" s="321">
        <v>0.255025</v>
      </c>
      <c r="Y60">
        <f t="shared" si="2"/>
        <v>6</v>
      </c>
    </row>
    <row r="61" spans="1:25" x14ac:dyDescent="0.3">
      <c r="A61" s="320">
        <v>42913</v>
      </c>
      <c r="B61">
        <v>2</v>
      </c>
      <c r="C61" t="s">
        <v>133</v>
      </c>
      <c r="D61" t="s">
        <v>130</v>
      </c>
      <c r="E61" t="s">
        <v>153</v>
      </c>
      <c r="F61">
        <v>720</v>
      </c>
      <c r="G61">
        <v>0</v>
      </c>
      <c r="H61" s="325">
        <f t="shared" si="32"/>
        <v>720</v>
      </c>
      <c r="I61" s="325" t="str">
        <f>VLOOKUP(C61,'Drop Downs Master'!$D$6:$E$9,2,FALSE)</f>
        <v>BC100</v>
      </c>
      <c r="J61" s="321">
        <v>4.2000000000000003E-2</v>
      </c>
      <c r="K61" s="326">
        <v>1080</v>
      </c>
      <c r="L61" s="325">
        <f t="shared" si="24"/>
        <v>1034.6399999999999</v>
      </c>
      <c r="N61" s="325">
        <f t="shared" si="33"/>
        <v>90</v>
      </c>
      <c r="O61" s="325">
        <f t="shared" si="34"/>
        <v>86.219999999999985</v>
      </c>
      <c r="P61" s="329">
        <f t="shared" si="35"/>
        <v>0</v>
      </c>
      <c r="Q61" s="321">
        <v>0.93725000000000003</v>
      </c>
      <c r="R61" s="321">
        <v>0.8307500000000001</v>
      </c>
      <c r="S61" s="321">
        <v>6.0500000000000005E-2</v>
      </c>
      <c r="T61" s="321">
        <v>0.17199999999999999</v>
      </c>
      <c r="U61" s="321">
        <v>0.23300000000000001</v>
      </c>
      <c r="V61" s="321">
        <v>0.93375000000000008</v>
      </c>
      <c r="W61" s="321">
        <v>1.7999999999999999E-2</v>
      </c>
      <c r="X61" s="321">
        <v>0.3</v>
      </c>
      <c r="Y61">
        <f t="shared" si="2"/>
        <v>6</v>
      </c>
    </row>
    <row r="62" spans="1:25" x14ac:dyDescent="0.3">
      <c r="A62" s="320">
        <v>42914</v>
      </c>
      <c r="B62">
        <v>1</v>
      </c>
      <c r="C62" t="s">
        <v>133</v>
      </c>
      <c r="D62" t="s">
        <v>131</v>
      </c>
      <c r="E62" t="s">
        <v>169</v>
      </c>
      <c r="F62">
        <f>10.5*60</f>
        <v>630</v>
      </c>
      <c r="G62">
        <f>1.5*60</f>
        <v>90</v>
      </c>
      <c r="H62" s="325">
        <f t="shared" si="32"/>
        <v>720</v>
      </c>
      <c r="I62" s="325" t="str">
        <f>VLOOKUP(C62,'Drop Downs Master'!$D$6:$E$9,2,FALSE)</f>
        <v>BC100</v>
      </c>
      <c r="J62" s="321">
        <v>4.2000000000000003E-2</v>
      </c>
      <c r="K62" s="326">
        <v>985</v>
      </c>
      <c r="L62" s="325">
        <f t="shared" si="24"/>
        <v>943.63</v>
      </c>
      <c r="N62" s="325">
        <f t="shared" si="33"/>
        <v>93.80952380952381</v>
      </c>
      <c r="O62" s="325">
        <f t="shared" si="34"/>
        <v>78.635833333333338</v>
      </c>
      <c r="P62" s="329">
        <f t="shared" si="35"/>
        <v>0.125</v>
      </c>
      <c r="Q62" s="321">
        <v>0.9121999999999999</v>
      </c>
      <c r="R62" s="321">
        <v>0.84746666666666659</v>
      </c>
      <c r="S62" s="321">
        <v>7.0400000000000004E-2</v>
      </c>
      <c r="T62" s="321">
        <v>0</v>
      </c>
      <c r="U62" s="321">
        <v>0</v>
      </c>
      <c r="V62" s="321">
        <v>0.91786666666666672</v>
      </c>
      <c r="W62" s="321">
        <v>0</v>
      </c>
      <c r="X62" s="321">
        <v>0</v>
      </c>
      <c r="Y62">
        <f t="shared" si="2"/>
        <v>6</v>
      </c>
    </row>
    <row r="63" spans="1:25" x14ac:dyDescent="0.3">
      <c r="A63" s="320">
        <v>42914</v>
      </c>
      <c r="B63">
        <v>2</v>
      </c>
      <c r="C63" t="s">
        <v>133</v>
      </c>
      <c r="D63" t="s">
        <v>131</v>
      </c>
      <c r="E63" t="s">
        <v>153</v>
      </c>
      <c r="F63" s="332">
        <v>360</v>
      </c>
      <c r="G63" s="332">
        <v>0</v>
      </c>
      <c r="H63" s="325">
        <f t="shared" si="32"/>
        <v>360</v>
      </c>
      <c r="I63" s="325" t="str">
        <f>VLOOKUP(C63,'Drop Downs Master'!$D$6:$E$9,2,FALSE)</f>
        <v>BC100</v>
      </c>
      <c r="J63" s="321">
        <v>3.6999999999999998E-2</v>
      </c>
      <c r="K63" s="326">
        <v>815</v>
      </c>
      <c r="L63" s="325">
        <f t="shared" si="24"/>
        <v>784.84500000000003</v>
      </c>
      <c r="N63" s="325">
        <f t="shared" si="33"/>
        <v>135.83333333333334</v>
      </c>
      <c r="O63" s="325">
        <f t="shared" si="34"/>
        <v>130.8075</v>
      </c>
      <c r="P63" s="329">
        <f t="shared" si="35"/>
        <v>0</v>
      </c>
      <c r="Q63" s="321">
        <v>0.92600000000000016</v>
      </c>
      <c r="R63" s="321">
        <v>0.84633333333333338</v>
      </c>
      <c r="S63" s="321">
        <v>7.3999999999999996E-2</v>
      </c>
      <c r="T63" s="321">
        <v>0</v>
      </c>
      <c r="U63" s="321">
        <v>0</v>
      </c>
      <c r="V63" s="321">
        <v>0</v>
      </c>
      <c r="W63" s="321">
        <v>0</v>
      </c>
      <c r="X63" s="321">
        <v>0</v>
      </c>
      <c r="Y63">
        <f t="shared" si="2"/>
        <v>6</v>
      </c>
    </row>
    <row r="64" spans="1:25" x14ac:dyDescent="0.3">
      <c r="A64" s="320">
        <v>42914</v>
      </c>
      <c r="B64">
        <v>2</v>
      </c>
      <c r="C64" t="s">
        <v>133</v>
      </c>
      <c r="D64" t="s">
        <v>130</v>
      </c>
      <c r="E64" t="s">
        <v>153</v>
      </c>
      <c r="F64" s="332">
        <v>360</v>
      </c>
      <c r="G64" s="332">
        <v>0</v>
      </c>
      <c r="H64" s="325">
        <f t="shared" si="32"/>
        <v>360</v>
      </c>
      <c r="I64" s="325" t="str">
        <f>VLOOKUP(C64,'Drop Downs Master'!$D$6:$E$9,2,FALSE)</f>
        <v>BC100</v>
      </c>
      <c r="J64" s="321">
        <v>3.6999999999999998E-2</v>
      </c>
      <c r="K64" s="326">
        <v>1071</v>
      </c>
      <c r="L64" s="325">
        <f t="shared" si="24"/>
        <v>1031.373</v>
      </c>
      <c r="N64" s="325">
        <f t="shared" si="33"/>
        <v>178.5</v>
      </c>
      <c r="O64" s="325">
        <f t="shared" si="34"/>
        <v>171.8955</v>
      </c>
      <c r="P64" s="329">
        <f t="shared" si="35"/>
        <v>0</v>
      </c>
      <c r="Q64" s="321">
        <v>0.92600000000000016</v>
      </c>
      <c r="R64" s="321">
        <v>0.84633333333333338</v>
      </c>
      <c r="S64" s="321">
        <v>7.3999999999999996E-2</v>
      </c>
      <c r="T64" s="321">
        <v>0</v>
      </c>
      <c r="U64" s="321">
        <v>0</v>
      </c>
      <c r="V64" s="321">
        <v>0</v>
      </c>
      <c r="W64" s="321">
        <v>0</v>
      </c>
      <c r="X64" s="321">
        <v>0</v>
      </c>
      <c r="Y64">
        <f t="shared" si="2"/>
        <v>6</v>
      </c>
    </row>
    <row r="65" spans="1:25" x14ac:dyDescent="0.3">
      <c r="A65" s="320">
        <v>42915</v>
      </c>
      <c r="B65">
        <v>1</v>
      </c>
      <c r="C65" t="s">
        <v>133</v>
      </c>
      <c r="D65" t="s">
        <v>131</v>
      </c>
      <c r="E65" t="s">
        <v>145</v>
      </c>
      <c r="F65">
        <v>360</v>
      </c>
      <c r="G65">
        <v>360</v>
      </c>
      <c r="H65" s="325">
        <f t="shared" si="32"/>
        <v>720</v>
      </c>
      <c r="I65" s="325" t="str">
        <f>VLOOKUP(C65,'Drop Downs Master'!$D$6:$E$9,2,FALSE)</f>
        <v>BC100</v>
      </c>
      <c r="J65" s="333">
        <v>0</v>
      </c>
      <c r="K65" s="326">
        <v>502</v>
      </c>
      <c r="L65" s="325">
        <f t="shared" si="24"/>
        <v>502</v>
      </c>
      <c r="N65" s="325">
        <f t="shared" si="33"/>
        <v>83.666666666666671</v>
      </c>
      <c r="O65" s="325">
        <f t="shared" si="34"/>
        <v>41.833333333333336</v>
      </c>
      <c r="P65" s="329">
        <f t="shared" si="35"/>
        <v>0.5</v>
      </c>
      <c r="Q65" s="321">
        <v>0</v>
      </c>
      <c r="R65" s="321">
        <v>0</v>
      </c>
      <c r="S65" s="321">
        <v>0</v>
      </c>
      <c r="T65" s="321">
        <v>0.1177</v>
      </c>
      <c r="U65" s="321">
        <v>0.15265000000000001</v>
      </c>
      <c r="V65" s="321">
        <v>0.11380000000000001</v>
      </c>
      <c r="W65" s="321">
        <v>2.4800000000000003E-2</v>
      </c>
      <c r="X65" s="321">
        <v>0.1817</v>
      </c>
      <c r="Y65">
        <f t="shared" si="2"/>
        <v>6</v>
      </c>
    </row>
    <row r="66" spans="1:25" x14ac:dyDescent="0.3">
      <c r="A66" s="320">
        <v>42915</v>
      </c>
      <c r="B66">
        <v>2</v>
      </c>
      <c r="C66" t="s">
        <v>133</v>
      </c>
      <c r="D66" t="s">
        <v>131</v>
      </c>
      <c r="E66" t="s">
        <v>150</v>
      </c>
      <c r="F66">
        <f>10.4*60</f>
        <v>624</v>
      </c>
      <c r="G66">
        <f>1.6*60</f>
        <v>96</v>
      </c>
      <c r="H66" s="325">
        <f t="shared" ref="H66" si="36">G66+F66</f>
        <v>720</v>
      </c>
      <c r="I66" s="325" t="str">
        <f>VLOOKUP(C66,'Drop Downs Master'!$D$6:$E$9,2,FALSE)</f>
        <v>BC100</v>
      </c>
      <c r="J66" s="321">
        <v>2.1999999999999999E-2</v>
      </c>
      <c r="K66" s="326">
        <v>986</v>
      </c>
      <c r="L66" s="325">
        <f t="shared" ref="L66" si="37">K66*(1-J66)</f>
        <v>964.30799999999999</v>
      </c>
      <c r="N66" s="325">
        <f t="shared" ref="N66" si="38">K66/(F66/60)</f>
        <v>94.807692307692307</v>
      </c>
      <c r="O66" s="325">
        <f t="shared" ref="O66" si="39">L66/(H66/60)</f>
        <v>80.358999999999995</v>
      </c>
      <c r="P66" s="329">
        <f t="shared" ref="P66" si="40">(G66/H66)</f>
        <v>0.13333333333333333</v>
      </c>
      <c r="Q66" s="321">
        <v>0</v>
      </c>
      <c r="R66" s="321">
        <v>0</v>
      </c>
      <c r="S66" s="321">
        <v>0</v>
      </c>
      <c r="T66" s="321">
        <v>0.18917499999999998</v>
      </c>
      <c r="U66" s="321">
        <v>0.21754999999999999</v>
      </c>
      <c r="V66" s="321">
        <v>0</v>
      </c>
      <c r="W66" s="321">
        <v>2.4675000000000002E-2</v>
      </c>
      <c r="X66" s="321">
        <v>0.26492499999999997</v>
      </c>
      <c r="Y66">
        <f t="shared" si="2"/>
        <v>6</v>
      </c>
    </row>
    <row r="67" spans="1:25" x14ac:dyDescent="0.3">
      <c r="A67" s="320">
        <v>42916</v>
      </c>
      <c r="B67">
        <v>1</v>
      </c>
      <c r="C67" t="s">
        <v>133</v>
      </c>
      <c r="D67" t="s">
        <v>131</v>
      </c>
      <c r="E67" t="s">
        <v>159</v>
      </c>
      <c r="F67">
        <v>720</v>
      </c>
      <c r="G67">
        <v>0</v>
      </c>
      <c r="H67" s="325">
        <f t="shared" si="32"/>
        <v>720</v>
      </c>
      <c r="I67" s="325" t="str">
        <f>VLOOKUP(C67,'Drop Downs Master'!$D$6:$E$9,2,FALSE)</f>
        <v>BC100</v>
      </c>
      <c r="J67" s="321">
        <v>5.5E-2</v>
      </c>
      <c r="K67" s="326">
        <v>1052</v>
      </c>
      <c r="L67" s="325">
        <f t="shared" si="24"/>
        <v>994.14</v>
      </c>
      <c r="N67" s="325">
        <f t="shared" si="33"/>
        <v>87.666666666666671</v>
      </c>
      <c r="O67" s="325">
        <f t="shared" si="34"/>
        <v>82.844999999999999</v>
      </c>
      <c r="P67" s="329">
        <f t="shared" si="35"/>
        <v>0</v>
      </c>
      <c r="Q67" s="321">
        <v>0</v>
      </c>
      <c r="R67" s="321">
        <v>0</v>
      </c>
      <c r="S67" s="321">
        <v>0</v>
      </c>
      <c r="T67" s="321">
        <v>0.1847</v>
      </c>
      <c r="U67" s="321">
        <v>0.196025</v>
      </c>
      <c r="V67" s="321">
        <v>0</v>
      </c>
      <c r="W67" s="321">
        <v>2.265E-2</v>
      </c>
      <c r="X67" s="321">
        <v>0.33807500000000001</v>
      </c>
      <c r="Y67">
        <f t="shared" si="2"/>
        <v>6</v>
      </c>
    </row>
    <row r="68" spans="1:25" x14ac:dyDescent="0.3">
      <c r="A68" s="320">
        <v>42916</v>
      </c>
      <c r="B68">
        <v>2</v>
      </c>
      <c r="C68" t="s">
        <v>133</v>
      </c>
      <c r="D68" t="s">
        <v>130</v>
      </c>
      <c r="E68" t="s">
        <v>150</v>
      </c>
      <c r="F68">
        <v>600</v>
      </c>
      <c r="G68">
        <v>120</v>
      </c>
      <c r="H68" s="325">
        <f t="shared" si="32"/>
        <v>720</v>
      </c>
      <c r="I68" s="325" t="str">
        <f>VLOOKUP(C68,'Drop Downs Master'!$D$6:$E$9,2,FALSE)</f>
        <v>BC100</v>
      </c>
      <c r="J68" s="321">
        <v>0.06</v>
      </c>
      <c r="K68" s="326">
        <v>271</v>
      </c>
      <c r="L68" s="325">
        <f t="shared" si="24"/>
        <v>254.73999999999998</v>
      </c>
      <c r="N68" s="325">
        <f t="shared" si="33"/>
        <v>27.1</v>
      </c>
      <c r="O68" s="325">
        <f t="shared" si="34"/>
        <v>21.228333333333332</v>
      </c>
      <c r="P68" s="329">
        <f t="shared" si="35"/>
        <v>0.16666666666666666</v>
      </c>
      <c r="Q68" s="321">
        <v>0.94599999999999995</v>
      </c>
      <c r="R68" s="321">
        <v>0.68189999999999995</v>
      </c>
      <c r="S68" s="321">
        <v>4.7800000000000002E-2</v>
      </c>
      <c r="T68" s="321">
        <v>0.23005</v>
      </c>
      <c r="U68" s="321">
        <v>0.17604999999999998</v>
      </c>
      <c r="V68" s="321">
        <v>0.94199999999999995</v>
      </c>
      <c r="W68" s="321">
        <v>2.7800000000000002E-2</v>
      </c>
      <c r="X68" s="321">
        <v>0.24135000000000001</v>
      </c>
      <c r="Y68">
        <f t="shared" si="2"/>
        <v>6</v>
      </c>
    </row>
    <row r="69" spans="1:25" x14ac:dyDescent="0.3">
      <c r="A69" s="320">
        <v>42916</v>
      </c>
      <c r="B69">
        <v>2</v>
      </c>
      <c r="C69" t="s">
        <v>133</v>
      </c>
      <c r="D69" t="s">
        <v>131</v>
      </c>
      <c r="E69" t="s">
        <v>150</v>
      </c>
      <c r="F69">
        <v>0</v>
      </c>
      <c r="G69">
        <v>0</v>
      </c>
      <c r="H69" s="325">
        <f t="shared" ref="H69:H71" si="41">G69+F69</f>
        <v>0</v>
      </c>
      <c r="I69" s="325" t="str">
        <f>VLOOKUP(C69,'Drop Downs Master'!$D$6:$E$9,2,FALSE)</f>
        <v>BC100</v>
      </c>
      <c r="J69" s="321">
        <v>0.06</v>
      </c>
      <c r="K69" s="326">
        <v>424</v>
      </c>
      <c r="L69" s="325">
        <f t="shared" si="24"/>
        <v>398.56</v>
      </c>
      <c r="N69" s="325" t="e">
        <f t="shared" si="33"/>
        <v>#DIV/0!</v>
      </c>
      <c r="O69" s="325" t="e">
        <f t="shared" si="34"/>
        <v>#DIV/0!</v>
      </c>
      <c r="P69" s="329" t="e">
        <f t="shared" si="35"/>
        <v>#DIV/0!</v>
      </c>
      <c r="Q69" s="321">
        <v>0.94599999999999995</v>
      </c>
      <c r="R69" s="321">
        <v>0.68189999999999995</v>
      </c>
      <c r="S69" s="321">
        <v>4.7800000000000002E-2</v>
      </c>
      <c r="T69" s="321">
        <v>0.23005</v>
      </c>
      <c r="U69" s="321">
        <v>0.17604999999999998</v>
      </c>
      <c r="V69" s="321">
        <v>0.94199999999999995</v>
      </c>
      <c r="W69" s="321">
        <v>2.7800000000000002E-2</v>
      </c>
      <c r="X69" s="321">
        <v>0.24135000000000001</v>
      </c>
      <c r="Y69">
        <f t="shared" ref="Y69:Y132" si="42">MONTH(A69)</f>
        <v>6</v>
      </c>
    </row>
    <row r="70" spans="1:25" x14ac:dyDescent="0.3">
      <c r="A70" s="320">
        <v>42917</v>
      </c>
      <c r="B70">
        <v>1</v>
      </c>
      <c r="C70" t="s">
        <v>133</v>
      </c>
      <c r="D70" t="s">
        <v>130</v>
      </c>
      <c r="E70" t="s">
        <v>145</v>
      </c>
      <c r="F70">
        <v>720</v>
      </c>
      <c r="G70">
        <v>0</v>
      </c>
      <c r="H70" s="325">
        <f t="shared" si="41"/>
        <v>720</v>
      </c>
      <c r="I70" s="325" t="str">
        <f>VLOOKUP(C70,'Drop Downs Master'!$D$6:$E$9,2,FALSE)</f>
        <v>BC100</v>
      </c>
      <c r="J70" s="321">
        <v>0.04</v>
      </c>
      <c r="K70" s="326">
        <v>918</v>
      </c>
      <c r="L70" s="325">
        <f t="shared" si="24"/>
        <v>881.28</v>
      </c>
      <c r="N70" s="325">
        <f t="shared" si="33"/>
        <v>76.5</v>
      </c>
      <c r="O70" s="325">
        <f t="shared" si="34"/>
        <v>73.44</v>
      </c>
      <c r="P70" s="329">
        <f t="shared" si="35"/>
        <v>0</v>
      </c>
      <c r="Q70" s="321">
        <v>0.85875000000000001</v>
      </c>
      <c r="R70" s="321">
        <v>0.81374999999999997</v>
      </c>
      <c r="S70" s="321">
        <v>8.900000000000001E-2</v>
      </c>
      <c r="T70" s="321">
        <v>0</v>
      </c>
      <c r="U70" s="321">
        <v>0</v>
      </c>
      <c r="V70" s="321">
        <v>0.91495000000000004</v>
      </c>
      <c r="W70" s="321">
        <v>0</v>
      </c>
      <c r="X70" s="321">
        <v>0</v>
      </c>
      <c r="Y70">
        <f t="shared" si="42"/>
        <v>7</v>
      </c>
    </row>
    <row r="71" spans="1:25" x14ac:dyDescent="0.3">
      <c r="A71" s="320">
        <v>42917</v>
      </c>
      <c r="B71">
        <v>2</v>
      </c>
      <c r="C71" t="s">
        <v>133</v>
      </c>
      <c r="D71" t="s">
        <v>130</v>
      </c>
      <c r="E71" t="s">
        <v>150</v>
      </c>
      <c r="F71">
        <v>720</v>
      </c>
      <c r="G71">
        <v>0</v>
      </c>
      <c r="H71" s="325">
        <f t="shared" si="41"/>
        <v>720</v>
      </c>
      <c r="I71" s="325" t="str">
        <f>VLOOKUP(C71,'Drop Downs Master'!$D$6:$E$9,2,FALSE)</f>
        <v>BC100</v>
      </c>
      <c r="J71" s="321">
        <v>5.2999999999999999E-2</v>
      </c>
      <c r="K71" s="326">
        <v>892</v>
      </c>
      <c r="L71" s="325">
        <f t="shared" si="24"/>
        <v>844.72399999999993</v>
      </c>
      <c r="N71" s="325">
        <f t="shared" si="33"/>
        <v>74.333333333333329</v>
      </c>
      <c r="O71" s="325">
        <f t="shared" si="34"/>
        <v>70.393666666666661</v>
      </c>
      <c r="P71" s="329">
        <f t="shared" si="35"/>
        <v>0</v>
      </c>
      <c r="Q71" s="321">
        <v>0.75889999999999991</v>
      </c>
      <c r="R71" s="321">
        <v>0.63430000000000009</v>
      </c>
      <c r="S71" s="321">
        <v>0.11873333333333334</v>
      </c>
      <c r="T71" s="321">
        <v>0</v>
      </c>
      <c r="U71" s="321">
        <v>0</v>
      </c>
      <c r="V71" s="321">
        <v>0.90549999999999997</v>
      </c>
      <c r="W71" s="321">
        <v>0</v>
      </c>
      <c r="X71" s="321">
        <v>0</v>
      </c>
      <c r="Y71">
        <f t="shared" si="42"/>
        <v>7</v>
      </c>
    </row>
    <row r="72" spans="1:25" x14ac:dyDescent="0.3">
      <c r="A72" s="320">
        <v>42918</v>
      </c>
      <c r="B72">
        <v>1</v>
      </c>
      <c r="C72" t="s">
        <v>133</v>
      </c>
      <c r="D72" t="s">
        <v>130</v>
      </c>
      <c r="E72" t="s">
        <v>145</v>
      </c>
      <c r="F72">
        <v>720</v>
      </c>
      <c r="G72">
        <v>0</v>
      </c>
      <c r="H72" s="325">
        <f t="shared" ref="H72:H78" si="43">G72+F72</f>
        <v>720</v>
      </c>
      <c r="I72" s="325" t="str">
        <f>VLOOKUP(C72,'Drop Downs Master'!$D$6:$E$9,2,FALSE)</f>
        <v>BC100</v>
      </c>
      <c r="J72" s="321">
        <v>4.2000000000000003E-2</v>
      </c>
      <c r="K72" s="326">
        <v>778</v>
      </c>
      <c r="L72" s="325">
        <f t="shared" ref="L72:L102" si="44">K72*(1-J72)</f>
        <v>745.32399999999996</v>
      </c>
      <c r="N72" s="325">
        <f t="shared" ref="N72:N78" si="45">K72/(F72/60)</f>
        <v>64.833333333333329</v>
      </c>
      <c r="O72" s="325">
        <f t="shared" ref="O72:O78" si="46">L72/(H72/60)</f>
        <v>62.11033333333333</v>
      </c>
      <c r="P72" s="329">
        <f t="shared" ref="P72:P78" si="47">(G72/H72)</f>
        <v>0</v>
      </c>
      <c r="Q72" s="321">
        <v>0.88875000000000004</v>
      </c>
      <c r="R72" s="321">
        <v>0.82050000000000001</v>
      </c>
      <c r="S72" s="321">
        <v>0</v>
      </c>
      <c r="T72" s="321">
        <v>0</v>
      </c>
      <c r="U72" s="321">
        <v>0</v>
      </c>
      <c r="V72" s="321">
        <v>0.92205000000000004</v>
      </c>
      <c r="W72" s="321">
        <v>0</v>
      </c>
      <c r="X72" s="321">
        <v>0</v>
      </c>
      <c r="Y72">
        <f t="shared" si="42"/>
        <v>7</v>
      </c>
    </row>
    <row r="73" spans="1:25" x14ac:dyDescent="0.3">
      <c r="A73" s="320">
        <v>42918</v>
      </c>
      <c r="B73">
        <v>2</v>
      </c>
      <c r="C73" t="s">
        <v>133</v>
      </c>
      <c r="D73" t="s">
        <v>130</v>
      </c>
      <c r="E73" t="s">
        <v>150</v>
      </c>
      <c r="F73">
        <v>720</v>
      </c>
      <c r="G73">
        <v>0</v>
      </c>
      <c r="H73" s="325">
        <f t="shared" si="43"/>
        <v>720</v>
      </c>
      <c r="I73" s="325" t="str">
        <f>VLOOKUP(C73,'Drop Downs Master'!$D$6:$E$9,2,FALSE)</f>
        <v>BC100</v>
      </c>
      <c r="J73" s="321">
        <v>3.6999999999999998E-2</v>
      </c>
      <c r="K73" s="326">
        <v>851</v>
      </c>
      <c r="L73" s="325">
        <f t="shared" si="44"/>
        <v>819.51299999999992</v>
      </c>
      <c r="N73" s="325">
        <f t="shared" si="45"/>
        <v>70.916666666666671</v>
      </c>
      <c r="O73" s="325">
        <f t="shared" si="46"/>
        <v>68.292749999999998</v>
      </c>
      <c r="P73" s="329">
        <f t="shared" si="47"/>
        <v>0</v>
      </c>
      <c r="Q73" s="321">
        <v>0.91833333333333333</v>
      </c>
      <c r="R73" s="321">
        <v>0.73433333333333328</v>
      </c>
      <c r="S73" s="321">
        <v>6.2333333333333331E-2</v>
      </c>
      <c r="T73" s="321">
        <v>0</v>
      </c>
      <c r="U73" s="321">
        <v>0</v>
      </c>
      <c r="V73" s="321">
        <v>0.91600000000000004</v>
      </c>
      <c r="W73" s="321">
        <v>0</v>
      </c>
      <c r="X73" s="321">
        <v>0</v>
      </c>
      <c r="Y73">
        <f t="shared" si="42"/>
        <v>7</v>
      </c>
    </row>
    <row r="74" spans="1:25" x14ac:dyDescent="0.3">
      <c r="A74" s="320">
        <v>42919</v>
      </c>
      <c r="B74">
        <v>1</v>
      </c>
      <c r="C74" t="s">
        <v>133</v>
      </c>
      <c r="D74" t="s">
        <v>130</v>
      </c>
      <c r="E74" t="s">
        <v>145</v>
      </c>
      <c r="F74">
        <v>720</v>
      </c>
      <c r="G74">
        <v>0</v>
      </c>
      <c r="H74" s="325">
        <f t="shared" si="43"/>
        <v>720</v>
      </c>
      <c r="I74" s="325" t="str">
        <f>VLOOKUP(C74,'Drop Downs Master'!$D$6:$E$9,2,FALSE)</f>
        <v>BC100</v>
      </c>
      <c r="J74" s="321">
        <v>3.6999999999999998E-2</v>
      </c>
      <c r="K74" s="326">
        <v>926</v>
      </c>
      <c r="L74" s="325">
        <f t="shared" si="44"/>
        <v>891.73799999999994</v>
      </c>
      <c r="N74" s="325">
        <f t="shared" si="45"/>
        <v>77.166666666666671</v>
      </c>
      <c r="O74" s="325">
        <f t="shared" si="46"/>
        <v>74.311499999999995</v>
      </c>
      <c r="P74" s="329">
        <f t="shared" si="47"/>
        <v>0</v>
      </c>
      <c r="Q74" s="321">
        <v>0.9099600000000001</v>
      </c>
      <c r="R74" s="321">
        <v>0.86272000000000004</v>
      </c>
      <c r="S74" s="321">
        <v>7.5459999999999999E-2</v>
      </c>
      <c r="T74" s="321">
        <v>0</v>
      </c>
      <c r="U74" s="321">
        <v>0</v>
      </c>
      <c r="V74" s="321">
        <v>0.91264000000000001</v>
      </c>
      <c r="W74" s="321">
        <v>0</v>
      </c>
      <c r="X74" s="321">
        <v>0</v>
      </c>
      <c r="Y74">
        <f t="shared" si="42"/>
        <v>7</v>
      </c>
    </row>
    <row r="75" spans="1:25" x14ac:dyDescent="0.3">
      <c r="A75" s="320">
        <v>42919</v>
      </c>
      <c r="B75">
        <v>2</v>
      </c>
      <c r="C75" t="s">
        <v>133</v>
      </c>
      <c r="D75" t="s">
        <v>130</v>
      </c>
      <c r="E75" t="s">
        <v>150</v>
      </c>
      <c r="F75">
        <f>11.43*60</f>
        <v>685.8</v>
      </c>
      <c r="G75">
        <f>0.57*60</f>
        <v>34.199999999999996</v>
      </c>
      <c r="H75" s="325">
        <f t="shared" si="43"/>
        <v>720</v>
      </c>
      <c r="I75" s="325" t="str">
        <f>VLOOKUP(C75,'Drop Downs Master'!$D$6:$E$9,2,FALSE)</f>
        <v>BC100</v>
      </c>
      <c r="J75" s="321">
        <v>4.1000000000000002E-2</v>
      </c>
      <c r="K75" s="326">
        <v>1067</v>
      </c>
      <c r="L75" s="325">
        <f t="shared" si="44"/>
        <v>1023.2529999999999</v>
      </c>
      <c r="N75" s="325">
        <f t="shared" si="45"/>
        <v>93.350831146106742</v>
      </c>
      <c r="O75" s="325">
        <f t="shared" si="46"/>
        <v>85.271083333333323</v>
      </c>
      <c r="P75" s="329">
        <f t="shared" si="47"/>
        <v>4.7499999999999994E-2</v>
      </c>
      <c r="Q75" s="321">
        <v>0.93133333333333335</v>
      </c>
      <c r="R75" s="321">
        <v>0.77623333333333333</v>
      </c>
      <c r="S75" s="321">
        <v>5.1999999999999991E-2</v>
      </c>
      <c r="T75" s="321">
        <v>0</v>
      </c>
      <c r="U75" s="321">
        <v>0</v>
      </c>
      <c r="V75" s="321">
        <v>0.91506666666666669</v>
      </c>
      <c r="W75" s="321">
        <v>0</v>
      </c>
      <c r="X75" s="321">
        <v>0</v>
      </c>
      <c r="Y75">
        <f t="shared" si="42"/>
        <v>7</v>
      </c>
    </row>
    <row r="76" spans="1:25" x14ac:dyDescent="0.3">
      <c r="A76" s="320">
        <v>42920</v>
      </c>
      <c r="B76">
        <v>1</v>
      </c>
      <c r="C76" t="s">
        <v>133</v>
      </c>
      <c r="D76" t="s">
        <v>130</v>
      </c>
      <c r="E76" t="s">
        <v>145</v>
      </c>
      <c r="F76" s="332">
        <f>11.9*60</f>
        <v>714</v>
      </c>
      <c r="G76" s="332">
        <f>0.1*60</f>
        <v>6</v>
      </c>
      <c r="H76" s="325">
        <f t="shared" si="43"/>
        <v>720</v>
      </c>
      <c r="I76" s="325" t="str">
        <f>VLOOKUP(C76,'Drop Downs Master'!$D$6:$E$9,2,FALSE)</f>
        <v>BC100</v>
      </c>
      <c r="J76" s="321">
        <v>3.5999999999999997E-2</v>
      </c>
      <c r="K76" s="326">
        <v>880</v>
      </c>
      <c r="L76" s="325">
        <f t="shared" si="44"/>
        <v>848.31999999999994</v>
      </c>
      <c r="N76" s="325">
        <f t="shared" si="45"/>
        <v>73.949579831932766</v>
      </c>
      <c r="O76" s="325">
        <f t="shared" si="46"/>
        <v>70.693333333333328</v>
      </c>
      <c r="P76" s="329">
        <f t="shared" si="47"/>
        <v>8.3333333333333332E-3</v>
      </c>
      <c r="Q76" s="321">
        <v>0.89800000000000002</v>
      </c>
      <c r="R76" s="321">
        <v>0.83253333333333346</v>
      </c>
      <c r="S76" s="321">
        <v>8.1000000000000003E-2</v>
      </c>
      <c r="T76" s="321">
        <v>0.17799999999999999</v>
      </c>
      <c r="U76" s="321">
        <v>0.1862</v>
      </c>
      <c r="V76" s="321">
        <v>0.91513333333333335</v>
      </c>
      <c r="W76" s="321">
        <v>2.1100000000000001E-2</v>
      </c>
      <c r="X76" s="321">
        <v>0.3599</v>
      </c>
      <c r="Y76">
        <f t="shared" si="42"/>
        <v>7</v>
      </c>
    </row>
    <row r="77" spans="1:25" x14ac:dyDescent="0.3">
      <c r="A77" s="320">
        <v>42920</v>
      </c>
      <c r="B77">
        <v>1</v>
      </c>
      <c r="C77" t="s">
        <v>133</v>
      </c>
      <c r="D77" t="s">
        <v>130</v>
      </c>
      <c r="E77" t="s">
        <v>145</v>
      </c>
      <c r="F77" s="332"/>
      <c r="G77" s="332"/>
      <c r="H77" s="325">
        <f t="shared" si="43"/>
        <v>0</v>
      </c>
      <c r="I77" s="325" t="str">
        <f>VLOOKUP(C77,'Drop Downs Master'!$D$6:$E$9,2,FALSE)</f>
        <v>BC100</v>
      </c>
      <c r="J77" s="321">
        <v>7.4999999999999997E-2</v>
      </c>
      <c r="K77" s="326">
        <v>140</v>
      </c>
      <c r="L77" s="325">
        <f t="shared" si="44"/>
        <v>129.5</v>
      </c>
      <c r="N77" s="325" t="e">
        <f t="shared" si="45"/>
        <v>#DIV/0!</v>
      </c>
      <c r="O77" s="325" t="e">
        <f t="shared" si="46"/>
        <v>#DIV/0!</v>
      </c>
      <c r="P77" s="329" t="e">
        <f t="shared" si="47"/>
        <v>#DIV/0!</v>
      </c>
      <c r="Q77" s="321">
        <v>0.89800000000000002</v>
      </c>
      <c r="R77" s="321">
        <v>0.83253333333333346</v>
      </c>
      <c r="S77" s="321">
        <v>8.1000000000000003E-2</v>
      </c>
      <c r="T77" s="321">
        <v>0.17799999999999999</v>
      </c>
      <c r="U77" s="321">
        <v>0.1862</v>
      </c>
      <c r="V77" s="321">
        <v>0.91513333333333335</v>
      </c>
      <c r="W77" s="321">
        <v>2.1100000000000001E-2</v>
      </c>
      <c r="X77" s="321">
        <v>0.3599</v>
      </c>
      <c r="Y77">
        <f t="shared" si="42"/>
        <v>7</v>
      </c>
    </row>
    <row r="78" spans="1:25" x14ac:dyDescent="0.3">
      <c r="A78" s="320">
        <v>42920</v>
      </c>
      <c r="B78">
        <v>2</v>
      </c>
      <c r="C78" t="s">
        <v>133</v>
      </c>
      <c r="D78" t="s">
        <v>130</v>
      </c>
      <c r="E78" t="s">
        <v>150</v>
      </c>
      <c r="F78">
        <f>11.12*60</f>
        <v>667.19999999999993</v>
      </c>
      <c r="G78">
        <f>0.88*60</f>
        <v>52.8</v>
      </c>
      <c r="H78" s="325">
        <f t="shared" si="43"/>
        <v>719.99999999999989</v>
      </c>
      <c r="I78" s="325" t="str">
        <f>VLOOKUP(C78,'Drop Downs Master'!$D$6:$E$9,2,FALSE)</f>
        <v>BC100</v>
      </c>
      <c r="J78" s="321">
        <v>4.2999999999999997E-2</v>
      </c>
      <c r="K78" s="326">
        <v>1092</v>
      </c>
      <c r="L78" s="325">
        <f t="shared" si="44"/>
        <v>1045.0439999999999</v>
      </c>
      <c r="N78" s="325">
        <f t="shared" si="45"/>
        <v>98.201438848920873</v>
      </c>
      <c r="O78" s="325">
        <f t="shared" si="46"/>
        <v>87.087000000000003</v>
      </c>
      <c r="P78" s="329">
        <f t="shared" si="47"/>
        <v>7.3333333333333348E-2</v>
      </c>
      <c r="Q78" s="321">
        <v>0.88175000000000003</v>
      </c>
      <c r="R78" s="321">
        <v>0.78024999999999989</v>
      </c>
      <c r="S78" s="321">
        <v>7.9750000000000001E-2</v>
      </c>
      <c r="T78" s="321">
        <v>0</v>
      </c>
      <c r="U78" s="321">
        <v>0</v>
      </c>
      <c r="V78" s="321">
        <v>0.91825000000000012</v>
      </c>
      <c r="W78" s="321">
        <v>0</v>
      </c>
      <c r="X78" s="321">
        <v>0</v>
      </c>
      <c r="Y78">
        <f t="shared" si="42"/>
        <v>7</v>
      </c>
    </row>
    <row r="79" spans="1:25" x14ac:dyDescent="0.3">
      <c r="A79" s="320">
        <v>42921</v>
      </c>
      <c r="B79">
        <v>1</v>
      </c>
      <c r="C79" t="s">
        <v>133</v>
      </c>
      <c r="D79" t="s">
        <v>130</v>
      </c>
      <c r="E79" t="s">
        <v>145</v>
      </c>
      <c r="F79">
        <v>720</v>
      </c>
      <c r="G79">
        <v>0</v>
      </c>
      <c r="H79" s="325">
        <f t="shared" ref="H79:H86" si="48">G79+F79</f>
        <v>720</v>
      </c>
      <c r="I79" s="325" t="str">
        <f>VLOOKUP(C79,'Drop Downs Master'!$D$6:$E$9,2,FALSE)</f>
        <v>BC100</v>
      </c>
      <c r="J79" s="321">
        <v>4.3999999999999997E-2</v>
      </c>
      <c r="K79" s="326">
        <v>1075</v>
      </c>
      <c r="L79" s="325">
        <f t="shared" si="44"/>
        <v>1027.7</v>
      </c>
      <c r="N79" s="325">
        <f t="shared" ref="N79:N86" si="49">K79/(F79/60)</f>
        <v>89.583333333333329</v>
      </c>
      <c r="O79" s="325">
        <f t="shared" ref="O79:O86" si="50">L79/(H79/60)</f>
        <v>85.641666666666666</v>
      </c>
      <c r="P79" s="329">
        <f t="shared" ref="P79:P86" si="51">(G79/H79)</f>
        <v>0</v>
      </c>
      <c r="Q79" s="321">
        <v>0.91352500000000003</v>
      </c>
      <c r="R79" s="321">
        <v>0.85582500000000006</v>
      </c>
      <c r="S79" s="321">
        <v>5.4450000000000005E-2</v>
      </c>
      <c r="T79" s="321">
        <v>0</v>
      </c>
      <c r="U79" s="321">
        <v>0</v>
      </c>
      <c r="V79" s="321">
        <v>0.92389999999999994</v>
      </c>
      <c r="W79" s="321">
        <v>0</v>
      </c>
      <c r="X79" s="321">
        <v>0</v>
      </c>
      <c r="Y79">
        <f t="shared" si="42"/>
        <v>7</v>
      </c>
    </row>
    <row r="80" spans="1:25" x14ac:dyDescent="0.3">
      <c r="A80" s="320">
        <v>42921</v>
      </c>
      <c r="B80">
        <v>2</v>
      </c>
      <c r="C80" t="s">
        <v>133</v>
      </c>
      <c r="D80" t="s">
        <v>130</v>
      </c>
      <c r="E80" t="s">
        <v>150</v>
      </c>
      <c r="F80" s="332">
        <v>720</v>
      </c>
      <c r="G80" s="332">
        <v>0</v>
      </c>
      <c r="H80" s="325">
        <f t="shared" si="48"/>
        <v>720</v>
      </c>
      <c r="I80" s="325" t="str">
        <f>VLOOKUP(C80,'Drop Downs Master'!$D$6:$E$9,2,FALSE)</f>
        <v>BC100</v>
      </c>
      <c r="J80" s="321">
        <v>3.3000000000000002E-2</v>
      </c>
      <c r="K80" s="326">
        <v>969</v>
      </c>
      <c r="L80" s="325">
        <f t="shared" si="44"/>
        <v>937.02300000000002</v>
      </c>
      <c r="N80" s="325">
        <f t="shared" si="49"/>
        <v>80.75</v>
      </c>
      <c r="O80" s="325">
        <f t="shared" si="50"/>
        <v>78.085250000000002</v>
      </c>
      <c r="P80" s="329">
        <f t="shared" si="51"/>
        <v>0</v>
      </c>
      <c r="Q80" s="321">
        <v>0.90300000000000002</v>
      </c>
      <c r="R80" s="321">
        <v>0.76524999999999999</v>
      </c>
      <c r="S80" s="321">
        <v>6.7400000000000002E-2</v>
      </c>
      <c r="T80" s="321">
        <v>0</v>
      </c>
      <c r="U80" s="321">
        <v>0</v>
      </c>
      <c r="V80" s="321">
        <v>0.91333333333333344</v>
      </c>
      <c r="W80" s="321">
        <v>0</v>
      </c>
      <c r="X80" s="321">
        <v>0</v>
      </c>
      <c r="Y80">
        <f t="shared" si="42"/>
        <v>7</v>
      </c>
    </row>
    <row r="81" spans="1:25" x14ac:dyDescent="0.3">
      <c r="A81" s="320">
        <v>42922</v>
      </c>
      <c r="B81">
        <v>1</v>
      </c>
      <c r="C81" t="s">
        <v>133</v>
      </c>
      <c r="D81" t="s">
        <v>130</v>
      </c>
      <c r="E81" t="s">
        <v>155</v>
      </c>
      <c r="F81">
        <v>720</v>
      </c>
      <c r="G81">
        <v>0</v>
      </c>
      <c r="H81" s="325">
        <f t="shared" si="48"/>
        <v>720</v>
      </c>
      <c r="I81" s="325" t="str">
        <f>VLOOKUP(C81,'Drop Downs Master'!$D$6:$E$9,2,FALSE)</f>
        <v>BC100</v>
      </c>
      <c r="J81" s="321">
        <v>3.2000000000000001E-2</v>
      </c>
      <c r="K81" s="326">
        <v>1123</v>
      </c>
      <c r="L81" s="325">
        <f t="shared" si="44"/>
        <v>1087.0640000000001</v>
      </c>
      <c r="N81" s="325">
        <f t="shared" si="49"/>
        <v>93.583333333333329</v>
      </c>
      <c r="O81" s="325">
        <f t="shared" si="50"/>
        <v>90.588666666666668</v>
      </c>
      <c r="P81" s="329">
        <f t="shared" si="51"/>
        <v>0</v>
      </c>
      <c r="Q81" s="321">
        <v>0.91133333333333333</v>
      </c>
      <c r="R81" s="321">
        <v>0.85699999999999987</v>
      </c>
      <c r="S81" s="321">
        <v>6.8333333333333343E-2</v>
      </c>
      <c r="T81" s="321">
        <v>0</v>
      </c>
      <c r="U81" s="321">
        <v>0</v>
      </c>
      <c r="V81" s="321">
        <v>0.92266666666666675</v>
      </c>
      <c r="W81" s="321">
        <v>0</v>
      </c>
      <c r="X81" s="321">
        <v>0</v>
      </c>
      <c r="Y81">
        <f t="shared" si="42"/>
        <v>7</v>
      </c>
    </row>
    <row r="82" spans="1:25" x14ac:dyDescent="0.3">
      <c r="A82" s="320">
        <v>42922</v>
      </c>
      <c r="B82">
        <v>2</v>
      </c>
      <c r="C82" t="s">
        <v>133</v>
      </c>
      <c r="D82" t="s">
        <v>130</v>
      </c>
      <c r="E82" t="s">
        <v>173</v>
      </c>
      <c r="F82">
        <f>5.5*60</f>
        <v>330</v>
      </c>
      <c r="G82">
        <v>390</v>
      </c>
      <c r="H82" s="325">
        <f t="shared" si="48"/>
        <v>720</v>
      </c>
      <c r="I82" s="325" t="str">
        <f>VLOOKUP(C82,'Drop Downs Master'!$D$6:$E$9,2,FALSE)</f>
        <v>BC100</v>
      </c>
      <c r="J82" s="321">
        <v>3.3000000000000002E-2</v>
      </c>
      <c r="K82" s="326">
        <v>486</v>
      </c>
      <c r="L82" s="325">
        <f t="shared" si="44"/>
        <v>469.96199999999999</v>
      </c>
      <c r="N82" s="325">
        <f t="shared" si="49"/>
        <v>88.36363636363636</v>
      </c>
      <c r="O82" s="325">
        <f t="shared" si="50"/>
        <v>39.163499999999999</v>
      </c>
      <c r="P82" s="329">
        <f t="shared" si="51"/>
        <v>0.54166666666666663</v>
      </c>
      <c r="Q82" s="321">
        <v>0.90749999999999997</v>
      </c>
      <c r="R82" s="321">
        <v>0.86399999999999999</v>
      </c>
      <c r="S82" s="321">
        <v>9.2499999999999999E-2</v>
      </c>
      <c r="T82" s="321">
        <v>0</v>
      </c>
      <c r="U82" s="321">
        <v>0</v>
      </c>
      <c r="V82" s="321">
        <v>0.92749999999999999</v>
      </c>
      <c r="W82" s="321">
        <v>0</v>
      </c>
      <c r="X82" s="321">
        <v>0</v>
      </c>
      <c r="Y82">
        <f t="shared" si="42"/>
        <v>7</v>
      </c>
    </row>
    <row r="83" spans="1:25" x14ac:dyDescent="0.3">
      <c r="A83" s="320">
        <v>42923</v>
      </c>
      <c r="B83">
        <v>1</v>
      </c>
      <c r="C83" t="s">
        <v>133</v>
      </c>
      <c r="D83" t="s">
        <v>130</v>
      </c>
      <c r="E83" t="s">
        <v>155</v>
      </c>
      <c r="F83">
        <f>5.2*60</f>
        <v>312</v>
      </c>
      <c r="G83">
        <v>408</v>
      </c>
      <c r="H83" s="325">
        <f t="shared" si="48"/>
        <v>720</v>
      </c>
      <c r="I83" s="325" t="str">
        <f>VLOOKUP(C83,'Drop Downs Master'!$D$6:$E$9,2,FALSE)</f>
        <v>BC100</v>
      </c>
      <c r="J83" s="321">
        <v>2.7E-2</v>
      </c>
      <c r="K83" s="326">
        <v>469</v>
      </c>
      <c r="L83" s="325">
        <f t="shared" si="44"/>
        <v>456.33699999999999</v>
      </c>
      <c r="N83" s="325">
        <f t="shared" si="49"/>
        <v>90.192307692307693</v>
      </c>
      <c r="O83" s="325">
        <f t="shared" si="50"/>
        <v>38.028083333333335</v>
      </c>
      <c r="P83" s="329">
        <f t="shared" si="51"/>
        <v>0.56666666666666665</v>
      </c>
      <c r="Q83" s="321">
        <v>0.91549999999999998</v>
      </c>
      <c r="R83" s="321">
        <v>0.86549999999999994</v>
      </c>
      <c r="S83" s="321">
        <v>8.4499999999999992E-2</v>
      </c>
      <c r="T83" s="321">
        <v>0</v>
      </c>
      <c r="U83" s="321">
        <v>0</v>
      </c>
      <c r="V83" s="321">
        <v>0.92949999999999999</v>
      </c>
      <c r="W83" s="321">
        <v>0</v>
      </c>
      <c r="X83" s="321">
        <v>0</v>
      </c>
      <c r="Y83">
        <f t="shared" si="42"/>
        <v>7</v>
      </c>
    </row>
    <row r="84" spans="1:25" x14ac:dyDescent="0.3">
      <c r="A84" s="320">
        <v>42923</v>
      </c>
      <c r="B84">
        <v>2</v>
      </c>
      <c r="C84" t="s">
        <v>133</v>
      </c>
      <c r="D84" t="s">
        <v>130</v>
      </c>
      <c r="E84" t="s">
        <v>151</v>
      </c>
      <c r="F84">
        <f>11.5*60</f>
        <v>690</v>
      </c>
      <c r="G84">
        <f>0.5*60</f>
        <v>30</v>
      </c>
      <c r="H84" s="325">
        <f t="shared" si="48"/>
        <v>720</v>
      </c>
      <c r="I84" s="325" t="str">
        <f>VLOOKUP(C84,'Drop Downs Master'!$D$6:$E$9,2,FALSE)</f>
        <v>BC100</v>
      </c>
      <c r="J84" s="321">
        <v>4.2999999999999997E-2</v>
      </c>
      <c r="K84" s="326">
        <v>1093</v>
      </c>
      <c r="L84" s="325">
        <f t="shared" si="44"/>
        <v>1046.001</v>
      </c>
      <c r="N84" s="325">
        <f t="shared" si="49"/>
        <v>95.043478260869563</v>
      </c>
      <c r="O84" s="325">
        <f t="shared" si="50"/>
        <v>87.166749999999993</v>
      </c>
      <c r="P84" s="329">
        <f t="shared" si="51"/>
        <v>4.1666666666666664E-2</v>
      </c>
      <c r="Q84" s="321">
        <v>0.87700000000000011</v>
      </c>
      <c r="R84" s="321">
        <v>0.84333333333333327</v>
      </c>
      <c r="S84" s="321">
        <v>0.123</v>
      </c>
      <c r="T84" s="321">
        <v>0</v>
      </c>
      <c r="U84" s="321">
        <v>0</v>
      </c>
      <c r="V84" s="321">
        <v>0.92400000000000004</v>
      </c>
      <c r="W84" s="321">
        <v>0</v>
      </c>
      <c r="X84" s="321">
        <v>0</v>
      </c>
      <c r="Y84">
        <f t="shared" si="42"/>
        <v>7</v>
      </c>
    </row>
    <row r="85" spans="1:25" x14ac:dyDescent="0.3">
      <c r="A85" s="320">
        <v>42924</v>
      </c>
      <c r="B85">
        <v>1</v>
      </c>
      <c r="C85" t="s">
        <v>133</v>
      </c>
      <c r="D85" t="s">
        <v>130</v>
      </c>
      <c r="E85" t="s">
        <v>153</v>
      </c>
      <c r="F85">
        <f>11.7*60</f>
        <v>702</v>
      </c>
      <c r="G85">
        <f>0.3*60</f>
        <v>18</v>
      </c>
      <c r="H85" s="325">
        <f t="shared" si="48"/>
        <v>720</v>
      </c>
      <c r="I85" s="325" t="str">
        <f>VLOOKUP(C85,'Drop Downs Master'!$D$6:$E$9,2,FALSE)</f>
        <v>BC100</v>
      </c>
      <c r="J85" s="321">
        <v>3.5999999999999997E-2</v>
      </c>
      <c r="K85" s="326">
        <v>1095</v>
      </c>
      <c r="L85" s="325">
        <f t="shared" si="44"/>
        <v>1055.58</v>
      </c>
      <c r="N85" s="325">
        <f t="shared" si="49"/>
        <v>93.589743589743591</v>
      </c>
      <c r="O85" s="325">
        <f t="shared" si="50"/>
        <v>87.964999999999989</v>
      </c>
      <c r="P85" s="329">
        <f t="shared" si="51"/>
        <v>2.5000000000000001E-2</v>
      </c>
      <c r="Q85" s="321">
        <v>0.89300000000000002</v>
      </c>
      <c r="R85" s="321">
        <v>0.82099999999999995</v>
      </c>
      <c r="S85" s="321">
        <v>0.10225000000000001</v>
      </c>
      <c r="T85" s="321">
        <v>0</v>
      </c>
      <c r="U85" s="321">
        <v>0</v>
      </c>
      <c r="V85" s="321">
        <v>0.91550000000000009</v>
      </c>
      <c r="W85" s="321">
        <v>0</v>
      </c>
      <c r="X85" s="321">
        <v>0</v>
      </c>
      <c r="Y85">
        <f t="shared" si="42"/>
        <v>7</v>
      </c>
    </row>
    <row r="86" spans="1:25" x14ac:dyDescent="0.3">
      <c r="A86" s="320">
        <v>42924</v>
      </c>
      <c r="B86">
        <v>2</v>
      </c>
      <c r="C86" t="s">
        <v>133</v>
      </c>
      <c r="D86" t="s">
        <v>130</v>
      </c>
      <c r="E86" t="s">
        <v>151</v>
      </c>
      <c r="F86">
        <v>720</v>
      </c>
      <c r="G86">
        <v>0</v>
      </c>
      <c r="H86" s="325">
        <f t="shared" si="48"/>
        <v>720</v>
      </c>
      <c r="I86" s="325" t="str">
        <f>VLOOKUP(C86,'Drop Downs Master'!$D$6:$E$9,2,FALSE)</f>
        <v>BC100</v>
      </c>
      <c r="J86" s="321">
        <v>0.05</v>
      </c>
      <c r="K86" s="326">
        <v>1141</v>
      </c>
      <c r="L86" s="325">
        <f t="shared" si="44"/>
        <v>1083.95</v>
      </c>
      <c r="N86" s="325">
        <f t="shared" si="49"/>
        <v>95.083333333333329</v>
      </c>
      <c r="O86" s="325">
        <f t="shared" si="50"/>
        <v>90.329166666666666</v>
      </c>
      <c r="P86" s="329">
        <f t="shared" si="51"/>
        <v>0</v>
      </c>
      <c r="Q86" s="321">
        <v>0.93449999999999989</v>
      </c>
      <c r="R86" s="321">
        <v>0.84099999999999997</v>
      </c>
      <c r="S86" s="321">
        <v>6.5750000000000003E-2</v>
      </c>
      <c r="T86" s="321">
        <v>0</v>
      </c>
      <c r="U86" s="321">
        <v>0</v>
      </c>
      <c r="V86" s="321">
        <v>0.93025000000000002</v>
      </c>
      <c r="W86" s="321">
        <v>0</v>
      </c>
      <c r="X86" s="321">
        <v>0</v>
      </c>
      <c r="Y86">
        <f t="shared" si="42"/>
        <v>7</v>
      </c>
    </row>
    <row r="87" spans="1:25" x14ac:dyDescent="0.3">
      <c r="A87" s="320">
        <v>42925</v>
      </c>
      <c r="B87">
        <v>1</v>
      </c>
      <c r="C87" t="s">
        <v>133</v>
      </c>
      <c r="D87" t="s">
        <v>130</v>
      </c>
      <c r="E87" t="s">
        <v>153</v>
      </c>
      <c r="F87">
        <f>11*60</f>
        <v>660</v>
      </c>
      <c r="G87">
        <v>60</v>
      </c>
      <c r="H87" s="325">
        <f t="shared" ref="H87:H88" si="52">G87+F87</f>
        <v>720</v>
      </c>
      <c r="I87" s="325" t="str">
        <f>VLOOKUP(C87,'Drop Downs Master'!$D$6:$E$9,2,FALSE)</f>
        <v>BC100</v>
      </c>
      <c r="J87" s="321">
        <v>0.04</v>
      </c>
      <c r="K87" s="326">
        <v>1048</v>
      </c>
      <c r="L87" s="325">
        <f t="shared" si="44"/>
        <v>1006.0799999999999</v>
      </c>
      <c r="N87" s="325">
        <f t="shared" ref="N87:N88" si="53">K87/(F87/60)</f>
        <v>95.272727272727266</v>
      </c>
      <c r="O87" s="325">
        <f t="shared" ref="O87:O88" si="54">L87/(H87/60)</f>
        <v>83.839999999999989</v>
      </c>
      <c r="P87" s="329">
        <f t="shared" ref="P87:P88" si="55">(G87/H87)</f>
        <v>8.3333333333333329E-2</v>
      </c>
      <c r="Q87" s="321">
        <v>0.93925000000000003</v>
      </c>
      <c r="R87" s="321">
        <v>0.87349999999999994</v>
      </c>
      <c r="S87" s="321">
        <v>6.1749999999999999E-2</v>
      </c>
      <c r="T87" s="321">
        <v>0</v>
      </c>
      <c r="U87" s="321">
        <v>0</v>
      </c>
      <c r="V87" s="321">
        <v>0.9325</v>
      </c>
      <c r="W87" s="321">
        <v>0</v>
      </c>
      <c r="X87" s="321">
        <v>0</v>
      </c>
      <c r="Y87">
        <f t="shared" si="42"/>
        <v>7</v>
      </c>
    </row>
    <row r="88" spans="1:25" x14ac:dyDescent="0.3">
      <c r="A88" s="320">
        <v>42925</v>
      </c>
      <c r="B88">
        <v>2</v>
      </c>
      <c r="C88" t="s">
        <v>133</v>
      </c>
      <c r="D88" t="s">
        <v>130</v>
      </c>
      <c r="E88" t="s">
        <v>151</v>
      </c>
      <c r="F88">
        <f>11.75*60</f>
        <v>705</v>
      </c>
      <c r="G88">
        <f>0.25*60</f>
        <v>15</v>
      </c>
      <c r="H88" s="325">
        <f t="shared" si="52"/>
        <v>720</v>
      </c>
      <c r="I88" s="325" t="str">
        <f>VLOOKUP(C88,'Drop Downs Master'!$D$6:$E$9,2,FALSE)</f>
        <v>BC100</v>
      </c>
      <c r="J88" s="321">
        <v>0.04</v>
      </c>
      <c r="K88" s="326">
        <v>1135</v>
      </c>
      <c r="L88" s="325">
        <f t="shared" si="44"/>
        <v>1089.5999999999999</v>
      </c>
      <c r="N88" s="325">
        <f t="shared" si="53"/>
        <v>96.59574468085107</v>
      </c>
      <c r="O88" s="325">
        <f t="shared" si="54"/>
        <v>90.8</v>
      </c>
      <c r="P88" s="329">
        <f t="shared" si="55"/>
        <v>2.0833333333333332E-2</v>
      </c>
      <c r="Q88" s="321">
        <v>0.93299999999999994</v>
      </c>
      <c r="R88" s="321">
        <v>0.76924999999999999</v>
      </c>
      <c r="S88" s="321">
        <v>6.6500000000000004E-2</v>
      </c>
      <c r="T88" s="321">
        <v>0</v>
      </c>
      <c r="U88" s="321">
        <v>0</v>
      </c>
      <c r="V88" s="321">
        <v>0.93274999999999997</v>
      </c>
      <c r="W88" s="321">
        <v>0</v>
      </c>
      <c r="X88" s="321">
        <v>0</v>
      </c>
      <c r="Y88">
        <f t="shared" si="42"/>
        <v>7</v>
      </c>
    </row>
    <row r="89" spans="1:25" x14ac:dyDescent="0.3">
      <c r="A89" s="320">
        <v>42926</v>
      </c>
      <c r="B89">
        <v>1</v>
      </c>
      <c r="C89" t="s">
        <v>133</v>
      </c>
      <c r="D89" t="s">
        <v>130</v>
      </c>
      <c r="E89" t="s">
        <v>153</v>
      </c>
      <c r="F89">
        <f>12*60</f>
        <v>720</v>
      </c>
      <c r="G89">
        <v>0</v>
      </c>
      <c r="H89" s="325">
        <f t="shared" ref="H89:H96" si="56">G89+F89</f>
        <v>720</v>
      </c>
      <c r="I89" s="325" t="str">
        <f>VLOOKUP(C89,'Drop Downs Master'!$D$6:$E$9,2,FALSE)</f>
        <v>BC100</v>
      </c>
      <c r="J89" s="321">
        <v>3.9E-2</v>
      </c>
      <c r="K89" s="326">
        <v>1156</v>
      </c>
      <c r="L89" s="325">
        <f t="shared" si="44"/>
        <v>1110.9159999999999</v>
      </c>
      <c r="N89" s="325">
        <f t="shared" ref="N89:N96" si="57">K89/(F89/60)</f>
        <v>96.333333333333329</v>
      </c>
      <c r="O89" s="325">
        <f t="shared" ref="O89:O96" si="58">L89/(H89/60)</f>
        <v>92.576333333333324</v>
      </c>
      <c r="P89" s="329">
        <f t="shared" ref="P89:P96" si="59">(G89/H89)</f>
        <v>0</v>
      </c>
      <c r="Q89" s="321">
        <v>0.92525000000000002</v>
      </c>
      <c r="R89" s="321">
        <v>0.85499999999999998</v>
      </c>
      <c r="S89" s="321">
        <v>7.4749999999999997E-2</v>
      </c>
      <c r="T89" s="321">
        <v>0</v>
      </c>
      <c r="U89" s="321">
        <v>0</v>
      </c>
      <c r="V89" s="321">
        <v>0.91575000000000006</v>
      </c>
      <c r="W89" s="321">
        <v>0</v>
      </c>
      <c r="X89" s="321">
        <v>0</v>
      </c>
      <c r="Y89">
        <f t="shared" si="42"/>
        <v>7</v>
      </c>
    </row>
    <row r="90" spans="1:25" x14ac:dyDescent="0.3">
      <c r="A90" s="320">
        <v>42926</v>
      </c>
      <c r="B90">
        <v>2</v>
      </c>
      <c r="C90" t="s">
        <v>133</v>
      </c>
      <c r="D90" t="s">
        <v>130</v>
      </c>
      <c r="E90" t="s">
        <v>151</v>
      </c>
      <c r="F90">
        <v>720</v>
      </c>
      <c r="G90">
        <v>0</v>
      </c>
      <c r="H90" s="325">
        <f t="shared" si="56"/>
        <v>720</v>
      </c>
      <c r="I90" s="325" t="str">
        <f>VLOOKUP(C90,'Drop Downs Master'!$D$6:$E$9,2,FALSE)</f>
        <v>BC100</v>
      </c>
      <c r="J90" s="321">
        <v>3.9E-2</v>
      </c>
      <c r="K90" s="326">
        <v>948</v>
      </c>
      <c r="L90" s="325">
        <f t="shared" si="44"/>
        <v>911.02800000000002</v>
      </c>
      <c r="N90" s="325">
        <f t="shared" si="57"/>
        <v>79</v>
      </c>
      <c r="O90" s="325">
        <f t="shared" si="58"/>
        <v>75.918999999999997</v>
      </c>
      <c r="P90" s="329">
        <f t="shared" si="59"/>
        <v>0</v>
      </c>
      <c r="Q90" s="321">
        <v>0.91966666666666663</v>
      </c>
      <c r="R90" s="321">
        <v>0.85066666666666668</v>
      </c>
      <c r="S90" s="321">
        <v>7.6999999999999999E-2</v>
      </c>
      <c r="T90" s="321">
        <v>0</v>
      </c>
      <c r="U90" s="321">
        <v>0</v>
      </c>
      <c r="V90" s="321">
        <v>0.92366666666666664</v>
      </c>
      <c r="W90" s="321">
        <v>0</v>
      </c>
      <c r="X90" s="321">
        <v>0</v>
      </c>
      <c r="Y90">
        <f t="shared" si="42"/>
        <v>7</v>
      </c>
    </row>
    <row r="91" spans="1:25" x14ac:dyDescent="0.3">
      <c r="A91" s="320">
        <v>42927</v>
      </c>
      <c r="B91">
        <v>1</v>
      </c>
      <c r="C91" t="s">
        <v>133</v>
      </c>
      <c r="D91" t="s">
        <v>130</v>
      </c>
      <c r="E91" t="s">
        <v>153</v>
      </c>
      <c r="F91">
        <f>12*60</f>
        <v>720</v>
      </c>
      <c r="G91">
        <v>0</v>
      </c>
      <c r="H91" s="325">
        <f t="shared" si="56"/>
        <v>720</v>
      </c>
      <c r="I91" s="325" t="str">
        <f>VLOOKUP(C91,'Drop Downs Master'!$D$6:$E$9,2,FALSE)</f>
        <v>BC100</v>
      </c>
      <c r="J91" s="321">
        <v>3.9E-2</v>
      </c>
      <c r="K91" s="326">
        <v>1020</v>
      </c>
      <c r="L91" s="325">
        <f t="shared" si="44"/>
        <v>980.21999999999991</v>
      </c>
      <c r="N91" s="325">
        <f t="shared" si="57"/>
        <v>85</v>
      </c>
      <c r="O91" s="325">
        <f t="shared" si="58"/>
        <v>81.684999999999988</v>
      </c>
      <c r="P91" s="329">
        <f t="shared" si="59"/>
        <v>0</v>
      </c>
      <c r="Q91" s="321">
        <v>0.93599999999999994</v>
      </c>
      <c r="R91" s="321">
        <v>0.86266666666666669</v>
      </c>
      <c r="S91" s="321">
        <v>6.433333333333334E-2</v>
      </c>
      <c r="T91" s="321">
        <v>0</v>
      </c>
      <c r="U91" s="321">
        <v>0</v>
      </c>
      <c r="V91" s="321">
        <v>0.93800000000000006</v>
      </c>
      <c r="W91" s="321">
        <v>0</v>
      </c>
      <c r="X91" s="321">
        <v>0</v>
      </c>
      <c r="Y91">
        <f t="shared" si="42"/>
        <v>7</v>
      </c>
    </row>
    <row r="92" spans="1:25" x14ac:dyDescent="0.3">
      <c r="A92" s="320">
        <v>42927</v>
      </c>
      <c r="B92">
        <v>2</v>
      </c>
      <c r="C92" t="s">
        <v>133</v>
      </c>
      <c r="D92" t="s">
        <v>130</v>
      </c>
      <c r="E92" t="s">
        <v>151</v>
      </c>
      <c r="F92">
        <f>60*12</f>
        <v>720</v>
      </c>
      <c r="G92">
        <v>0</v>
      </c>
      <c r="H92" s="325">
        <f t="shared" si="56"/>
        <v>720</v>
      </c>
      <c r="I92" s="325" t="str">
        <f>VLOOKUP(C92,'Drop Downs Master'!$D$6:$E$9,2,FALSE)</f>
        <v>BC100</v>
      </c>
      <c r="J92" s="321">
        <v>5.0999999999999997E-2</v>
      </c>
      <c r="K92" s="326">
        <v>933</v>
      </c>
      <c r="L92" s="325">
        <f t="shared" si="44"/>
        <v>885.41699999999992</v>
      </c>
      <c r="N92" s="325">
        <f t="shared" si="57"/>
        <v>77.75</v>
      </c>
      <c r="O92" s="325">
        <f t="shared" si="58"/>
        <v>73.784749999999988</v>
      </c>
      <c r="P92" s="329">
        <f t="shared" si="59"/>
        <v>0</v>
      </c>
      <c r="Q92" s="321">
        <v>0.91850000000000009</v>
      </c>
      <c r="R92" s="321">
        <v>0.82750000000000001</v>
      </c>
      <c r="S92" s="321">
        <v>7.4750000000000011E-2</v>
      </c>
      <c r="T92" s="321">
        <v>0</v>
      </c>
      <c r="U92" s="321">
        <v>0</v>
      </c>
      <c r="V92" s="321">
        <v>0.93025000000000002</v>
      </c>
      <c r="W92" s="321">
        <v>0</v>
      </c>
      <c r="X92" s="321">
        <v>0</v>
      </c>
      <c r="Y92">
        <f t="shared" si="42"/>
        <v>7</v>
      </c>
    </row>
    <row r="93" spans="1:25" x14ac:dyDescent="0.3">
      <c r="A93" s="320">
        <v>42928</v>
      </c>
      <c r="B93">
        <v>1</v>
      </c>
      <c r="C93" t="s">
        <v>133</v>
      </c>
      <c r="D93" t="s">
        <v>130</v>
      </c>
      <c r="E93" t="s">
        <v>153</v>
      </c>
      <c r="F93">
        <f>12*60</f>
        <v>720</v>
      </c>
      <c r="G93">
        <v>0</v>
      </c>
      <c r="H93" s="325">
        <f t="shared" si="56"/>
        <v>720</v>
      </c>
      <c r="I93" s="325" t="str">
        <f>VLOOKUP(C93,'Drop Downs Master'!$D$6:$E$9,2,FALSE)</f>
        <v>BC100</v>
      </c>
      <c r="J93" s="321">
        <v>3.5000000000000003E-2</v>
      </c>
      <c r="K93" s="326">
        <v>1128</v>
      </c>
      <c r="L93" s="325">
        <f t="shared" si="44"/>
        <v>1088.52</v>
      </c>
      <c r="N93" s="325">
        <f t="shared" si="57"/>
        <v>94</v>
      </c>
      <c r="O93" s="325">
        <f t="shared" si="58"/>
        <v>90.71</v>
      </c>
      <c r="P93" s="329">
        <f t="shared" si="59"/>
        <v>0</v>
      </c>
      <c r="Q93" s="321">
        <v>0.92525000000000002</v>
      </c>
      <c r="R93" s="321">
        <v>0.86</v>
      </c>
      <c r="S93" s="321">
        <v>7.4749999999999997E-2</v>
      </c>
      <c r="T93" s="321">
        <v>0</v>
      </c>
      <c r="U93" s="321">
        <v>0</v>
      </c>
      <c r="V93" s="321">
        <v>0.93149999999999999</v>
      </c>
      <c r="W93" s="321">
        <v>0</v>
      </c>
      <c r="X93" s="321">
        <v>0</v>
      </c>
      <c r="Y93">
        <f t="shared" si="42"/>
        <v>7</v>
      </c>
    </row>
    <row r="94" spans="1:25" x14ac:dyDescent="0.3">
      <c r="A94" s="320">
        <v>42928</v>
      </c>
      <c r="B94">
        <v>2</v>
      </c>
      <c r="C94" t="s">
        <v>133</v>
      </c>
      <c r="D94" t="s">
        <v>130</v>
      </c>
      <c r="E94" t="s">
        <v>151</v>
      </c>
      <c r="F94">
        <f>11.9*60</f>
        <v>714</v>
      </c>
      <c r="G94">
        <v>0</v>
      </c>
      <c r="H94" s="325">
        <f t="shared" si="56"/>
        <v>714</v>
      </c>
      <c r="I94" s="325" t="str">
        <f>VLOOKUP(C94,'Drop Downs Master'!$D$6:$E$9,2,FALSE)</f>
        <v>BC100</v>
      </c>
      <c r="J94" s="321">
        <v>0.04</v>
      </c>
      <c r="K94" s="326">
        <v>1142</v>
      </c>
      <c r="L94" s="325">
        <f t="shared" si="44"/>
        <v>1096.32</v>
      </c>
      <c r="N94" s="325">
        <f t="shared" si="57"/>
        <v>95.966386554621849</v>
      </c>
      <c r="O94" s="325">
        <f t="shared" si="58"/>
        <v>92.12773109243696</v>
      </c>
      <c r="P94" s="329">
        <f t="shared" si="59"/>
        <v>0</v>
      </c>
      <c r="Q94" s="321">
        <v>0.92133333333333345</v>
      </c>
      <c r="R94" s="321">
        <v>0.78366666666666662</v>
      </c>
      <c r="S94" s="321">
        <v>7.8666666666666663E-2</v>
      </c>
      <c r="T94" s="321">
        <v>0</v>
      </c>
      <c r="U94" s="321">
        <v>0</v>
      </c>
      <c r="V94" s="321">
        <v>0.91733333333333322</v>
      </c>
      <c r="W94" s="321">
        <v>0</v>
      </c>
      <c r="X94" s="321">
        <v>0</v>
      </c>
      <c r="Y94">
        <f t="shared" si="42"/>
        <v>7</v>
      </c>
    </row>
    <row r="95" spans="1:25" x14ac:dyDescent="0.3">
      <c r="A95" s="320">
        <v>42929</v>
      </c>
      <c r="B95">
        <v>1</v>
      </c>
      <c r="C95" t="s">
        <v>133</v>
      </c>
      <c r="D95" t="s">
        <v>130</v>
      </c>
      <c r="E95" t="s">
        <v>152</v>
      </c>
      <c r="F95">
        <v>720</v>
      </c>
      <c r="G95">
        <v>0</v>
      </c>
      <c r="H95" s="325">
        <f t="shared" si="56"/>
        <v>720</v>
      </c>
      <c r="I95" s="325" t="str">
        <f>VLOOKUP(C95,'Drop Downs Master'!$D$6:$E$9,2,FALSE)</f>
        <v>BC100</v>
      </c>
      <c r="J95" s="321">
        <v>4.4999999999999998E-2</v>
      </c>
      <c r="K95" s="326">
        <v>1140</v>
      </c>
      <c r="L95" s="325">
        <f t="shared" si="44"/>
        <v>1088.7</v>
      </c>
      <c r="N95" s="325">
        <f t="shared" si="57"/>
        <v>95</v>
      </c>
      <c r="O95" s="325">
        <f t="shared" si="58"/>
        <v>90.725000000000009</v>
      </c>
      <c r="P95" s="329">
        <f t="shared" si="59"/>
        <v>0</v>
      </c>
      <c r="Q95" s="321">
        <v>0.90257499999999991</v>
      </c>
      <c r="R95" s="321">
        <v>0.85084999999999988</v>
      </c>
      <c r="S95" s="321">
        <v>7.7374999999999999E-2</v>
      </c>
      <c r="T95" s="321">
        <v>0</v>
      </c>
      <c r="U95" s="321">
        <v>0</v>
      </c>
      <c r="V95" s="321">
        <v>0.92614999999999992</v>
      </c>
      <c r="W95" s="321">
        <v>0</v>
      </c>
      <c r="X95" s="321">
        <v>0</v>
      </c>
      <c r="Y95">
        <f t="shared" si="42"/>
        <v>7</v>
      </c>
    </row>
    <row r="96" spans="1:25" x14ac:dyDescent="0.3">
      <c r="A96" s="320">
        <v>42929</v>
      </c>
      <c r="B96">
        <v>2</v>
      </c>
      <c r="C96" t="s">
        <v>133</v>
      </c>
      <c r="D96" t="s">
        <v>130</v>
      </c>
      <c r="E96" t="s">
        <v>174</v>
      </c>
      <c r="F96">
        <f>11.28*60</f>
        <v>676.8</v>
      </c>
      <c r="G96">
        <f>0.72*60</f>
        <v>43.199999999999996</v>
      </c>
      <c r="H96" s="325">
        <f t="shared" si="56"/>
        <v>720</v>
      </c>
      <c r="I96" s="325" t="str">
        <f>VLOOKUP(C96,'Drop Downs Master'!$D$6:$E$9,2,FALSE)</f>
        <v>BC100</v>
      </c>
      <c r="J96" s="321">
        <v>4.2999999999999997E-2</v>
      </c>
      <c r="K96" s="326">
        <v>1138</v>
      </c>
      <c r="L96" s="325">
        <f t="shared" si="44"/>
        <v>1089.066</v>
      </c>
      <c r="N96" s="325">
        <f t="shared" si="57"/>
        <v>100.88652482269504</v>
      </c>
      <c r="O96" s="325">
        <f t="shared" si="58"/>
        <v>90.755499999999998</v>
      </c>
      <c r="P96" s="329">
        <f t="shared" si="59"/>
        <v>5.9999999999999991E-2</v>
      </c>
      <c r="Q96" s="321">
        <v>0.88119999999999987</v>
      </c>
      <c r="R96" s="321">
        <v>0.79856666666666654</v>
      </c>
      <c r="S96" s="321">
        <v>0.11866666666666666</v>
      </c>
      <c r="T96" s="321">
        <v>0</v>
      </c>
      <c r="U96" s="321">
        <v>0</v>
      </c>
      <c r="V96" s="321">
        <v>0.91120000000000001</v>
      </c>
      <c r="W96" s="321">
        <v>0</v>
      </c>
      <c r="X96" s="321">
        <v>0</v>
      </c>
      <c r="Y96">
        <f t="shared" si="42"/>
        <v>7</v>
      </c>
    </row>
    <row r="97" spans="1:25" x14ac:dyDescent="0.3">
      <c r="A97" s="320">
        <v>42930</v>
      </c>
      <c r="B97">
        <v>1</v>
      </c>
      <c r="C97" t="s">
        <v>133</v>
      </c>
      <c r="D97" t="s">
        <v>130</v>
      </c>
      <c r="E97" t="s">
        <v>159</v>
      </c>
      <c r="F97">
        <f>6.5*60</f>
        <v>390</v>
      </c>
      <c r="G97">
        <f>5.5*60</f>
        <v>330</v>
      </c>
      <c r="H97" s="325">
        <f t="shared" ref="H97:H103" si="60">G97+F97</f>
        <v>720</v>
      </c>
      <c r="I97" s="325" t="str">
        <f>VLOOKUP(C97,'Drop Downs Master'!$D$6:$E$9,2,FALSE)</f>
        <v>BC100</v>
      </c>
      <c r="J97" s="321">
        <v>4.2000000000000003E-2</v>
      </c>
      <c r="K97" s="326">
        <v>650</v>
      </c>
      <c r="L97" s="325">
        <f t="shared" si="44"/>
        <v>622.69999999999993</v>
      </c>
      <c r="N97" s="325">
        <f t="shared" ref="N97:N102" si="61">K97/(F97/60)</f>
        <v>100</v>
      </c>
      <c r="O97" s="325">
        <f t="shared" ref="O97:O102" si="62">L97/(H97/60)</f>
        <v>51.891666666666659</v>
      </c>
      <c r="P97" s="329">
        <f t="shared" ref="P97:P103" si="63">(G97/H97)</f>
        <v>0.45833333333333331</v>
      </c>
      <c r="Q97" s="321">
        <v>0.91270000000000007</v>
      </c>
      <c r="R97" s="321">
        <v>0.85614999999999997</v>
      </c>
      <c r="S97" s="321">
        <v>7.0249999999999993E-2</v>
      </c>
      <c r="T97" s="321">
        <v>0</v>
      </c>
      <c r="U97" s="321">
        <v>0</v>
      </c>
      <c r="V97" s="321">
        <v>0.93855</v>
      </c>
      <c r="W97" s="321">
        <v>0</v>
      </c>
      <c r="X97" s="321">
        <v>0</v>
      </c>
      <c r="Y97">
        <f t="shared" si="42"/>
        <v>7</v>
      </c>
    </row>
    <row r="98" spans="1:25" x14ac:dyDescent="0.3">
      <c r="A98" s="320">
        <v>42930</v>
      </c>
      <c r="B98">
        <v>2</v>
      </c>
      <c r="C98" t="s">
        <v>133</v>
      </c>
      <c r="D98" t="s">
        <v>130</v>
      </c>
      <c r="E98" t="s">
        <v>174</v>
      </c>
      <c r="F98">
        <v>720</v>
      </c>
      <c r="G98">
        <v>0</v>
      </c>
      <c r="H98" s="325">
        <f t="shared" si="60"/>
        <v>720</v>
      </c>
      <c r="I98" s="325" t="str">
        <f>VLOOKUP(C98,'Drop Downs Master'!$D$6:$E$9,2,FALSE)</f>
        <v>BC100</v>
      </c>
      <c r="J98" s="321">
        <v>4.2000000000000003E-2</v>
      </c>
      <c r="K98" s="326">
        <v>1255</v>
      </c>
      <c r="L98" s="325">
        <f t="shared" si="44"/>
        <v>1202.29</v>
      </c>
      <c r="N98" s="325">
        <f t="shared" si="61"/>
        <v>104.58333333333333</v>
      </c>
      <c r="O98" s="325">
        <f t="shared" si="62"/>
        <v>100.19083333333333</v>
      </c>
      <c r="P98" s="329">
        <f t="shared" si="63"/>
        <v>0</v>
      </c>
      <c r="Q98" s="321">
        <v>0.93064999999999998</v>
      </c>
      <c r="R98" s="321">
        <v>0.74879999999999991</v>
      </c>
      <c r="S98" s="321">
        <v>5.5725000000000011E-2</v>
      </c>
      <c r="T98" s="321">
        <v>0</v>
      </c>
      <c r="U98" s="321">
        <v>0</v>
      </c>
      <c r="V98" s="321">
        <v>0.91075000000000006</v>
      </c>
      <c r="W98" s="321">
        <v>0</v>
      </c>
      <c r="X98" s="321">
        <v>0</v>
      </c>
      <c r="Y98">
        <f t="shared" si="42"/>
        <v>7</v>
      </c>
    </row>
    <row r="99" spans="1:25" x14ac:dyDescent="0.3">
      <c r="A99" s="320">
        <v>42931</v>
      </c>
      <c r="B99">
        <v>1</v>
      </c>
      <c r="C99" t="s">
        <v>133</v>
      </c>
      <c r="D99" t="s">
        <v>130</v>
      </c>
      <c r="E99" t="s">
        <v>159</v>
      </c>
      <c r="F99">
        <f>11.9*60</f>
        <v>714</v>
      </c>
      <c r="G99">
        <v>6</v>
      </c>
      <c r="H99" s="325">
        <f t="shared" si="60"/>
        <v>720</v>
      </c>
      <c r="I99" s="325" t="str">
        <f>VLOOKUP(C99,'Drop Downs Master'!$D$6:$E$9,2,FALSE)</f>
        <v>BC100</v>
      </c>
      <c r="J99" s="321">
        <v>4.3999999999999997E-2</v>
      </c>
      <c r="K99" s="326">
        <v>1116</v>
      </c>
      <c r="L99" s="325">
        <f t="shared" si="44"/>
        <v>1066.896</v>
      </c>
      <c r="N99" s="325">
        <f t="shared" si="61"/>
        <v>93.78151260504201</v>
      </c>
      <c r="O99" s="325">
        <f t="shared" si="62"/>
        <v>88.908000000000001</v>
      </c>
      <c r="P99" s="329">
        <f t="shared" si="63"/>
        <v>8.3333333333333332E-3</v>
      </c>
      <c r="Q99" s="321">
        <v>0.75229999999999997</v>
      </c>
      <c r="R99" s="321">
        <v>0.71014999999999995</v>
      </c>
      <c r="S99" s="321">
        <v>0.139325</v>
      </c>
      <c r="T99" s="321">
        <v>0</v>
      </c>
      <c r="U99" s="321">
        <v>0</v>
      </c>
      <c r="V99" s="321">
        <v>0.91684999999999994</v>
      </c>
      <c r="W99" s="321">
        <v>0</v>
      </c>
      <c r="X99" s="321">
        <v>0</v>
      </c>
      <c r="Y99">
        <f t="shared" si="42"/>
        <v>7</v>
      </c>
    </row>
    <row r="100" spans="1:25" x14ac:dyDescent="0.3">
      <c r="A100" s="320">
        <v>42931</v>
      </c>
      <c r="B100">
        <v>2</v>
      </c>
      <c r="C100" t="s">
        <v>133</v>
      </c>
      <c r="D100" t="s">
        <v>130</v>
      </c>
      <c r="E100" t="s">
        <v>150</v>
      </c>
      <c r="F100">
        <v>720</v>
      </c>
      <c r="G100">
        <v>0</v>
      </c>
      <c r="H100" s="325">
        <f t="shared" ref="H100" si="64">G100+F100</f>
        <v>720</v>
      </c>
      <c r="I100" s="325" t="str">
        <f>VLOOKUP(C100,'Drop Downs Master'!$D$6:$E$9,2,FALSE)</f>
        <v>BC100</v>
      </c>
      <c r="J100" s="321">
        <v>4.8000000000000001E-2</v>
      </c>
      <c r="K100" s="326">
        <v>1092</v>
      </c>
      <c r="L100" s="325">
        <f t="shared" ref="L100" si="65">K100*(1-J100)</f>
        <v>1039.5840000000001</v>
      </c>
      <c r="N100" s="325">
        <f t="shared" ref="N100" si="66">K100/(F100/60)</f>
        <v>91</v>
      </c>
      <c r="O100" s="325">
        <f t="shared" ref="O100" si="67">L100/(H100/60)</f>
        <v>86.632000000000005</v>
      </c>
      <c r="P100" s="329">
        <f t="shared" ref="P100" si="68">(G100/H100)</f>
        <v>0</v>
      </c>
      <c r="Q100" s="321">
        <v>0.9321666666666667</v>
      </c>
      <c r="R100" s="321">
        <v>0.84909999999999997</v>
      </c>
      <c r="S100" s="321">
        <v>5.7833333333333327E-2</v>
      </c>
      <c r="T100" s="321">
        <v>0</v>
      </c>
      <c r="U100" s="321">
        <v>0</v>
      </c>
      <c r="V100" s="321">
        <v>0.91695000000000004</v>
      </c>
      <c r="W100" s="321">
        <v>0</v>
      </c>
      <c r="X100" s="321">
        <v>0</v>
      </c>
      <c r="Y100">
        <f t="shared" si="42"/>
        <v>7</v>
      </c>
    </row>
    <row r="101" spans="1:25" x14ac:dyDescent="0.3">
      <c r="A101" s="320">
        <v>42932</v>
      </c>
      <c r="B101">
        <v>1</v>
      </c>
      <c r="C101" t="s">
        <v>133</v>
      </c>
      <c r="D101" t="s">
        <v>130</v>
      </c>
      <c r="E101" t="s">
        <v>152</v>
      </c>
      <c r="F101">
        <v>720</v>
      </c>
      <c r="G101">
        <v>0</v>
      </c>
      <c r="H101" s="325">
        <f t="shared" si="60"/>
        <v>720</v>
      </c>
      <c r="I101" s="325" t="str">
        <f>VLOOKUP(C101,'Drop Downs Master'!$D$6:$E$9,2,FALSE)</f>
        <v>BC100</v>
      </c>
      <c r="J101" s="321">
        <v>3.9E-2</v>
      </c>
      <c r="K101" s="326">
        <v>930</v>
      </c>
      <c r="L101" s="325">
        <f t="shared" si="44"/>
        <v>893.73</v>
      </c>
      <c r="N101" s="325">
        <f t="shared" si="61"/>
        <v>77.5</v>
      </c>
      <c r="O101" s="325">
        <f t="shared" si="62"/>
        <v>74.477500000000006</v>
      </c>
      <c r="P101" s="329">
        <f t="shared" si="63"/>
        <v>0</v>
      </c>
      <c r="Q101" s="321">
        <v>0.87844999999999995</v>
      </c>
      <c r="R101" s="321">
        <v>0.81727499999999997</v>
      </c>
      <c r="S101" s="321">
        <v>9.7425000000000012E-2</v>
      </c>
      <c r="T101" s="321">
        <v>0</v>
      </c>
      <c r="U101" s="321">
        <v>0</v>
      </c>
      <c r="V101" s="321">
        <v>0.89712500000000006</v>
      </c>
      <c r="W101" s="321">
        <v>0</v>
      </c>
      <c r="X101" s="321">
        <v>0</v>
      </c>
      <c r="Y101">
        <f t="shared" si="42"/>
        <v>7</v>
      </c>
    </row>
    <row r="102" spans="1:25" x14ac:dyDescent="0.3">
      <c r="A102" s="320">
        <v>42932</v>
      </c>
      <c r="B102">
        <v>2</v>
      </c>
      <c r="C102" t="s">
        <v>133</v>
      </c>
      <c r="D102" t="s">
        <v>130</v>
      </c>
      <c r="E102" t="s">
        <v>158</v>
      </c>
      <c r="F102" s="332">
        <v>720</v>
      </c>
      <c r="G102" s="332"/>
      <c r="H102" s="325">
        <f t="shared" si="60"/>
        <v>720</v>
      </c>
      <c r="I102" s="325" t="str">
        <f>VLOOKUP(C102,'Drop Downs Master'!$D$6:$E$9,2,FALSE)</f>
        <v>BC100</v>
      </c>
      <c r="J102" s="321">
        <v>3.9E-2</v>
      </c>
      <c r="K102" s="326">
        <v>853</v>
      </c>
      <c r="L102" s="325">
        <f t="shared" si="44"/>
        <v>819.73299999999995</v>
      </c>
      <c r="N102" s="325">
        <f t="shared" si="61"/>
        <v>71.083333333333329</v>
      </c>
      <c r="O102" s="325">
        <f t="shared" si="62"/>
        <v>68.311083333333329</v>
      </c>
      <c r="P102" s="329">
        <f t="shared" si="63"/>
        <v>0</v>
      </c>
      <c r="Q102" s="321">
        <v>0.9094000000000001</v>
      </c>
      <c r="R102" s="321">
        <v>0.78223333333333323</v>
      </c>
      <c r="S102" s="321">
        <v>8.7033333333333338E-2</v>
      </c>
      <c r="T102" s="321">
        <v>0</v>
      </c>
      <c r="U102" s="321">
        <v>0</v>
      </c>
      <c r="V102" s="321">
        <v>0.92300000000000004</v>
      </c>
      <c r="W102" s="321">
        <v>0</v>
      </c>
      <c r="X102" s="321">
        <v>0</v>
      </c>
      <c r="Y102">
        <f t="shared" si="42"/>
        <v>7</v>
      </c>
    </row>
    <row r="103" spans="1:25" x14ac:dyDescent="0.3">
      <c r="A103" s="320">
        <v>42933</v>
      </c>
      <c r="B103">
        <v>1</v>
      </c>
      <c r="C103" t="s">
        <v>133</v>
      </c>
      <c r="D103" t="s">
        <v>130</v>
      </c>
      <c r="E103" t="s">
        <v>175</v>
      </c>
      <c r="F103">
        <v>720</v>
      </c>
      <c r="G103">
        <v>0</v>
      </c>
      <c r="H103" s="325">
        <f t="shared" si="60"/>
        <v>720</v>
      </c>
      <c r="I103" s="325" t="str">
        <f>VLOOKUP(C103,'Drop Downs Master'!$D$6:$E$9,2,FALSE)</f>
        <v>BC100</v>
      </c>
      <c r="J103" s="321">
        <v>3.5999999999999997E-2</v>
      </c>
      <c r="K103">
        <v>975</v>
      </c>
      <c r="L103" s="325">
        <f t="shared" ref="L103:L126" si="69">K103*(1-J103)</f>
        <v>939.9</v>
      </c>
      <c r="N103" s="325">
        <f t="shared" ref="N103" si="70">K103/(F103/60)</f>
        <v>81.25</v>
      </c>
      <c r="O103" s="325">
        <f t="shared" ref="O103" si="71">L103/(H103/60)</f>
        <v>78.325000000000003</v>
      </c>
      <c r="P103" s="329">
        <f t="shared" si="63"/>
        <v>0</v>
      </c>
      <c r="Q103" s="340">
        <v>0.92327499999999996</v>
      </c>
      <c r="R103" s="340">
        <v>0.83625000000000005</v>
      </c>
      <c r="S103" s="340">
        <v>6.3099999999999989E-2</v>
      </c>
      <c r="T103" s="340">
        <v>0</v>
      </c>
      <c r="U103" s="340">
        <v>0</v>
      </c>
      <c r="V103" s="340">
        <v>0.92549999999999999</v>
      </c>
      <c r="W103" s="340">
        <v>0</v>
      </c>
      <c r="X103" s="340">
        <v>0</v>
      </c>
      <c r="Y103">
        <f t="shared" si="42"/>
        <v>7</v>
      </c>
    </row>
    <row r="104" spans="1:25" x14ac:dyDescent="0.3">
      <c r="A104" s="320">
        <v>42933</v>
      </c>
      <c r="B104">
        <v>2</v>
      </c>
      <c r="C104" t="s">
        <v>133</v>
      </c>
      <c r="D104" t="s">
        <v>130</v>
      </c>
      <c r="E104" t="s">
        <v>158</v>
      </c>
      <c r="F104">
        <f>10.57*60</f>
        <v>634.20000000000005</v>
      </c>
      <c r="G104">
        <f>1.43*60</f>
        <v>85.8</v>
      </c>
      <c r="H104" s="325">
        <f t="shared" ref="H104:H105" si="72">G104+F104</f>
        <v>720</v>
      </c>
      <c r="I104" s="325" t="str">
        <f>VLOOKUP(C104,'Drop Downs Master'!$D$6:$E$9,2,FALSE)</f>
        <v>BC100</v>
      </c>
      <c r="J104" s="321">
        <v>3.5000000000000003E-2</v>
      </c>
      <c r="K104" s="326">
        <v>952</v>
      </c>
      <c r="L104" s="325">
        <f t="shared" si="69"/>
        <v>918.68</v>
      </c>
      <c r="N104" s="325">
        <f t="shared" ref="N104:N106" si="73">K104/(F104/60)</f>
        <v>90.066225165562912</v>
      </c>
      <c r="O104" s="325">
        <f t="shared" ref="O104:O106" si="74">L104/(H104/60)</f>
        <v>76.556666666666658</v>
      </c>
      <c r="P104" s="329">
        <f t="shared" ref="P104:P106" si="75">(G104/H104)</f>
        <v>0.11916666666666666</v>
      </c>
      <c r="Q104" s="340">
        <v>0.93257500000000004</v>
      </c>
      <c r="R104" s="340">
        <v>0.81822499999999998</v>
      </c>
      <c r="S104" s="340">
        <v>6.7250000000000004E-2</v>
      </c>
      <c r="T104" s="340">
        <v>0</v>
      </c>
      <c r="U104" s="340">
        <v>0</v>
      </c>
      <c r="V104" s="340">
        <v>0.9275500000000001</v>
      </c>
      <c r="W104" s="340">
        <v>0</v>
      </c>
      <c r="X104" s="340">
        <v>0</v>
      </c>
      <c r="Y104">
        <f t="shared" si="42"/>
        <v>7</v>
      </c>
    </row>
    <row r="105" spans="1:25" x14ac:dyDescent="0.3">
      <c r="A105" s="320">
        <v>42934</v>
      </c>
      <c r="B105">
        <v>1</v>
      </c>
      <c r="C105" t="s">
        <v>133</v>
      </c>
      <c r="D105" t="s">
        <v>130</v>
      </c>
      <c r="E105" t="s">
        <v>159</v>
      </c>
      <c r="F105">
        <f>9.75*60</f>
        <v>585</v>
      </c>
      <c r="G105">
        <f>2.25*60</f>
        <v>135</v>
      </c>
      <c r="H105" s="325">
        <f t="shared" si="72"/>
        <v>720</v>
      </c>
      <c r="I105" s="325" t="str">
        <f>VLOOKUP(C105,'Drop Downs Master'!$D$6:$E$9,2,FALSE)</f>
        <v>BC100</v>
      </c>
      <c r="J105" s="321">
        <v>3.5000000000000003E-2</v>
      </c>
      <c r="K105" s="326">
        <v>980</v>
      </c>
      <c r="L105" s="325">
        <f t="shared" si="69"/>
        <v>945.69999999999993</v>
      </c>
      <c r="N105" s="325">
        <f t="shared" si="73"/>
        <v>100.51282051282051</v>
      </c>
      <c r="O105" s="325">
        <f t="shared" si="74"/>
        <v>78.808333333333323</v>
      </c>
      <c r="P105" s="329">
        <f t="shared" si="75"/>
        <v>0.1875</v>
      </c>
      <c r="Q105" s="340">
        <v>0.93982500000000002</v>
      </c>
      <c r="R105" s="340">
        <v>0.84699999999999998</v>
      </c>
      <c r="S105" s="340">
        <v>5.3775000000000003E-2</v>
      </c>
      <c r="T105" s="340">
        <v>0</v>
      </c>
      <c r="U105" s="340">
        <v>0</v>
      </c>
      <c r="V105" s="340">
        <v>0.93447499999999994</v>
      </c>
      <c r="W105" s="340">
        <v>0</v>
      </c>
      <c r="X105" s="340">
        <v>0</v>
      </c>
      <c r="Y105">
        <f t="shared" si="42"/>
        <v>7</v>
      </c>
    </row>
    <row r="106" spans="1:25" x14ac:dyDescent="0.3">
      <c r="A106" s="320">
        <v>42934</v>
      </c>
      <c r="B106">
        <v>2</v>
      </c>
      <c r="C106" t="s">
        <v>133</v>
      </c>
      <c r="D106" t="s">
        <v>130</v>
      </c>
      <c r="E106" t="s">
        <v>158</v>
      </c>
      <c r="F106">
        <f>11.5*60</f>
        <v>690</v>
      </c>
      <c r="G106">
        <f>0.5*60</f>
        <v>30</v>
      </c>
      <c r="H106" s="325">
        <f t="shared" ref="H106" si="76">G106+F106</f>
        <v>720</v>
      </c>
      <c r="I106" s="325" t="str">
        <f>VLOOKUP(C106,'Drop Downs Master'!$D$6:$E$9,2,FALSE)</f>
        <v>BC100</v>
      </c>
      <c r="J106" s="321">
        <v>3.5999999999999997E-2</v>
      </c>
      <c r="K106" s="326">
        <v>1253</v>
      </c>
      <c r="L106" s="325">
        <f t="shared" si="69"/>
        <v>1207.8920000000001</v>
      </c>
      <c r="N106" s="325">
        <f t="shared" si="73"/>
        <v>108.95652173913044</v>
      </c>
      <c r="O106" s="325">
        <f t="shared" si="74"/>
        <v>100.65766666666667</v>
      </c>
      <c r="P106" s="329">
        <f t="shared" si="75"/>
        <v>4.1666666666666664E-2</v>
      </c>
      <c r="Q106" s="340">
        <v>0.9235000000000001</v>
      </c>
      <c r="R106" s="340">
        <v>0.81100000000000005</v>
      </c>
      <c r="S106" s="340">
        <v>7.6499999999999999E-2</v>
      </c>
      <c r="T106" s="340">
        <v>0</v>
      </c>
      <c r="U106" s="340">
        <v>0</v>
      </c>
      <c r="V106" s="340">
        <v>0.90525</v>
      </c>
      <c r="W106" s="340">
        <v>0</v>
      </c>
      <c r="X106" s="340">
        <v>0</v>
      </c>
      <c r="Y106">
        <f t="shared" si="42"/>
        <v>7</v>
      </c>
    </row>
    <row r="107" spans="1:25" x14ac:dyDescent="0.3">
      <c r="A107" s="320">
        <v>42935</v>
      </c>
      <c r="B107">
        <v>1</v>
      </c>
      <c r="C107" t="s">
        <v>133</v>
      </c>
      <c r="D107" t="s">
        <v>130</v>
      </c>
      <c r="E107" t="s">
        <v>175</v>
      </c>
      <c r="F107">
        <v>600</v>
      </c>
      <c r="G107">
        <v>120</v>
      </c>
      <c r="H107" s="325">
        <f t="shared" ref="H107:H115" si="77">G107+F107</f>
        <v>720</v>
      </c>
      <c r="I107" s="325" t="str">
        <f>VLOOKUP(C107,'Drop Downs Master'!$D$6:$E$9,2,FALSE)</f>
        <v>BC100</v>
      </c>
      <c r="J107" s="321">
        <v>3.5000000000000003E-2</v>
      </c>
      <c r="K107" s="326">
        <v>1010</v>
      </c>
      <c r="L107" s="325">
        <f t="shared" si="69"/>
        <v>974.65</v>
      </c>
      <c r="N107" s="325">
        <f t="shared" ref="N107:N115" si="78">K107/(F107/60)</f>
        <v>101</v>
      </c>
      <c r="O107" s="325">
        <f t="shared" ref="O107:O115" si="79">L107/(H107/60)</f>
        <v>81.220833333333331</v>
      </c>
      <c r="P107" s="329">
        <f t="shared" ref="P107:P115" si="80">(G107/H107)</f>
        <v>0.16666666666666666</v>
      </c>
      <c r="Q107" s="340">
        <v>0.89336666666666664</v>
      </c>
      <c r="R107" s="340">
        <v>0.83956666666666668</v>
      </c>
      <c r="S107" s="340">
        <v>8.4900000000000017E-2</v>
      </c>
      <c r="T107" s="340">
        <v>0</v>
      </c>
      <c r="U107" s="340">
        <v>0</v>
      </c>
      <c r="V107" s="340">
        <v>0.9083</v>
      </c>
      <c r="W107" s="340">
        <v>0</v>
      </c>
      <c r="X107" s="340">
        <v>0</v>
      </c>
      <c r="Y107">
        <f t="shared" si="42"/>
        <v>7</v>
      </c>
    </row>
    <row r="108" spans="1:25" x14ac:dyDescent="0.3">
      <c r="A108" s="320">
        <v>42935</v>
      </c>
      <c r="B108">
        <v>2</v>
      </c>
      <c r="C108" t="s">
        <v>133</v>
      </c>
      <c r="D108" t="s">
        <v>130</v>
      </c>
      <c r="E108" t="s">
        <v>158</v>
      </c>
      <c r="F108">
        <f>11.41*60</f>
        <v>684.6</v>
      </c>
      <c r="G108">
        <f>0.59*60</f>
        <v>35.4</v>
      </c>
      <c r="H108" s="325">
        <f t="shared" si="77"/>
        <v>720</v>
      </c>
      <c r="I108" s="325" t="str">
        <f>VLOOKUP(C108,'Drop Downs Master'!$D$6:$E$9,2,FALSE)</f>
        <v>BC100</v>
      </c>
      <c r="J108" s="321">
        <v>3.5000000000000003E-2</v>
      </c>
      <c r="K108" s="326">
        <v>1190</v>
      </c>
      <c r="L108" s="325">
        <f t="shared" si="69"/>
        <v>1148.3499999999999</v>
      </c>
      <c r="N108" s="325">
        <f t="shared" si="78"/>
        <v>104.29447852760737</v>
      </c>
      <c r="O108" s="325">
        <f t="shared" si="79"/>
        <v>95.695833333333326</v>
      </c>
      <c r="P108" s="329">
        <f t="shared" si="80"/>
        <v>4.9166666666666664E-2</v>
      </c>
      <c r="Q108" s="340">
        <v>0.92415000000000003</v>
      </c>
      <c r="R108" s="340">
        <v>0.83365</v>
      </c>
      <c r="S108" s="340">
        <v>7.5750000000000012E-2</v>
      </c>
      <c r="T108" s="340">
        <v>0</v>
      </c>
      <c r="U108" s="340">
        <v>0</v>
      </c>
      <c r="V108" s="340">
        <v>0.90834999999999999</v>
      </c>
      <c r="W108" s="340">
        <v>0</v>
      </c>
      <c r="X108" s="340">
        <v>0</v>
      </c>
      <c r="Y108">
        <f t="shared" si="42"/>
        <v>7</v>
      </c>
    </row>
    <row r="109" spans="1:25" x14ac:dyDescent="0.3">
      <c r="A109" s="320">
        <v>42936</v>
      </c>
      <c r="B109">
        <v>1</v>
      </c>
      <c r="C109" t="s">
        <v>133</v>
      </c>
      <c r="D109" t="s">
        <v>130</v>
      </c>
      <c r="E109" t="s">
        <v>153</v>
      </c>
      <c r="F109">
        <v>720</v>
      </c>
      <c r="G109">
        <v>0</v>
      </c>
      <c r="H109" s="325">
        <f t="shared" si="77"/>
        <v>720</v>
      </c>
      <c r="I109" s="325" t="str">
        <f>VLOOKUP(C109,'Drop Downs Master'!$D$6:$E$9,2,FALSE)</f>
        <v>BC100</v>
      </c>
      <c r="J109" s="321">
        <v>4.6300000000000001E-2</v>
      </c>
      <c r="K109" s="326">
        <v>1253</v>
      </c>
      <c r="L109" s="325">
        <f t="shared" si="69"/>
        <v>1194.9861000000001</v>
      </c>
      <c r="N109" s="325">
        <f t="shared" si="78"/>
        <v>104.41666666666667</v>
      </c>
      <c r="O109" s="325">
        <f t="shared" si="79"/>
        <v>99.582175000000007</v>
      </c>
      <c r="P109" s="329">
        <f t="shared" si="80"/>
        <v>0</v>
      </c>
      <c r="Q109" s="340">
        <v>0.89700000000000002</v>
      </c>
      <c r="R109" s="340">
        <v>0.84724999999999984</v>
      </c>
      <c r="S109" s="340">
        <v>0.10574999999999998</v>
      </c>
      <c r="T109" s="340">
        <v>0</v>
      </c>
      <c r="U109" s="340">
        <v>0</v>
      </c>
      <c r="V109" s="340">
        <v>0.92025000000000001</v>
      </c>
      <c r="W109" s="340">
        <v>0</v>
      </c>
      <c r="X109" s="340">
        <v>0</v>
      </c>
      <c r="Y109">
        <f t="shared" si="42"/>
        <v>7</v>
      </c>
    </row>
    <row r="110" spans="1:25" x14ac:dyDescent="0.3">
      <c r="A110" s="320">
        <v>42936</v>
      </c>
      <c r="B110">
        <v>2</v>
      </c>
      <c r="C110" t="s">
        <v>133</v>
      </c>
      <c r="D110" t="s">
        <v>130</v>
      </c>
      <c r="E110" t="s">
        <v>151</v>
      </c>
      <c r="F110">
        <f>11.5*60</f>
        <v>690</v>
      </c>
      <c r="G110">
        <f>0.5*60</f>
        <v>30</v>
      </c>
      <c r="H110" s="325">
        <f t="shared" si="77"/>
        <v>720</v>
      </c>
      <c r="I110" s="325" t="str">
        <f>VLOOKUP(C110,'Drop Downs Master'!$D$6:$E$9,2,FALSE)</f>
        <v>BC100</v>
      </c>
      <c r="J110" s="321">
        <v>5.1999999999999998E-2</v>
      </c>
      <c r="K110" s="326">
        <v>1253</v>
      </c>
      <c r="L110" s="325">
        <f t="shared" si="69"/>
        <v>1187.8440000000001</v>
      </c>
      <c r="N110" s="325">
        <f t="shared" si="78"/>
        <v>108.95652173913044</v>
      </c>
      <c r="O110" s="325">
        <f t="shared" si="79"/>
        <v>98.987000000000009</v>
      </c>
      <c r="P110" s="329">
        <f t="shared" si="80"/>
        <v>4.1666666666666664E-2</v>
      </c>
      <c r="Q110" s="340">
        <v>0.92066666666666663</v>
      </c>
      <c r="R110" s="340">
        <v>0.84199999999999997</v>
      </c>
      <c r="S110" s="340">
        <v>7.9333333333333325E-2</v>
      </c>
      <c r="T110" s="340">
        <v>0</v>
      </c>
      <c r="U110" s="340">
        <v>0</v>
      </c>
      <c r="V110" s="340">
        <v>0.92333333333333334</v>
      </c>
      <c r="W110" s="340">
        <v>0</v>
      </c>
      <c r="X110" s="340">
        <v>0</v>
      </c>
      <c r="Y110">
        <f t="shared" si="42"/>
        <v>7</v>
      </c>
    </row>
    <row r="111" spans="1:25" x14ac:dyDescent="0.3">
      <c r="A111" s="320">
        <v>42937</v>
      </c>
      <c r="B111">
        <v>1</v>
      </c>
      <c r="C111" t="s">
        <v>133</v>
      </c>
      <c r="D111" t="s">
        <v>130</v>
      </c>
      <c r="E111" t="s">
        <v>153</v>
      </c>
      <c r="F111">
        <f>12*60</f>
        <v>720</v>
      </c>
      <c r="G111">
        <v>0</v>
      </c>
      <c r="H111" s="325">
        <f t="shared" si="77"/>
        <v>720</v>
      </c>
      <c r="I111" s="325" t="str">
        <f>VLOOKUP(C111,'Drop Downs Master'!$D$6:$E$9,2,FALSE)</f>
        <v>BC100</v>
      </c>
      <c r="J111" s="321">
        <v>4.3999999999999997E-2</v>
      </c>
      <c r="K111" s="326">
        <v>1220</v>
      </c>
      <c r="L111" s="325">
        <f t="shared" si="69"/>
        <v>1166.32</v>
      </c>
      <c r="N111" s="325">
        <f t="shared" si="78"/>
        <v>101.66666666666667</v>
      </c>
      <c r="O111" s="325">
        <f t="shared" si="79"/>
        <v>97.193333333333328</v>
      </c>
      <c r="P111" s="329">
        <f t="shared" si="80"/>
        <v>0</v>
      </c>
      <c r="Q111" s="340">
        <v>0.89933333333333332</v>
      </c>
      <c r="R111" s="340">
        <v>0.85433333333333328</v>
      </c>
      <c r="S111" s="340">
        <v>0.10066666666666668</v>
      </c>
      <c r="T111" s="340">
        <v>0</v>
      </c>
      <c r="U111" s="340">
        <v>0</v>
      </c>
      <c r="V111" s="340">
        <v>0.91733333333333322</v>
      </c>
      <c r="W111" s="340">
        <v>0</v>
      </c>
      <c r="X111" s="340">
        <v>0</v>
      </c>
      <c r="Y111">
        <f t="shared" si="42"/>
        <v>7</v>
      </c>
    </row>
    <row r="112" spans="1:25" x14ac:dyDescent="0.3">
      <c r="A112" s="320">
        <v>42937</v>
      </c>
      <c r="B112">
        <v>2</v>
      </c>
      <c r="C112" t="s">
        <v>133</v>
      </c>
      <c r="D112" t="s">
        <v>130</v>
      </c>
      <c r="E112" t="s">
        <v>151</v>
      </c>
      <c r="F112">
        <v>720</v>
      </c>
      <c r="G112">
        <v>0</v>
      </c>
      <c r="H112" s="325">
        <f t="shared" si="77"/>
        <v>720</v>
      </c>
      <c r="I112" s="325" t="str">
        <f>VLOOKUP(C112,'Drop Downs Master'!$D$6:$E$9,2,FALSE)</f>
        <v>BC100</v>
      </c>
      <c r="J112" s="321">
        <v>4.2999999999999997E-2</v>
      </c>
      <c r="K112" s="326">
        <v>1289</v>
      </c>
      <c r="L112" s="325">
        <f t="shared" si="69"/>
        <v>1233.5729999999999</v>
      </c>
      <c r="N112" s="325">
        <f t="shared" si="78"/>
        <v>107.41666666666667</v>
      </c>
      <c r="O112" s="325">
        <f t="shared" si="79"/>
        <v>102.79774999999999</v>
      </c>
      <c r="P112" s="329">
        <f t="shared" si="80"/>
        <v>0</v>
      </c>
      <c r="Q112" s="340">
        <v>0.90700000000000003</v>
      </c>
      <c r="R112" s="340">
        <v>0.83245000000000002</v>
      </c>
      <c r="S112" s="340">
        <v>8.3224999999999993E-2</v>
      </c>
      <c r="T112" s="340">
        <v>0</v>
      </c>
      <c r="U112" s="340">
        <v>0</v>
      </c>
      <c r="V112" s="340">
        <v>0.91342500000000004</v>
      </c>
      <c r="W112" s="340">
        <v>0</v>
      </c>
      <c r="X112" s="340">
        <v>0</v>
      </c>
      <c r="Y112">
        <f t="shared" si="42"/>
        <v>7</v>
      </c>
    </row>
    <row r="113" spans="1:25" x14ac:dyDescent="0.3">
      <c r="A113" s="320">
        <v>42938</v>
      </c>
      <c r="B113">
        <v>1</v>
      </c>
      <c r="C113" t="s">
        <v>133</v>
      </c>
      <c r="D113" t="s">
        <v>130</v>
      </c>
      <c r="E113" t="s">
        <v>153</v>
      </c>
      <c r="F113">
        <f>10.5*60</f>
        <v>630</v>
      </c>
      <c r="G113">
        <f>1.5*60</f>
        <v>90</v>
      </c>
      <c r="H113" s="325">
        <f t="shared" si="77"/>
        <v>720</v>
      </c>
      <c r="I113" s="325" t="str">
        <f>VLOOKUP(C113,'Drop Downs Master'!$D$6:$E$9,2,FALSE)</f>
        <v>BC100</v>
      </c>
      <c r="J113" s="321">
        <v>4.2999999999999997E-2</v>
      </c>
      <c r="K113" s="326">
        <v>967</v>
      </c>
      <c r="L113" s="325">
        <f t="shared" si="69"/>
        <v>925.41899999999998</v>
      </c>
      <c r="N113" s="325">
        <f t="shared" si="78"/>
        <v>92.095238095238102</v>
      </c>
      <c r="O113" s="325">
        <f t="shared" si="79"/>
        <v>77.118250000000003</v>
      </c>
      <c r="P113" s="329">
        <f t="shared" si="80"/>
        <v>0.125</v>
      </c>
      <c r="Q113" s="340">
        <v>0.86499999999999999</v>
      </c>
      <c r="R113" s="340">
        <v>0.83079999999999998</v>
      </c>
      <c r="S113" s="340">
        <v>0.12179999999999999</v>
      </c>
      <c r="T113" s="340">
        <v>0</v>
      </c>
      <c r="U113" s="340">
        <v>0</v>
      </c>
      <c r="V113" s="340">
        <v>0.89540000000000008</v>
      </c>
      <c r="W113" s="340">
        <v>0</v>
      </c>
      <c r="X113" s="340">
        <v>0</v>
      </c>
      <c r="Y113">
        <f t="shared" si="42"/>
        <v>7</v>
      </c>
    </row>
    <row r="114" spans="1:25" x14ac:dyDescent="0.3">
      <c r="A114" s="320">
        <v>42938</v>
      </c>
      <c r="B114">
        <v>2</v>
      </c>
      <c r="C114" t="s">
        <v>133</v>
      </c>
      <c r="D114" t="s">
        <v>130</v>
      </c>
      <c r="E114" t="s">
        <v>151</v>
      </c>
      <c r="F114">
        <v>720</v>
      </c>
      <c r="G114">
        <v>0</v>
      </c>
      <c r="H114" s="325">
        <f t="shared" si="77"/>
        <v>720</v>
      </c>
      <c r="I114" s="325" t="str">
        <f>VLOOKUP(C114,'Drop Downs Master'!$D$6:$E$9,2,FALSE)</f>
        <v>BC100</v>
      </c>
      <c r="J114" s="321">
        <v>3.9E-2</v>
      </c>
      <c r="K114" s="326">
        <v>1200</v>
      </c>
      <c r="L114" s="325">
        <f t="shared" si="69"/>
        <v>1153.2</v>
      </c>
      <c r="N114" s="325">
        <f t="shared" si="78"/>
        <v>100</v>
      </c>
      <c r="O114" s="325">
        <f t="shared" si="79"/>
        <v>96.100000000000009</v>
      </c>
      <c r="P114" s="329">
        <f t="shared" si="80"/>
        <v>0</v>
      </c>
      <c r="Q114" s="340">
        <v>0.92344999999999999</v>
      </c>
      <c r="R114" s="340">
        <v>0.80820000000000003</v>
      </c>
      <c r="S114" s="340">
        <v>7.8275000000000011E-2</v>
      </c>
      <c r="T114" s="340">
        <v>0</v>
      </c>
      <c r="U114" s="340">
        <v>0</v>
      </c>
      <c r="V114" s="340">
        <v>0.92930000000000001</v>
      </c>
      <c r="W114" s="340">
        <v>0</v>
      </c>
      <c r="X114" s="340">
        <v>0</v>
      </c>
      <c r="Y114">
        <f t="shared" si="42"/>
        <v>7</v>
      </c>
    </row>
    <row r="115" spans="1:25" x14ac:dyDescent="0.3">
      <c r="A115" s="320">
        <v>42939</v>
      </c>
      <c r="B115">
        <v>1</v>
      </c>
      <c r="C115" t="s">
        <v>133</v>
      </c>
      <c r="D115" t="s">
        <v>130</v>
      </c>
      <c r="E115" t="s">
        <v>153</v>
      </c>
      <c r="F115">
        <v>720</v>
      </c>
      <c r="G115">
        <v>0</v>
      </c>
      <c r="H115" s="325">
        <f t="shared" si="77"/>
        <v>720</v>
      </c>
      <c r="I115" s="325" t="str">
        <f>VLOOKUP(C115,'Drop Downs Master'!$D$6:$E$9,2,FALSE)</f>
        <v>BC100</v>
      </c>
      <c r="J115" s="321">
        <v>4.9000000000000002E-2</v>
      </c>
      <c r="K115" s="326">
        <v>1237</v>
      </c>
      <c r="L115" s="325">
        <f t="shared" si="69"/>
        <v>1176.3869999999999</v>
      </c>
      <c r="N115" s="325">
        <f t="shared" si="78"/>
        <v>103.08333333333333</v>
      </c>
      <c r="O115" s="325">
        <f t="shared" si="79"/>
        <v>98.032249999999991</v>
      </c>
      <c r="P115" s="329">
        <f t="shared" si="80"/>
        <v>0</v>
      </c>
      <c r="Q115" s="340">
        <v>0.90450000000000008</v>
      </c>
      <c r="R115" s="340">
        <v>0.85399999999999998</v>
      </c>
      <c r="S115" s="340">
        <v>9.2749999999999999E-2</v>
      </c>
      <c r="T115" s="340">
        <v>0</v>
      </c>
      <c r="U115" s="340">
        <v>0</v>
      </c>
      <c r="V115" s="340">
        <v>0.91250000000000009</v>
      </c>
      <c r="W115" s="340">
        <v>0</v>
      </c>
      <c r="X115" s="340">
        <v>0</v>
      </c>
      <c r="Y115">
        <f t="shared" si="42"/>
        <v>7</v>
      </c>
    </row>
    <row r="116" spans="1:25" x14ac:dyDescent="0.3">
      <c r="A116" s="320">
        <v>42939</v>
      </c>
      <c r="B116">
        <v>2</v>
      </c>
      <c r="C116" t="s">
        <v>133</v>
      </c>
      <c r="D116" t="s">
        <v>130</v>
      </c>
      <c r="E116" t="s">
        <v>151</v>
      </c>
      <c r="F116">
        <f>11.75*60</f>
        <v>705</v>
      </c>
      <c r="G116">
        <v>15</v>
      </c>
      <c r="H116" s="325">
        <f t="shared" ref="H116" si="81">G116+F116</f>
        <v>720</v>
      </c>
      <c r="I116" s="325" t="str">
        <f>VLOOKUP(C116,'Drop Downs Master'!$D$6:$E$9,2,FALSE)</f>
        <v>BC100</v>
      </c>
      <c r="J116" s="321">
        <v>4.2000000000000003E-2</v>
      </c>
      <c r="K116" s="326">
        <v>1245</v>
      </c>
      <c r="L116" s="325">
        <f t="shared" si="69"/>
        <v>1192.71</v>
      </c>
      <c r="N116" s="325">
        <f t="shared" ref="N116:N125" si="82">K116/(F116/60)</f>
        <v>105.95744680851064</v>
      </c>
      <c r="O116" s="325">
        <f t="shared" ref="O116:O125" si="83">L116/(H116/60)</f>
        <v>99.392499999999998</v>
      </c>
      <c r="P116" s="329">
        <f t="shared" ref="P116:P125" si="84">(G116/H116)</f>
        <v>2.0833333333333332E-2</v>
      </c>
      <c r="Q116" s="340">
        <v>0.91849999999999998</v>
      </c>
      <c r="R116" s="340">
        <v>0.80275000000000007</v>
      </c>
      <c r="S116" s="340">
        <v>8.2000000000000003E-2</v>
      </c>
      <c r="T116" s="340">
        <v>0</v>
      </c>
      <c r="U116" s="340">
        <v>0</v>
      </c>
      <c r="V116" s="340">
        <v>0.91549999999999998</v>
      </c>
      <c r="W116" s="340">
        <v>0</v>
      </c>
      <c r="X116" s="340">
        <v>0</v>
      </c>
      <c r="Y116">
        <f t="shared" si="42"/>
        <v>7</v>
      </c>
    </row>
    <row r="117" spans="1:25" x14ac:dyDescent="0.3">
      <c r="A117" s="320">
        <v>42940</v>
      </c>
      <c r="B117">
        <v>1</v>
      </c>
      <c r="C117" t="s">
        <v>133</v>
      </c>
      <c r="D117" t="s">
        <v>130</v>
      </c>
      <c r="E117" t="s">
        <v>153</v>
      </c>
      <c r="F117">
        <v>720</v>
      </c>
      <c r="G117">
        <v>0</v>
      </c>
      <c r="H117" s="325">
        <f t="shared" ref="H117:H121" si="85">G117+F117</f>
        <v>720</v>
      </c>
      <c r="I117" s="325" t="str">
        <f>VLOOKUP(C117,'Drop Downs Master'!$D$6:$E$9,2,FALSE)</f>
        <v>BC100</v>
      </c>
      <c r="J117" s="321">
        <v>4.1000000000000002E-2</v>
      </c>
      <c r="K117" s="326">
        <v>1275</v>
      </c>
      <c r="L117" s="325">
        <f t="shared" si="69"/>
        <v>1222.7249999999999</v>
      </c>
      <c r="N117" s="325">
        <f t="shared" si="82"/>
        <v>106.25</v>
      </c>
      <c r="O117" s="325">
        <f t="shared" si="83"/>
        <v>101.89375</v>
      </c>
      <c r="P117" s="329">
        <f t="shared" si="84"/>
        <v>0</v>
      </c>
      <c r="Q117" s="340">
        <v>0.90933333333333344</v>
      </c>
      <c r="R117" s="340">
        <v>0.86033333333333328</v>
      </c>
      <c r="S117" s="340">
        <v>9.1333333333333322E-2</v>
      </c>
      <c r="T117" s="340">
        <v>0</v>
      </c>
      <c r="U117" s="340">
        <v>0</v>
      </c>
      <c r="V117" s="340">
        <v>0.91833333333333345</v>
      </c>
      <c r="W117" s="340">
        <v>0</v>
      </c>
      <c r="X117" s="340">
        <v>0</v>
      </c>
      <c r="Y117">
        <f t="shared" si="42"/>
        <v>7</v>
      </c>
    </row>
    <row r="118" spans="1:25" x14ac:dyDescent="0.3">
      <c r="A118" s="320">
        <v>42940</v>
      </c>
      <c r="B118">
        <v>2</v>
      </c>
      <c r="C118" t="s">
        <v>133</v>
      </c>
      <c r="D118" t="s">
        <v>130</v>
      </c>
      <c r="E118" t="s">
        <v>151</v>
      </c>
      <c r="F118">
        <v>720</v>
      </c>
      <c r="G118">
        <v>0</v>
      </c>
      <c r="H118" s="325">
        <f t="shared" ref="H118" si="86">G118+F118</f>
        <v>720</v>
      </c>
      <c r="I118" s="325" t="str">
        <f>VLOOKUP(C118,'Drop Downs Master'!$D$6:$E$9,2,FALSE)</f>
        <v>BC100</v>
      </c>
      <c r="J118" s="321">
        <v>3.7999999999999999E-2</v>
      </c>
      <c r="K118" s="326">
        <v>1291</v>
      </c>
      <c r="L118" s="325">
        <f t="shared" si="69"/>
        <v>1241.942</v>
      </c>
      <c r="N118" s="325">
        <f t="shared" si="82"/>
        <v>107.58333333333333</v>
      </c>
      <c r="O118" s="325">
        <f t="shared" si="83"/>
        <v>103.49516666666666</v>
      </c>
      <c r="P118" s="329">
        <f t="shared" si="84"/>
        <v>0</v>
      </c>
      <c r="Q118" s="340">
        <v>0.93524999999999991</v>
      </c>
      <c r="R118" s="340">
        <v>0.80024999999999991</v>
      </c>
      <c r="S118" s="340">
        <v>6.5000000000000002E-2</v>
      </c>
      <c r="T118" s="340">
        <v>0</v>
      </c>
      <c r="U118" s="340">
        <v>0</v>
      </c>
      <c r="V118" s="340">
        <v>0.92575000000000007</v>
      </c>
      <c r="W118" s="340">
        <v>0</v>
      </c>
      <c r="X118" s="340">
        <v>0</v>
      </c>
      <c r="Y118">
        <f t="shared" si="42"/>
        <v>7</v>
      </c>
    </row>
    <row r="119" spans="1:25" x14ac:dyDescent="0.3">
      <c r="A119" s="320">
        <v>42941</v>
      </c>
      <c r="B119">
        <v>1</v>
      </c>
      <c r="C119" t="s">
        <v>133</v>
      </c>
      <c r="D119" t="s">
        <v>130</v>
      </c>
      <c r="E119" t="s">
        <v>153</v>
      </c>
      <c r="F119" s="332">
        <v>720</v>
      </c>
      <c r="G119" s="332"/>
      <c r="H119" s="325">
        <f t="shared" si="85"/>
        <v>720</v>
      </c>
      <c r="I119" s="325" t="str">
        <f>VLOOKUP(C119,'Drop Downs Master'!$D$6:$E$9,2,FALSE)</f>
        <v>BC100</v>
      </c>
      <c r="J119" s="321">
        <v>3.9E-2</v>
      </c>
      <c r="K119" s="326">
        <v>1271</v>
      </c>
      <c r="L119" s="325">
        <f t="shared" si="69"/>
        <v>1221.431</v>
      </c>
      <c r="N119" s="325">
        <f t="shared" si="82"/>
        <v>105.91666666666667</v>
      </c>
      <c r="O119" s="325">
        <f t="shared" si="83"/>
        <v>101.78591666666667</v>
      </c>
      <c r="P119" s="329">
        <f t="shared" si="84"/>
        <v>0</v>
      </c>
      <c r="Q119" s="340">
        <v>0.93500000000000005</v>
      </c>
      <c r="R119" s="340">
        <v>0.81925000000000003</v>
      </c>
      <c r="S119" s="340">
        <v>6.8000000000000005E-2</v>
      </c>
      <c r="T119" s="340">
        <v>0</v>
      </c>
      <c r="U119" s="340">
        <v>0</v>
      </c>
      <c r="V119" s="340">
        <v>0.92400000000000004</v>
      </c>
      <c r="W119" s="340">
        <v>0</v>
      </c>
      <c r="X119" s="340">
        <v>0</v>
      </c>
      <c r="Y119">
        <f t="shared" si="42"/>
        <v>7</v>
      </c>
    </row>
    <row r="120" spans="1:25" x14ac:dyDescent="0.3">
      <c r="A120" s="320">
        <v>42941</v>
      </c>
      <c r="B120">
        <v>2</v>
      </c>
      <c r="C120" t="s">
        <v>133</v>
      </c>
      <c r="D120" t="s">
        <v>130</v>
      </c>
      <c r="E120" t="s">
        <v>151</v>
      </c>
      <c r="F120" s="332">
        <v>720</v>
      </c>
      <c r="G120" s="332"/>
      <c r="H120" s="325">
        <f t="shared" si="85"/>
        <v>720</v>
      </c>
      <c r="I120" s="325" t="str">
        <f>VLOOKUP(C120,'Drop Downs Master'!$D$6:$E$9,2,FALSE)</f>
        <v>BC100</v>
      </c>
      <c r="J120" s="321">
        <v>0.04</v>
      </c>
      <c r="K120" s="326">
        <v>1224</v>
      </c>
      <c r="L120" s="325">
        <f t="shared" si="69"/>
        <v>1175.04</v>
      </c>
      <c r="N120" s="325">
        <f t="shared" si="82"/>
        <v>102</v>
      </c>
      <c r="O120" s="325">
        <f t="shared" si="83"/>
        <v>97.92</v>
      </c>
      <c r="P120" s="329">
        <f t="shared" si="84"/>
        <v>0</v>
      </c>
      <c r="Q120" s="340">
        <v>0.78100000000000003</v>
      </c>
      <c r="R120" s="340">
        <v>5.6999999999999995E-2</v>
      </c>
      <c r="S120" s="340">
        <v>0</v>
      </c>
      <c r="T120" s="340">
        <v>0</v>
      </c>
      <c r="U120" s="340">
        <v>0.93374999999999997</v>
      </c>
      <c r="V120" s="340">
        <v>0</v>
      </c>
      <c r="W120" s="340">
        <v>0</v>
      </c>
      <c r="Y120">
        <f t="shared" si="42"/>
        <v>7</v>
      </c>
    </row>
    <row r="121" spans="1:25" x14ac:dyDescent="0.3">
      <c r="A121" s="320">
        <v>42942</v>
      </c>
      <c r="B121">
        <v>1</v>
      </c>
      <c r="C121" t="s">
        <v>133</v>
      </c>
      <c r="D121" t="s">
        <v>130</v>
      </c>
      <c r="E121" t="s">
        <v>153</v>
      </c>
      <c r="F121">
        <v>720</v>
      </c>
      <c r="G121">
        <v>0</v>
      </c>
      <c r="H121" s="325">
        <f t="shared" si="85"/>
        <v>720</v>
      </c>
      <c r="I121" s="325" t="str">
        <f>VLOOKUP(C121,'Drop Downs Master'!$D$6:$E$9,2,FALSE)</f>
        <v>BC100</v>
      </c>
      <c r="J121" s="321">
        <v>3.9E-2</v>
      </c>
      <c r="K121" s="326">
        <v>1260</v>
      </c>
      <c r="L121" s="325">
        <f t="shared" si="69"/>
        <v>1210.8599999999999</v>
      </c>
      <c r="N121" s="325">
        <f t="shared" si="82"/>
        <v>105</v>
      </c>
      <c r="O121" s="325">
        <f t="shared" si="83"/>
        <v>100.90499999999999</v>
      </c>
      <c r="P121" s="329">
        <f t="shared" si="84"/>
        <v>0</v>
      </c>
      <c r="Q121" s="340">
        <v>0.95400000000000007</v>
      </c>
      <c r="R121" s="340">
        <v>0.82499999999999984</v>
      </c>
      <c r="S121" s="340">
        <v>4.6666666666666669E-2</v>
      </c>
      <c r="T121" s="340">
        <v>0</v>
      </c>
      <c r="U121" s="340">
        <v>0</v>
      </c>
      <c r="V121" s="340">
        <v>0.93366666666666676</v>
      </c>
      <c r="W121" s="340">
        <v>0</v>
      </c>
      <c r="X121" s="340">
        <v>0</v>
      </c>
      <c r="Y121">
        <f t="shared" si="42"/>
        <v>7</v>
      </c>
    </row>
    <row r="122" spans="1:25" x14ac:dyDescent="0.3">
      <c r="A122" s="320">
        <v>42942</v>
      </c>
      <c r="B122">
        <v>2</v>
      </c>
      <c r="C122" t="s">
        <v>133</v>
      </c>
      <c r="D122" t="s">
        <v>130</v>
      </c>
      <c r="E122" t="s">
        <v>151</v>
      </c>
      <c r="F122">
        <v>720</v>
      </c>
      <c r="G122">
        <v>0</v>
      </c>
      <c r="H122" s="325">
        <f t="shared" ref="H122:H126" si="87">G122+F122</f>
        <v>720</v>
      </c>
      <c r="I122" s="325" t="str">
        <f>VLOOKUP(C122,'Drop Downs Master'!$D$6:$E$9,2,FALSE)</f>
        <v>BC100</v>
      </c>
      <c r="J122" s="321">
        <v>3.7999999999999999E-2</v>
      </c>
      <c r="K122" s="326">
        <v>1266</v>
      </c>
      <c r="L122" s="325">
        <f t="shared" si="69"/>
        <v>1217.8920000000001</v>
      </c>
      <c r="N122" s="325">
        <f t="shared" si="82"/>
        <v>105.5</v>
      </c>
      <c r="O122" s="325">
        <f t="shared" si="83"/>
        <v>101.491</v>
      </c>
      <c r="P122" s="329">
        <f t="shared" si="84"/>
        <v>0</v>
      </c>
      <c r="Q122" s="340">
        <v>0.95524999999999993</v>
      </c>
      <c r="R122" s="340">
        <v>0.80474999999999997</v>
      </c>
      <c r="S122" s="340">
        <v>4.65E-2</v>
      </c>
      <c r="T122" s="340">
        <v>0</v>
      </c>
      <c r="U122" s="340">
        <v>0</v>
      </c>
      <c r="V122" s="340">
        <v>0.94574999999999998</v>
      </c>
      <c r="W122" s="340">
        <v>0</v>
      </c>
      <c r="X122" s="340">
        <v>0</v>
      </c>
      <c r="Y122">
        <f t="shared" si="42"/>
        <v>7</v>
      </c>
    </row>
    <row r="123" spans="1:25" x14ac:dyDescent="0.3">
      <c r="A123" s="320">
        <v>42943</v>
      </c>
      <c r="B123">
        <v>1</v>
      </c>
      <c r="C123" t="s">
        <v>133</v>
      </c>
      <c r="D123" t="s">
        <v>130</v>
      </c>
      <c r="E123" t="s">
        <v>152</v>
      </c>
      <c r="F123">
        <f>7.5*60</f>
        <v>450</v>
      </c>
      <c r="G123">
        <v>270</v>
      </c>
      <c r="H123" s="325">
        <f t="shared" si="87"/>
        <v>720</v>
      </c>
      <c r="I123" s="325" t="str">
        <f>VLOOKUP(C123,'Drop Downs Master'!$D$6:$E$9,2,FALSE)</f>
        <v>BC100</v>
      </c>
      <c r="J123" s="321">
        <v>3.5999999999999997E-2</v>
      </c>
      <c r="K123" s="326">
        <v>696</v>
      </c>
      <c r="L123" s="325">
        <f t="shared" si="69"/>
        <v>670.94399999999996</v>
      </c>
      <c r="N123" s="325">
        <f t="shared" si="82"/>
        <v>92.8</v>
      </c>
      <c r="O123" s="325">
        <f t="shared" si="83"/>
        <v>55.911999999999999</v>
      </c>
      <c r="P123" s="329">
        <f t="shared" si="84"/>
        <v>0.375</v>
      </c>
      <c r="Q123" s="340">
        <v>0.94669999999999999</v>
      </c>
      <c r="R123" s="340">
        <v>0.85345000000000004</v>
      </c>
      <c r="S123" s="340">
        <v>4.6899999999999997E-2</v>
      </c>
      <c r="T123" s="340">
        <v>0</v>
      </c>
      <c r="U123" s="340">
        <v>0</v>
      </c>
      <c r="V123" s="340">
        <v>0.93405000000000005</v>
      </c>
      <c r="W123" s="340">
        <v>0</v>
      </c>
      <c r="X123" s="340">
        <v>0</v>
      </c>
      <c r="Y123">
        <f t="shared" si="42"/>
        <v>7</v>
      </c>
    </row>
    <row r="124" spans="1:25" x14ac:dyDescent="0.3">
      <c r="A124" s="320">
        <v>42943</v>
      </c>
      <c r="B124">
        <v>2</v>
      </c>
      <c r="C124" t="s">
        <v>133</v>
      </c>
      <c r="D124" t="s">
        <v>130</v>
      </c>
      <c r="E124" t="s">
        <v>156</v>
      </c>
      <c r="F124">
        <f>11.55*60</f>
        <v>693</v>
      </c>
      <c r="G124">
        <v>27</v>
      </c>
      <c r="H124" s="325">
        <f t="shared" si="87"/>
        <v>720</v>
      </c>
      <c r="I124" s="325" t="str">
        <f>VLOOKUP(C124,'Drop Downs Master'!$D$6:$E$9,2,FALSE)</f>
        <v>BC100</v>
      </c>
      <c r="J124" s="321">
        <v>0.04</v>
      </c>
      <c r="K124" s="326">
        <v>862</v>
      </c>
      <c r="L124" s="325">
        <f t="shared" si="69"/>
        <v>827.52</v>
      </c>
      <c r="N124" s="325">
        <f t="shared" si="82"/>
        <v>74.632034632034632</v>
      </c>
      <c r="O124" s="325">
        <f t="shared" si="83"/>
        <v>68.959999999999994</v>
      </c>
      <c r="P124" s="329">
        <f t="shared" si="84"/>
        <v>3.7499999999999999E-2</v>
      </c>
      <c r="Q124" s="340">
        <v>0.94886666666666664</v>
      </c>
      <c r="R124" s="340">
        <v>0.78359999999999996</v>
      </c>
      <c r="S124" s="340">
        <v>5.1666666666666666E-2</v>
      </c>
      <c r="T124" s="340">
        <v>0</v>
      </c>
      <c r="U124" s="340">
        <v>0</v>
      </c>
      <c r="V124" s="340">
        <v>0.91977500000000001</v>
      </c>
      <c r="W124" s="340">
        <v>0</v>
      </c>
      <c r="X124" s="340">
        <v>0</v>
      </c>
      <c r="Y124">
        <f t="shared" si="42"/>
        <v>7</v>
      </c>
    </row>
    <row r="125" spans="1:25" x14ac:dyDescent="0.3">
      <c r="A125" s="320">
        <v>42944</v>
      </c>
      <c r="B125">
        <v>1</v>
      </c>
      <c r="C125" t="s">
        <v>133</v>
      </c>
      <c r="D125" t="s">
        <v>130</v>
      </c>
      <c r="E125" t="s">
        <v>145</v>
      </c>
      <c r="F125">
        <v>720</v>
      </c>
      <c r="G125">
        <v>0</v>
      </c>
      <c r="H125" s="325">
        <f t="shared" si="87"/>
        <v>720</v>
      </c>
      <c r="I125" s="325" t="str">
        <f>VLOOKUP(C125,'Drop Downs Master'!$D$6:$E$9,2,FALSE)</f>
        <v>BC100</v>
      </c>
      <c r="J125" s="321">
        <v>3.6999999999999998E-2</v>
      </c>
      <c r="K125" s="326">
        <v>850</v>
      </c>
      <c r="L125" s="325">
        <f t="shared" si="69"/>
        <v>818.55</v>
      </c>
      <c r="N125" s="325">
        <f t="shared" si="82"/>
        <v>70.833333333333329</v>
      </c>
      <c r="O125" s="325">
        <f t="shared" si="83"/>
        <v>68.212499999999991</v>
      </c>
      <c r="P125" s="329">
        <f t="shared" si="84"/>
        <v>0</v>
      </c>
      <c r="Q125" s="340">
        <v>0.9254</v>
      </c>
      <c r="R125" s="340">
        <v>0.84892499999999993</v>
      </c>
      <c r="S125" s="340">
        <v>6.08E-2</v>
      </c>
      <c r="T125" s="340">
        <v>0</v>
      </c>
      <c r="U125" s="340">
        <v>0</v>
      </c>
      <c r="V125" s="340">
        <v>0.93589999999999995</v>
      </c>
      <c r="W125" s="340">
        <v>0</v>
      </c>
      <c r="X125" s="340">
        <v>0</v>
      </c>
      <c r="Y125">
        <f t="shared" si="42"/>
        <v>7</v>
      </c>
    </row>
    <row r="126" spans="1:25" x14ac:dyDescent="0.3">
      <c r="A126" s="320">
        <v>42944</v>
      </c>
      <c r="B126">
        <v>2</v>
      </c>
      <c r="C126" t="s">
        <v>133</v>
      </c>
      <c r="D126" t="s">
        <v>130</v>
      </c>
      <c r="E126" t="s">
        <v>174</v>
      </c>
      <c r="F126">
        <f>11.1*60</f>
        <v>666</v>
      </c>
      <c r="G126">
        <f>0.9*60</f>
        <v>54</v>
      </c>
      <c r="H126" s="325">
        <f t="shared" si="87"/>
        <v>720</v>
      </c>
      <c r="I126" s="325" t="str">
        <f>VLOOKUP(C126,'Drop Downs Master'!$D$6:$E$9,2,FALSE)</f>
        <v>BC100</v>
      </c>
      <c r="J126" s="321">
        <v>3.6999999999999998E-2</v>
      </c>
      <c r="K126" s="326">
        <v>748</v>
      </c>
      <c r="L126" s="325">
        <f t="shared" si="69"/>
        <v>720.32399999999996</v>
      </c>
      <c r="N126" s="325">
        <f t="shared" ref="N126" si="88">K126/(F126/60)</f>
        <v>67.387387387387392</v>
      </c>
      <c r="O126" s="325">
        <f t="shared" ref="O126" si="89">L126/(H126/60)</f>
        <v>60.026999999999994</v>
      </c>
      <c r="P126" s="329">
        <f t="shared" ref="P126" si="90">(G126/H126)</f>
        <v>7.4999999999999997E-2</v>
      </c>
      <c r="Q126" s="340">
        <v>0.75984999999999991</v>
      </c>
      <c r="R126" s="340">
        <v>0.70699999999999996</v>
      </c>
      <c r="S126" s="340">
        <v>0.24024999999999999</v>
      </c>
      <c r="T126" s="340">
        <v>0</v>
      </c>
      <c r="U126" s="340">
        <v>0</v>
      </c>
      <c r="V126" s="340">
        <v>0.91188000000000002</v>
      </c>
      <c r="W126" s="340">
        <v>0</v>
      </c>
      <c r="X126" s="340">
        <v>0</v>
      </c>
      <c r="Y126">
        <f t="shared" si="42"/>
        <v>7</v>
      </c>
    </row>
    <row r="127" spans="1:25" x14ac:dyDescent="0.3">
      <c r="A127" s="320">
        <v>42945</v>
      </c>
      <c r="B127">
        <v>1</v>
      </c>
      <c r="C127" t="s">
        <v>133</v>
      </c>
      <c r="D127" t="s">
        <v>130</v>
      </c>
      <c r="E127" t="s">
        <v>152</v>
      </c>
      <c r="F127" s="332">
        <v>720</v>
      </c>
      <c r="G127" s="332">
        <v>0</v>
      </c>
      <c r="H127" s="325">
        <f t="shared" ref="H127:H131" si="91">G127+F127</f>
        <v>720</v>
      </c>
      <c r="I127" s="325" t="str">
        <f>VLOOKUP(C127,'Drop Downs Master'!$D$6:$E$9,2,FALSE)</f>
        <v>BC100</v>
      </c>
      <c r="J127" s="321">
        <v>4.2000000000000003E-2</v>
      </c>
      <c r="K127" s="326">
        <v>701</v>
      </c>
      <c r="L127" s="325">
        <f t="shared" ref="L127:L131" si="92">K127*(1-J127)</f>
        <v>671.55799999999999</v>
      </c>
      <c r="N127" s="325">
        <f t="shared" ref="N127:N131" si="93">K127/(F127/60)</f>
        <v>58.416666666666664</v>
      </c>
      <c r="O127" s="325">
        <f t="shared" ref="O127:O131" si="94">L127/(H127/60)</f>
        <v>55.963166666666666</v>
      </c>
      <c r="P127" s="329">
        <f t="shared" ref="P127:P131" si="95">(G127/H127)</f>
        <v>0</v>
      </c>
      <c r="Q127" s="340">
        <v>0.75064999999999993</v>
      </c>
      <c r="R127" s="340">
        <v>0.67762499999999992</v>
      </c>
      <c r="S127" s="340">
        <v>0.13439999999999999</v>
      </c>
      <c r="T127" s="340">
        <v>0</v>
      </c>
      <c r="U127" s="340">
        <v>0</v>
      </c>
      <c r="V127" s="340">
        <v>0.91852500000000004</v>
      </c>
      <c r="W127" s="340">
        <v>0</v>
      </c>
      <c r="X127" s="340">
        <v>0</v>
      </c>
      <c r="Y127">
        <f t="shared" si="42"/>
        <v>7</v>
      </c>
    </row>
    <row r="128" spans="1:25" x14ac:dyDescent="0.3">
      <c r="A128" s="320">
        <v>42945</v>
      </c>
      <c r="B128">
        <v>2</v>
      </c>
      <c r="C128" t="s">
        <v>133</v>
      </c>
      <c r="D128" t="s">
        <v>130</v>
      </c>
      <c r="E128" t="s">
        <v>174</v>
      </c>
      <c r="F128">
        <f>11.11*60</f>
        <v>666.59999999999991</v>
      </c>
      <c r="G128">
        <f>0.89*60</f>
        <v>53.4</v>
      </c>
      <c r="H128" s="325">
        <f t="shared" si="91"/>
        <v>719.99999999999989</v>
      </c>
      <c r="I128" s="325" t="str">
        <f>VLOOKUP(C128,'Drop Downs Master'!$D$6:$E$9,2,FALSE)</f>
        <v>BC100</v>
      </c>
      <c r="J128" s="321">
        <v>4.1000000000000002E-2</v>
      </c>
      <c r="K128" s="326">
        <v>783</v>
      </c>
      <c r="L128" s="325">
        <f t="shared" si="92"/>
        <v>750.89699999999993</v>
      </c>
      <c r="N128" s="325">
        <f t="shared" si="93"/>
        <v>70.477047704770499</v>
      </c>
      <c r="O128" s="325">
        <f t="shared" si="94"/>
        <v>62.574750000000002</v>
      </c>
      <c r="P128" s="329">
        <f t="shared" si="95"/>
        <v>7.4166666666666672E-2</v>
      </c>
      <c r="Q128" s="340">
        <v>0.93874999999999997</v>
      </c>
      <c r="R128" s="340">
        <v>0.76075000000000004</v>
      </c>
      <c r="S128" s="340">
        <v>6.1499999999999999E-2</v>
      </c>
      <c r="T128" s="340">
        <v>0</v>
      </c>
      <c r="U128" s="340">
        <v>0</v>
      </c>
      <c r="V128" s="340">
        <v>0.93575000000000008</v>
      </c>
      <c r="W128" s="340">
        <v>0</v>
      </c>
      <c r="X128" s="340">
        <v>0</v>
      </c>
      <c r="Y128">
        <f t="shared" si="42"/>
        <v>7</v>
      </c>
    </row>
    <row r="129" spans="1:25" x14ac:dyDescent="0.3">
      <c r="A129" s="320">
        <v>42946</v>
      </c>
      <c r="B129">
        <v>1</v>
      </c>
      <c r="C129" t="s">
        <v>133</v>
      </c>
      <c r="D129" t="s">
        <v>130</v>
      </c>
      <c r="E129" t="s">
        <v>152</v>
      </c>
      <c r="F129">
        <v>720</v>
      </c>
      <c r="G129">
        <v>0</v>
      </c>
      <c r="H129" s="325">
        <f t="shared" si="91"/>
        <v>720</v>
      </c>
      <c r="I129" s="325" t="str">
        <f>VLOOKUP(C129,'Drop Downs Master'!$D$6:$E$9,2,FALSE)</f>
        <v>BC100</v>
      </c>
      <c r="J129" s="321">
        <v>4.2999999999999997E-2</v>
      </c>
      <c r="K129" s="326">
        <v>811</v>
      </c>
      <c r="L129" s="325">
        <f t="shared" si="92"/>
        <v>776.12699999999995</v>
      </c>
      <c r="N129" s="325">
        <f t="shared" si="93"/>
        <v>67.583333333333329</v>
      </c>
      <c r="O129" s="325">
        <f t="shared" si="94"/>
        <v>64.677250000000001</v>
      </c>
      <c r="P129" s="329">
        <f t="shared" si="95"/>
        <v>0</v>
      </c>
      <c r="Q129" s="340">
        <v>0.92349999999999999</v>
      </c>
      <c r="R129" s="340">
        <v>0.78725000000000001</v>
      </c>
      <c r="S129" s="340">
        <v>6.133333333333333E-2</v>
      </c>
      <c r="T129" s="340">
        <v>0</v>
      </c>
      <c r="U129" s="340">
        <v>0</v>
      </c>
      <c r="V129" s="340">
        <v>0.93247500000000005</v>
      </c>
      <c r="W129" s="340">
        <v>0</v>
      </c>
      <c r="X129" s="340">
        <v>0</v>
      </c>
      <c r="Y129">
        <f t="shared" si="42"/>
        <v>7</v>
      </c>
    </row>
    <row r="130" spans="1:25" x14ac:dyDescent="0.3">
      <c r="A130" s="320">
        <v>42946</v>
      </c>
      <c r="B130">
        <v>2</v>
      </c>
      <c r="C130" t="s">
        <v>133</v>
      </c>
      <c r="D130" t="s">
        <v>130</v>
      </c>
      <c r="E130" t="s">
        <v>174</v>
      </c>
      <c r="F130">
        <v>720</v>
      </c>
      <c r="G130">
        <v>0</v>
      </c>
      <c r="H130" s="325">
        <f t="shared" si="91"/>
        <v>720</v>
      </c>
      <c r="I130" s="325" t="str">
        <f>VLOOKUP(C130,'Drop Downs Master'!$D$6:$E$9,2,FALSE)</f>
        <v>BC100</v>
      </c>
      <c r="J130" s="321">
        <v>4.3999999999999997E-2</v>
      </c>
      <c r="K130" s="326">
        <v>813</v>
      </c>
      <c r="L130" s="325">
        <f t="shared" si="92"/>
        <v>777.22799999999995</v>
      </c>
      <c r="N130" s="325">
        <f t="shared" si="93"/>
        <v>67.75</v>
      </c>
      <c r="O130" s="325">
        <f t="shared" si="94"/>
        <v>64.768999999999991</v>
      </c>
      <c r="P130" s="329">
        <f t="shared" si="95"/>
        <v>0</v>
      </c>
      <c r="Q130" s="340">
        <v>0.93005000000000004</v>
      </c>
      <c r="R130" s="340">
        <v>0.77597499999999997</v>
      </c>
      <c r="S130" s="340">
        <v>7.0000000000000007E-2</v>
      </c>
      <c r="T130" s="340">
        <v>0</v>
      </c>
      <c r="U130" s="340">
        <v>0</v>
      </c>
      <c r="V130" s="340">
        <v>0.92965000000000009</v>
      </c>
      <c r="W130" s="340">
        <v>0</v>
      </c>
      <c r="X130" s="340">
        <v>0</v>
      </c>
      <c r="Y130">
        <f t="shared" si="42"/>
        <v>7</v>
      </c>
    </row>
    <row r="131" spans="1:25" x14ac:dyDescent="0.3">
      <c r="A131" s="320">
        <v>42947</v>
      </c>
      <c r="B131">
        <v>1</v>
      </c>
      <c r="C131" t="s">
        <v>133</v>
      </c>
      <c r="D131" t="s">
        <v>130</v>
      </c>
      <c r="E131" t="s">
        <v>145</v>
      </c>
      <c r="F131">
        <v>720</v>
      </c>
      <c r="G131">
        <v>0</v>
      </c>
      <c r="H131" s="325">
        <f t="shared" si="91"/>
        <v>720</v>
      </c>
      <c r="I131" s="325" t="str">
        <f>VLOOKUP(C131,'Drop Downs Master'!$D$6:$E$9,2,FALSE)</f>
        <v>BC100</v>
      </c>
      <c r="J131" s="321">
        <v>3.9E-2</v>
      </c>
      <c r="K131" s="326">
        <v>814</v>
      </c>
      <c r="L131" s="325">
        <f t="shared" si="92"/>
        <v>782.25400000000002</v>
      </c>
      <c r="N131" s="325">
        <f t="shared" si="93"/>
        <v>67.833333333333329</v>
      </c>
      <c r="O131" s="325">
        <f t="shared" si="94"/>
        <v>65.18783333333333</v>
      </c>
      <c r="P131" s="329">
        <f t="shared" si="95"/>
        <v>0</v>
      </c>
      <c r="Q131" s="340">
        <v>0.91525000000000001</v>
      </c>
      <c r="R131" s="340">
        <v>0.79374999999999996</v>
      </c>
      <c r="S131" s="340">
        <v>6.9250000000000006E-2</v>
      </c>
      <c r="T131" s="340">
        <v>0</v>
      </c>
      <c r="U131" s="340">
        <v>0</v>
      </c>
      <c r="V131" s="340">
        <v>0.93235000000000001</v>
      </c>
      <c r="W131" s="340">
        <v>0</v>
      </c>
      <c r="X131" s="340">
        <v>0</v>
      </c>
      <c r="Y131">
        <f t="shared" si="42"/>
        <v>7</v>
      </c>
    </row>
    <row r="132" spans="1:25" x14ac:dyDescent="0.3">
      <c r="A132" s="320">
        <v>42947</v>
      </c>
      <c r="B132">
        <v>2</v>
      </c>
      <c r="C132" t="s">
        <v>133</v>
      </c>
      <c r="D132" t="s">
        <v>130</v>
      </c>
      <c r="E132" t="s">
        <v>174</v>
      </c>
      <c r="F132">
        <f>9.11*60</f>
        <v>546.59999999999991</v>
      </c>
      <c r="G132">
        <f>2.89*60</f>
        <v>173.4</v>
      </c>
      <c r="H132" s="325">
        <f t="shared" ref="H132" si="96">G132+F132</f>
        <v>719.99999999999989</v>
      </c>
      <c r="I132" s="325" t="str">
        <f>VLOOKUP(C132,'Drop Downs Master'!$D$6:$E$9,2,FALSE)</f>
        <v>BC100</v>
      </c>
      <c r="J132" s="321">
        <v>3.9E-2</v>
      </c>
      <c r="K132" s="326">
        <v>619</v>
      </c>
      <c r="L132" s="325">
        <f t="shared" ref="L132" si="97">K132*(1-J132)</f>
        <v>594.85899999999992</v>
      </c>
      <c r="N132" s="325">
        <f t="shared" ref="N132" si="98">K132/(F132/60)</f>
        <v>67.947310647639981</v>
      </c>
      <c r="O132" s="325">
        <f t="shared" ref="O132" si="99">L132/(H132/60)</f>
        <v>49.571583333333336</v>
      </c>
      <c r="P132" s="329">
        <f t="shared" ref="P132" si="100">(G132/H132)</f>
        <v>0.24083333333333337</v>
      </c>
      <c r="Q132" s="340">
        <v>0.91633333333333333</v>
      </c>
      <c r="R132" s="340">
        <v>0.81530000000000002</v>
      </c>
      <c r="S132" s="340">
        <v>8.3666666666666667E-2</v>
      </c>
      <c r="T132" s="340">
        <v>0</v>
      </c>
      <c r="U132" s="340">
        <v>0</v>
      </c>
      <c r="V132" s="340">
        <v>0.92910000000000004</v>
      </c>
      <c r="W132" s="340">
        <v>0</v>
      </c>
      <c r="X132" s="340">
        <v>0</v>
      </c>
      <c r="Y132">
        <f t="shared" si="42"/>
        <v>7</v>
      </c>
    </row>
    <row r="136" spans="1:25" x14ac:dyDescent="0.3">
      <c r="E136">
        <f>E138*0.1</f>
        <v>44</v>
      </c>
    </row>
    <row r="137" spans="1:25" x14ac:dyDescent="0.3">
      <c r="E137">
        <f>E138*0.03</f>
        <v>13.2</v>
      </c>
    </row>
    <row r="138" spans="1:25" x14ac:dyDescent="0.3">
      <c r="E138">
        <v>440</v>
      </c>
    </row>
    <row r="139" spans="1:25" x14ac:dyDescent="0.3">
      <c r="E139">
        <f>E138-E137-E136</f>
        <v>382.8</v>
      </c>
    </row>
    <row r="140" spans="1:25" x14ac:dyDescent="0.3">
      <c r="E140">
        <f>380-E139</f>
        <v>-2.8000000000000114</v>
      </c>
    </row>
  </sheetData>
  <autoFilter ref="A3:P96" xr:uid="{00000000-0009-0000-0000-000002000000}"/>
  <mergeCells count="2">
    <mergeCell ref="Q2:S2"/>
    <mergeCell ref="T2:X2"/>
  </mergeCells>
  <pageMargins left="0.7" right="0.7" top="0.75" bottom="0.75" header="0.3" footer="0.3"/>
  <pageSetup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200-000000000000}">
          <x14:formula1>
            <xm:f>'Drop Downs Master'!$D$7:$D$9</xm:f>
          </x14:formula1>
          <xm:sqref>C4:C43 C46:C98</xm:sqref>
        </x14:dataValidation>
        <x14:dataValidation type="list" allowBlank="1" showInputMessage="1" showErrorMessage="1" xr:uid="{00000000-0002-0000-0200-000001000000}">
          <x14:formula1>
            <xm:f>'Drop Downs Master'!$B$7:$B$9</xm:f>
          </x14:formula1>
          <xm:sqref>D4:D42 D44:D98 D103</xm:sqref>
        </x14:dataValidation>
        <x14:dataValidation type="list" allowBlank="1" showInputMessage="1" showErrorMessage="1" xr:uid="{00000000-0002-0000-0200-000002000000}">
          <x14:formula1>
            <xm:f>'Drop Downs Master'!#REF!</xm:f>
          </x14:formula1>
          <xm:sqref>M12:M28</xm:sqref>
        </x14:dataValidation>
        <x14:dataValidation type="list" allowBlank="1" showInputMessage="1" showErrorMessage="1" xr:uid="{00000000-0002-0000-0200-000003000000}">
          <x14:formula1>
            <xm:f>'Drop Downs Master'!$I$7:$I$15</xm:f>
          </x14:formula1>
          <xm:sqref>M4:M11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P30"/>
  <sheetViews>
    <sheetView workbookViewId="0">
      <selection activeCell="B5" sqref="B5"/>
    </sheetView>
  </sheetViews>
  <sheetFormatPr defaultRowHeight="14.4" x14ac:dyDescent="0.3"/>
  <cols>
    <col min="1" max="1" width="9.5546875" customWidth="1"/>
    <col min="9" max="9" width="8.88671875" style="331"/>
    <col min="11" max="12" width="9.109375" customWidth="1"/>
  </cols>
  <sheetData>
    <row r="3" spans="1:16" ht="43.2" x14ac:dyDescent="0.3">
      <c r="A3" s="15" t="s">
        <v>121</v>
      </c>
      <c r="B3" s="15" t="s">
        <v>122</v>
      </c>
      <c r="C3" s="15" t="s">
        <v>120</v>
      </c>
      <c r="D3" s="15" t="s">
        <v>40</v>
      </c>
      <c r="E3" s="15" t="s">
        <v>123</v>
      </c>
      <c r="F3" s="318" t="s">
        <v>124</v>
      </c>
      <c r="G3" s="318" t="s">
        <v>125</v>
      </c>
      <c r="H3" s="318" t="s">
        <v>126</v>
      </c>
      <c r="I3" s="330" t="s">
        <v>147</v>
      </c>
      <c r="J3" s="318" t="s">
        <v>141</v>
      </c>
      <c r="K3" s="318" t="s">
        <v>127</v>
      </c>
      <c r="L3" s="318" t="s">
        <v>128</v>
      </c>
      <c r="M3" s="318" t="s">
        <v>41</v>
      </c>
      <c r="N3" s="318" t="s">
        <v>142</v>
      </c>
      <c r="O3" s="318" t="s">
        <v>143</v>
      </c>
      <c r="P3" s="318" t="s">
        <v>144</v>
      </c>
    </row>
    <row r="4" spans="1:16" x14ac:dyDescent="0.3">
      <c r="A4" s="320">
        <v>42887</v>
      </c>
      <c r="B4">
        <v>2</v>
      </c>
      <c r="C4" t="s">
        <v>133</v>
      </c>
      <c r="D4" t="s">
        <v>130</v>
      </c>
      <c r="E4" t="s">
        <v>145</v>
      </c>
      <c r="F4">
        <v>720</v>
      </c>
      <c r="G4">
        <v>0</v>
      </c>
      <c r="H4" s="325">
        <f>G4+F4</f>
        <v>720</v>
      </c>
      <c r="I4" s="325" t="str">
        <f>VLOOKUP(C4,'Drop Downs Master'!D6:E9,2,FALSE)</f>
        <v>BC100</v>
      </c>
      <c r="J4" s="321">
        <v>4.7E-2</v>
      </c>
      <c r="K4" s="326">
        <v>1040</v>
      </c>
      <c r="L4" s="324">
        <f>K4*(1-J4)</f>
        <v>991.12</v>
      </c>
      <c r="M4" t="s">
        <v>102</v>
      </c>
      <c r="N4" s="327">
        <f t="shared" ref="N4:N30" si="0">K4/(F4/60)</f>
        <v>86.666666666666671</v>
      </c>
      <c r="O4" s="328">
        <f t="shared" ref="O4:O30" si="1">L4/(H4/60)</f>
        <v>82.593333333333334</v>
      </c>
      <c r="P4" s="329">
        <f>(G4/H4)</f>
        <v>0</v>
      </c>
    </row>
    <row r="5" spans="1:16" x14ac:dyDescent="0.3">
      <c r="A5" s="320">
        <v>42887</v>
      </c>
      <c r="B5">
        <v>2</v>
      </c>
      <c r="C5" t="s">
        <v>133</v>
      </c>
      <c r="D5" t="s">
        <v>131</v>
      </c>
      <c r="E5" t="s">
        <v>145</v>
      </c>
      <c r="F5">
        <v>720</v>
      </c>
      <c r="G5">
        <v>0</v>
      </c>
      <c r="H5" s="325">
        <f t="shared" ref="H5:H30" si="2">G5+F5</f>
        <v>720</v>
      </c>
      <c r="I5" s="325" t="str">
        <f>VLOOKUP(C5,'Drop Downs Master'!D7:E10,2,FALSE)</f>
        <v>BC100</v>
      </c>
      <c r="J5" s="321">
        <v>6.6000000000000003E-2</v>
      </c>
      <c r="K5" s="326">
        <v>3940</v>
      </c>
      <c r="L5" s="324">
        <v>3420</v>
      </c>
      <c r="N5" s="327">
        <f t="shared" si="0"/>
        <v>328.33333333333331</v>
      </c>
      <c r="O5" s="328">
        <f t="shared" si="1"/>
        <v>285</v>
      </c>
      <c r="P5" s="329">
        <f t="shared" ref="P5:P30" si="3">(G5/H5)</f>
        <v>0</v>
      </c>
    </row>
    <row r="6" spans="1:16" x14ac:dyDescent="0.3">
      <c r="A6" s="320">
        <v>42887</v>
      </c>
      <c r="C6" t="s">
        <v>133</v>
      </c>
      <c r="H6" s="325">
        <f t="shared" si="2"/>
        <v>0</v>
      </c>
      <c r="I6" s="324"/>
      <c r="J6" s="321"/>
      <c r="K6" s="326"/>
      <c r="L6" s="324">
        <f t="shared" ref="L6:L30" si="4">K6*(1-J6)</f>
        <v>0</v>
      </c>
      <c r="N6" s="327" t="e">
        <f t="shared" si="0"/>
        <v>#DIV/0!</v>
      </c>
      <c r="O6" s="328" t="e">
        <f t="shared" si="1"/>
        <v>#DIV/0!</v>
      </c>
      <c r="P6" s="329" t="e">
        <f t="shared" si="3"/>
        <v>#DIV/0!</v>
      </c>
    </row>
    <row r="7" spans="1:16" x14ac:dyDescent="0.3">
      <c r="A7" s="320">
        <v>42890</v>
      </c>
      <c r="C7" t="s">
        <v>133</v>
      </c>
      <c r="H7" s="325">
        <f t="shared" si="2"/>
        <v>0</v>
      </c>
      <c r="I7" s="324"/>
      <c r="J7" s="321"/>
      <c r="K7" s="326"/>
      <c r="L7" s="324">
        <f t="shared" si="4"/>
        <v>0</v>
      </c>
      <c r="N7" s="327" t="e">
        <f t="shared" si="0"/>
        <v>#DIV/0!</v>
      </c>
      <c r="O7" s="328" t="e">
        <f t="shared" si="1"/>
        <v>#DIV/0!</v>
      </c>
      <c r="P7" s="329" t="e">
        <f t="shared" si="3"/>
        <v>#DIV/0!</v>
      </c>
    </row>
    <row r="8" spans="1:16" x14ac:dyDescent="0.3">
      <c r="A8" s="320">
        <v>42891</v>
      </c>
      <c r="C8" t="s">
        <v>133</v>
      </c>
      <c r="H8" s="325">
        <f t="shared" si="2"/>
        <v>0</v>
      </c>
      <c r="I8" s="324"/>
      <c r="J8" s="321"/>
      <c r="K8" s="326"/>
      <c r="L8" s="324">
        <f t="shared" si="4"/>
        <v>0</v>
      </c>
      <c r="N8" s="327" t="e">
        <f t="shared" si="0"/>
        <v>#DIV/0!</v>
      </c>
      <c r="O8" s="328" t="e">
        <f t="shared" si="1"/>
        <v>#DIV/0!</v>
      </c>
      <c r="P8" s="329" t="e">
        <f t="shared" si="3"/>
        <v>#DIV/0!</v>
      </c>
    </row>
    <row r="9" spans="1:16" x14ac:dyDescent="0.3">
      <c r="A9" s="320">
        <v>42892</v>
      </c>
      <c r="H9" s="325">
        <f t="shared" si="2"/>
        <v>0</v>
      </c>
      <c r="I9" s="324"/>
      <c r="J9" s="321"/>
      <c r="K9" s="326"/>
      <c r="L9" s="324">
        <f t="shared" si="4"/>
        <v>0</v>
      </c>
      <c r="N9" s="327" t="e">
        <f t="shared" si="0"/>
        <v>#DIV/0!</v>
      </c>
      <c r="O9" s="328" t="e">
        <f t="shared" si="1"/>
        <v>#DIV/0!</v>
      </c>
      <c r="P9" s="329" t="e">
        <f t="shared" si="3"/>
        <v>#DIV/0!</v>
      </c>
    </row>
    <row r="10" spans="1:16" x14ac:dyDescent="0.3">
      <c r="A10" s="320">
        <v>42893</v>
      </c>
      <c r="H10" s="325">
        <f t="shared" si="2"/>
        <v>0</v>
      </c>
      <c r="I10" s="324"/>
      <c r="J10" s="321"/>
      <c r="K10" s="326"/>
      <c r="L10" s="324">
        <f t="shared" si="4"/>
        <v>0</v>
      </c>
      <c r="N10" s="327" t="e">
        <f t="shared" si="0"/>
        <v>#DIV/0!</v>
      </c>
      <c r="O10" s="328" t="e">
        <f t="shared" si="1"/>
        <v>#DIV/0!</v>
      </c>
      <c r="P10" s="329" t="e">
        <f t="shared" si="3"/>
        <v>#DIV/0!</v>
      </c>
    </row>
    <row r="11" spans="1:16" x14ac:dyDescent="0.3">
      <c r="A11" s="320">
        <v>42894</v>
      </c>
      <c r="H11" s="325">
        <f t="shared" si="2"/>
        <v>0</v>
      </c>
      <c r="I11" s="324"/>
      <c r="J11" s="321"/>
      <c r="K11" s="326"/>
      <c r="L11" s="324">
        <f t="shared" si="4"/>
        <v>0</v>
      </c>
      <c r="N11" s="327" t="e">
        <f t="shared" si="0"/>
        <v>#DIV/0!</v>
      </c>
      <c r="O11" s="328" t="e">
        <f t="shared" si="1"/>
        <v>#DIV/0!</v>
      </c>
      <c r="P11" s="329" t="e">
        <f t="shared" si="3"/>
        <v>#DIV/0!</v>
      </c>
    </row>
    <row r="12" spans="1:16" x14ac:dyDescent="0.3">
      <c r="A12" s="320">
        <v>42895</v>
      </c>
      <c r="H12" s="325">
        <f t="shared" si="2"/>
        <v>0</v>
      </c>
      <c r="I12" s="324"/>
      <c r="J12" s="321"/>
      <c r="K12" s="326"/>
      <c r="L12" s="324">
        <f t="shared" si="4"/>
        <v>0</v>
      </c>
      <c r="N12" s="327" t="e">
        <f t="shared" si="0"/>
        <v>#DIV/0!</v>
      </c>
      <c r="O12" s="328" t="e">
        <f t="shared" si="1"/>
        <v>#DIV/0!</v>
      </c>
      <c r="P12" s="329" t="e">
        <f t="shared" si="3"/>
        <v>#DIV/0!</v>
      </c>
    </row>
    <row r="13" spans="1:16" x14ac:dyDescent="0.3">
      <c r="A13" s="320">
        <v>42896</v>
      </c>
      <c r="H13" s="325">
        <f t="shared" si="2"/>
        <v>0</v>
      </c>
      <c r="I13" s="324"/>
      <c r="J13" s="321"/>
      <c r="K13" s="326"/>
      <c r="L13" s="324">
        <f t="shared" si="4"/>
        <v>0</v>
      </c>
      <c r="N13" s="327" t="e">
        <f t="shared" si="0"/>
        <v>#DIV/0!</v>
      </c>
      <c r="O13" s="328" t="e">
        <f t="shared" si="1"/>
        <v>#DIV/0!</v>
      </c>
      <c r="P13" s="329" t="e">
        <f t="shared" si="3"/>
        <v>#DIV/0!</v>
      </c>
    </row>
    <row r="14" spans="1:16" x14ac:dyDescent="0.3">
      <c r="A14" s="320">
        <v>42897</v>
      </c>
      <c r="H14" s="325">
        <f t="shared" si="2"/>
        <v>0</v>
      </c>
      <c r="I14" s="324"/>
      <c r="J14" s="321"/>
      <c r="K14" s="326"/>
      <c r="L14" s="324">
        <f t="shared" si="4"/>
        <v>0</v>
      </c>
      <c r="N14" s="327" t="e">
        <f t="shared" si="0"/>
        <v>#DIV/0!</v>
      </c>
      <c r="O14" s="328" t="e">
        <f t="shared" si="1"/>
        <v>#DIV/0!</v>
      </c>
      <c r="P14" s="329" t="e">
        <f t="shared" si="3"/>
        <v>#DIV/0!</v>
      </c>
    </row>
    <row r="15" spans="1:16" x14ac:dyDescent="0.3">
      <c r="A15" s="320">
        <v>42898</v>
      </c>
      <c r="H15" s="325">
        <f t="shared" si="2"/>
        <v>0</v>
      </c>
      <c r="I15" s="324"/>
      <c r="J15" s="321"/>
      <c r="K15" s="326"/>
      <c r="L15" s="324">
        <f t="shared" si="4"/>
        <v>0</v>
      </c>
      <c r="N15" s="327" t="e">
        <f t="shared" si="0"/>
        <v>#DIV/0!</v>
      </c>
      <c r="O15" s="328" t="e">
        <f t="shared" si="1"/>
        <v>#DIV/0!</v>
      </c>
      <c r="P15" s="329" t="e">
        <f t="shared" si="3"/>
        <v>#DIV/0!</v>
      </c>
    </row>
    <row r="16" spans="1:16" x14ac:dyDescent="0.3">
      <c r="A16" s="320">
        <v>42899</v>
      </c>
      <c r="H16" s="325">
        <f t="shared" si="2"/>
        <v>0</v>
      </c>
      <c r="I16" s="324"/>
      <c r="J16" s="321"/>
      <c r="K16" s="326"/>
      <c r="L16" s="324">
        <f t="shared" si="4"/>
        <v>0</v>
      </c>
      <c r="N16" s="327" t="e">
        <f t="shared" si="0"/>
        <v>#DIV/0!</v>
      </c>
      <c r="O16" s="328" t="e">
        <f t="shared" si="1"/>
        <v>#DIV/0!</v>
      </c>
      <c r="P16" s="329" t="e">
        <f t="shared" si="3"/>
        <v>#DIV/0!</v>
      </c>
    </row>
    <row r="17" spans="1:16" x14ac:dyDescent="0.3">
      <c r="A17" s="320">
        <v>42900</v>
      </c>
      <c r="H17" s="325">
        <f t="shared" si="2"/>
        <v>0</v>
      </c>
      <c r="I17" s="324"/>
      <c r="J17" s="321"/>
      <c r="K17" s="326"/>
      <c r="L17" s="324">
        <f t="shared" si="4"/>
        <v>0</v>
      </c>
      <c r="N17" s="327" t="e">
        <f t="shared" si="0"/>
        <v>#DIV/0!</v>
      </c>
      <c r="O17" s="328" t="e">
        <f t="shared" si="1"/>
        <v>#DIV/0!</v>
      </c>
      <c r="P17" s="329" t="e">
        <f t="shared" si="3"/>
        <v>#DIV/0!</v>
      </c>
    </row>
    <row r="18" spans="1:16" x14ac:dyDescent="0.3">
      <c r="A18" s="320">
        <v>42901</v>
      </c>
      <c r="H18" s="325">
        <f t="shared" si="2"/>
        <v>0</v>
      </c>
      <c r="I18" s="324"/>
      <c r="J18" s="321"/>
      <c r="K18" s="326"/>
      <c r="L18" s="324">
        <f t="shared" si="4"/>
        <v>0</v>
      </c>
      <c r="N18" s="327" t="e">
        <f t="shared" si="0"/>
        <v>#DIV/0!</v>
      </c>
      <c r="O18" s="328" t="e">
        <f t="shared" si="1"/>
        <v>#DIV/0!</v>
      </c>
      <c r="P18" s="329" t="e">
        <f t="shared" si="3"/>
        <v>#DIV/0!</v>
      </c>
    </row>
    <row r="19" spans="1:16" x14ac:dyDescent="0.3">
      <c r="A19" s="320">
        <v>42902</v>
      </c>
      <c r="H19" s="325">
        <f t="shared" si="2"/>
        <v>0</v>
      </c>
      <c r="I19" s="324"/>
      <c r="J19" s="321"/>
      <c r="K19" s="326"/>
      <c r="L19" s="324">
        <f t="shared" si="4"/>
        <v>0</v>
      </c>
      <c r="N19" s="327" t="e">
        <f t="shared" si="0"/>
        <v>#DIV/0!</v>
      </c>
      <c r="O19" s="328" t="e">
        <f t="shared" si="1"/>
        <v>#DIV/0!</v>
      </c>
      <c r="P19" s="329" t="e">
        <f t="shared" si="3"/>
        <v>#DIV/0!</v>
      </c>
    </row>
    <row r="20" spans="1:16" x14ac:dyDescent="0.3">
      <c r="A20" s="320">
        <v>42903</v>
      </c>
      <c r="H20" s="325">
        <f t="shared" si="2"/>
        <v>0</v>
      </c>
      <c r="I20" s="324"/>
      <c r="J20" s="321"/>
      <c r="K20" s="326"/>
      <c r="L20" s="324">
        <f t="shared" si="4"/>
        <v>0</v>
      </c>
      <c r="N20" s="327" t="e">
        <f t="shared" si="0"/>
        <v>#DIV/0!</v>
      </c>
      <c r="O20" s="328" t="e">
        <f t="shared" si="1"/>
        <v>#DIV/0!</v>
      </c>
      <c r="P20" s="329" t="e">
        <f t="shared" si="3"/>
        <v>#DIV/0!</v>
      </c>
    </row>
    <row r="21" spans="1:16" x14ac:dyDescent="0.3">
      <c r="A21" s="320">
        <v>42904</v>
      </c>
      <c r="H21" s="325">
        <f t="shared" si="2"/>
        <v>0</v>
      </c>
      <c r="I21" s="324"/>
      <c r="J21" s="321"/>
      <c r="K21" s="326"/>
      <c r="L21" s="324">
        <f t="shared" si="4"/>
        <v>0</v>
      </c>
      <c r="N21" s="327" t="e">
        <f t="shared" si="0"/>
        <v>#DIV/0!</v>
      </c>
      <c r="O21" s="328" t="e">
        <f t="shared" si="1"/>
        <v>#DIV/0!</v>
      </c>
      <c r="P21" s="329" t="e">
        <f t="shared" si="3"/>
        <v>#DIV/0!</v>
      </c>
    </row>
    <row r="22" spans="1:16" x14ac:dyDescent="0.3">
      <c r="A22" s="320">
        <v>42905</v>
      </c>
      <c r="H22" s="325">
        <f t="shared" si="2"/>
        <v>0</v>
      </c>
      <c r="I22" s="324"/>
      <c r="J22" s="321"/>
      <c r="K22" s="326"/>
      <c r="L22" s="324">
        <f t="shared" si="4"/>
        <v>0</v>
      </c>
      <c r="N22" s="327" t="e">
        <f t="shared" si="0"/>
        <v>#DIV/0!</v>
      </c>
      <c r="O22" s="328" t="e">
        <f t="shared" si="1"/>
        <v>#DIV/0!</v>
      </c>
      <c r="P22" s="329" t="e">
        <f t="shared" si="3"/>
        <v>#DIV/0!</v>
      </c>
    </row>
    <row r="23" spans="1:16" x14ac:dyDescent="0.3">
      <c r="A23" s="320">
        <v>42906</v>
      </c>
      <c r="H23" s="325">
        <f t="shared" si="2"/>
        <v>0</v>
      </c>
      <c r="I23" s="324"/>
      <c r="J23" s="321"/>
      <c r="K23" s="326"/>
      <c r="L23" s="324">
        <f t="shared" si="4"/>
        <v>0</v>
      </c>
      <c r="N23" s="327" t="e">
        <f t="shared" si="0"/>
        <v>#DIV/0!</v>
      </c>
      <c r="O23" s="328" t="e">
        <f t="shared" si="1"/>
        <v>#DIV/0!</v>
      </c>
      <c r="P23" s="329" t="e">
        <f t="shared" si="3"/>
        <v>#DIV/0!</v>
      </c>
    </row>
    <row r="24" spans="1:16" x14ac:dyDescent="0.3">
      <c r="A24" s="320">
        <v>42907</v>
      </c>
      <c r="H24" s="325">
        <f t="shared" si="2"/>
        <v>0</v>
      </c>
      <c r="I24" s="324"/>
      <c r="J24" s="321"/>
      <c r="K24" s="326"/>
      <c r="L24" s="324">
        <f t="shared" si="4"/>
        <v>0</v>
      </c>
      <c r="N24" s="327" t="e">
        <f t="shared" si="0"/>
        <v>#DIV/0!</v>
      </c>
      <c r="O24" s="328" t="e">
        <f t="shared" si="1"/>
        <v>#DIV/0!</v>
      </c>
      <c r="P24" s="329" t="e">
        <f t="shared" si="3"/>
        <v>#DIV/0!</v>
      </c>
    </row>
    <row r="25" spans="1:16" x14ac:dyDescent="0.3">
      <c r="A25" s="320">
        <v>42908</v>
      </c>
      <c r="H25" s="325">
        <f t="shared" si="2"/>
        <v>0</v>
      </c>
      <c r="I25" s="324"/>
      <c r="J25" s="321"/>
      <c r="K25" s="326"/>
      <c r="L25" s="324">
        <f t="shared" si="4"/>
        <v>0</v>
      </c>
      <c r="N25" s="327" t="e">
        <f t="shared" si="0"/>
        <v>#DIV/0!</v>
      </c>
      <c r="O25" s="328" t="e">
        <f t="shared" si="1"/>
        <v>#DIV/0!</v>
      </c>
      <c r="P25" s="329" t="e">
        <f t="shared" si="3"/>
        <v>#DIV/0!</v>
      </c>
    </row>
    <row r="26" spans="1:16" x14ac:dyDescent="0.3">
      <c r="A26" s="320">
        <v>42909</v>
      </c>
      <c r="H26" s="325">
        <f t="shared" si="2"/>
        <v>0</v>
      </c>
      <c r="I26" s="324"/>
      <c r="J26" s="321"/>
      <c r="K26" s="326"/>
      <c r="L26" s="324">
        <f t="shared" si="4"/>
        <v>0</v>
      </c>
      <c r="N26" s="327" t="e">
        <f t="shared" si="0"/>
        <v>#DIV/0!</v>
      </c>
      <c r="O26" s="328" t="e">
        <f t="shared" si="1"/>
        <v>#DIV/0!</v>
      </c>
      <c r="P26" s="329" t="e">
        <f t="shared" si="3"/>
        <v>#DIV/0!</v>
      </c>
    </row>
    <row r="27" spans="1:16" x14ac:dyDescent="0.3">
      <c r="A27" s="320">
        <v>42910</v>
      </c>
      <c r="H27" s="325">
        <f t="shared" si="2"/>
        <v>0</v>
      </c>
      <c r="I27" s="324"/>
      <c r="J27" s="321"/>
      <c r="K27" s="326"/>
      <c r="L27" s="324">
        <f t="shared" si="4"/>
        <v>0</v>
      </c>
      <c r="N27" s="327" t="e">
        <f t="shared" si="0"/>
        <v>#DIV/0!</v>
      </c>
      <c r="O27" s="328" t="e">
        <f t="shared" si="1"/>
        <v>#DIV/0!</v>
      </c>
      <c r="P27" s="329" t="e">
        <f t="shared" si="3"/>
        <v>#DIV/0!</v>
      </c>
    </row>
    <row r="28" spans="1:16" x14ac:dyDescent="0.3">
      <c r="A28" s="320">
        <v>42911</v>
      </c>
      <c r="H28" s="325">
        <f t="shared" si="2"/>
        <v>0</v>
      </c>
      <c r="I28" s="324"/>
      <c r="J28" s="321"/>
      <c r="K28" s="326"/>
      <c r="L28" s="324">
        <f t="shared" si="4"/>
        <v>0</v>
      </c>
      <c r="N28" s="327" t="e">
        <f t="shared" si="0"/>
        <v>#DIV/0!</v>
      </c>
      <c r="O28" s="328" t="e">
        <f t="shared" si="1"/>
        <v>#DIV/0!</v>
      </c>
      <c r="P28" s="329" t="e">
        <f t="shared" si="3"/>
        <v>#DIV/0!</v>
      </c>
    </row>
    <row r="29" spans="1:16" x14ac:dyDescent="0.3">
      <c r="A29" s="320">
        <v>42912</v>
      </c>
      <c r="H29" s="325">
        <f t="shared" si="2"/>
        <v>0</v>
      </c>
      <c r="I29" s="324"/>
      <c r="J29" s="321"/>
      <c r="K29" s="326"/>
      <c r="L29" s="324">
        <f t="shared" si="4"/>
        <v>0</v>
      </c>
      <c r="N29" s="327" t="e">
        <f t="shared" si="0"/>
        <v>#DIV/0!</v>
      </c>
      <c r="O29" s="328" t="e">
        <f t="shared" si="1"/>
        <v>#DIV/0!</v>
      </c>
      <c r="P29" s="329" t="e">
        <f t="shared" si="3"/>
        <v>#DIV/0!</v>
      </c>
    </row>
    <row r="30" spans="1:16" x14ac:dyDescent="0.3">
      <c r="A30" s="320">
        <v>42913</v>
      </c>
      <c r="H30" s="325">
        <f t="shared" si="2"/>
        <v>0</v>
      </c>
      <c r="I30" s="324"/>
      <c r="J30" s="321"/>
      <c r="K30" s="326"/>
      <c r="L30" s="324">
        <f t="shared" si="4"/>
        <v>0</v>
      </c>
      <c r="N30" s="327" t="e">
        <f t="shared" si="0"/>
        <v>#DIV/0!</v>
      </c>
      <c r="O30" s="328" t="e">
        <f t="shared" si="1"/>
        <v>#DIV/0!</v>
      </c>
      <c r="P30" s="329" t="e">
        <f t="shared" si="3"/>
        <v>#DIV/0!</v>
      </c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300-000000000000}">
          <x14:formula1>
            <xm:f>'Drop Downs Master'!$I$7:$I$15</xm:f>
          </x14:formula1>
          <xm:sqref>M4</xm:sqref>
        </x14:dataValidation>
        <x14:dataValidation type="list" allowBlank="1" showInputMessage="1" showErrorMessage="1" xr:uid="{00000000-0002-0000-0300-000001000000}">
          <x14:formula1>
            <xm:f>'Drop Downs Master'!#REF!</xm:f>
          </x14:formula1>
          <xm:sqref>M5:M27</xm:sqref>
        </x14:dataValidation>
        <x14:dataValidation type="list" allowBlank="1" showInputMessage="1" showErrorMessage="1" xr:uid="{00000000-0002-0000-0300-000002000000}">
          <x14:formula1>
            <xm:f>'Drop Downs Master'!$B$7:$B$9</xm:f>
          </x14:formula1>
          <xm:sqref>D4:D30</xm:sqref>
        </x14:dataValidation>
        <x14:dataValidation type="list" allowBlank="1" showInputMessage="1" showErrorMessage="1" xr:uid="{00000000-0002-0000-0300-000003000000}">
          <x14:formula1>
            <xm:f>'Drop Downs Master'!$D$7:$D$9</xm:f>
          </x14:formula1>
          <xm:sqref>C4:C30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R30"/>
  <sheetViews>
    <sheetView topLeftCell="A3" workbookViewId="0">
      <selection activeCell="R16" sqref="R16"/>
    </sheetView>
  </sheetViews>
  <sheetFormatPr defaultRowHeight="14.4" x14ac:dyDescent="0.3"/>
  <cols>
    <col min="1" max="1" width="9.5546875" customWidth="1"/>
    <col min="10" max="12" width="9.109375" customWidth="1"/>
  </cols>
  <sheetData>
    <row r="3" spans="1:18" ht="43.2" x14ac:dyDescent="0.3">
      <c r="A3" s="15" t="s">
        <v>121</v>
      </c>
      <c r="B3" s="15" t="s">
        <v>122</v>
      </c>
      <c r="C3" s="15" t="s">
        <v>120</v>
      </c>
      <c r="D3" s="15" t="s">
        <v>40</v>
      </c>
      <c r="E3" s="15" t="s">
        <v>123</v>
      </c>
      <c r="F3" s="318" t="s">
        <v>124</v>
      </c>
      <c r="G3" s="318" t="s">
        <v>125</v>
      </c>
      <c r="H3" s="318" t="s">
        <v>126</v>
      </c>
      <c r="I3" s="318" t="s">
        <v>141</v>
      </c>
      <c r="J3" s="318" t="s">
        <v>127</v>
      </c>
      <c r="K3" s="318" t="s">
        <v>146</v>
      </c>
      <c r="L3" s="318" t="s">
        <v>128</v>
      </c>
      <c r="M3" s="318" t="s">
        <v>41</v>
      </c>
      <c r="N3" s="318" t="s">
        <v>142</v>
      </c>
      <c r="O3" s="318" t="s">
        <v>143</v>
      </c>
      <c r="P3" s="318" t="s">
        <v>144</v>
      </c>
    </row>
    <row r="4" spans="1:18" x14ac:dyDescent="0.3">
      <c r="A4" s="320">
        <v>42887</v>
      </c>
      <c r="B4">
        <v>1</v>
      </c>
      <c r="C4" t="s">
        <v>133</v>
      </c>
      <c r="D4" t="s">
        <v>130</v>
      </c>
      <c r="E4" t="s">
        <v>145</v>
      </c>
      <c r="F4">
        <v>720</v>
      </c>
      <c r="G4">
        <v>0</v>
      </c>
      <c r="H4" s="325">
        <f>G4+F4</f>
        <v>720</v>
      </c>
      <c r="I4" s="321">
        <v>4.1500000000000002E-2</v>
      </c>
      <c r="J4" s="326">
        <v>1143</v>
      </c>
      <c r="K4" s="329">
        <f>L4/(J4*(1-I4))</f>
        <v>0.90455568379982765</v>
      </c>
      <c r="L4" s="324">
        <v>991</v>
      </c>
      <c r="M4" t="s">
        <v>104</v>
      </c>
      <c r="N4" s="327">
        <f>J4/(F4/60)</f>
        <v>95.25</v>
      </c>
      <c r="O4" s="328">
        <f>L4/(H4/60)</f>
        <v>82.583333333333329</v>
      </c>
      <c r="P4" s="329">
        <f>(G4/H4)</f>
        <v>0</v>
      </c>
    </row>
    <row r="5" spans="1:18" x14ac:dyDescent="0.3">
      <c r="A5" s="320">
        <v>42887</v>
      </c>
      <c r="B5">
        <v>1</v>
      </c>
      <c r="C5" t="s">
        <v>3</v>
      </c>
      <c r="D5" t="s">
        <v>131</v>
      </c>
      <c r="E5" t="s">
        <v>145</v>
      </c>
      <c r="F5">
        <v>720</v>
      </c>
      <c r="G5">
        <v>0</v>
      </c>
      <c r="H5" s="325">
        <f t="shared" ref="H5:H30" si="0">G5+F5</f>
        <v>720</v>
      </c>
      <c r="I5" s="321">
        <v>6.6000000000000003E-2</v>
      </c>
      <c r="J5">
        <v>3940</v>
      </c>
      <c r="K5" s="329">
        <f>L5/(J5*(1-I5))</f>
        <v>0.92935792780356319</v>
      </c>
      <c r="L5" s="324">
        <v>3420</v>
      </c>
      <c r="N5" s="327">
        <f t="shared" ref="N5:N30" si="1">J5/(F5/60)</f>
        <v>328.33333333333331</v>
      </c>
      <c r="O5" s="328">
        <f t="shared" ref="O5:O30" si="2">L5/(H5/60)</f>
        <v>285</v>
      </c>
      <c r="P5" s="329">
        <f t="shared" ref="P5:P30" si="3">(G5/H5)</f>
        <v>0</v>
      </c>
    </row>
    <row r="6" spans="1:18" x14ac:dyDescent="0.3">
      <c r="A6" s="320">
        <v>42887</v>
      </c>
      <c r="H6" s="325">
        <f t="shared" si="0"/>
        <v>0</v>
      </c>
      <c r="I6" s="321"/>
      <c r="L6" s="324">
        <f t="shared" ref="L6:L30" si="4">J6*(1-I6)</f>
        <v>0</v>
      </c>
      <c r="N6" s="327" t="e">
        <f t="shared" si="1"/>
        <v>#DIV/0!</v>
      </c>
      <c r="O6" s="328" t="e">
        <f t="shared" si="2"/>
        <v>#DIV/0!</v>
      </c>
      <c r="P6" s="329" t="e">
        <f t="shared" si="3"/>
        <v>#DIV/0!</v>
      </c>
    </row>
    <row r="7" spans="1:18" x14ac:dyDescent="0.3">
      <c r="A7" s="320">
        <v>42890</v>
      </c>
      <c r="H7" s="325">
        <f t="shared" si="0"/>
        <v>0</v>
      </c>
      <c r="I7" s="321"/>
      <c r="L7" s="324">
        <f t="shared" si="4"/>
        <v>0</v>
      </c>
      <c r="N7" s="327" t="e">
        <f t="shared" si="1"/>
        <v>#DIV/0!</v>
      </c>
      <c r="O7" s="328" t="e">
        <f t="shared" si="2"/>
        <v>#DIV/0!</v>
      </c>
      <c r="P7" s="329" t="e">
        <f t="shared" si="3"/>
        <v>#DIV/0!</v>
      </c>
    </row>
    <row r="8" spans="1:18" x14ac:dyDescent="0.3">
      <c r="A8" s="320">
        <v>42891</v>
      </c>
      <c r="H8" s="325">
        <f t="shared" si="0"/>
        <v>0</v>
      </c>
      <c r="I8" s="321"/>
      <c r="L8" s="324">
        <f t="shared" si="4"/>
        <v>0</v>
      </c>
      <c r="N8" s="327" t="e">
        <f t="shared" si="1"/>
        <v>#DIV/0!</v>
      </c>
      <c r="O8" s="328" t="e">
        <f t="shared" si="2"/>
        <v>#DIV/0!</v>
      </c>
      <c r="P8" s="329" t="e">
        <f t="shared" si="3"/>
        <v>#DIV/0!</v>
      </c>
    </row>
    <row r="9" spans="1:18" x14ac:dyDescent="0.3">
      <c r="A9" s="320">
        <v>42892</v>
      </c>
      <c r="H9" s="325">
        <f t="shared" si="0"/>
        <v>0</v>
      </c>
      <c r="I9" s="321"/>
      <c r="L9" s="324">
        <f t="shared" si="4"/>
        <v>0</v>
      </c>
      <c r="N9" s="327" t="e">
        <f t="shared" si="1"/>
        <v>#DIV/0!</v>
      </c>
      <c r="O9" s="328" t="e">
        <f t="shared" si="2"/>
        <v>#DIV/0!</v>
      </c>
      <c r="P9" s="329" t="e">
        <f t="shared" si="3"/>
        <v>#DIV/0!</v>
      </c>
    </row>
    <row r="10" spans="1:18" x14ac:dyDescent="0.3">
      <c r="A10" s="320">
        <v>42893</v>
      </c>
      <c r="H10" s="325">
        <f t="shared" si="0"/>
        <v>0</v>
      </c>
      <c r="I10" s="321"/>
      <c r="L10" s="324">
        <f t="shared" si="4"/>
        <v>0</v>
      </c>
      <c r="N10" s="327" t="e">
        <f t="shared" si="1"/>
        <v>#DIV/0!</v>
      </c>
      <c r="O10" s="328" t="e">
        <f t="shared" si="2"/>
        <v>#DIV/0!</v>
      </c>
      <c r="P10" s="329" t="e">
        <f t="shared" si="3"/>
        <v>#DIV/0!</v>
      </c>
    </row>
    <row r="11" spans="1:18" x14ac:dyDescent="0.3">
      <c r="A11" s="320">
        <v>42894</v>
      </c>
      <c r="H11" s="325">
        <f t="shared" si="0"/>
        <v>0</v>
      </c>
      <c r="I11" s="321"/>
      <c r="L11" s="324">
        <f t="shared" si="4"/>
        <v>0</v>
      </c>
      <c r="N11" s="327" t="e">
        <f t="shared" si="1"/>
        <v>#DIV/0!</v>
      </c>
      <c r="O11" s="328" t="e">
        <f t="shared" si="2"/>
        <v>#DIV/0!</v>
      </c>
      <c r="P11" s="329" t="e">
        <f t="shared" si="3"/>
        <v>#DIV/0!</v>
      </c>
    </row>
    <row r="12" spans="1:18" x14ac:dyDescent="0.3">
      <c r="A12" s="320">
        <v>42895</v>
      </c>
      <c r="H12" s="325">
        <f t="shared" si="0"/>
        <v>0</v>
      </c>
      <c r="I12" s="321"/>
      <c r="L12" s="324">
        <f t="shared" si="4"/>
        <v>0</v>
      </c>
      <c r="N12" s="327" t="e">
        <f t="shared" si="1"/>
        <v>#DIV/0!</v>
      </c>
      <c r="O12" s="328" t="e">
        <f t="shared" si="2"/>
        <v>#DIV/0!</v>
      </c>
      <c r="P12" s="329" t="e">
        <f t="shared" si="3"/>
        <v>#DIV/0!</v>
      </c>
    </row>
    <row r="13" spans="1:18" x14ac:dyDescent="0.3">
      <c r="A13" s="320">
        <v>42896</v>
      </c>
      <c r="H13" s="325">
        <f t="shared" si="0"/>
        <v>0</v>
      </c>
      <c r="I13" s="321"/>
      <c r="L13" s="324">
        <f t="shared" si="4"/>
        <v>0</v>
      </c>
      <c r="N13" s="327" t="e">
        <f t="shared" si="1"/>
        <v>#DIV/0!</v>
      </c>
      <c r="O13" s="328" t="e">
        <f t="shared" si="2"/>
        <v>#DIV/0!</v>
      </c>
      <c r="P13" s="329" t="e">
        <f t="shared" si="3"/>
        <v>#DIV/0!</v>
      </c>
    </row>
    <row r="14" spans="1:18" x14ac:dyDescent="0.3">
      <c r="A14" s="320">
        <v>42897</v>
      </c>
      <c r="H14" s="325">
        <f t="shared" si="0"/>
        <v>0</v>
      </c>
      <c r="I14" s="321"/>
      <c r="L14" s="324">
        <f t="shared" si="4"/>
        <v>0</v>
      </c>
      <c r="N14" s="327" t="e">
        <f t="shared" si="1"/>
        <v>#DIV/0!</v>
      </c>
      <c r="O14" s="328" t="e">
        <f t="shared" si="2"/>
        <v>#DIV/0!</v>
      </c>
      <c r="P14" s="329" t="e">
        <f t="shared" si="3"/>
        <v>#DIV/0!</v>
      </c>
    </row>
    <row r="15" spans="1:18" x14ac:dyDescent="0.3">
      <c r="A15" s="320">
        <v>42898</v>
      </c>
      <c r="H15" s="325">
        <f t="shared" si="0"/>
        <v>0</v>
      </c>
      <c r="I15" s="321"/>
      <c r="L15" s="324">
        <f t="shared" si="4"/>
        <v>0</v>
      </c>
      <c r="N15" s="327" t="e">
        <f t="shared" si="1"/>
        <v>#DIV/0!</v>
      </c>
      <c r="O15" s="328" t="e">
        <f t="shared" si="2"/>
        <v>#DIV/0!</v>
      </c>
      <c r="P15" s="329" t="e">
        <f t="shared" si="3"/>
        <v>#DIV/0!</v>
      </c>
    </row>
    <row r="16" spans="1:18" x14ac:dyDescent="0.3">
      <c r="A16" s="320">
        <v>42899</v>
      </c>
      <c r="H16" s="325">
        <f t="shared" si="0"/>
        <v>0</v>
      </c>
      <c r="I16" s="321"/>
      <c r="L16" s="324">
        <f t="shared" si="4"/>
        <v>0</v>
      </c>
      <c r="N16" s="327" t="e">
        <f t="shared" si="1"/>
        <v>#DIV/0!</v>
      </c>
      <c r="O16" s="328" t="e">
        <f t="shared" si="2"/>
        <v>#DIV/0!</v>
      </c>
      <c r="P16" s="329" t="e">
        <f t="shared" si="3"/>
        <v>#DIV/0!</v>
      </c>
      <c r="R16">
        <f>425*1.0825</f>
        <v>460.0625</v>
      </c>
    </row>
    <row r="17" spans="1:16" x14ac:dyDescent="0.3">
      <c r="A17" s="320">
        <v>42900</v>
      </c>
      <c r="H17" s="325">
        <f t="shared" si="0"/>
        <v>0</v>
      </c>
      <c r="I17" s="321"/>
      <c r="L17" s="324">
        <f t="shared" si="4"/>
        <v>0</v>
      </c>
      <c r="N17" s="327" t="e">
        <f t="shared" si="1"/>
        <v>#DIV/0!</v>
      </c>
      <c r="O17" s="328" t="e">
        <f t="shared" si="2"/>
        <v>#DIV/0!</v>
      </c>
      <c r="P17" s="329" t="e">
        <f t="shared" si="3"/>
        <v>#DIV/0!</v>
      </c>
    </row>
    <row r="18" spans="1:16" x14ac:dyDescent="0.3">
      <c r="A18" s="320">
        <v>42901</v>
      </c>
      <c r="H18" s="325">
        <f t="shared" si="0"/>
        <v>0</v>
      </c>
      <c r="I18" s="321"/>
      <c r="L18" s="324">
        <f t="shared" si="4"/>
        <v>0</v>
      </c>
      <c r="N18" s="327" t="e">
        <f t="shared" si="1"/>
        <v>#DIV/0!</v>
      </c>
      <c r="O18" s="328" t="e">
        <f t="shared" si="2"/>
        <v>#DIV/0!</v>
      </c>
      <c r="P18" s="329" t="e">
        <f t="shared" si="3"/>
        <v>#DIV/0!</v>
      </c>
    </row>
    <row r="19" spans="1:16" x14ac:dyDescent="0.3">
      <c r="A19" s="320">
        <v>42902</v>
      </c>
      <c r="H19" s="325">
        <f t="shared" si="0"/>
        <v>0</v>
      </c>
      <c r="I19" s="321"/>
      <c r="L19" s="324">
        <f t="shared" si="4"/>
        <v>0</v>
      </c>
      <c r="N19" s="327" t="e">
        <f t="shared" si="1"/>
        <v>#DIV/0!</v>
      </c>
      <c r="O19" s="328" t="e">
        <f t="shared" si="2"/>
        <v>#DIV/0!</v>
      </c>
      <c r="P19" s="329" t="e">
        <f t="shared" si="3"/>
        <v>#DIV/0!</v>
      </c>
    </row>
    <row r="20" spans="1:16" x14ac:dyDescent="0.3">
      <c r="A20" s="320">
        <v>42903</v>
      </c>
      <c r="H20" s="325">
        <f t="shared" si="0"/>
        <v>0</v>
      </c>
      <c r="I20" s="321"/>
      <c r="L20" s="324">
        <f t="shared" si="4"/>
        <v>0</v>
      </c>
      <c r="N20" s="327" t="e">
        <f t="shared" si="1"/>
        <v>#DIV/0!</v>
      </c>
      <c r="O20" s="328" t="e">
        <f t="shared" si="2"/>
        <v>#DIV/0!</v>
      </c>
      <c r="P20" s="329" t="e">
        <f t="shared" si="3"/>
        <v>#DIV/0!</v>
      </c>
    </row>
    <row r="21" spans="1:16" x14ac:dyDescent="0.3">
      <c r="A21" s="320">
        <v>42904</v>
      </c>
      <c r="H21" s="325">
        <f t="shared" si="0"/>
        <v>0</v>
      </c>
      <c r="I21" s="321"/>
      <c r="L21" s="324">
        <f t="shared" si="4"/>
        <v>0</v>
      </c>
      <c r="N21" s="327" t="e">
        <f t="shared" si="1"/>
        <v>#DIV/0!</v>
      </c>
      <c r="O21" s="328" t="e">
        <f t="shared" si="2"/>
        <v>#DIV/0!</v>
      </c>
      <c r="P21" s="329" t="e">
        <f t="shared" si="3"/>
        <v>#DIV/0!</v>
      </c>
    </row>
    <row r="22" spans="1:16" x14ac:dyDescent="0.3">
      <c r="A22" s="320">
        <v>42905</v>
      </c>
      <c r="H22" s="325">
        <f t="shared" si="0"/>
        <v>0</v>
      </c>
      <c r="I22" s="321"/>
      <c r="L22" s="324">
        <f t="shared" si="4"/>
        <v>0</v>
      </c>
      <c r="N22" s="327" t="e">
        <f t="shared" si="1"/>
        <v>#DIV/0!</v>
      </c>
      <c r="O22" s="328" t="e">
        <f t="shared" si="2"/>
        <v>#DIV/0!</v>
      </c>
      <c r="P22" s="329" t="e">
        <f t="shared" si="3"/>
        <v>#DIV/0!</v>
      </c>
    </row>
    <row r="23" spans="1:16" x14ac:dyDescent="0.3">
      <c r="A23" s="320">
        <v>42906</v>
      </c>
      <c r="H23" s="325">
        <f t="shared" si="0"/>
        <v>0</v>
      </c>
      <c r="I23" s="321"/>
      <c r="L23" s="324">
        <f t="shared" si="4"/>
        <v>0</v>
      </c>
      <c r="N23" s="327" t="e">
        <f t="shared" si="1"/>
        <v>#DIV/0!</v>
      </c>
      <c r="O23" s="328" t="e">
        <f t="shared" si="2"/>
        <v>#DIV/0!</v>
      </c>
      <c r="P23" s="329" t="e">
        <f t="shared" si="3"/>
        <v>#DIV/0!</v>
      </c>
    </row>
    <row r="24" spans="1:16" x14ac:dyDescent="0.3">
      <c r="A24" s="320">
        <v>42907</v>
      </c>
      <c r="H24" s="325">
        <f t="shared" si="0"/>
        <v>0</v>
      </c>
      <c r="I24" s="321"/>
      <c r="L24" s="324">
        <f t="shared" si="4"/>
        <v>0</v>
      </c>
      <c r="N24" s="327" t="e">
        <f t="shared" si="1"/>
        <v>#DIV/0!</v>
      </c>
      <c r="O24" s="328" t="e">
        <f t="shared" si="2"/>
        <v>#DIV/0!</v>
      </c>
      <c r="P24" s="329" t="e">
        <f t="shared" si="3"/>
        <v>#DIV/0!</v>
      </c>
    </row>
    <row r="25" spans="1:16" x14ac:dyDescent="0.3">
      <c r="A25" s="320">
        <v>42908</v>
      </c>
      <c r="H25" s="325">
        <f t="shared" si="0"/>
        <v>0</v>
      </c>
      <c r="I25" s="321"/>
      <c r="L25" s="324">
        <f t="shared" si="4"/>
        <v>0</v>
      </c>
      <c r="N25" s="327" t="e">
        <f t="shared" si="1"/>
        <v>#DIV/0!</v>
      </c>
      <c r="O25" s="328" t="e">
        <f t="shared" si="2"/>
        <v>#DIV/0!</v>
      </c>
      <c r="P25" s="329" t="e">
        <f t="shared" si="3"/>
        <v>#DIV/0!</v>
      </c>
    </row>
    <row r="26" spans="1:16" x14ac:dyDescent="0.3">
      <c r="A26" s="320">
        <v>42909</v>
      </c>
      <c r="H26" s="325">
        <f t="shared" si="0"/>
        <v>0</v>
      </c>
      <c r="I26" s="321"/>
      <c r="L26" s="324">
        <f t="shared" si="4"/>
        <v>0</v>
      </c>
      <c r="N26" s="327" t="e">
        <f t="shared" si="1"/>
        <v>#DIV/0!</v>
      </c>
      <c r="O26" s="328" t="e">
        <f t="shared" si="2"/>
        <v>#DIV/0!</v>
      </c>
      <c r="P26" s="329" t="e">
        <f t="shared" si="3"/>
        <v>#DIV/0!</v>
      </c>
    </row>
    <row r="27" spans="1:16" x14ac:dyDescent="0.3">
      <c r="A27" s="320">
        <v>42910</v>
      </c>
      <c r="H27" s="325">
        <f t="shared" si="0"/>
        <v>0</v>
      </c>
      <c r="I27" s="321"/>
      <c r="L27" s="324">
        <f t="shared" si="4"/>
        <v>0</v>
      </c>
      <c r="N27" s="327" t="e">
        <f t="shared" si="1"/>
        <v>#DIV/0!</v>
      </c>
      <c r="O27" s="328" t="e">
        <f t="shared" si="2"/>
        <v>#DIV/0!</v>
      </c>
      <c r="P27" s="329" t="e">
        <f t="shared" si="3"/>
        <v>#DIV/0!</v>
      </c>
    </row>
    <row r="28" spans="1:16" x14ac:dyDescent="0.3">
      <c r="A28" s="320">
        <v>42911</v>
      </c>
      <c r="H28" s="325">
        <f t="shared" si="0"/>
        <v>0</v>
      </c>
      <c r="I28" s="321"/>
      <c r="L28" s="324">
        <f t="shared" si="4"/>
        <v>0</v>
      </c>
      <c r="N28" s="327" t="e">
        <f t="shared" si="1"/>
        <v>#DIV/0!</v>
      </c>
      <c r="O28" s="328" t="e">
        <f t="shared" si="2"/>
        <v>#DIV/0!</v>
      </c>
      <c r="P28" s="329" t="e">
        <f t="shared" si="3"/>
        <v>#DIV/0!</v>
      </c>
    </row>
    <row r="29" spans="1:16" x14ac:dyDescent="0.3">
      <c r="A29" s="320">
        <v>42912</v>
      </c>
      <c r="H29" s="325">
        <f t="shared" si="0"/>
        <v>0</v>
      </c>
      <c r="I29" s="321"/>
      <c r="L29" s="324">
        <f t="shared" si="4"/>
        <v>0</v>
      </c>
      <c r="N29" s="327" t="e">
        <f t="shared" si="1"/>
        <v>#DIV/0!</v>
      </c>
      <c r="O29" s="328" t="e">
        <f t="shared" si="2"/>
        <v>#DIV/0!</v>
      </c>
      <c r="P29" s="329" t="e">
        <f t="shared" si="3"/>
        <v>#DIV/0!</v>
      </c>
    </row>
    <row r="30" spans="1:16" x14ac:dyDescent="0.3">
      <c r="A30" s="320">
        <v>42913</v>
      </c>
      <c r="H30" s="325">
        <f t="shared" si="0"/>
        <v>0</v>
      </c>
      <c r="I30" s="321"/>
      <c r="L30" s="324">
        <f t="shared" si="4"/>
        <v>0</v>
      </c>
      <c r="N30" s="327" t="e">
        <f t="shared" si="1"/>
        <v>#DIV/0!</v>
      </c>
      <c r="O30" s="328" t="e">
        <f t="shared" si="2"/>
        <v>#DIV/0!</v>
      </c>
      <c r="P30" s="329" t="e">
        <f t="shared" si="3"/>
        <v>#DIV/0!</v>
      </c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0000000}">
          <x14:formula1>
            <xm:f>'Drop Downs Master'!#REF!</xm:f>
          </x14:formula1>
          <xm:sqref>M5:M27</xm:sqref>
        </x14:dataValidation>
        <x14:dataValidation type="list" allowBlank="1" showInputMessage="1" showErrorMessage="1" xr:uid="{00000000-0002-0000-0400-000001000000}">
          <x14:formula1>
            <xm:f>'Drop Downs Master'!$B$7:$B$9</xm:f>
          </x14:formula1>
          <xm:sqref>D4:D30</xm:sqref>
        </x14:dataValidation>
        <x14:dataValidation type="list" allowBlank="1" showInputMessage="1" showErrorMessage="1" xr:uid="{00000000-0002-0000-0400-000002000000}">
          <x14:formula1>
            <xm:f>'Drop Downs Master'!$D$7:$D$9</xm:f>
          </x14:formula1>
          <xm:sqref>C4:C30</xm:sqref>
        </x14:dataValidation>
        <x14:dataValidation type="list" allowBlank="1" showInputMessage="1" showErrorMessage="1" xr:uid="{00000000-0002-0000-0400-000003000000}">
          <x14:formula1>
            <xm:f>'Drop Downs Master'!$I$7:$I$15</xm:f>
          </x14:formula1>
          <xm:sqref>M4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6:I15"/>
  <sheetViews>
    <sheetView topLeftCell="A2" workbookViewId="0">
      <selection activeCell="O14" sqref="O14"/>
    </sheetView>
  </sheetViews>
  <sheetFormatPr defaultRowHeight="14.4" x14ac:dyDescent="0.3"/>
  <cols>
    <col min="4" max="4" width="11.21875" customWidth="1"/>
  </cols>
  <sheetData>
    <row r="6" spans="2:9" x14ac:dyDescent="0.3">
      <c r="B6" s="319" t="s">
        <v>129</v>
      </c>
      <c r="D6" s="319" t="s">
        <v>120</v>
      </c>
      <c r="E6" t="s">
        <v>147</v>
      </c>
      <c r="I6" s="319" t="s">
        <v>135</v>
      </c>
    </row>
    <row r="7" spans="2:9" x14ac:dyDescent="0.3">
      <c r="B7" t="s">
        <v>130</v>
      </c>
      <c r="D7" t="s">
        <v>133</v>
      </c>
      <c r="E7" t="s">
        <v>148</v>
      </c>
      <c r="I7" t="s">
        <v>136</v>
      </c>
    </row>
    <row r="8" spans="2:9" x14ac:dyDescent="0.3">
      <c r="B8" t="s">
        <v>131</v>
      </c>
      <c r="D8" t="s">
        <v>134</v>
      </c>
      <c r="E8" t="s">
        <v>149</v>
      </c>
      <c r="I8" t="s">
        <v>102</v>
      </c>
    </row>
    <row r="9" spans="2:9" x14ac:dyDescent="0.3">
      <c r="B9" t="s">
        <v>132</v>
      </c>
      <c r="D9" t="s">
        <v>3</v>
      </c>
      <c r="E9" t="s">
        <v>26</v>
      </c>
      <c r="I9" t="s">
        <v>137</v>
      </c>
    </row>
    <row r="10" spans="2:9" x14ac:dyDescent="0.3">
      <c r="I10" t="s">
        <v>138</v>
      </c>
    </row>
    <row r="11" spans="2:9" x14ac:dyDescent="0.3">
      <c r="I11" t="s">
        <v>139</v>
      </c>
    </row>
    <row r="12" spans="2:9" x14ac:dyDescent="0.3">
      <c r="I12" t="s">
        <v>103</v>
      </c>
    </row>
    <row r="13" spans="2:9" x14ac:dyDescent="0.3">
      <c r="I13" t="s">
        <v>140</v>
      </c>
    </row>
    <row r="14" spans="2:9" x14ac:dyDescent="0.3">
      <c r="I14" t="s">
        <v>43</v>
      </c>
    </row>
    <row r="15" spans="2:9" x14ac:dyDescent="0.3">
      <c r="I15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148"/>
  <sheetViews>
    <sheetView zoomScale="80" zoomScaleNormal="80" workbookViewId="0">
      <selection activeCell="H8" sqref="H8"/>
    </sheetView>
  </sheetViews>
  <sheetFormatPr defaultRowHeight="14.4" x14ac:dyDescent="0.3"/>
  <cols>
    <col min="1" max="1" width="10.6640625" customWidth="1"/>
    <col min="2" max="2" width="10.5546875" customWidth="1"/>
    <col min="5" max="5" width="11.109375" customWidth="1"/>
    <col min="7" max="7" width="12.4414062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4.44140625" bestFit="1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>
        <v>1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1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1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>
        <v>42887</v>
      </c>
      <c r="C4" s="5"/>
      <c r="D4" s="6" t="s">
        <v>6</v>
      </c>
      <c r="E4" s="380" t="s">
        <v>99</v>
      </c>
      <c r="F4" s="381"/>
      <c r="G4" s="7"/>
      <c r="H4" s="7"/>
      <c r="I4" s="8"/>
      <c r="J4" s="9"/>
      <c r="K4" s="10"/>
      <c r="L4" s="6" t="s">
        <v>5</v>
      </c>
      <c r="M4" s="4">
        <f>B4</f>
        <v>42887</v>
      </c>
      <c r="N4" s="5"/>
      <c r="O4" s="370" t="s">
        <v>6</v>
      </c>
      <c r="P4" s="371"/>
      <c r="Q4" s="11" t="s">
        <v>99</v>
      </c>
      <c r="R4" s="12"/>
      <c r="S4" s="6" t="s">
        <v>5</v>
      </c>
      <c r="T4" s="4">
        <f>B4</f>
        <v>42887</v>
      </c>
      <c r="U4" s="5"/>
      <c r="V4" s="6" t="s">
        <v>6</v>
      </c>
      <c r="W4" s="382" t="s">
        <v>99</v>
      </c>
      <c r="X4" s="383"/>
      <c r="Y4" s="5"/>
      <c r="Z4" s="13"/>
      <c r="AA4" s="14"/>
      <c r="AB4" s="15"/>
      <c r="AC4" s="3" t="s">
        <v>5</v>
      </c>
      <c r="AD4" s="4">
        <f>B4</f>
        <v>42887</v>
      </c>
      <c r="AE4" s="5"/>
      <c r="AF4" s="6" t="s">
        <v>6</v>
      </c>
      <c r="AG4" s="380" t="s">
        <v>91</v>
      </c>
      <c r="AH4" s="381"/>
      <c r="AI4" s="7"/>
      <c r="AJ4" s="7"/>
      <c r="AK4" s="8"/>
      <c r="AL4" s="9"/>
      <c r="AM4" s="10"/>
      <c r="AN4" s="6" t="s">
        <v>5</v>
      </c>
      <c r="AO4" s="4">
        <f>B4</f>
        <v>42887</v>
      </c>
      <c r="AP4" s="5"/>
      <c r="AQ4" s="370" t="s">
        <v>6</v>
      </c>
      <c r="AR4" s="371"/>
      <c r="AS4" s="11" t="s">
        <v>91</v>
      </c>
      <c r="AT4" s="12"/>
      <c r="AU4" s="6" t="s">
        <v>5</v>
      </c>
      <c r="AV4" s="4">
        <f>B4</f>
        <v>42887</v>
      </c>
      <c r="AW4" s="5"/>
      <c r="AX4" s="6" t="s">
        <v>6</v>
      </c>
      <c r="AY4" s="382" t="s">
        <v>91</v>
      </c>
      <c r="AZ4" s="383"/>
      <c r="BA4" s="5"/>
      <c r="BB4" s="13"/>
      <c r="BC4" s="14"/>
    </row>
    <row r="5" spans="1:55" ht="43.8" thickBot="1" x14ac:dyDescent="0.35">
      <c r="A5" s="16" t="s">
        <v>8</v>
      </c>
      <c r="B5" s="17">
        <v>12</v>
      </c>
      <c r="C5" s="5"/>
      <c r="D5" s="18" t="s">
        <v>9</v>
      </c>
      <c r="E5" s="19"/>
      <c r="F5" s="20" t="s">
        <v>10</v>
      </c>
      <c r="G5" s="21">
        <f>SUM((B5+E5)/12, 0)</f>
        <v>1</v>
      </c>
      <c r="H5" s="22"/>
      <c r="I5" s="23"/>
      <c r="J5" s="24"/>
      <c r="K5" s="25"/>
      <c r="L5" s="26" t="s">
        <v>11</v>
      </c>
      <c r="M5" s="27">
        <v>12</v>
      </c>
      <c r="N5" s="5"/>
      <c r="O5" s="28" t="s">
        <v>12</v>
      </c>
      <c r="P5" s="298">
        <f>SUM(M5/12)</f>
        <v>1</v>
      </c>
      <c r="Q5" s="317"/>
      <c r="R5" s="29"/>
      <c r="S5" s="20" t="s">
        <v>13</v>
      </c>
      <c r="T5" s="17">
        <v>7.2</v>
      </c>
      <c r="U5" s="5"/>
      <c r="V5" s="18" t="s">
        <v>14</v>
      </c>
      <c r="W5" s="19"/>
      <c r="X5" s="18" t="s">
        <v>10</v>
      </c>
      <c r="Y5" s="30">
        <f>SUM(T5+W5)/12</f>
        <v>0.6</v>
      </c>
      <c r="Z5" s="31"/>
      <c r="AA5" s="32"/>
      <c r="AB5" s="15"/>
      <c r="AC5" s="16" t="s">
        <v>8</v>
      </c>
      <c r="AD5" s="17">
        <v>12</v>
      </c>
      <c r="AE5" s="5"/>
      <c r="AF5" s="18" t="s">
        <v>9</v>
      </c>
      <c r="AG5" s="19"/>
      <c r="AH5" s="20" t="s">
        <v>10</v>
      </c>
      <c r="AI5" s="21">
        <f>SUM(AD5+AG5)/12</f>
        <v>1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>
        <v>11</v>
      </c>
      <c r="AW5" s="5"/>
      <c r="AX5" s="18" t="s">
        <v>14</v>
      </c>
      <c r="AY5" s="19"/>
      <c r="AZ5" s="18" t="s">
        <v>10</v>
      </c>
      <c r="BA5" s="30">
        <f>(AV5+AY5)/12</f>
        <v>0.91666666666666663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4"/>
      <c r="H6" s="34"/>
      <c r="I6" s="35"/>
      <c r="J6" s="36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4"/>
      <c r="AJ6" s="34"/>
      <c r="AK6" s="35"/>
      <c r="AL6" s="36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>
        <v>1143</v>
      </c>
      <c r="C8" s="59">
        <f>B8*(1-B10)</f>
        <v>1095.5654999999999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>
        <v>4004.4</v>
      </c>
      <c r="M8" s="68">
        <v>2980.8</v>
      </c>
      <c r="N8" s="64">
        <f>L8*(1-M10)</f>
        <v>4004.4</v>
      </c>
      <c r="O8" s="69">
        <v>3282</v>
      </c>
      <c r="P8" s="296"/>
      <c r="Q8" s="60">
        <f>IFERROR((O8+P8)/L8,0)</f>
        <v>0.81959844171411445</v>
      </c>
      <c r="R8" s="70"/>
      <c r="S8" s="71">
        <v>1050</v>
      </c>
      <c r="T8" s="72">
        <v>934</v>
      </c>
      <c r="U8" s="62">
        <f>S8*(1-T10)</f>
        <v>989.625</v>
      </c>
      <c r="V8" s="60">
        <f>IFERROR(T8/S8,0)</f>
        <v>0.88952380952380949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>
        <v>1040</v>
      </c>
      <c r="AE8" s="59">
        <f>AD8*(1-AD10)</f>
        <v>990.86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>
        <v>3940</v>
      </c>
      <c r="AO8" s="68">
        <v>3481</v>
      </c>
      <c r="AP8" s="64">
        <f>AN8*(1-AO10)</f>
        <v>3679.9599999999996</v>
      </c>
      <c r="AQ8" s="69">
        <v>3420</v>
      </c>
      <c r="AR8" s="296"/>
      <c r="AS8" s="60">
        <f>SUM((AQ8+AR8)/AP8,0)</f>
        <v>0.92935792780356319</v>
      </c>
      <c r="AT8" s="70"/>
      <c r="AU8" s="71">
        <v>1292</v>
      </c>
      <c r="AV8" s="72">
        <v>1076</v>
      </c>
      <c r="AW8" s="62">
        <f>AU8*(1-AV10)</f>
        <v>1193.808</v>
      </c>
      <c r="AX8" s="60">
        <f>IFERROR(AV8/AU8,0)</f>
        <v>0.83281733746130027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95.25</v>
      </c>
      <c r="C9" s="79">
        <f>B8*(1-B10)</f>
        <v>1095.5654999999999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333.7</v>
      </c>
      <c r="M9" s="86">
        <f>IFERROR(M8/M5,0)</f>
        <v>248.4</v>
      </c>
      <c r="N9" s="86">
        <f>IFERROR(N8/M5,0)</f>
        <v>333.7</v>
      </c>
      <c r="O9" s="86">
        <f>IFERROR(O8/M5,0)</f>
        <v>273.5</v>
      </c>
      <c r="P9" s="297">
        <f>SUM(P8/M5,0)</f>
        <v>0</v>
      </c>
      <c r="Q9" s="87">
        <f>IFERROR(Q8/M5,0)</f>
        <v>6.8299870142842875E-2</v>
      </c>
      <c r="R9" s="88"/>
      <c r="S9" s="89">
        <f>IFERROR(S8/T5,0)</f>
        <v>145.83333333333334</v>
      </c>
      <c r="T9" s="90">
        <f>IFERROR(SUM(T8/T5),0)</f>
        <v>129.72222222222223</v>
      </c>
      <c r="U9" s="91">
        <f>IFERROR(U8/T5,0)</f>
        <v>137.44791666666666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86.666666666666671</v>
      </c>
      <c r="AE9" s="79">
        <f>IFERROR(AE8/AD5,0)</f>
        <v>82.571666666666673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328.33333333333331</v>
      </c>
      <c r="AO9" s="86">
        <f>IFERROR(AO8/AO5,0)</f>
        <v>290.08333333333331</v>
      </c>
      <c r="AP9" s="86">
        <f>IFERROR(AP8/AO5,0)</f>
        <v>306.6633333333333</v>
      </c>
      <c r="AQ9" s="86">
        <f>IFERROR(AQ8/AO5,0)</f>
        <v>285</v>
      </c>
      <c r="AR9" s="297">
        <f>SUM(AR8/AO5,0)</f>
        <v>0</v>
      </c>
      <c r="AS9" s="87">
        <f>IFERROR(AS8/AO5,0)</f>
        <v>7.7446493983630266E-2</v>
      </c>
      <c r="AT9" s="88"/>
      <c r="AU9" s="89">
        <f>IFERROR(AU8/AV5,0)</f>
        <v>117.45454545454545</v>
      </c>
      <c r="AV9" s="90">
        <f>IFERROR(SUM(AV8/AV5),0)</f>
        <v>97.818181818181813</v>
      </c>
      <c r="AW9" s="91">
        <f>IFERROR(AW8/AV5,0)</f>
        <v>108.52800000000001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322">
        <f>J23</f>
        <v>4.1499999999999995E-2</v>
      </c>
      <c r="C10" s="99"/>
      <c r="D10" s="100"/>
      <c r="E10" s="101" t="s">
        <v>39</v>
      </c>
      <c r="F10" s="102">
        <f>J23</f>
        <v>4.1499999999999995E-2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5.7500000000000002E-2</v>
      </c>
      <c r="U10" s="112"/>
      <c r="V10" s="100"/>
      <c r="W10" s="101" t="s">
        <v>39</v>
      </c>
      <c r="X10" s="113">
        <f>AA23</f>
        <v>5.7500000000000002E-2</v>
      </c>
      <c r="Y10" s="5"/>
      <c r="Z10" s="5"/>
      <c r="AA10" s="114"/>
      <c r="AB10" s="15"/>
      <c r="AC10" s="97" t="s">
        <v>39</v>
      </c>
      <c r="AD10" s="98">
        <f>AL23</f>
        <v>4.725E-2</v>
      </c>
      <c r="AE10" s="99"/>
      <c r="AF10" s="100"/>
      <c r="AG10" s="101" t="s">
        <v>39</v>
      </c>
      <c r="AH10" s="102">
        <f>AL23</f>
        <v>4.725E-2</v>
      </c>
      <c r="AI10" s="103"/>
      <c r="AJ10" s="99"/>
      <c r="AK10" s="104"/>
      <c r="AL10" s="105"/>
      <c r="AM10" s="106"/>
      <c r="AN10" s="107" t="s">
        <v>39</v>
      </c>
      <c r="AO10" s="108">
        <f>AR23</f>
        <v>6.6000000000000003E-2</v>
      </c>
      <c r="AP10" s="109"/>
      <c r="AQ10" s="109"/>
      <c r="AR10" s="109"/>
      <c r="AS10" s="110"/>
      <c r="AT10" s="111"/>
      <c r="AU10" s="107" t="s">
        <v>39</v>
      </c>
      <c r="AV10" s="108">
        <f>BC23</f>
        <v>7.5999999999999998E-2</v>
      </c>
      <c r="AW10" s="112"/>
      <c r="AX10" s="100"/>
      <c r="AY10" s="101" t="s">
        <v>39</v>
      </c>
      <c r="AZ10" s="113">
        <f>BC23</f>
        <v>7.5999999999999998E-2</v>
      </c>
      <c r="BA10" s="5"/>
      <c r="BB10" s="5"/>
      <c r="BC10" s="114"/>
    </row>
    <row r="11" spans="1:55" ht="15" thickBot="1" x14ac:dyDescent="0.35">
      <c r="A11" s="115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124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7" t="s">
        <v>40</v>
      </c>
      <c r="X11" s="133"/>
      <c r="Y11" s="131" t="s">
        <v>41</v>
      </c>
      <c r="Z11" s="134"/>
      <c r="AA11" s="135"/>
      <c r="AB11" s="15"/>
      <c r="AC11" s="115" t="s">
        <v>40</v>
      </c>
      <c r="AD11" s="116" t="s">
        <v>47</v>
      </c>
      <c r="AE11" s="99"/>
      <c r="AF11" s="80"/>
      <c r="AG11" s="117"/>
      <c r="AH11" s="118"/>
      <c r="AI11" s="119" t="s">
        <v>41</v>
      </c>
      <c r="AJ11" s="120" t="s">
        <v>102</v>
      </c>
      <c r="AK11" s="121"/>
      <c r="AL11" s="122"/>
      <c r="AM11" s="123"/>
      <c r="AN11" s="124" t="s">
        <v>40</v>
      </c>
      <c r="AO11" s="125" t="s">
        <v>42</v>
      </c>
      <c r="AP11" s="126" t="s">
        <v>41</v>
      </c>
      <c r="AQ11" s="127" t="s">
        <v>103</v>
      </c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 t="s">
        <v>104</v>
      </c>
      <c r="AY11" s="7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136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136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140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140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147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147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147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147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>
        <v>0.26041666666666669</v>
      </c>
      <c r="B15" s="153">
        <v>0.92200000000000004</v>
      </c>
      <c r="C15" s="154">
        <v>0.86499999999999999</v>
      </c>
      <c r="D15" s="155">
        <v>6.7000000000000004E-2</v>
      </c>
      <c r="E15" s="156"/>
      <c r="F15" s="157"/>
      <c r="G15" s="158">
        <v>0.93320000000000003</v>
      </c>
      <c r="H15" s="158"/>
      <c r="I15" s="159"/>
      <c r="J15" s="160">
        <v>4.2000000000000003E-2</v>
      </c>
      <c r="K15" s="161"/>
      <c r="L15" s="162">
        <v>0.27310000000000001</v>
      </c>
      <c r="M15" s="163">
        <v>0.12379999999999999</v>
      </c>
      <c r="N15" s="164">
        <v>0.28539999999999999</v>
      </c>
      <c r="O15" s="299">
        <v>0.1128</v>
      </c>
      <c r="P15" s="446">
        <v>5.7000000000000002E-2</v>
      </c>
      <c r="Q15" s="447"/>
      <c r="R15" s="161"/>
      <c r="S15" s="166">
        <v>0.20699999999999999</v>
      </c>
      <c r="T15" s="163">
        <v>0.16259999999999999</v>
      </c>
      <c r="U15" s="167">
        <v>0.28539999999999999</v>
      </c>
      <c r="V15" s="168">
        <v>0.1128</v>
      </c>
      <c r="W15" s="169"/>
      <c r="X15" s="170"/>
      <c r="Y15" s="170"/>
      <c r="Z15" s="171"/>
      <c r="AA15" s="172">
        <v>5.7000000000000002E-2</v>
      </c>
      <c r="AB15" s="173"/>
      <c r="AC15" s="152">
        <v>0.75694444444444453</v>
      </c>
      <c r="AD15" s="153">
        <v>0.91990000000000005</v>
      </c>
      <c r="AE15" s="154">
        <v>0.84240000000000004</v>
      </c>
      <c r="AF15" s="155">
        <v>7.7299999999999994E-2</v>
      </c>
      <c r="AG15" s="156"/>
      <c r="AH15" s="157"/>
      <c r="AI15" s="158">
        <v>0.91439999999999999</v>
      </c>
      <c r="AJ15" s="158"/>
      <c r="AK15" s="159"/>
      <c r="AL15" s="160">
        <v>0.04</v>
      </c>
      <c r="AM15" s="161"/>
      <c r="AN15" s="162">
        <v>0.1741</v>
      </c>
      <c r="AO15" s="163">
        <v>0.15379999999999999</v>
      </c>
      <c r="AP15" s="164">
        <v>0.19120000000000001</v>
      </c>
      <c r="AQ15" s="165">
        <v>0.1231</v>
      </c>
      <c r="AR15" s="356">
        <v>0.06</v>
      </c>
      <c r="AS15" s="357"/>
      <c r="AT15" s="161"/>
      <c r="AU15" s="166"/>
      <c r="AV15" s="163"/>
      <c r="AW15" s="167"/>
      <c r="AX15" s="168"/>
      <c r="AY15" s="169"/>
      <c r="AZ15" s="170"/>
      <c r="BA15" s="170"/>
      <c r="BB15" s="171"/>
      <c r="BC15" s="172"/>
    </row>
    <row r="16" spans="1:55" x14ac:dyDescent="0.3">
      <c r="A16" s="152">
        <v>0.4236111111111111</v>
      </c>
      <c r="B16" s="174">
        <v>0.89200000000000002</v>
      </c>
      <c r="C16" s="175">
        <v>0.84799999999999998</v>
      </c>
      <c r="D16" s="176">
        <v>9.5000000000000001E-2</v>
      </c>
      <c r="E16" s="177"/>
      <c r="F16" s="178"/>
      <c r="G16" s="179">
        <v>0.93559999999999999</v>
      </c>
      <c r="H16" s="179"/>
      <c r="I16" s="180"/>
      <c r="J16" s="160">
        <v>4.2000000000000003E-2</v>
      </c>
      <c r="K16" s="161"/>
      <c r="L16" s="181">
        <v>0.20899999999999999</v>
      </c>
      <c r="M16" s="170">
        <v>0.16600000000000001</v>
      </c>
      <c r="N16" s="182">
        <v>0.2011</v>
      </c>
      <c r="O16" s="300">
        <v>0.14729999999999999</v>
      </c>
      <c r="P16" s="440">
        <v>5.2999999999999999E-2</v>
      </c>
      <c r="Q16" s="357"/>
      <c r="R16" s="161"/>
      <c r="S16" s="169">
        <v>0.1971</v>
      </c>
      <c r="T16" s="170">
        <v>0.17050000000000001</v>
      </c>
      <c r="U16" s="169">
        <v>0.23039999999999999</v>
      </c>
      <c r="V16" s="171">
        <v>0.14030000000000001</v>
      </c>
      <c r="W16" s="169"/>
      <c r="X16" s="170"/>
      <c r="Y16" s="170"/>
      <c r="Z16" s="171"/>
      <c r="AA16" s="184">
        <v>5.8000000000000003E-2</v>
      </c>
      <c r="AB16" s="173"/>
      <c r="AC16" s="185">
        <v>0.90277777777777779</v>
      </c>
      <c r="AD16" s="174">
        <v>0.86160000000000003</v>
      </c>
      <c r="AE16" s="175">
        <v>0.8155</v>
      </c>
      <c r="AF16" s="176">
        <v>0.1075</v>
      </c>
      <c r="AG16" s="177"/>
      <c r="AH16" s="178"/>
      <c r="AI16" s="179">
        <v>0.91749999999999998</v>
      </c>
      <c r="AJ16" s="179"/>
      <c r="AK16" s="180"/>
      <c r="AL16" s="160">
        <v>4.9000000000000002E-2</v>
      </c>
      <c r="AM16" s="161"/>
      <c r="AN16" s="181">
        <v>0.21190000000000001</v>
      </c>
      <c r="AO16" s="170">
        <v>0.15329999999999999</v>
      </c>
      <c r="AP16" s="182">
        <v>0.2248</v>
      </c>
      <c r="AQ16" s="183">
        <v>0.1056</v>
      </c>
      <c r="AR16" s="356">
        <v>6.7000000000000004E-2</v>
      </c>
      <c r="AS16" s="357"/>
      <c r="AT16" s="161"/>
      <c r="AU16" s="169">
        <v>0.21199999999999999</v>
      </c>
      <c r="AV16" s="170">
        <v>0.153</v>
      </c>
      <c r="AW16" s="169">
        <v>0.22359999999999999</v>
      </c>
      <c r="AX16" s="171">
        <v>0.18720000000000001</v>
      </c>
      <c r="AY16" s="169"/>
      <c r="AZ16" s="170"/>
      <c r="BA16" s="170"/>
      <c r="BB16" s="171"/>
      <c r="BC16" s="184">
        <v>6.7000000000000004E-2</v>
      </c>
    </row>
    <row r="17" spans="1:55" x14ac:dyDescent="0.3">
      <c r="A17" s="152">
        <v>0.54166666666666663</v>
      </c>
      <c r="B17" s="174">
        <v>0.90700000000000003</v>
      </c>
      <c r="C17" s="175">
        <v>0.85599999999999998</v>
      </c>
      <c r="D17" s="176">
        <v>7.2999999999999995E-2</v>
      </c>
      <c r="E17" s="177"/>
      <c r="F17" s="178"/>
      <c r="G17" s="179">
        <v>0.93100000000000005</v>
      </c>
      <c r="H17" s="179"/>
      <c r="I17" s="180"/>
      <c r="J17" s="160">
        <v>3.9E-2</v>
      </c>
      <c r="K17" s="161"/>
      <c r="L17" s="181">
        <v>0.14030000000000001</v>
      </c>
      <c r="M17" s="170">
        <v>0.16300000000000001</v>
      </c>
      <c r="N17" s="182">
        <v>0.1278</v>
      </c>
      <c r="O17" s="300">
        <v>0.16789999999999999</v>
      </c>
      <c r="P17" s="440">
        <v>6.0999999999999999E-2</v>
      </c>
      <c r="Q17" s="357"/>
      <c r="R17" s="161"/>
      <c r="S17" s="169"/>
      <c r="T17" s="170"/>
      <c r="U17" s="169"/>
      <c r="V17" s="171"/>
      <c r="W17" s="169"/>
      <c r="X17" s="170"/>
      <c r="Y17" s="170"/>
      <c r="Z17" s="171"/>
      <c r="AA17" s="184"/>
      <c r="AB17" s="173"/>
      <c r="AC17" s="185">
        <v>0.99305555555555547</v>
      </c>
      <c r="AD17" s="174">
        <v>0.63</v>
      </c>
      <c r="AE17" s="175">
        <v>0.5837</v>
      </c>
      <c r="AF17" s="176">
        <v>9.9000000000000005E-2</v>
      </c>
      <c r="AG17" s="177"/>
      <c r="AH17" s="178"/>
      <c r="AI17" s="179">
        <v>0.92310000000000003</v>
      </c>
      <c r="AJ17" s="179"/>
      <c r="AK17" s="180"/>
      <c r="AL17" s="160">
        <v>0.05</v>
      </c>
      <c r="AM17" s="161"/>
      <c r="AN17" s="181">
        <v>0.21879999999999999</v>
      </c>
      <c r="AO17" s="170">
        <v>0.1172</v>
      </c>
      <c r="AP17" s="182">
        <v>0.309</v>
      </c>
      <c r="AQ17" s="183">
        <v>8.4000000000000005E-2</v>
      </c>
      <c r="AR17" s="356">
        <v>7.3999999999999996E-2</v>
      </c>
      <c r="AS17" s="357"/>
      <c r="AT17" s="161"/>
      <c r="AU17" s="169">
        <v>0.2908</v>
      </c>
      <c r="AV17" s="170">
        <v>8.0699999999999994E-2</v>
      </c>
      <c r="AW17" s="169">
        <v>0.33289999999999997</v>
      </c>
      <c r="AX17" s="171">
        <v>4.3400000000000001E-2</v>
      </c>
      <c r="AY17" s="169"/>
      <c r="AZ17" s="170"/>
      <c r="BA17" s="170"/>
      <c r="BB17" s="171"/>
      <c r="BC17" s="184">
        <v>8.6999999999999994E-2</v>
      </c>
    </row>
    <row r="18" spans="1:55" x14ac:dyDescent="0.3">
      <c r="A18" s="152">
        <v>0.70833333333333337</v>
      </c>
      <c r="B18" s="174">
        <v>0.92430000000000001</v>
      </c>
      <c r="C18" s="175">
        <v>0.74370000000000003</v>
      </c>
      <c r="D18" s="176">
        <v>6.7000000000000004E-2</v>
      </c>
      <c r="E18" s="177"/>
      <c r="F18" s="178"/>
      <c r="G18" s="179">
        <v>0.89700000000000002</v>
      </c>
      <c r="H18" s="179"/>
      <c r="I18" s="180"/>
      <c r="J18" s="160">
        <v>4.2999999999999997E-2</v>
      </c>
      <c r="K18" s="161"/>
      <c r="L18" s="181">
        <v>0.17610000000000001</v>
      </c>
      <c r="M18" s="170">
        <v>0.1633</v>
      </c>
      <c r="N18" s="182">
        <v>0.255</v>
      </c>
      <c r="O18" s="300">
        <v>8.0799999999999997E-2</v>
      </c>
      <c r="P18" s="440">
        <v>6.2E-2</v>
      </c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>
        <v>0.15972222222222224</v>
      </c>
      <c r="AD18" s="174">
        <v>0.88049999999999995</v>
      </c>
      <c r="AE18" s="175">
        <v>0.75890000000000002</v>
      </c>
      <c r="AF18" s="176">
        <v>9.5399999999999999E-2</v>
      </c>
      <c r="AG18" s="177"/>
      <c r="AH18" s="178"/>
      <c r="AI18" s="179">
        <v>0.91279999999999994</v>
      </c>
      <c r="AJ18" s="179"/>
      <c r="AK18" s="180"/>
      <c r="AL18" s="160">
        <v>0.05</v>
      </c>
      <c r="AM18" s="161"/>
      <c r="AN18" s="181">
        <v>0.18970000000000001</v>
      </c>
      <c r="AO18" s="170">
        <v>0.13819999999999999</v>
      </c>
      <c r="AP18" s="182">
        <v>0.23350000000000001</v>
      </c>
      <c r="AQ18" s="183">
        <v>9.5799999999999996E-2</v>
      </c>
      <c r="AR18" s="356">
        <v>6.3E-2</v>
      </c>
      <c r="AS18" s="357"/>
      <c r="AT18" s="161"/>
      <c r="AU18" s="169">
        <v>0.2162</v>
      </c>
      <c r="AV18" s="170">
        <v>0.1255</v>
      </c>
      <c r="AW18" s="169">
        <v>0.218</v>
      </c>
      <c r="AX18" s="171">
        <v>0.13</v>
      </c>
      <c r="AY18" s="169"/>
      <c r="AZ18" s="170"/>
      <c r="BA18" s="170"/>
      <c r="BB18" s="171"/>
      <c r="BC18" s="184">
        <v>7.3999999999999996E-2</v>
      </c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18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18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18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18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18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18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0.91132500000000005</v>
      </c>
      <c r="C23" s="198">
        <f t="shared" ref="C23:J23" si="0">IFERROR(AVERAGE(C15:C22),0)</f>
        <v>0.82817499999999999</v>
      </c>
      <c r="D23" s="198">
        <f t="shared" si="0"/>
        <v>7.5499999999999998E-2</v>
      </c>
      <c r="E23" s="198">
        <f t="shared" si="0"/>
        <v>0</v>
      </c>
      <c r="F23" s="198">
        <f t="shared" si="0"/>
        <v>0</v>
      </c>
      <c r="G23" s="198">
        <f t="shared" si="0"/>
        <v>0.92420000000000013</v>
      </c>
      <c r="H23" s="198">
        <f t="shared" si="0"/>
        <v>0</v>
      </c>
      <c r="I23" s="198">
        <f t="shared" si="0"/>
        <v>0</v>
      </c>
      <c r="J23" s="323">
        <f t="shared" si="0"/>
        <v>4.1499999999999995E-2</v>
      </c>
      <c r="K23" s="161"/>
      <c r="L23" s="199">
        <f>IFERROR(AVERAGE(L15:L22),0)</f>
        <v>0.199625</v>
      </c>
      <c r="M23" s="198">
        <f>IFERROR(AVERAGE(M15:M22),0)</f>
        <v>0.154025</v>
      </c>
      <c r="N23" s="200">
        <f>IFERROR(AVERAGE(N15:N22),0)</f>
        <v>0.21732499999999999</v>
      </c>
      <c r="O23" s="201">
        <f>IFERROR(AVERAGE(O15:O22),0)</f>
        <v>0.12720000000000001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0.20205000000000001</v>
      </c>
      <c r="T23" s="198">
        <f t="shared" si="1"/>
        <v>0.16655</v>
      </c>
      <c r="U23" s="198">
        <f t="shared" si="1"/>
        <v>0.25790000000000002</v>
      </c>
      <c r="V23" s="198">
        <f t="shared" si="1"/>
        <v>0.12655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5.7500000000000002E-2</v>
      </c>
      <c r="AB23" s="173"/>
      <c r="AC23" s="197" t="s">
        <v>58</v>
      </c>
      <c r="AD23" s="198">
        <f>IFERROR(AVERAGE(AD15:AD22),0)</f>
        <v>0.82300000000000006</v>
      </c>
      <c r="AE23" s="198">
        <f t="shared" ref="AE23:AL23" si="2">IFERROR(AVERAGE(AE15:AE22),0)</f>
        <v>0.75012500000000004</v>
      </c>
      <c r="AF23" s="198">
        <f t="shared" si="2"/>
        <v>9.4799999999999995E-2</v>
      </c>
      <c r="AG23" s="198">
        <f t="shared" si="2"/>
        <v>0</v>
      </c>
      <c r="AH23" s="198">
        <f t="shared" si="2"/>
        <v>0</v>
      </c>
      <c r="AI23" s="198">
        <f t="shared" si="2"/>
        <v>0.91694999999999993</v>
      </c>
      <c r="AJ23" s="198">
        <f t="shared" si="2"/>
        <v>0</v>
      </c>
      <c r="AK23" s="198">
        <f t="shared" si="2"/>
        <v>0</v>
      </c>
      <c r="AL23" s="198">
        <f t="shared" si="2"/>
        <v>4.725E-2</v>
      </c>
      <c r="AM23" s="161"/>
      <c r="AN23" s="199">
        <f>IFERROR(AVERAGE(AN15:AN22),0)</f>
        <v>0.198625</v>
      </c>
      <c r="AO23" s="198">
        <f>IFERROR(AVERAGE(AO15:AO22),0)</f>
        <v>0.140625</v>
      </c>
      <c r="AP23" s="200">
        <f>IFERROR(AVERAGE(AP15:AP22),0)</f>
        <v>0.23962500000000003</v>
      </c>
      <c r="AQ23" s="201">
        <f>IFERROR(AVERAGE(AQ15:AQ22),0)</f>
        <v>0.10212500000000001</v>
      </c>
      <c r="AR23" s="396">
        <f>IFERROR(AVERAGE(AR15:AS22),0)</f>
        <v>6.6000000000000003E-2</v>
      </c>
      <c r="AS23" s="397"/>
      <c r="AT23" s="202"/>
      <c r="AU23" s="199">
        <f t="shared" ref="AU23:BC23" si="3">IFERROR(AVERAGE(AU15:AU22),0)</f>
        <v>0.23966666666666669</v>
      </c>
      <c r="AV23" s="198">
        <f t="shared" si="3"/>
        <v>0.11973333333333332</v>
      </c>
      <c r="AW23" s="198">
        <f t="shared" si="3"/>
        <v>0.25816666666666666</v>
      </c>
      <c r="AX23" s="198">
        <f t="shared" si="3"/>
        <v>0.12020000000000002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7.5999999999999998E-2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206"/>
      <c r="H24" s="206"/>
      <c r="I24" s="207"/>
      <c r="J24" s="207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206"/>
      <c r="AJ24" s="206"/>
      <c r="AK24" s="207"/>
      <c r="AL24" s="207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 t="s">
        <v>106</v>
      </c>
      <c r="AS25" s="217"/>
      <c r="AT25" s="218"/>
      <c r="AU25" s="216" t="s">
        <v>60</v>
      </c>
      <c r="AV25" s="212">
        <v>2</v>
      </c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 t="s">
        <v>105</v>
      </c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 t="s">
        <v>105</v>
      </c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293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294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246" t="s">
        <v>74</v>
      </c>
      <c r="C34" s="46" t="s">
        <v>75</v>
      </c>
      <c r="D34" s="246" t="s">
        <v>76</v>
      </c>
      <c r="E34" s="46" t="s">
        <v>77</v>
      </c>
      <c r="F34" s="246" t="s">
        <v>78</v>
      </c>
      <c r="G34" s="46" t="s">
        <v>79</v>
      </c>
      <c r="H34" s="147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246" t="s">
        <v>74</v>
      </c>
      <c r="AE34" s="46" t="s">
        <v>75</v>
      </c>
      <c r="AF34" s="246" t="s">
        <v>76</v>
      </c>
      <c r="AG34" s="46" t="s">
        <v>77</v>
      </c>
      <c r="AH34" s="246" t="s">
        <v>78</v>
      </c>
      <c r="AI34" s="46" t="s">
        <v>79</v>
      </c>
      <c r="AJ34" s="147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403.22222222222223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2183</v>
      </c>
      <c r="D43" s="267"/>
      <c r="E43" s="276" t="s">
        <v>84</v>
      </c>
      <c r="F43" s="273">
        <f>AG9+AQ9+AV9</f>
        <v>382.81818181818181</v>
      </c>
      <c r="K43" s="266"/>
      <c r="R43" s="266"/>
    </row>
    <row r="44" spans="1:55" ht="16.2" thickBot="1" x14ac:dyDescent="0.35">
      <c r="A44" s="274" t="s">
        <v>3</v>
      </c>
      <c r="B44" s="275">
        <f>L8+AN8</f>
        <v>7944.4</v>
      </c>
      <c r="C44" s="277"/>
      <c r="D44" s="267"/>
      <c r="E44" s="276" t="s">
        <v>85</v>
      </c>
      <c r="F44" s="273">
        <f>B9+X9</f>
        <v>95.25</v>
      </c>
      <c r="K44" s="266"/>
      <c r="R44" s="266"/>
    </row>
    <row r="45" spans="1:55" ht="16.2" thickBot="1" x14ac:dyDescent="0.35">
      <c r="A45" s="274" t="s">
        <v>4</v>
      </c>
      <c r="B45" s="278">
        <f>S8+AU8</f>
        <v>2342</v>
      </c>
      <c r="C45" s="279">
        <f>W8+AY8</f>
        <v>0</v>
      </c>
      <c r="D45" s="267"/>
      <c r="E45" s="280" t="s">
        <v>86</v>
      </c>
      <c r="F45" s="281">
        <f>AD9+AZ9</f>
        <v>86.666666666666671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10286.4</v>
      </c>
      <c r="C46" s="284">
        <f>SUM(C43:C45)</f>
        <v>2183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11" ht="16.2" thickBot="1" x14ac:dyDescent="0.35">
      <c r="A49" s="274" t="s">
        <v>2</v>
      </c>
      <c r="B49" s="286">
        <f>B43*0.8</f>
        <v>0</v>
      </c>
      <c r="C49" s="275">
        <f>C43*0.8</f>
        <v>1746.4</v>
      </c>
      <c r="D49" s="267"/>
      <c r="E49" s="267"/>
      <c r="F49" s="267"/>
    </row>
    <row r="50" spans="1:11" ht="16.2" thickBot="1" x14ac:dyDescent="0.35">
      <c r="A50" s="274" t="s">
        <v>3</v>
      </c>
      <c r="B50" s="286">
        <f>B44*0.88</f>
        <v>6991.0720000000001</v>
      </c>
      <c r="C50" s="277"/>
      <c r="D50" s="267"/>
      <c r="E50" s="267"/>
      <c r="F50" s="267"/>
    </row>
    <row r="51" spans="1:11" ht="16.2" thickBot="1" x14ac:dyDescent="0.35">
      <c r="A51" s="287" t="s">
        <v>4</v>
      </c>
      <c r="B51" s="288">
        <f>B45*0.915</f>
        <v>2142.9300000000003</v>
      </c>
      <c r="C51" s="289">
        <f>C45*0.82</f>
        <v>0</v>
      </c>
      <c r="D51" s="267"/>
      <c r="E51" s="267"/>
      <c r="F51" s="267"/>
    </row>
    <row r="52" spans="1:11" ht="16.2" thickBot="1" x14ac:dyDescent="0.35">
      <c r="A52" s="282" t="s">
        <v>87</v>
      </c>
      <c r="B52" s="290">
        <f>SUM(B49:B51)</f>
        <v>9134.0020000000004</v>
      </c>
      <c r="C52" s="291">
        <f>SUM(C49:C51)</f>
        <v>1746.4</v>
      </c>
      <c r="D52" s="267"/>
      <c r="E52" s="267"/>
      <c r="F52" s="267"/>
    </row>
    <row r="55" spans="1:11" ht="43.2" x14ac:dyDescent="0.3">
      <c r="A55" s="15" t="s">
        <v>121</v>
      </c>
      <c r="B55" s="15" t="s">
        <v>122</v>
      </c>
      <c r="C55" s="15" t="s">
        <v>120</v>
      </c>
      <c r="D55" s="15" t="s">
        <v>40</v>
      </c>
      <c r="E55" s="15" t="s">
        <v>123</v>
      </c>
      <c r="F55" s="318" t="s">
        <v>124</v>
      </c>
      <c r="G55" s="318" t="s">
        <v>125</v>
      </c>
      <c r="H55" s="318" t="s">
        <v>126</v>
      </c>
      <c r="I55" s="318" t="s">
        <v>127</v>
      </c>
      <c r="J55" s="318" t="s">
        <v>128</v>
      </c>
      <c r="K55" s="318" t="s">
        <v>41</v>
      </c>
    </row>
    <row r="56" spans="1:11" x14ac:dyDescent="0.3">
      <c r="A56" s="320">
        <f>B4</f>
        <v>42887</v>
      </c>
      <c r="B56">
        <v>1</v>
      </c>
      <c r="C56" t="str">
        <f>A3</f>
        <v>Carrier 100</v>
      </c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P19:Q19"/>
    <mergeCell ref="P20:Q20"/>
    <mergeCell ref="P21:Q21"/>
    <mergeCell ref="P22:Q22"/>
    <mergeCell ref="P23:Q23"/>
    <mergeCell ref="P14:Q14"/>
    <mergeCell ref="P15:Q15"/>
    <mergeCell ref="P16:Q16"/>
    <mergeCell ref="P17:Q17"/>
    <mergeCell ref="P18:Q18"/>
    <mergeCell ref="AG28:BC28"/>
    <mergeCell ref="E29:AA29"/>
    <mergeCell ref="AS37:BC37"/>
    <mergeCell ref="Q38:AA38"/>
    <mergeCell ref="AS38:BC38"/>
    <mergeCell ref="AI33:AJ33"/>
    <mergeCell ref="AS33:BC33"/>
    <mergeCell ref="Q34:AA34"/>
    <mergeCell ref="AS34:BC34"/>
    <mergeCell ref="AS35:BC35"/>
    <mergeCell ref="AG31:BC31"/>
    <mergeCell ref="A32:O32"/>
    <mergeCell ref="Q32:AA32"/>
    <mergeCell ref="AC32:AQ32"/>
    <mergeCell ref="AS32:BC32"/>
    <mergeCell ref="A41:C41"/>
    <mergeCell ref="A47:C47"/>
    <mergeCell ref="U26:V26"/>
    <mergeCell ref="N26:O26"/>
    <mergeCell ref="C26:D26"/>
    <mergeCell ref="Q37:AA37"/>
    <mergeCell ref="B33:C33"/>
    <mergeCell ref="AE26:AF26"/>
    <mergeCell ref="W26:X26"/>
    <mergeCell ref="E26:F26"/>
    <mergeCell ref="Q36:AA36"/>
    <mergeCell ref="E28:AA28"/>
    <mergeCell ref="P26:Q26"/>
    <mergeCell ref="Q35:AA35"/>
    <mergeCell ref="Q33:AA33"/>
    <mergeCell ref="AD33:AE33"/>
    <mergeCell ref="AF33:AH33"/>
    <mergeCell ref="AG29:BC29"/>
    <mergeCell ref="E30:AA30"/>
    <mergeCell ref="AG30:BC30"/>
    <mergeCell ref="AS36:BC36"/>
    <mergeCell ref="D33:F33"/>
    <mergeCell ref="G33:H33"/>
    <mergeCell ref="E31:AA31"/>
    <mergeCell ref="AR23:AS23"/>
    <mergeCell ref="AG25:AH25"/>
    <mergeCell ref="AP25:AQ25"/>
    <mergeCell ref="AW25:AX25"/>
    <mergeCell ref="AY25:AZ25"/>
    <mergeCell ref="A27:AA27"/>
    <mergeCell ref="AC27:BC27"/>
    <mergeCell ref="AP26:AQ26"/>
    <mergeCell ref="AW26:AX26"/>
    <mergeCell ref="AG26:AH26"/>
    <mergeCell ref="AY26:AZ26"/>
    <mergeCell ref="C25:D25"/>
    <mergeCell ref="E25:F25"/>
    <mergeCell ref="N25:O25"/>
    <mergeCell ref="U25:V25"/>
    <mergeCell ref="W25:X25"/>
    <mergeCell ref="AE25:AF25"/>
    <mergeCell ref="P25:Q25"/>
    <mergeCell ref="AR13:AS13"/>
    <mergeCell ref="AP13:AQ13"/>
    <mergeCell ref="AU13:AV13"/>
    <mergeCell ref="AW13:AX13"/>
    <mergeCell ref="AY13:BA13"/>
    <mergeCell ref="A24:F24"/>
    <mergeCell ref="L24:Q24"/>
    <mergeCell ref="S24:X24"/>
    <mergeCell ref="AC24:AH24"/>
    <mergeCell ref="AN24:AS24"/>
    <mergeCell ref="AU24:AZ24"/>
    <mergeCell ref="U13:V13"/>
    <mergeCell ref="W13:Y13"/>
    <mergeCell ref="AD13:AF13"/>
    <mergeCell ref="AG13:AH13"/>
    <mergeCell ref="AJ13:AK13"/>
    <mergeCell ref="AN13:AO13"/>
    <mergeCell ref="B13:D13"/>
    <mergeCell ref="E13:F13"/>
    <mergeCell ref="H13:I13"/>
    <mergeCell ref="L13:M13"/>
    <mergeCell ref="N13:O13"/>
    <mergeCell ref="S13:T13"/>
    <mergeCell ref="AR14:AS14"/>
    <mergeCell ref="E4:F4"/>
    <mergeCell ref="W4:X4"/>
    <mergeCell ref="AG4:AH4"/>
    <mergeCell ref="AY4:AZ4"/>
    <mergeCell ref="B6:F6"/>
    <mergeCell ref="L6:Q6"/>
    <mergeCell ref="S6:AA6"/>
    <mergeCell ref="AD6:AH6"/>
    <mergeCell ref="AN6:AS6"/>
    <mergeCell ref="AU6:BC6"/>
    <mergeCell ref="O4:P4"/>
    <mergeCell ref="AR22:AS22"/>
    <mergeCell ref="AR21:AS21"/>
    <mergeCell ref="AR20:AS20"/>
    <mergeCell ref="AR19:AS19"/>
    <mergeCell ref="AR18:AS18"/>
    <mergeCell ref="AR17:AS17"/>
    <mergeCell ref="AR16:AS16"/>
    <mergeCell ref="AR15:AS15"/>
    <mergeCell ref="A1:AA2"/>
    <mergeCell ref="AC1:BC2"/>
    <mergeCell ref="A3:I3"/>
    <mergeCell ref="L3:Q3"/>
    <mergeCell ref="S3:AA3"/>
    <mergeCell ref="AC3:AK3"/>
    <mergeCell ref="AN3:AS3"/>
    <mergeCell ref="AU3:BC3"/>
    <mergeCell ref="AQ4:AR4"/>
    <mergeCell ref="A12:H12"/>
    <mergeCell ref="L12:Q12"/>
    <mergeCell ref="S12:AA12"/>
    <mergeCell ref="P13:Q13"/>
    <mergeCell ref="AC12:AJ12"/>
    <mergeCell ref="AN12:AS12"/>
    <mergeCell ref="AU12:BC12"/>
  </mergeCells>
  <dataValidations count="7">
    <dataValidation type="list" allowBlank="1" showInputMessage="1" showErrorMessage="1" sqref="B26 M26 T26 AD26 AO26 AV26" xr:uid="{00000000-0002-0000-0600-000000000000}">
      <formula1>"SP1, SP2, SP3, OWP SP"</formula1>
    </dataValidation>
    <dataValidation type="list" allowBlank="1" showInputMessage="1" showErrorMessage="1" sqref="C29:C31 AE29:AE31" xr:uid="{00000000-0002-0000-0600-000001000000}">
      <formula1>"Carrier 100, Carrier 200, Rotary"</formula1>
    </dataValidation>
    <dataValidation type="list" allowBlank="1" showInputMessage="1" showErrorMessage="1" sqref="AV25 AD25 AO25 T25 B25 M25" xr:uid="{00000000-0002-0000-0600-000002000000}">
      <formula1>"1, 2, 3, 4, 5, 6, 7, 8, 9, 10, 11, 12, 13, 14, 15, 16"</formula1>
    </dataValidation>
    <dataValidation type="list" allowBlank="1" showInputMessage="1" showErrorMessage="1" sqref="AJ11:AM11 AQ11:AT11 H11:K11 O11:R11" xr:uid="{00000000-0002-0000-0600-000003000000}">
      <formula1>"Silo 1, Silo 2, Silo 6, Silo 7"</formula1>
    </dataValidation>
    <dataValidation type="list" allowBlank="1" showInputMessage="1" showErrorMessage="1" sqref="AD11 AO11 AZ11 AV11 B11 M11 X11 T11" xr:uid="{00000000-0002-0000-0600-000004000000}">
      <formula1>"100#, 40/70"</formula1>
    </dataValidation>
    <dataValidation type="list" allowBlank="1" showInputMessage="1" showErrorMessage="1" sqref="AX11 BB11:BC11 V11 Z11:AA11" xr:uid="{00000000-0002-0000-0600-000005000000}">
      <formula1>"Silo 6, Silo 7, Silo 8, Silo 9"</formula1>
    </dataValidation>
    <dataValidation type="list" allowBlank="1" showInputMessage="1" showErrorMessage="1" sqref="AG4:AH4 W4:X4 Q4:R4 E4:F4 AY4:AZ4 AS4:AT4" xr:uid="{00000000-0002-0000-0600-000006000000}">
      <formula1>$A$137:$A$148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148"/>
  <sheetViews>
    <sheetView topLeftCell="AC1" zoomScale="80" zoomScaleNormal="80" workbookViewId="0">
      <selection activeCell="AW19" sqref="AW19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7.109375" bestFit="1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>
        <v>42888</v>
      </c>
      <c r="C4" s="5"/>
      <c r="D4" s="6" t="s">
        <v>6</v>
      </c>
      <c r="E4" s="380" t="s">
        <v>99</v>
      </c>
      <c r="F4" s="381"/>
      <c r="G4" s="312"/>
      <c r="H4" s="312"/>
      <c r="I4" s="8"/>
      <c r="J4" s="9"/>
      <c r="K4" s="10"/>
      <c r="L4" s="6" t="s">
        <v>5</v>
      </c>
      <c r="M4" s="4">
        <f>B4</f>
        <v>42888</v>
      </c>
      <c r="N4" s="5"/>
      <c r="O4" s="370" t="s">
        <v>6</v>
      </c>
      <c r="P4" s="371"/>
      <c r="Q4" s="11" t="s">
        <v>99</v>
      </c>
      <c r="R4" s="12"/>
      <c r="S4" s="6" t="s">
        <v>5</v>
      </c>
      <c r="T4" s="4">
        <f>B4</f>
        <v>42888</v>
      </c>
      <c r="U4" s="5"/>
      <c r="V4" s="6" t="s">
        <v>6</v>
      </c>
      <c r="W4" s="382" t="s">
        <v>99</v>
      </c>
      <c r="X4" s="383"/>
      <c r="Y4" s="5"/>
      <c r="Z4" s="13"/>
      <c r="AA4" s="14"/>
      <c r="AB4" s="15"/>
      <c r="AC4" s="3" t="s">
        <v>5</v>
      </c>
      <c r="AD4" s="4">
        <f>B4</f>
        <v>42888</v>
      </c>
      <c r="AE4" s="5"/>
      <c r="AF4" s="6" t="s">
        <v>6</v>
      </c>
      <c r="AG4" s="380" t="s">
        <v>90</v>
      </c>
      <c r="AH4" s="381"/>
      <c r="AI4" s="312"/>
      <c r="AJ4" s="312"/>
      <c r="AK4" s="8"/>
      <c r="AL4" s="9"/>
      <c r="AM4" s="10"/>
      <c r="AN4" s="6" t="s">
        <v>5</v>
      </c>
      <c r="AO4" s="4">
        <f>B4</f>
        <v>42888</v>
      </c>
      <c r="AP4" s="5"/>
      <c r="AQ4" s="370" t="s">
        <v>6</v>
      </c>
      <c r="AR4" s="371"/>
      <c r="AS4" s="11" t="s">
        <v>90</v>
      </c>
      <c r="AT4" s="12"/>
      <c r="AU4" s="6" t="s">
        <v>5</v>
      </c>
      <c r="AV4" s="4">
        <f>B4</f>
        <v>42888</v>
      </c>
      <c r="AW4" s="5"/>
      <c r="AX4" s="6" t="s">
        <v>6</v>
      </c>
      <c r="AY4" s="382" t="s">
        <v>90</v>
      </c>
      <c r="AZ4" s="383"/>
      <c r="BA4" s="5"/>
      <c r="BB4" s="13"/>
      <c r="BC4" s="14"/>
    </row>
    <row r="5" spans="1:55" ht="43.8" thickBot="1" x14ac:dyDescent="0.35">
      <c r="A5" s="16" t="s">
        <v>8</v>
      </c>
      <c r="B5" s="17">
        <v>7.1</v>
      </c>
      <c r="C5" s="5"/>
      <c r="D5" s="18" t="s">
        <v>9</v>
      </c>
      <c r="E5" s="19"/>
      <c r="F5" s="20" t="s">
        <v>10</v>
      </c>
      <c r="G5" s="21">
        <f>SUM((B5+E5)/12, 0)</f>
        <v>0.59166666666666667</v>
      </c>
      <c r="H5" s="22"/>
      <c r="I5" s="23"/>
      <c r="J5" s="24"/>
      <c r="K5" s="25"/>
      <c r="L5" s="26" t="s">
        <v>11</v>
      </c>
      <c r="M5" s="27">
        <v>11.29</v>
      </c>
      <c r="N5" s="5"/>
      <c r="O5" s="28" t="s">
        <v>12</v>
      </c>
      <c r="P5" s="298">
        <f>SUM(M5/12)</f>
        <v>0.9408333333333333</v>
      </c>
      <c r="Q5" s="317"/>
      <c r="R5" s="29"/>
      <c r="S5" s="20" t="s">
        <v>13</v>
      </c>
      <c r="T5" s="17">
        <v>12</v>
      </c>
      <c r="U5" s="5"/>
      <c r="V5" s="18" t="s">
        <v>14</v>
      </c>
      <c r="W5" s="19"/>
      <c r="X5" s="18" t="s">
        <v>10</v>
      </c>
      <c r="Y5" s="30">
        <f>SUM(T5+W5)/12</f>
        <v>1</v>
      </c>
      <c r="Z5" s="31"/>
      <c r="AA5" s="32"/>
      <c r="AB5" s="15"/>
      <c r="AC5" s="16" t="s">
        <v>8</v>
      </c>
      <c r="AD5" s="17">
        <v>9.75</v>
      </c>
      <c r="AE5" s="5"/>
      <c r="AF5" s="18" t="s">
        <v>9</v>
      </c>
      <c r="AG5" s="19"/>
      <c r="AH5" s="20" t="s">
        <v>10</v>
      </c>
      <c r="AI5" s="21">
        <f>SUM(AD5+AG5)/12</f>
        <v>0.8125</v>
      </c>
      <c r="AJ5" s="22"/>
      <c r="AK5" s="23"/>
      <c r="AL5" s="24"/>
      <c r="AM5" s="25"/>
      <c r="AN5" s="26" t="s">
        <v>11</v>
      </c>
      <c r="AO5" s="27">
        <v>11.25</v>
      </c>
      <c r="AP5" s="5"/>
      <c r="AQ5" s="28" t="s">
        <v>12</v>
      </c>
      <c r="AR5" s="298">
        <f>AO5/12</f>
        <v>0.9375</v>
      </c>
      <c r="AS5" s="317"/>
      <c r="AT5" s="29"/>
      <c r="AU5" s="20" t="s">
        <v>13</v>
      </c>
      <c r="AV5" s="17">
        <v>12</v>
      </c>
      <c r="AW5" s="5"/>
      <c r="AX5" s="18" t="s">
        <v>14</v>
      </c>
      <c r="AY5" s="19"/>
      <c r="AZ5" s="18" t="s">
        <v>10</v>
      </c>
      <c r="BA5" s="30">
        <f>(AV5+AY5)/12</f>
        <v>1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>
        <v>642</v>
      </c>
      <c r="C8" s="59">
        <f>B8*(1-B10)</f>
        <v>605.62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>
        <v>3929</v>
      </c>
      <c r="M8" s="68">
        <v>3453</v>
      </c>
      <c r="N8" s="64">
        <f>L8*(1-M10)</f>
        <v>3929</v>
      </c>
      <c r="O8" s="69">
        <v>2844</v>
      </c>
      <c r="P8" s="296">
        <v>593</v>
      </c>
      <c r="Q8" s="60">
        <f>IFERROR((O8+P8)/L8,0)</f>
        <v>0.87477729702214302</v>
      </c>
      <c r="R8" s="70"/>
      <c r="S8" s="71">
        <v>1701</v>
      </c>
      <c r="T8" s="72">
        <v>1575</v>
      </c>
      <c r="U8" s="62">
        <f>S8*(1-T10)</f>
        <v>1582.3552500000001</v>
      </c>
      <c r="V8" s="60">
        <f>IFERROR(T8/S8,0)</f>
        <v>0.92592592592592593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>
        <v>875</v>
      </c>
      <c r="AE8" s="59">
        <f>AD8*(1-AD10)</f>
        <v>825.5625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>
        <v>3800</v>
      </c>
      <c r="AO8" s="68">
        <v>3377</v>
      </c>
      <c r="AP8" s="64">
        <f>AN8*(1-AO10)</f>
        <v>3547.3</v>
      </c>
      <c r="AQ8" s="69">
        <v>2757</v>
      </c>
      <c r="AR8" s="296">
        <v>475</v>
      </c>
      <c r="AS8" s="60">
        <f>SUM((AQ8+AR8)/AP8,0)</f>
        <v>0.91111549629295518</v>
      </c>
      <c r="AT8" s="70"/>
      <c r="AU8" s="71">
        <v>1790</v>
      </c>
      <c r="AV8" s="72">
        <v>1673</v>
      </c>
      <c r="AW8" s="62">
        <f>AU8*(1-AV10)</f>
        <v>1673.2024999999999</v>
      </c>
      <c r="AX8" s="60">
        <f>IFERROR(AV8/AU8,0)</f>
        <v>0.93463687150837993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90.422535211267615</v>
      </c>
      <c r="C9" s="79">
        <f>B8*(1-B10)</f>
        <v>605.62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348.00708591674049</v>
      </c>
      <c r="M9" s="86">
        <f>IFERROR(M8/M5,0)</f>
        <v>305.84588131089464</v>
      </c>
      <c r="N9" s="86">
        <f>IFERROR(N8/M5,0)</f>
        <v>348.00708591674049</v>
      </c>
      <c r="O9" s="86">
        <f>IFERROR(O8/M5,0)</f>
        <v>251.90434012400357</v>
      </c>
      <c r="P9" s="297">
        <f>SUM(P8/M5,0)</f>
        <v>52.524357838795396</v>
      </c>
      <c r="Q9" s="87">
        <f>IFERROR(Q8/M5,0)</f>
        <v>7.7482488664494517E-2</v>
      </c>
      <c r="R9" s="88"/>
      <c r="S9" s="89">
        <f>IFERROR(S8/T5,0)</f>
        <v>141.75</v>
      </c>
      <c r="T9" s="90">
        <f>IFERROR(SUM(T8/T5),0)</f>
        <v>131.25</v>
      </c>
      <c r="U9" s="91">
        <f>IFERROR(U8/T5,0)</f>
        <v>131.86293750000002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89.743589743589737</v>
      </c>
      <c r="AE9" s="79">
        <f>IFERROR(AE8/AD5,0)</f>
        <v>84.67307692307692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337.77777777777777</v>
      </c>
      <c r="AO9" s="86">
        <f>IFERROR(AO8/AO5,0)</f>
        <v>300.17777777777781</v>
      </c>
      <c r="AP9" s="86">
        <f>IFERROR(AP8/AO5,0)</f>
        <v>315.31555555555559</v>
      </c>
      <c r="AQ9" s="86">
        <f>IFERROR(AQ8/AO5,0)</f>
        <v>245.06666666666666</v>
      </c>
      <c r="AR9" s="297">
        <f>SUM(AR8/AO5,0)</f>
        <v>42.222222222222221</v>
      </c>
      <c r="AS9" s="87">
        <f>IFERROR(AS8/AO5,0)</f>
        <v>8.0988044114929353E-2</v>
      </c>
      <c r="AT9" s="88"/>
      <c r="AU9" s="89">
        <f>IFERROR(AU8/AV5,0)</f>
        <v>149.16666666666666</v>
      </c>
      <c r="AV9" s="90">
        <f>IFERROR(SUM(AV8/AV5),0)</f>
        <v>139.41666666666666</v>
      </c>
      <c r="AW9" s="91">
        <f>IFERROR(AW8/AV5,0)</f>
        <v>139.43354166666666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5.6666666666666671E-2</v>
      </c>
      <c r="C10" s="99"/>
      <c r="D10" s="100"/>
      <c r="E10" s="101" t="s">
        <v>39</v>
      </c>
      <c r="F10" s="102">
        <f>J23</f>
        <v>5.6666666666666671E-2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6.9750000000000006E-2</v>
      </c>
      <c r="U10" s="112"/>
      <c r="V10" s="100"/>
      <c r="W10" s="101" t="s">
        <v>39</v>
      </c>
      <c r="X10" s="113">
        <f>AA23</f>
        <v>6.9750000000000006E-2</v>
      </c>
      <c r="Y10" s="5"/>
      <c r="Z10" s="5"/>
      <c r="AA10" s="114"/>
      <c r="AB10" s="15"/>
      <c r="AC10" s="97" t="s">
        <v>39</v>
      </c>
      <c r="AD10" s="98">
        <f>AL23</f>
        <v>5.6500000000000009E-2</v>
      </c>
      <c r="AE10" s="99"/>
      <c r="AF10" s="100"/>
      <c r="AG10" s="101" t="s">
        <v>39</v>
      </c>
      <c r="AH10" s="102">
        <f>AL23</f>
        <v>5.6500000000000009E-2</v>
      </c>
      <c r="AI10" s="103"/>
      <c r="AJ10" s="99"/>
      <c r="AK10" s="104"/>
      <c r="AL10" s="105"/>
      <c r="AM10" s="106"/>
      <c r="AN10" s="107" t="s">
        <v>39</v>
      </c>
      <c r="AO10" s="108">
        <f>AR23</f>
        <v>6.6500000000000004E-2</v>
      </c>
      <c r="AP10" s="109"/>
      <c r="AQ10" s="109"/>
      <c r="AR10" s="109"/>
      <c r="AS10" s="110"/>
      <c r="AT10" s="111"/>
      <c r="AU10" s="107" t="s">
        <v>39</v>
      </c>
      <c r="AV10" s="108">
        <f>BC23</f>
        <v>6.5250000000000002E-2</v>
      </c>
      <c r="AW10" s="112"/>
      <c r="AX10" s="100"/>
      <c r="AY10" s="101" t="s">
        <v>39</v>
      </c>
      <c r="AZ10" s="113">
        <f>BC23</f>
        <v>6.5250000000000002E-2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>
        <v>0.28472222222222221</v>
      </c>
      <c r="B15" s="153">
        <v>0.90400000000000003</v>
      </c>
      <c r="C15" s="154">
        <v>0.84799999999999998</v>
      </c>
      <c r="D15" s="155">
        <v>8.2000000000000003E-2</v>
      </c>
      <c r="E15" s="156"/>
      <c r="F15" s="157"/>
      <c r="G15" s="158">
        <v>0.90739999999999998</v>
      </c>
      <c r="H15" s="158"/>
      <c r="I15" s="159"/>
      <c r="J15" s="160">
        <v>6.9000000000000006E-2</v>
      </c>
      <c r="K15" s="161"/>
      <c r="L15" s="162">
        <v>0.17580000000000001</v>
      </c>
      <c r="M15" s="163">
        <v>0.1444</v>
      </c>
      <c r="N15" s="164">
        <v>0.1588</v>
      </c>
      <c r="O15" s="299">
        <v>0.15479999999999999</v>
      </c>
      <c r="P15" s="446">
        <v>6.4000000000000001E-2</v>
      </c>
      <c r="Q15" s="447"/>
      <c r="R15" s="161"/>
      <c r="S15" s="166">
        <v>0.1421</v>
      </c>
      <c r="T15" s="163">
        <v>0.16500000000000001</v>
      </c>
      <c r="U15" s="167">
        <v>0.17979999999999999</v>
      </c>
      <c r="V15" s="168">
        <v>0.13789999999999999</v>
      </c>
      <c r="W15" s="169"/>
      <c r="X15" s="170"/>
      <c r="Y15" s="170"/>
      <c r="Z15" s="171"/>
      <c r="AA15" s="172">
        <v>6.9000000000000006E-2</v>
      </c>
      <c r="AB15" s="173"/>
      <c r="AC15" s="152">
        <v>0.79166666666666663</v>
      </c>
      <c r="AD15" s="153">
        <v>0.92579999999999996</v>
      </c>
      <c r="AE15" s="154">
        <v>0.82250000000000001</v>
      </c>
      <c r="AF15" s="155">
        <v>7.0599999999999996E-2</v>
      </c>
      <c r="AG15" s="156"/>
      <c r="AH15" s="157">
        <v>0.94279999999999997</v>
      </c>
      <c r="AI15" s="158"/>
      <c r="AJ15" s="158"/>
      <c r="AK15" s="159"/>
      <c r="AL15" s="160">
        <v>5.2999999999999999E-2</v>
      </c>
      <c r="AM15" s="161"/>
      <c r="AN15" s="162">
        <v>0.23130000000000001</v>
      </c>
      <c r="AO15" s="163">
        <v>0.1133</v>
      </c>
      <c r="AP15" s="164">
        <v>0.21929999999999999</v>
      </c>
      <c r="AQ15" s="165">
        <v>0.1104</v>
      </c>
      <c r="AR15" s="356">
        <v>7.3999999999999996E-2</v>
      </c>
      <c r="AS15" s="357"/>
      <c r="AT15" s="161"/>
      <c r="AU15" s="166">
        <v>0.28849999999999998</v>
      </c>
      <c r="AV15" s="163">
        <v>7.2099999999999997E-2</v>
      </c>
      <c r="AW15" s="167">
        <v>0.38719999999999999</v>
      </c>
      <c r="AX15" s="168">
        <v>3.0099999999999998E-2</v>
      </c>
      <c r="AY15" s="169"/>
      <c r="AZ15" s="170"/>
      <c r="BA15" s="170"/>
      <c r="BB15" s="171"/>
      <c r="BC15" s="172">
        <v>7.3999999999999996E-2</v>
      </c>
    </row>
    <row r="16" spans="1:55" x14ac:dyDescent="0.3">
      <c r="A16" s="152">
        <v>0.42708333333333331</v>
      </c>
      <c r="B16" s="174"/>
      <c r="C16" s="175"/>
      <c r="D16" s="176"/>
      <c r="E16" s="177"/>
      <c r="F16" s="178"/>
      <c r="G16" s="179"/>
      <c r="H16" s="179"/>
      <c r="I16" s="180"/>
      <c r="J16" s="160"/>
      <c r="K16" s="161"/>
      <c r="L16" s="181">
        <v>0.18679999999999999</v>
      </c>
      <c r="M16" s="170">
        <v>0.13289999999999999</v>
      </c>
      <c r="N16" s="302">
        <v>0.18640000000000001</v>
      </c>
      <c r="O16" s="300">
        <v>0.1459</v>
      </c>
      <c r="P16" s="440">
        <v>6.2E-2</v>
      </c>
      <c r="Q16" s="357"/>
      <c r="R16" s="161"/>
      <c r="S16" s="169">
        <v>0.22120000000000001</v>
      </c>
      <c r="T16" s="170">
        <v>0.1212</v>
      </c>
      <c r="U16" s="169">
        <v>0.25259999999999999</v>
      </c>
      <c r="V16" s="171">
        <v>0.1077</v>
      </c>
      <c r="W16" s="169"/>
      <c r="X16" s="170"/>
      <c r="Y16" s="170"/>
      <c r="Z16" s="171"/>
      <c r="AA16" s="184">
        <v>6.9000000000000006E-2</v>
      </c>
      <c r="AB16" s="173"/>
      <c r="AC16" s="185">
        <v>0.88194444444444453</v>
      </c>
      <c r="AD16" s="174">
        <v>0.92110000000000003</v>
      </c>
      <c r="AE16" s="175">
        <v>0.83209999999999995</v>
      </c>
      <c r="AF16" s="176">
        <v>7.17E-2</v>
      </c>
      <c r="AG16" s="177"/>
      <c r="AH16" s="178">
        <v>0.92149999999999999</v>
      </c>
      <c r="AI16" s="179"/>
      <c r="AJ16" s="179"/>
      <c r="AK16" s="180"/>
      <c r="AL16" s="160">
        <v>4.8000000000000001E-2</v>
      </c>
      <c r="AM16" s="161"/>
      <c r="AN16" s="181">
        <v>0.2137</v>
      </c>
      <c r="AO16" s="170">
        <v>0.1288</v>
      </c>
      <c r="AP16" s="302">
        <v>0.33600000000000002</v>
      </c>
      <c r="AQ16" s="183">
        <v>4.4600000000000001E-2</v>
      </c>
      <c r="AR16" s="356">
        <v>0.06</v>
      </c>
      <c r="AS16" s="357"/>
      <c r="AT16" s="161"/>
      <c r="AU16" s="169">
        <v>0.26479999999999998</v>
      </c>
      <c r="AV16" s="170">
        <v>0.1061</v>
      </c>
      <c r="AW16" s="169">
        <v>0.27679999999999999</v>
      </c>
      <c r="AX16" s="171">
        <v>9.4500000000000001E-2</v>
      </c>
      <c r="AY16" s="169"/>
      <c r="AZ16" s="170"/>
      <c r="BA16" s="170"/>
      <c r="BB16" s="171"/>
      <c r="BC16" s="184">
        <v>5.8000000000000003E-2</v>
      </c>
    </row>
    <row r="17" spans="1:55" x14ac:dyDescent="0.3">
      <c r="A17" s="152">
        <v>0.59722222222222221</v>
      </c>
      <c r="B17" s="174">
        <v>0.89300000000000002</v>
      </c>
      <c r="C17" s="175">
        <v>0.84599999999999997</v>
      </c>
      <c r="D17" s="176">
        <v>9.6000000000000002E-2</v>
      </c>
      <c r="E17" s="177"/>
      <c r="F17" s="178"/>
      <c r="G17" s="179" t="s">
        <v>107</v>
      </c>
      <c r="H17" s="179"/>
      <c r="I17" s="180"/>
      <c r="J17" s="160">
        <v>4.2000000000000003E-2</v>
      </c>
      <c r="K17" s="161"/>
      <c r="L17" s="181">
        <v>0.22950000000000001</v>
      </c>
      <c r="M17" s="170">
        <v>0.125</v>
      </c>
      <c r="N17" s="302">
        <v>0.27460000000000001</v>
      </c>
      <c r="O17" s="300">
        <v>9.7500000000000003E-2</v>
      </c>
      <c r="P17" s="440">
        <v>5.8999999999999997E-2</v>
      </c>
      <c r="Q17" s="357"/>
      <c r="R17" s="161"/>
      <c r="S17" s="169">
        <v>0.24929999999999999</v>
      </c>
      <c r="T17" s="170">
        <v>9.3700000000000006E-2</v>
      </c>
      <c r="U17" s="169">
        <v>0.21290000000000001</v>
      </c>
      <c r="V17" s="171">
        <v>0.13919999999999999</v>
      </c>
      <c r="W17" s="169"/>
      <c r="X17" s="170"/>
      <c r="Y17" s="170"/>
      <c r="Z17" s="171"/>
      <c r="AA17" s="184">
        <v>6.3E-2</v>
      </c>
      <c r="AB17" s="173"/>
      <c r="AC17" s="185">
        <v>1.0416666666666666E-2</v>
      </c>
      <c r="AD17" s="174">
        <v>0.85070000000000001</v>
      </c>
      <c r="AE17" s="175">
        <v>0.71930000000000005</v>
      </c>
      <c r="AF17" s="176">
        <v>0.1091</v>
      </c>
      <c r="AG17" s="177"/>
      <c r="AH17" s="178">
        <v>0.91490000000000005</v>
      </c>
      <c r="AI17" s="179"/>
      <c r="AJ17" s="179"/>
      <c r="AK17" s="180"/>
      <c r="AL17" s="160">
        <v>4.9000000000000002E-2</v>
      </c>
      <c r="AM17" s="161"/>
      <c r="AN17" s="181">
        <v>0.23980000000000001</v>
      </c>
      <c r="AO17" s="170">
        <v>0.12620000000000001</v>
      </c>
      <c r="AP17" s="302">
        <v>0.29880000000000001</v>
      </c>
      <c r="AQ17" s="183">
        <v>9.8799999999999999E-2</v>
      </c>
      <c r="AR17" s="356">
        <v>7.3999999999999996E-2</v>
      </c>
      <c r="AS17" s="357"/>
      <c r="AT17" s="161"/>
      <c r="AU17" s="169">
        <v>0.29530000000000001</v>
      </c>
      <c r="AV17" s="170">
        <v>0.1071</v>
      </c>
      <c r="AW17" s="169">
        <v>0.32819999999999999</v>
      </c>
      <c r="AX17" s="171">
        <v>9.5899999999999999E-2</v>
      </c>
      <c r="AY17" s="169"/>
      <c r="AZ17" s="170"/>
      <c r="BA17" s="170"/>
      <c r="BB17" s="171"/>
      <c r="BC17" s="184">
        <v>6.4000000000000001E-2</v>
      </c>
    </row>
    <row r="18" spans="1:55" x14ac:dyDescent="0.3">
      <c r="A18" s="152">
        <v>0.71527777777777779</v>
      </c>
      <c r="B18" s="174">
        <v>0.93400000000000005</v>
      </c>
      <c r="C18" s="175">
        <v>0.86070000000000002</v>
      </c>
      <c r="D18" s="176">
        <v>5.9700000000000003E-2</v>
      </c>
      <c r="E18" s="177"/>
      <c r="F18" s="178"/>
      <c r="G18" s="179">
        <v>0.94140000000000001</v>
      </c>
      <c r="H18" s="179"/>
      <c r="I18" s="180"/>
      <c r="J18" s="160">
        <v>5.8999999999999997E-2</v>
      </c>
      <c r="K18" s="161"/>
      <c r="L18" s="181">
        <v>0.28070000000000001</v>
      </c>
      <c r="M18" s="170">
        <v>7.6899999999999996E-2</v>
      </c>
      <c r="N18" s="302">
        <v>0.3039</v>
      </c>
      <c r="O18" s="300">
        <v>7.17E-2</v>
      </c>
      <c r="P18" s="440">
        <v>7.1999999999999995E-2</v>
      </c>
      <c r="Q18" s="357"/>
      <c r="R18" s="161"/>
      <c r="S18" s="169">
        <v>0.27110000000000001</v>
      </c>
      <c r="T18" s="170">
        <v>7.9699999999999993E-2</v>
      </c>
      <c r="U18" s="169">
        <v>0.35260000000000002</v>
      </c>
      <c r="V18" s="171">
        <v>3.1800000000000002E-2</v>
      </c>
      <c r="W18" s="169"/>
      <c r="X18" s="170"/>
      <c r="Y18" s="170"/>
      <c r="Z18" s="171"/>
      <c r="AA18" s="184">
        <v>7.8E-2</v>
      </c>
      <c r="AB18" s="173"/>
      <c r="AC18" s="185">
        <v>0.21527777777777779</v>
      </c>
      <c r="AD18" s="174">
        <v>0.59499999999999997</v>
      </c>
      <c r="AE18" s="175">
        <v>0.57199999999999995</v>
      </c>
      <c r="AF18" s="176">
        <v>0.23100000000000001</v>
      </c>
      <c r="AG18" s="177"/>
      <c r="AH18" s="178">
        <v>0.89090000000000003</v>
      </c>
      <c r="AI18" s="179"/>
      <c r="AJ18" s="179"/>
      <c r="AK18" s="180"/>
      <c r="AL18" s="160">
        <v>7.5999999999999998E-2</v>
      </c>
      <c r="AM18" s="161"/>
      <c r="AN18" s="181">
        <v>0.2404</v>
      </c>
      <c r="AO18" s="170">
        <v>0.1193</v>
      </c>
      <c r="AP18" s="302">
        <v>0.23730000000000001</v>
      </c>
      <c r="AQ18" s="183">
        <v>0.1331</v>
      </c>
      <c r="AR18" s="356">
        <v>5.8000000000000003E-2</v>
      </c>
      <c r="AS18" s="357"/>
      <c r="AT18" s="161"/>
      <c r="AU18" s="169">
        <v>0.24329999999999999</v>
      </c>
      <c r="AV18" s="170">
        <v>0.12989999999999999</v>
      </c>
      <c r="AW18" s="169">
        <v>0.25690000000000002</v>
      </c>
      <c r="AX18" s="171">
        <v>0.1278</v>
      </c>
      <c r="AY18" s="169"/>
      <c r="AZ18" s="170"/>
      <c r="BA18" s="170"/>
      <c r="BB18" s="171"/>
      <c r="BC18" s="184">
        <v>6.5000000000000002E-2</v>
      </c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0.91033333333333344</v>
      </c>
      <c r="C23" s="198">
        <f t="shared" ref="C23:J23" si="0">IFERROR(AVERAGE(C15:C22),0)</f>
        <v>0.85156666666666669</v>
      </c>
      <c r="D23" s="198">
        <f t="shared" si="0"/>
        <v>7.9233333333333336E-2</v>
      </c>
      <c r="E23" s="198">
        <f t="shared" si="0"/>
        <v>0</v>
      </c>
      <c r="F23" s="198">
        <f t="shared" si="0"/>
        <v>0</v>
      </c>
      <c r="G23" s="198">
        <f t="shared" si="0"/>
        <v>0.9244</v>
      </c>
      <c r="H23" s="198">
        <f t="shared" si="0"/>
        <v>0</v>
      </c>
      <c r="I23" s="198">
        <f t="shared" si="0"/>
        <v>0</v>
      </c>
      <c r="J23" s="198">
        <f t="shared" si="0"/>
        <v>5.6666666666666671E-2</v>
      </c>
      <c r="K23" s="161"/>
      <c r="L23" s="199">
        <f>IFERROR(AVERAGE(L15:L22),0)</f>
        <v>0.21820000000000001</v>
      </c>
      <c r="M23" s="198">
        <f>IFERROR(AVERAGE(M15:M22),0)</f>
        <v>0.11979999999999999</v>
      </c>
      <c r="N23" s="200">
        <f>IFERROR(AVERAGE(N15:N22),0)</f>
        <v>0.23092499999999999</v>
      </c>
      <c r="O23" s="201">
        <f>IFERROR(AVERAGE(O15:O22),0)</f>
        <v>0.117475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0.22092500000000001</v>
      </c>
      <c r="T23" s="198">
        <f t="shared" si="1"/>
        <v>0.1149</v>
      </c>
      <c r="U23" s="198">
        <f t="shared" si="1"/>
        <v>0.249475</v>
      </c>
      <c r="V23" s="198">
        <f t="shared" si="1"/>
        <v>0.10414999999999999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6.9750000000000006E-2</v>
      </c>
      <c r="AB23" s="173"/>
      <c r="AC23" s="197" t="s">
        <v>58</v>
      </c>
      <c r="AD23" s="198">
        <f>IFERROR(AVERAGE(AD15:AD22),0)</f>
        <v>0.82315000000000005</v>
      </c>
      <c r="AE23" s="198">
        <f t="shared" ref="AE23:AL23" si="2">IFERROR(AVERAGE(AE15:AE22),0)</f>
        <v>0.73647499999999999</v>
      </c>
      <c r="AF23" s="198">
        <f t="shared" si="2"/>
        <v>0.12059999999999998</v>
      </c>
      <c r="AG23" s="198">
        <f t="shared" si="2"/>
        <v>0</v>
      </c>
      <c r="AH23" s="198">
        <f t="shared" si="2"/>
        <v>0.91752500000000015</v>
      </c>
      <c r="AI23" s="198">
        <f t="shared" si="2"/>
        <v>0</v>
      </c>
      <c r="AJ23" s="198">
        <f t="shared" si="2"/>
        <v>0</v>
      </c>
      <c r="AK23" s="198">
        <f t="shared" si="2"/>
        <v>0</v>
      </c>
      <c r="AL23" s="198">
        <f t="shared" si="2"/>
        <v>5.6500000000000009E-2</v>
      </c>
      <c r="AM23" s="161"/>
      <c r="AN23" s="199">
        <f>IFERROR(AVERAGE(AN15:AN22),0)</f>
        <v>0.23130000000000001</v>
      </c>
      <c r="AO23" s="198">
        <f>IFERROR(AVERAGE(AO15:AO22),0)</f>
        <v>0.12189999999999999</v>
      </c>
      <c r="AP23" s="200">
        <f>IFERROR(AVERAGE(AP15:AP22),0)</f>
        <v>0.27285000000000004</v>
      </c>
      <c r="AQ23" s="201">
        <f>IFERROR(AVERAGE(AQ15:AQ22),0)</f>
        <v>9.6725000000000005E-2</v>
      </c>
      <c r="AR23" s="396">
        <f>IFERROR(AVERAGE(AR15:AS22),0)</f>
        <v>6.6500000000000004E-2</v>
      </c>
      <c r="AS23" s="397"/>
      <c r="AT23" s="202"/>
      <c r="AU23" s="199">
        <f t="shared" ref="AU23:BC23" si="3">IFERROR(AVERAGE(AU15:AU22),0)</f>
        <v>0.27297499999999997</v>
      </c>
      <c r="AV23" s="198">
        <f t="shared" si="3"/>
        <v>0.1038</v>
      </c>
      <c r="AW23" s="198">
        <f t="shared" si="3"/>
        <v>0.31227499999999997</v>
      </c>
      <c r="AX23" s="198">
        <f t="shared" si="3"/>
        <v>8.7075E-2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6.5250000000000002E-2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383.15434012400357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1517</v>
      </c>
      <c r="D43" s="267"/>
      <c r="E43" s="276" t="s">
        <v>84</v>
      </c>
      <c r="F43" s="273">
        <f>AG9+AQ9+AV9</f>
        <v>384.48333333333335</v>
      </c>
      <c r="K43" s="266"/>
      <c r="R43" s="266"/>
    </row>
    <row r="44" spans="1:55" ht="16.2" thickBot="1" x14ac:dyDescent="0.35">
      <c r="A44" s="274" t="s">
        <v>3</v>
      </c>
      <c r="B44" s="275">
        <f>L8+AN8</f>
        <v>7729</v>
      </c>
      <c r="C44" s="277"/>
      <c r="D44" s="267"/>
      <c r="E44" s="276" t="s">
        <v>85</v>
      </c>
      <c r="F44" s="273">
        <f>B9+X9</f>
        <v>90.422535211267615</v>
      </c>
      <c r="K44" s="266"/>
      <c r="R44" s="266"/>
    </row>
    <row r="45" spans="1:55" ht="16.2" thickBot="1" x14ac:dyDescent="0.35">
      <c r="A45" s="274" t="s">
        <v>4</v>
      </c>
      <c r="B45" s="278">
        <f>S8+AU8</f>
        <v>3491</v>
      </c>
      <c r="C45" s="279">
        <f>W8+AY8</f>
        <v>0</v>
      </c>
      <c r="D45" s="267"/>
      <c r="E45" s="280" t="s">
        <v>86</v>
      </c>
      <c r="F45" s="281">
        <f>AD9+AZ9</f>
        <v>89.743589743589737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11220</v>
      </c>
      <c r="C46" s="284">
        <f>SUM(C43:C45)</f>
        <v>1517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1213.6000000000001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6801.52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3194.2650000000003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9995.7849999999999</v>
      </c>
      <c r="C52" s="291">
        <f>SUM(C49:C51)</f>
        <v>1213.6000000000001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0700-000000000000}">
      <formula1>$A$137:$A$148</formula1>
    </dataValidation>
    <dataValidation type="list" allowBlank="1" showInputMessage="1" showErrorMessage="1" sqref="AX11 BB11:BC11 V11 Z11:AA11" xr:uid="{00000000-0002-0000-0700-000001000000}">
      <formula1>"Silo 6, Silo 7, Silo 8, Silo 9"</formula1>
    </dataValidation>
    <dataValidation type="list" allowBlank="1" showInputMessage="1" showErrorMessage="1" sqref="AD11 AO11 AZ11 AV11 B11 M11 X11 T11" xr:uid="{00000000-0002-0000-0700-000002000000}">
      <formula1>"100#, 40/70"</formula1>
    </dataValidation>
    <dataValidation type="list" allowBlank="1" showInputMessage="1" showErrorMessage="1" sqref="AJ11:AM11 AQ11:AT11 H11:K11 O11:R11" xr:uid="{00000000-0002-0000-0700-000003000000}">
      <formula1>"Silo 1, Silo 2, Silo 6, Silo 7"</formula1>
    </dataValidation>
    <dataValidation type="list" allowBlank="1" showInputMessage="1" showErrorMessage="1" sqref="AV25 AD25 AO25 T25 B25 M25" xr:uid="{00000000-0002-0000-0700-000004000000}">
      <formula1>"1, 2, 3, 4, 5, 6, 7, 8, 9, 10, 11, 12, 13, 14, 15, 16"</formula1>
    </dataValidation>
    <dataValidation type="list" allowBlank="1" showInputMessage="1" showErrorMessage="1" sqref="C29:C31 AE29:AE31" xr:uid="{00000000-0002-0000-0700-000005000000}">
      <formula1>"Carrier 100, Carrier 200, Rotary"</formula1>
    </dataValidation>
    <dataValidation type="list" allowBlank="1" showInputMessage="1" showErrorMessage="1" sqref="B26 M26 T26 AD26 AO26 AV26" xr:uid="{00000000-0002-0000-0700-000006000000}">
      <formula1>"SP1, SP2, SP3, OWP SP"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C148"/>
  <sheetViews>
    <sheetView topLeftCell="AC10" zoomScale="80" zoomScaleNormal="80" workbookViewId="0">
      <selection activeCell="AR10" sqref="AR10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7" bestFit="1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>
        <v>42889</v>
      </c>
      <c r="C4" s="5"/>
      <c r="D4" s="6" t="s">
        <v>6</v>
      </c>
      <c r="E4" s="380" t="s">
        <v>99</v>
      </c>
      <c r="F4" s="381"/>
      <c r="G4" s="312"/>
      <c r="H4" s="312"/>
      <c r="I4" s="8"/>
      <c r="J4" s="9"/>
      <c r="K4" s="10"/>
      <c r="L4" s="6" t="s">
        <v>5</v>
      </c>
      <c r="M4" s="4">
        <f>B4</f>
        <v>42889</v>
      </c>
      <c r="N4" s="5"/>
      <c r="O4" s="370" t="s">
        <v>6</v>
      </c>
      <c r="P4" s="371"/>
      <c r="Q4" s="11" t="s">
        <v>99</v>
      </c>
      <c r="R4" s="12"/>
      <c r="S4" s="6" t="s">
        <v>5</v>
      </c>
      <c r="T4" s="4">
        <f>B4</f>
        <v>42889</v>
      </c>
      <c r="U4" s="5"/>
      <c r="V4" s="6" t="s">
        <v>6</v>
      </c>
      <c r="W4" s="382" t="s">
        <v>99</v>
      </c>
      <c r="X4" s="383"/>
      <c r="Y4" s="5"/>
      <c r="Z4" s="13"/>
      <c r="AA4" s="14"/>
      <c r="AB4" s="15"/>
      <c r="AC4" s="3" t="s">
        <v>5</v>
      </c>
      <c r="AD4" s="4">
        <f>B4</f>
        <v>42889</v>
      </c>
      <c r="AE4" s="5"/>
      <c r="AF4" s="6" t="s">
        <v>6</v>
      </c>
      <c r="AG4" s="380" t="s">
        <v>90</v>
      </c>
      <c r="AH4" s="381"/>
      <c r="AI4" s="312"/>
      <c r="AJ4" s="312"/>
      <c r="AK4" s="8"/>
      <c r="AL4" s="9"/>
      <c r="AM4" s="10"/>
      <c r="AN4" s="6" t="s">
        <v>5</v>
      </c>
      <c r="AO4" s="4">
        <f>B4</f>
        <v>42889</v>
      </c>
      <c r="AP4" s="5"/>
      <c r="AQ4" s="370" t="s">
        <v>6</v>
      </c>
      <c r="AR4" s="371"/>
      <c r="AS4" s="11" t="s">
        <v>90</v>
      </c>
      <c r="AT4" s="12"/>
      <c r="AU4" s="6" t="s">
        <v>5</v>
      </c>
      <c r="AV4" s="4">
        <f>B4</f>
        <v>42889</v>
      </c>
      <c r="AW4" s="5"/>
      <c r="AX4" s="6" t="s">
        <v>6</v>
      </c>
      <c r="AY4" s="382" t="s">
        <v>90</v>
      </c>
      <c r="AZ4" s="383"/>
      <c r="BA4" s="5"/>
      <c r="BB4" s="13"/>
      <c r="BC4" s="14"/>
    </row>
    <row r="5" spans="1:55" ht="43.8" thickBot="1" x14ac:dyDescent="0.35">
      <c r="A5" s="16" t="s">
        <v>8</v>
      </c>
      <c r="B5" s="17">
        <v>11.35</v>
      </c>
      <c r="C5" s="5"/>
      <c r="D5" s="18" t="s">
        <v>9</v>
      </c>
      <c r="E5" s="19"/>
      <c r="F5" s="20" t="s">
        <v>10</v>
      </c>
      <c r="G5" s="21">
        <f>SUM((B5+E5)/12, 0)</f>
        <v>0.9458333333333333</v>
      </c>
      <c r="H5" s="22"/>
      <c r="I5" s="23"/>
      <c r="J5" s="24"/>
      <c r="K5" s="25"/>
      <c r="L5" s="26" t="s">
        <v>11</v>
      </c>
      <c r="M5" s="27">
        <v>12</v>
      </c>
      <c r="N5" s="5"/>
      <c r="O5" s="28" t="s">
        <v>12</v>
      </c>
      <c r="P5" s="298">
        <f>SUM(M5/12)</f>
        <v>1</v>
      </c>
      <c r="Q5" s="317"/>
      <c r="R5" s="29"/>
      <c r="S5" s="20" t="s">
        <v>13</v>
      </c>
      <c r="T5" s="17">
        <v>12</v>
      </c>
      <c r="U5" s="5"/>
      <c r="V5" s="18" t="s">
        <v>14</v>
      </c>
      <c r="W5" s="19"/>
      <c r="X5" s="18" t="s">
        <v>10</v>
      </c>
      <c r="Y5" s="30">
        <f>SUM(T5+W5)/12</f>
        <v>1</v>
      </c>
      <c r="Z5" s="31"/>
      <c r="AA5" s="32"/>
      <c r="AB5" s="15"/>
      <c r="AC5" s="16" t="s">
        <v>8</v>
      </c>
      <c r="AD5" s="17">
        <v>12</v>
      </c>
      <c r="AE5" s="5"/>
      <c r="AF5" s="18" t="s">
        <v>9</v>
      </c>
      <c r="AG5" s="19"/>
      <c r="AH5" s="20" t="s">
        <v>10</v>
      </c>
      <c r="AI5" s="21">
        <f>SUM(AD5+AG5)/12</f>
        <v>1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>
        <v>11.25</v>
      </c>
      <c r="AW5" s="5"/>
      <c r="AX5" s="18" t="s">
        <v>14</v>
      </c>
      <c r="AY5" s="19"/>
      <c r="AZ5" s="18" t="s">
        <v>10</v>
      </c>
      <c r="BA5" s="30">
        <f>(AV5+AY5)/12</f>
        <v>0.9375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>
        <v>817</v>
      </c>
      <c r="C8" s="59">
        <f>B8*(1-B10)</f>
        <v>771.65650000000005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>
        <v>3975</v>
      </c>
      <c r="M8" s="68">
        <v>3506</v>
      </c>
      <c r="N8" s="64"/>
      <c r="O8" s="69">
        <v>2768</v>
      </c>
      <c r="P8" s="296">
        <v>643</v>
      </c>
      <c r="Q8" s="60">
        <f>IFERROR((O8+P8)/L8,0)</f>
        <v>0.8581132075471698</v>
      </c>
      <c r="R8" s="70"/>
      <c r="S8" s="71">
        <v>1592</v>
      </c>
      <c r="T8" s="72">
        <v>1507</v>
      </c>
      <c r="U8" s="62">
        <f>S8*(1-T10)</f>
        <v>1480.9580000000001</v>
      </c>
      <c r="V8" s="60">
        <f>IFERROR(T8/S8,0)</f>
        <v>0.94660804020100497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>
        <v>900</v>
      </c>
      <c r="AE8" s="59">
        <f>AD8*(1-AD10)</f>
        <v>855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>
        <v>4065</v>
      </c>
      <c r="AO8" s="68">
        <v>3575</v>
      </c>
      <c r="AP8" s="64">
        <f>AN8*(1-AO10)</f>
        <v>3798.7424999999998</v>
      </c>
      <c r="AQ8" s="69">
        <v>2925</v>
      </c>
      <c r="AR8" s="296">
        <v>665</v>
      </c>
      <c r="AS8" s="60">
        <f>SUM((AQ8+AR8)/AP8,0)</f>
        <v>0.94504957890670405</v>
      </c>
      <c r="AT8" s="70"/>
      <c r="AU8" s="71">
        <v>1680</v>
      </c>
      <c r="AV8" s="72">
        <v>1615</v>
      </c>
      <c r="AW8" s="62">
        <f>AU8*(1-AV10)</f>
        <v>1569.96</v>
      </c>
      <c r="AX8" s="60">
        <f>IFERROR(AV8/AU8,0)</f>
        <v>0.96130952380952384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71.982378854625551</v>
      </c>
      <c r="C9" s="79">
        <f>B8*(1-B10)</f>
        <v>771.65650000000005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331.25</v>
      </c>
      <c r="M9" s="86">
        <f>IFERROR(M8/M5,0)</f>
        <v>292.16666666666669</v>
      </c>
      <c r="N9" s="86">
        <f>IFERROR(N8/M5,0)</f>
        <v>0</v>
      </c>
      <c r="O9" s="86">
        <f>IFERROR(O8/M5,0)</f>
        <v>230.66666666666666</v>
      </c>
      <c r="P9" s="297">
        <f>SUM(P8/M5,0)</f>
        <v>53.583333333333336</v>
      </c>
      <c r="Q9" s="87">
        <f>IFERROR(Q8/M5,0)</f>
        <v>7.1509433962264154E-2</v>
      </c>
      <c r="R9" s="88"/>
      <c r="S9" s="89">
        <f>IFERROR(S8/T5,0)</f>
        <v>132.66666666666666</v>
      </c>
      <c r="T9" s="90">
        <f>IFERROR(SUM(T8/T5),0)</f>
        <v>125.58333333333333</v>
      </c>
      <c r="U9" s="91">
        <f>IFERROR(U8/T5,0)</f>
        <v>123.41316666666667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75</v>
      </c>
      <c r="AE9" s="79">
        <f>IFERROR(AE8/AD5,0)</f>
        <v>71.25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338.75</v>
      </c>
      <c r="AO9" s="86">
        <f>IFERROR(AO8/AO5,0)</f>
        <v>297.91666666666669</v>
      </c>
      <c r="AP9" s="86">
        <f>IFERROR(AP8/AO5,0)</f>
        <v>316.56187499999999</v>
      </c>
      <c r="AQ9" s="86">
        <f>IFERROR(AQ8/AO5,0)</f>
        <v>243.75</v>
      </c>
      <c r="AR9" s="297">
        <f>SUM(AR8/AO5,0)</f>
        <v>55.416666666666664</v>
      </c>
      <c r="AS9" s="87">
        <f>IFERROR(AS8/AO5,0)</f>
        <v>7.8754131575558675E-2</v>
      </c>
      <c r="AT9" s="88"/>
      <c r="AU9" s="89">
        <f>IFERROR(AU8/AV5,0)</f>
        <v>149.33333333333334</v>
      </c>
      <c r="AV9" s="90">
        <f>IFERROR(SUM(AV8/AV5),0)</f>
        <v>143.55555555555554</v>
      </c>
      <c r="AW9" s="91">
        <f>IFERROR(AW8/AV5,0)</f>
        <v>139.55199999999999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5.5499999999999994E-2</v>
      </c>
      <c r="C10" s="99"/>
      <c r="D10" s="100"/>
      <c r="E10" s="101" t="s">
        <v>39</v>
      </c>
      <c r="F10" s="102">
        <f>J23</f>
        <v>5.5499999999999994E-2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6.9750000000000006E-2</v>
      </c>
      <c r="U10" s="112"/>
      <c r="V10" s="100"/>
      <c r="W10" s="101" t="s">
        <v>39</v>
      </c>
      <c r="X10" s="113">
        <f>AA23</f>
        <v>6.9750000000000006E-2</v>
      </c>
      <c r="Y10" s="5"/>
      <c r="Z10" s="5"/>
      <c r="AA10" s="114"/>
      <c r="AB10" s="15"/>
      <c r="AC10" s="97" t="s">
        <v>39</v>
      </c>
      <c r="AD10" s="98">
        <f>AL23</f>
        <v>0.05</v>
      </c>
      <c r="AE10" s="99"/>
      <c r="AF10" s="100"/>
      <c r="AG10" s="101" t="s">
        <v>39</v>
      </c>
      <c r="AH10" s="102">
        <f>AL23</f>
        <v>0.05</v>
      </c>
      <c r="AI10" s="103"/>
      <c r="AJ10" s="99"/>
      <c r="AK10" s="104"/>
      <c r="AL10" s="105"/>
      <c r="AM10" s="106"/>
      <c r="AN10" s="107" t="s">
        <v>39</v>
      </c>
      <c r="AO10" s="108">
        <f>AR23</f>
        <v>6.5500000000000003E-2</v>
      </c>
      <c r="AP10" s="109"/>
      <c r="AQ10" s="109"/>
      <c r="AR10" s="109"/>
      <c r="AS10" s="110"/>
      <c r="AT10" s="111"/>
      <c r="AU10" s="107" t="s">
        <v>39</v>
      </c>
      <c r="AV10" s="108">
        <f>BC23</f>
        <v>6.5500000000000003E-2</v>
      </c>
      <c r="AW10" s="112"/>
      <c r="AX10" s="100"/>
      <c r="AY10" s="101" t="s">
        <v>39</v>
      </c>
      <c r="AZ10" s="113">
        <f>BC23</f>
        <v>6.5500000000000003E-2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>
        <v>0.2986111111111111</v>
      </c>
      <c r="B15" s="153">
        <v>0.86099999999999999</v>
      </c>
      <c r="C15" s="154">
        <v>0.82</v>
      </c>
      <c r="D15" s="155">
        <v>0.107</v>
      </c>
      <c r="E15" s="156"/>
      <c r="F15" s="157"/>
      <c r="G15" s="158">
        <v>0.9204</v>
      </c>
      <c r="H15" s="158"/>
      <c r="I15" s="159"/>
      <c r="J15" s="160">
        <v>6.6000000000000003E-2</v>
      </c>
      <c r="K15" s="161"/>
      <c r="L15" s="162">
        <v>0.23960000000000001</v>
      </c>
      <c r="M15" s="163">
        <v>0.1401</v>
      </c>
      <c r="N15" s="164">
        <v>0.26700000000000002</v>
      </c>
      <c r="O15" s="299">
        <v>0.1225</v>
      </c>
      <c r="P15" s="446">
        <v>7.0000000000000007E-2</v>
      </c>
      <c r="Q15" s="447"/>
      <c r="R15" s="161"/>
      <c r="S15" s="166">
        <v>0.22220000000000001</v>
      </c>
      <c r="T15" s="163">
        <v>0.13469999999999999</v>
      </c>
      <c r="U15" s="167">
        <v>0.28299999999999997</v>
      </c>
      <c r="V15" s="168">
        <v>0.1212</v>
      </c>
      <c r="W15" s="169"/>
      <c r="X15" s="170"/>
      <c r="Y15" s="170"/>
      <c r="Z15" s="171"/>
      <c r="AA15" s="172">
        <v>7.5999999999999998E-2</v>
      </c>
      <c r="AB15" s="173"/>
      <c r="AC15" s="152">
        <v>0.77083333333333337</v>
      </c>
      <c r="AD15" s="153">
        <v>0.88800000000000001</v>
      </c>
      <c r="AE15" s="154">
        <v>0.84889999999999999</v>
      </c>
      <c r="AF15" s="155">
        <v>9.9299999999999999E-2</v>
      </c>
      <c r="AG15" s="156"/>
      <c r="AH15" s="157"/>
      <c r="AI15" s="158">
        <v>0.89190000000000003</v>
      </c>
      <c r="AJ15" s="158"/>
      <c r="AK15" s="159"/>
      <c r="AL15" s="160">
        <v>0.05</v>
      </c>
      <c r="AM15" s="161"/>
      <c r="AN15" s="162">
        <v>0.24360000000000001</v>
      </c>
      <c r="AO15" s="163">
        <v>0.1447</v>
      </c>
      <c r="AP15" s="164">
        <v>0.25169999999999998</v>
      </c>
      <c r="AQ15" s="165">
        <v>0.15279999999999999</v>
      </c>
      <c r="AR15" s="356">
        <v>7.0000000000000007E-2</v>
      </c>
      <c r="AS15" s="357"/>
      <c r="AT15" s="161"/>
      <c r="AU15" s="166">
        <v>0.24360000000000001</v>
      </c>
      <c r="AV15" s="163">
        <v>0.1447</v>
      </c>
      <c r="AW15" s="167">
        <v>0.26669999999999999</v>
      </c>
      <c r="AX15" s="168">
        <v>0.17230000000000001</v>
      </c>
      <c r="AY15" s="169"/>
      <c r="AZ15" s="170"/>
      <c r="BA15" s="170"/>
      <c r="BB15" s="171"/>
      <c r="BC15" s="172">
        <v>7.0000000000000007E-2</v>
      </c>
    </row>
    <row r="16" spans="1:55" x14ac:dyDescent="0.3">
      <c r="A16" s="152">
        <v>0.44097222222222227</v>
      </c>
      <c r="B16" s="174">
        <v>0.89800000000000002</v>
      </c>
      <c r="C16" s="175">
        <v>0.84599999999999997</v>
      </c>
      <c r="D16" s="176">
        <v>0.09</v>
      </c>
      <c r="E16" s="177"/>
      <c r="F16" s="178"/>
      <c r="G16" s="179">
        <v>0.93779999999999997</v>
      </c>
      <c r="H16" s="179"/>
      <c r="I16" s="180"/>
      <c r="J16" s="160">
        <v>5.2999999999999999E-2</v>
      </c>
      <c r="K16" s="161"/>
      <c r="L16" s="181">
        <v>0.2195</v>
      </c>
      <c r="M16" s="170">
        <v>0.1502</v>
      </c>
      <c r="N16" s="302">
        <v>0.20069999999999999</v>
      </c>
      <c r="O16" s="300">
        <v>0.14810000000000001</v>
      </c>
      <c r="P16" s="440">
        <v>6.0999999999999999E-2</v>
      </c>
      <c r="Q16" s="357"/>
      <c r="R16" s="161"/>
      <c r="S16" s="169">
        <v>0.2301</v>
      </c>
      <c r="T16" s="170">
        <v>0.1487</v>
      </c>
      <c r="U16" s="169">
        <v>0.23100000000000001</v>
      </c>
      <c r="V16" s="171">
        <v>0.1467</v>
      </c>
      <c r="W16" s="169"/>
      <c r="X16" s="170"/>
      <c r="Y16" s="170"/>
      <c r="Z16" s="171"/>
      <c r="AA16" s="184">
        <v>6.2E-2</v>
      </c>
      <c r="AB16" s="173"/>
      <c r="AC16" s="185">
        <v>0.87152777777777779</v>
      </c>
      <c r="AD16" s="174">
        <v>0.92349999999999999</v>
      </c>
      <c r="AE16" s="175">
        <v>0.68500000000000005</v>
      </c>
      <c r="AF16" s="176">
        <v>6.9599999999999995E-2</v>
      </c>
      <c r="AG16" s="177"/>
      <c r="AH16" s="178"/>
      <c r="AI16" s="179">
        <v>0.91349999999999998</v>
      </c>
      <c r="AJ16" s="179"/>
      <c r="AK16" s="180"/>
      <c r="AL16" s="160">
        <v>0.05</v>
      </c>
      <c r="AM16" s="161"/>
      <c r="AN16" s="181">
        <v>0.18679999999999999</v>
      </c>
      <c r="AO16" s="170">
        <v>0.29670000000000002</v>
      </c>
      <c r="AP16" s="302">
        <v>0.1908</v>
      </c>
      <c r="AQ16" s="183">
        <v>0.19869999999999999</v>
      </c>
      <c r="AR16" s="356">
        <v>7.0000000000000007E-2</v>
      </c>
      <c r="AS16" s="357"/>
      <c r="AT16" s="161"/>
      <c r="AU16" s="169">
        <v>0.18679999999999999</v>
      </c>
      <c r="AV16" s="170">
        <v>0.29670000000000002</v>
      </c>
      <c r="AW16" s="169">
        <v>0.2697</v>
      </c>
      <c r="AX16" s="171">
        <v>0.13300000000000001</v>
      </c>
      <c r="AY16" s="169"/>
      <c r="AZ16" s="170"/>
      <c r="BA16" s="170"/>
      <c r="BB16" s="171"/>
      <c r="BC16" s="184">
        <v>7.0000000000000007E-2</v>
      </c>
    </row>
    <row r="17" spans="1:55" x14ac:dyDescent="0.3">
      <c r="A17" s="152" t="s">
        <v>108</v>
      </c>
      <c r="B17" s="174">
        <v>0.88400000000000001</v>
      </c>
      <c r="C17" s="175">
        <v>0.83899999999999997</v>
      </c>
      <c r="D17" s="176">
        <v>0.11600000000000001</v>
      </c>
      <c r="E17" s="177"/>
      <c r="F17" s="178"/>
      <c r="G17" s="179">
        <v>0.92300000000000004</v>
      </c>
      <c r="H17" s="179"/>
      <c r="I17" s="180"/>
      <c r="J17" s="160">
        <v>5.7000000000000002E-2</v>
      </c>
      <c r="K17" s="161"/>
      <c r="L17" s="181">
        <v>0.22700000000000001</v>
      </c>
      <c r="M17" s="170">
        <v>0.152</v>
      </c>
      <c r="N17" s="302">
        <v>0.2</v>
      </c>
      <c r="O17" s="300">
        <v>0.16</v>
      </c>
      <c r="P17" s="440">
        <v>6.3E-2</v>
      </c>
      <c r="Q17" s="357"/>
      <c r="R17" s="161"/>
      <c r="S17" s="169">
        <v>0.254</v>
      </c>
      <c r="T17" s="170">
        <v>0.129</v>
      </c>
      <c r="U17" s="169">
        <v>0.218</v>
      </c>
      <c r="V17" s="171">
        <v>0.16</v>
      </c>
      <c r="W17" s="169"/>
      <c r="X17" s="170"/>
      <c r="Y17" s="170"/>
      <c r="Z17" s="171"/>
      <c r="AA17" s="184">
        <v>6.3E-2</v>
      </c>
      <c r="AB17" s="173"/>
      <c r="AC17" s="185">
        <v>6.9444444444444441E-3</v>
      </c>
      <c r="AD17" s="174">
        <v>0.96009999999999995</v>
      </c>
      <c r="AE17" s="175">
        <v>0.94769999999999999</v>
      </c>
      <c r="AF17" s="176">
        <v>2.5899999999999999E-2</v>
      </c>
      <c r="AG17" s="177"/>
      <c r="AH17" s="178"/>
      <c r="AI17" s="179">
        <v>0.92310000000000003</v>
      </c>
      <c r="AJ17" s="179"/>
      <c r="AK17" s="180"/>
      <c r="AL17" s="160">
        <v>0.05</v>
      </c>
      <c r="AM17" s="161"/>
      <c r="AN17" s="181">
        <v>0.1794</v>
      </c>
      <c r="AO17" s="170">
        <v>0.17399999999999999</v>
      </c>
      <c r="AP17" s="302">
        <v>0.27079999999999999</v>
      </c>
      <c r="AQ17" s="183">
        <v>0.1115</v>
      </c>
      <c r="AR17" s="356">
        <v>5.8999999999999997E-2</v>
      </c>
      <c r="AS17" s="357"/>
      <c r="AT17" s="161"/>
      <c r="AU17" s="169">
        <v>0.1794</v>
      </c>
      <c r="AV17" s="170">
        <v>0.17399999999999999</v>
      </c>
      <c r="AW17" s="169">
        <v>0.2054</v>
      </c>
      <c r="AX17" s="171">
        <v>0.1961</v>
      </c>
      <c r="AY17" s="169"/>
      <c r="AZ17" s="170"/>
      <c r="BA17" s="170"/>
      <c r="BB17" s="171"/>
      <c r="BC17" s="184">
        <v>5.8999999999999997E-2</v>
      </c>
    </row>
    <row r="18" spans="1:55" x14ac:dyDescent="0.3">
      <c r="A18" s="152">
        <v>0.71527777777777779</v>
      </c>
      <c r="B18" s="174">
        <v>0.91190000000000004</v>
      </c>
      <c r="C18" s="175">
        <v>0.84709999999999996</v>
      </c>
      <c r="D18" s="176">
        <v>8.0100000000000005E-2</v>
      </c>
      <c r="E18" s="177"/>
      <c r="F18" s="178"/>
      <c r="G18" s="179">
        <v>0.93330000000000002</v>
      </c>
      <c r="H18" s="179"/>
      <c r="I18" s="180"/>
      <c r="J18" s="160">
        <v>4.5999999999999999E-2</v>
      </c>
      <c r="K18" s="161"/>
      <c r="L18" s="181">
        <v>0.2117</v>
      </c>
      <c r="M18" s="170">
        <v>0.1573</v>
      </c>
      <c r="N18" s="302">
        <v>0.22700000000000001</v>
      </c>
      <c r="O18" s="300">
        <v>0.17599999999999999</v>
      </c>
      <c r="P18" s="440">
        <v>0.08</v>
      </c>
      <c r="Q18" s="357"/>
      <c r="R18" s="161"/>
      <c r="S18" s="169">
        <v>0.21329999999999999</v>
      </c>
      <c r="T18" s="170">
        <v>0.1583</v>
      </c>
      <c r="U18" s="169">
        <v>0.2969</v>
      </c>
      <c r="V18" s="171">
        <v>0.1179</v>
      </c>
      <c r="W18" s="169"/>
      <c r="X18" s="170"/>
      <c r="Y18" s="170"/>
      <c r="Z18" s="171"/>
      <c r="AA18" s="184">
        <v>7.8E-2</v>
      </c>
      <c r="AB18" s="173"/>
      <c r="AC18" s="185">
        <v>0.125</v>
      </c>
      <c r="AD18" s="174">
        <v>0.88319999999999999</v>
      </c>
      <c r="AE18" s="175">
        <v>0.84730000000000005</v>
      </c>
      <c r="AF18" s="176">
        <v>8.1500000000000003E-2</v>
      </c>
      <c r="AG18" s="177"/>
      <c r="AH18" s="178"/>
      <c r="AI18" s="179">
        <v>0.9395</v>
      </c>
      <c r="AJ18" s="179"/>
      <c r="AK18" s="180"/>
      <c r="AL18" s="160">
        <v>0.05</v>
      </c>
      <c r="AM18" s="161"/>
      <c r="AN18" s="181">
        <v>0.20399999999999999</v>
      </c>
      <c r="AO18" s="170">
        <v>0.15229999999999999</v>
      </c>
      <c r="AP18" s="302">
        <v>0.24979999999999999</v>
      </c>
      <c r="AQ18" s="183">
        <v>0.17230000000000001</v>
      </c>
      <c r="AR18" s="356">
        <v>6.3E-2</v>
      </c>
      <c r="AS18" s="357"/>
      <c r="AT18" s="161"/>
      <c r="AU18" s="169">
        <v>0.20399999999999999</v>
      </c>
      <c r="AV18" s="170">
        <v>0.15229999999999999</v>
      </c>
      <c r="AW18" s="169">
        <v>0.3</v>
      </c>
      <c r="AX18" s="171">
        <v>9.2499999999999999E-2</v>
      </c>
      <c r="AY18" s="169"/>
      <c r="AZ18" s="170"/>
      <c r="BA18" s="170"/>
      <c r="BB18" s="171"/>
      <c r="BC18" s="184">
        <v>6.3E-2</v>
      </c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0.88872499999999999</v>
      </c>
      <c r="C23" s="198">
        <f t="shared" ref="C23:J23" si="0">IFERROR(AVERAGE(C15:C22),0)</f>
        <v>0.83802500000000002</v>
      </c>
      <c r="D23" s="198">
        <f t="shared" si="0"/>
        <v>9.8275000000000001E-2</v>
      </c>
      <c r="E23" s="198">
        <f t="shared" si="0"/>
        <v>0</v>
      </c>
      <c r="F23" s="198">
        <f t="shared" si="0"/>
        <v>0</v>
      </c>
      <c r="G23" s="198">
        <f t="shared" si="0"/>
        <v>0.92862500000000003</v>
      </c>
      <c r="H23" s="198">
        <f t="shared" si="0"/>
        <v>0</v>
      </c>
      <c r="I23" s="198">
        <f t="shared" si="0"/>
        <v>0</v>
      </c>
      <c r="J23" s="198">
        <f t="shared" si="0"/>
        <v>5.5499999999999994E-2</v>
      </c>
      <c r="K23" s="161"/>
      <c r="L23" s="199">
        <f>IFERROR(AVERAGE(L15:L22),0)</f>
        <v>0.22445000000000001</v>
      </c>
      <c r="M23" s="198">
        <f>IFERROR(AVERAGE(M15:M22),0)</f>
        <v>0.14990000000000001</v>
      </c>
      <c r="N23" s="200">
        <f>IFERROR(AVERAGE(N15:N22),0)</f>
        <v>0.22367499999999998</v>
      </c>
      <c r="O23" s="201">
        <f>IFERROR(AVERAGE(O15:O22),0)</f>
        <v>0.15165000000000001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0.22989999999999999</v>
      </c>
      <c r="T23" s="198">
        <f t="shared" si="1"/>
        <v>0.142675</v>
      </c>
      <c r="U23" s="198">
        <f t="shared" si="1"/>
        <v>0.25722499999999998</v>
      </c>
      <c r="V23" s="198">
        <f t="shared" si="1"/>
        <v>0.13645000000000002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6.9750000000000006E-2</v>
      </c>
      <c r="AB23" s="173"/>
      <c r="AC23" s="197" t="s">
        <v>58</v>
      </c>
      <c r="AD23" s="198">
        <f>IFERROR(AVERAGE(AD15:AD22),0)</f>
        <v>0.91370000000000007</v>
      </c>
      <c r="AE23" s="198">
        <f t="shared" ref="AE23:AL23" si="2">IFERROR(AVERAGE(AE15:AE22),0)</f>
        <v>0.8322250000000001</v>
      </c>
      <c r="AF23" s="198">
        <f t="shared" si="2"/>
        <v>6.9074999999999998E-2</v>
      </c>
      <c r="AG23" s="198">
        <f t="shared" si="2"/>
        <v>0</v>
      </c>
      <c r="AH23" s="198">
        <f t="shared" si="2"/>
        <v>0</v>
      </c>
      <c r="AI23" s="198">
        <f t="shared" si="2"/>
        <v>0.91700000000000004</v>
      </c>
      <c r="AJ23" s="198">
        <f t="shared" si="2"/>
        <v>0</v>
      </c>
      <c r="AK23" s="198">
        <f t="shared" si="2"/>
        <v>0</v>
      </c>
      <c r="AL23" s="198">
        <f t="shared" si="2"/>
        <v>0.05</v>
      </c>
      <c r="AM23" s="161"/>
      <c r="AN23" s="199">
        <f>IFERROR(AVERAGE(AN15:AN22),0)</f>
        <v>0.20344999999999999</v>
      </c>
      <c r="AO23" s="198">
        <f>IFERROR(AVERAGE(AO15:AO22),0)</f>
        <v>0.19192499999999998</v>
      </c>
      <c r="AP23" s="200">
        <f>IFERROR(AVERAGE(AP15:AP22),0)</f>
        <v>0.24077500000000002</v>
      </c>
      <c r="AQ23" s="201">
        <f>IFERROR(AVERAGE(AQ15:AQ22),0)</f>
        <v>0.15882499999999999</v>
      </c>
      <c r="AR23" s="396">
        <f>IFERROR(AVERAGE(AR15:AS22),0)</f>
        <v>6.5500000000000003E-2</v>
      </c>
      <c r="AS23" s="397"/>
      <c r="AT23" s="202"/>
      <c r="AU23" s="199">
        <f t="shared" ref="AU23:BC23" si="3">IFERROR(AVERAGE(AU15:AU22),0)</f>
        <v>0.20344999999999999</v>
      </c>
      <c r="AV23" s="198">
        <f t="shared" si="3"/>
        <v>0.19192499999999998</v>
      </c>
      <c r="AW23" s="198">
        <f t="shared" si="3"/>
        <v>0.26045000000000001</v>
      </c>
      <c r="AX23" s="198">
        <f t="shared" si="3"/>
        <v>0.14847500000000002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6.5500000000000003E-2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>
        <v>5</v>
      </c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 t="s">
        <v>105</v>
      </c>
      <c r="AP26" s="404" t="s">
        <v>63</v>
      </c>
      <c r="AQ26" s="405"/>
      <c r="AR26" s="316"/>
      <c r="AS26" s="230"/>
      <c r="AT26" s="231"/>
      <c r="AU26" s="228" t="s">
        <v>62</v>
      </c>
      <c r="AV26" s="229" t="s">
        <v>105</v>
      </c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356.25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1717</v>
      </c>
      <c r="D43" s="267"/>
      <c r="E43" s="276" t="s">
        <v>84</v>
      </c>
      <c r="F43" s="273">
        <f>AG9+AQ9+AV9</f>
        <v>387.30555555555554</v>
      </c>
      <c r="K43" s="266"/>
      <c r="R43" s="266"/>
    </row>
    <row r="44" spans="1:55" ht="16.2" thickBot="1" x14ac:dyDescent="0.35">
      <c r="A44" s="274" t="s">
        <v>3</v>
      </c>
      <c r="B44" s="275">
        <f>L8+AN8</f>
        <v>8040</v>
      </c>
      <c r="C44" s="277"/>
      <c r="D44" s="267"/>
      <c r="E44" s="276" t="s">
        <v>85</v>
      </c>
      <c r="F44" s="273">
        <f>B9+X9</f>
        <v>71.982378854625551</v>
      </c>
      <c r="K44" s="266"/>
      <c r="R44" s="266"/>
    </row>
    <row r="45" spans="1:55" ht="16.2" thickBot="1" x14ac:dyDescent="0.35">
      <c r="A45" s="274" t="s">
        <v>4</v>
      </c>
      <c r="B45" s="278">
        <f>S8+AU8</f>
        <v>3272</v>
      </c>
      <c r="C45" s="279">
        <f>W8+AY8</f>
        <v>0</v>
      </c>
      <c r="D45" s="267"/>
      <c r="E45" s="280" t="s">
        <v>86</v>
      </c>
      <c r="F45" s="281">
        <f>AD9+AZ9</f>
        <v>75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11312</v>
      </c>
      <c r="C46" s="284">
        <f>SUM(C43:C45)</f>
        <v>1717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1373.6000000000001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7075.2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2993.88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10069.08</v>
      </c>
      <c r="C52" s="291">
        <f>SUM(C49:C51)</f>
        <v>1373.6000000000001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0800-000000000000}">
      <formula1>$A$137:$A$148</formula1>
    </dataValidation>
    <dataValidation type="list" allowBlank="1" showInputMessage="1" showErrorMessage="1" sqref="AX11 BB11:BC11 V11 Z11:AA11" xr:uid="{00000000-0002-0000-0800-000001000000}">
      <formula1>"Silo 6, Silo 7, Silo 8, Silo 9"</formula1>
    </dataValidation>
    <dataValidation type="list" allowBlank="1" showInputMessage="1" showErrorMessage="1" sqref="AD11 AO11 AZ11 AV11 B11 M11 X11 T11" xr:uid="{00000000-0002-0000-0800-000002000000}">
      <formula1>"100#, 40/70"</formula1>
    </dataValidation>
    <dataValidation type="list" allowBlank="1" showInputMessage="1" showErrorMessage="1" sqref="AJ11:AM11 AQ11:AT11 H11:K11 O11:R11" xr:uid="{00000000-0002-0000-0800-000003000000}">
      <formula1>"Silo 1, Silo 2, Silo 6, Silo 7"</formula1>
    </dataValidation>
    <dataValidation type="list" allowBlank="1" showInputMessage="1" showErrorMessage="1" sqref="AV25 AD25 AO25 T25 B25 M25" xr:uid="{00000000-0002-0000-0800-000004000000}">
      <formula1>"1, 2, 3, 4, 5, 6, 7, 8, 9, 10, 11, 12, 13, 14, 15, 16"</formula1>
    </dataValidation>
    <dataValidation type="list" allowBlank="1" showInputMessage="1" showErrorMessage="1" sqref="C29:C31 AE29:AE31" xr:uid="{00000000-0002-0000-0800-000005000000}">
      <formula1>"Carrier 100, Carrier 200, Rotary"</formula1>
    </dataValidation>
    <dataValidation type="list" allowBlank="1" showInputMessage="1" showErrorMessage="1" sqref="B26 M26 T26 AD26 AO26 AV26" xr:uid="{00000000-0002-0000-0800-000006000000}">
      <formula1>"SP1, SP2, SP3, OWP SP"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C148"/>
  <sheetViews>
    <sheetView topLeftCell="AC1" zoomScale="80" zoomScaleNormal="80" workbookViewId="0">
      <selection activeCell="BA7" sqref="BA7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/>
      <c r="C4" s="5"/>
      <c r="D4" s="6" t="s">
        <v>6</v>
      </c>
      <c r="E4" s="380" t="s">
        <v>99</v>
      </c>
      <c r="F4" s="381"/>
      <c r="G4" s="312"/>
      <c r="H4" s="312"/>
      <c r="I4" s="8"/>
      <c r="J4" s="9"/>
      <c r="K4" s="10"/>
      <c r="L4" s="6" t="s">
        <v>5</v>
      </c>
      <c r="M4" s="4">
        <f>B4</f>
        <v>0</v>
      </c>
      <c r="N4" s="5"/>
      <c r="O4" s="370" t="s">
        <v>6</v>
      </c>
      <c r="P4" s="371"/>
      <c r="Q4" s="11" t="s">
        <v>99</v>
      </c>
      <c r="R4" s="12"/>
      <c r="S4" s="6" t="s">
        <v>5</v>
      </c>
      <c r="T4" s="4">
        <f>B4</f>
        <v>0</v>
      </c>
      <c r="U4" s="5"/>
      <c r="V4" s="6" t="s">
        <v>6</v>
      </c>
      <c r="W4" s="382" t="s">
        <v>99</v>
      </c>
      <c r="X4" s="383"/>
      <c r="Y4" s="5"/>
      <c r="Z4" s="13"/>
      <c r="AA4" s="14"/>
      <c r="AB4" s="15"/>
      <c r="AC4" s="3" t="s">
        <v>5</v>
      </c>
      <c r="AD4" s="4">
        <f>B4</f>
        <v>0</v>
      </c>
      <c r="AE4" s="5"/>
      <c r="AF4" s="6" t="s">
        <v>6</v>
      </c>
      <c r="AG4" s="380" t="s">
        <v>90</v>
      </c>
      <c r="AH4" s="381"/>
      <c r="AI4" s="312"/>
      <c r="AJ4" s="312"/>
      <c r="AK4" s="8"/>
      <c r="AL4" s="9"/>
      <c r="AM4" s="10"/>
      <c r="AN4" s="6" t="s">
        <v>5</v>
      </c>
      <c r="AO4" s="4">
        <f>B4</f>
        <v>0</v>
      </c>
      <c r="AP4" s="5"/>
      <c r="AQ4" s="370" t="s">
        <v>6</v>
      </c>
      <c r="AR4" s="371"/>
      <c r="AS4" s="11" t="s">
        <v>90</v>
      </c>
      <c r="AT4" s="12"/>
      <c r="AU4" s="6" t="s">
        <v>5</v>
      </c>
      <c r="AV4" s="4">
        <f>B4</f>
        <v>0</v>
      </c>
      <c r="AW4" s="5"/>
      <c r="AX4" s="6" t="s">
        <v>6</v>
      </c>
      <c r="AY4" s="382" t="s">
        <v>90</v>
      </c>
      <c r="AZ4" s="383"/>
      <c r="BA4" s="5"/>
      <c r="BB4" s="13"/>
      <c r="BC4" s="14"/>
    </row>
    <row r="5" spans="1:55" ht="43.8" thickBot="1" x14ac:dyDescent="0.35">
      <c r="A5" s="16" t="s">
        <v>8</v>
      </c>
      <c r="B5" s="17">
        <v>12</v>
      </c>
      <c r="C5" s="5"/>
      <c r="D5" s="18" t="s">
        <v>9</v>
      </c>
      <c r="E5" s="19"/>
      <c r="F5" s="20" t="s">
        <v>10</v>
      </c>
      <c r="G5" s="21">
        <f>SUM((B5+E5)/12, 0)</f>
        <v>1</v>
      </c>
      <c r="H5" s="22"/>
      <c r="I5" s="23"/>
      <c r="J5" s="24"/>
      <c r="K5" s="25"/>
      <c r="L5" s="26" t="s">
        <v>11</v>
      </c>
      <c r="M5" s="27">
        <v>11.43</v>
      </c>
      <c r="N5" s="5"/>
      <c r="O5" s="28" t="s">
        <v>12</v>
      </c>
      <c r="P5" s="298">
        <f>SUM(M5/12)</f>
        <v>0.95250000000000001</v>
      </c>
      <c r="Q5" s="317"/>
      <c r="R5" s="29"/>
      <c r="S5" s="20" t="s">
        <v>13</v>
      </c>
      <c r="T5" s="17">
        <v>10.44</v>
      </c>
      <c r="U5" s="5"/>
      <c r="V5" s="18" t="s">
        <v>14</v>
      </c>
      <c r="W5" s="19"/>
      <c r="X5" s="18" t="s">
        <v>10</v>
      </c>
      <c r="Y5" s="30">
        <f>SUM(T5+W5)/12</f>
        <v>0.87</v>
      </c>
      <c r="Z5" s="31"/>
      <c r="AA5" s="32"/>
      <c r="AB5" s="15"/>
      <c r="AC5" s="16" t="s">
        <v>8</v>
      </c>
      <c r="AD5" s="17">
        <v>11.9</v>
      </c>
      <c r="AE5" s="5"/>
      <c r="AF5" s="18" t="s">
        <v>9</v>
      </c>
      <c r="AG5" s="19"/>
      <c r="AH5" s="20" t="s">
        <v>10</v>
      </c>
      <c r="AI5" s="21">
        <f>SUM(AD5+AG5)/12</f>
        <v>0.9916666666666667</v>
      </c>
      <c r="AJ5" s="22"/>
      <c r="AK5" s="23"/>
      <c r="AL5" s="24"/>
      <c r="AM5" s="25"/>
      <c r="AN5" s="26" t="s">
        <v>11</v>
      </c>
      <c r="AO5" s="27">
        <v>11.75</v>
      </c>
      <c r="AP5" s="5"/>
      <c r="AQ5" s="28" t="s">
        <v>12</v>
      </c>
      <c r="AR5" s="298">
        <f>AO5/12</f>
        <v>0.97916666666666663</v>
      </c>
      <c r="AS5" s="317"/>
      <c r="AT5" s="29"/>
      <c r="AU5" s="20" t="s">
        <v>13</v>
      </c>
      <c r="AV5" s="17">
        <v>12</v>
      </c>
      <c r="AW5" s="5"/>
      <c r="AX5" s="18" t="s">
        <v>14</v>
      </c>
      <c r="AY5" s="19"/>
      <c r="AZ5" s="18" t="s">
        <v>10</v>
      </c>
      <c r="BA5" s="30">
        <f>(AV5+AY5)/12</f>
        <v>1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>
        <v>870</v>
      </c>
      <c r="C8" s="59">
        <f>B8*(1-B10)</f>
        <v>828.24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>
        <v>3523</v>
      </c>
      <c r="M8" s="68">
        <v>3068</v>
      </c>
      <c r="N8" s="64">
        <f>L8*(1-M10)</f>
        <v>3523</v>
      </c>
      <c r="O8" s="69">
        <v>2300</v>
      </c>
      <c r="P8" s="296">
        <v>524</v>
      </c>
      <c r="Q8" s="60">
        <f>IFERROR((O8+P8)/L8,0)</f>
        <v>0.80158955435708201</v>
      </c>
      <c r="R8" s="70"/>
      <c r="S8" s="71">
        <v>1368</v>
      </c>
      <c r="T8" s="72">
        <v>1276</v>
      </c>
      <c r="U8" s="62">
        <f>S8*(1-T10)</f>
        <v>1273.6080000000002</v>
      </c>
      <c r="V8" s="60">
        <f>IFERROR(T8/S8,0)</f>
        <v>0.93274853801169588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>
        <v>1035</v>
      </c>
      <c r="AE8" s="59">
        <f>AD8*(1-AD10)</f>
        <v>988.16624999999999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>
        <v>2783</v>
      </c>
      <c r="AO8" s="68">
        <v>2418</v>
      </c>
      <c r="AP8" s="64">
        <f>AN8*(1-AO10)</f>
        <v>2555.4897500000002</v>
      </c>
      <c r="AQ8" s="69">
        <v>1512</v>
      </c>
      <c r="AR8" s="296">
        <v>502</v>
      </c>
      <c r="AS8" s="60">
        <f>SUM((AQ8+AR8)/AP8,0)</f>
        <v>0.78810725028343387</v>
      </c>
      <c r="AT8" s="70"/>
      <c r="AU8" s="71">
        <v>1271</v>
      </c>
      <c r="AV8" s="72">
        <v>1146</v>
      </c>
      <c r="AW8" s="62">
        <f>AU8*(1-AV10)</f>
        <v>1152.797</v>
      </c>
      <c r="AX8" s="60">
        <f>IFERROR(AV8/AU8,0)</f>
        <v>0.90165224232887486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72.5</v>
      </c>
      <c r="C9" s="79">
        <f>B8*(1-B10)</f>
        <v>828.24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308.22397200349957</v>
      </c>
      <c r="M9" s="86">
        <f>IFERROR(M8/M5,0)</f>
        <v>268.41644794400702</v>
      </c>
      <c r="N9" s="86">
        <f>IFERROR(N8/M5,0)</f>
        <v>308.22397200349957</v>
      </c>
      <c r="O9" s="86">
        <f>IFERROR(O8/M5,0)</f>
        <v>201.22484689413824</v>
      </c>
      <c r="P9" s="297">
        <f>SUM(P8/M5,0)</f>
        <v>45.84426946631671</v>
      </c>
      <c r="Q9" s="87">
        <f>IFERROR(Q8/M5,0)</f>
        <v>7.0130319716280143E-2</v>
      </c>
      <c r="R9" s="88"/>
      <c r="S9" s="89">
        <f>IFERROR(S8/T5,0)</f>
        <v>131.0344827586207</v>
      </c>
      <c r="T9" s="90">
        <f>IFERROR(SUM(T8/T5),0)</f>
        <v>122.22222222222223</v>
      </c>
      <c r="U9" s="91">
        <f>IFERROR(U8/T5,0)</f>
        <v>121.99310344827589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86.974789915966383</v>
      </c>
      <c r="AE9" s="79">
        <f>IFERROR(AE8/AD5,0)</f>
        <v>83.039180672268898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236.85106382978722</v>
      </c>
      <c r="AO9" s="86">
        <f>IFERROR(AO8/AO5,0)</f>
        <v>205.78723404255319</v>
      </c>
      <c r="AP9" s="86">
        <f>IFERROR(AP8/AO5,0)</f>
        <v>217.48848936170214</v>
      </c>
      <c r="AQ9" s="86">
        <f>IFERROR(AQ8/AO5,0)</f>
        <v>128.68085106382978</v>
      </c>
      <c r="AR9" s="297">
        <f>SUM(AR8/AO5,0)</f>
        <v>42.723404255319146</v>
      </c>
      <c r="AS9" s="87">
        <f>IFERROR(AS8/AO5,0)</f>
        <v>6.7072957470930547E-2</v>
      </c>
      <c r="AT9" s="88"/>
      <c r="AU9" s="89">
        <f>IFERROR(AU8/AV5,0)</f>
        <v>105.91666666666667</v>
      </c>
      <c r="AV9" s="90">
        <f>IFERROR(SUM(AV8/AV5),0)</f>
        <v>95.5</v>
      </c>
      <c r="AW9" s="91">
        <f>IFERROR(AW8/AV5,0)</f>
        <v>96.066416666666669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4.8000000000000001E-2</v>
      </c>
      <c r="C10" s="99"/>
      <c r="D10" s="100"/>
      <c r="E10" s="101" t="s">
        <v>39</v>
      </c>
      <c r="F10" s="102">
        <f>J23</f>
        <v>4.8000000000000001E-2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6.9000000000000006E-2</v>
      </c>
      <c r="U10" s="112"/>
      <c r="V10" s="100"/>
      <c r="W10" s="101" t="s">
        <v>39</v>
      </c>
      <c r="X10" s="113">
        <f>AA23</f>
        <v>6.9000000000000006E-2</v>
      </c>
      <c r="Y10" s="5"/>
      <c r="Z10" s="5"/>
      <c r="AA10" s="114"/>
      <c r="AB10" s="15"/>
      <c r="AC10" s="97" t="s">
        <v>39</v>
      </c>
      <c r="AD10" s="98">
        <f>AL23</f>
        <v>4.5249999999999999E-2</v>
      </c>
      <c r="AE10" s="99"/>
      <c r="AF10" s="100"/>
      <c r="AG10" s="101" t="s">
        <v>39</v>
      </c>
      <c r="AH10" s="102">
        <f>AL23</f>
        <v>4.5249999999999999E-2</v>
      </c>
      <c r="AI10" s="103"/>
      <c r="AJ10" s="99"/>
      <c r="AK10" s="104"/>
      <c r="AL10" s="105"/>
      <c r="AM10" s="106"/>
      <c r="AN10" s="107" t="s">
        <v>39</v>
      </c>
      <c r="AO10" s="108">
        <f>AR23</f>
        <v>8.1749999999999989E-2</v>
      </c>
      <c r="AP10" s="109"/>
      <c r="AQ10" s="109"/>
      <c r="AR10" s="109"/>
      <c r="AS10" s="110"/>
      <c r="AT10" s="111"/>
      <c r="AU10" s="107" t="s">
        <v>39</v>
      </c>
      <c r="AV10" s="108">
        <f>BC23</f>
        <v>9.2999999999999999E-2</v>
      </c>
      <c r="AW10" s="112"/>
      <c r="AX10" s="100"/>
      <c r="AY10" s="101" t="s">
        <v>39</v>
      </c>
      <c r="AZ10" s="113">
        <f>BC23</f>
        <v>9.2999999999999999E-2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>
        <v>0.36458333333333331</v>
      </c>
      <c r="B15" s="153">
        <v>0.73799999999999999</v>
      </c>
      <c r="C15" s="154">
        <v>0.71199999999999997</v>
      </c>
      <c r="D15" s="155">
        <v>0.16400000000000001</v>
      </c>
      <c r="E15" s="156"/>
      <c r="F15" s="157"/>
      <c r="G15" s="158">
        <v>0.872</v>
      </c>
      <c r="H15" s="158"/>
      <c r="I15" s="159"/>
      <c r="J15" s="160">
        <v>5.2999999999999999E-2</v>
      </c>
      <c r="K15" s="161"/>
      <c r="L15" s="162">
        <v>0.20219999999999999</v>
      </c>
      <c r="M15" s="163">
        <v>0.159</v>
      </c>
      <c r="N15" s="164">
        <v>0.17860000000000001</v>
      </c>
      <c r="O15" s="299">
        <v>0.16300000000000001</v>
      </c>
      <c r="P15" s="446">
        <v>6.9000000000000006E-2</v>
      </c>
      <c r="Q15" s="447"/>
      <c r="R15" s="161"/>
      <c r="S15" s="166">
        <v>0.20799999999999999</v>
      </c>
      <c r="T15" s="163">
        <v>0.122</v>
      </c>
      <c r="U15" s="167">
        <v>0.17899999999999999</v>
      </c>
      <c r="V15" s="168">
        <v>0.16300000000000001</v>
      </c>
      <c r="W15" s="169"/>
      <c r="X15" s="170"/>
      <c r="Y15" s="170"/>
      <c r="Z15" s="171"/>
      <c r="AA15" s="172">
        <v>7.1999999999999995E-2</v>
      </c>
      <c r="AB15" s="173"/>
      <c r="AC15" s="152">
        <v>0.80902777777777779</v>
      </c>
      <c r="AD15" s="153">
        <v>0.9254</v>
      </c>
      <c r="AE15" s="154">
        <v>0.86329999999999996</v>
      </c>
      <c r="AF15" s="155">
        <v>7.0999999999999994E-2</v>
      </c>
      <c r="AG15" s="156"/>
      <c r="AH15" s="157"/>
      <c r="AI15" s="158">
        <v>0.94110000000000005</v>
      </c>
      <c r="AJ15" s="158"/>
      <c r="AK15" s="159"/>
      <c r="AL15" s="160">
        <v>0.04</v>
      </c>
      <c r="AM15" s="161"/>
      <c r="AN15" s="162">
        <v>0.29570000000000002</v>
      </c>
      <c r="AO15" s="163">
        <v>0.1196</v>
      </c>
      <c r="AP15" s="164">
        <v>0.2092</v>
      </c>
      <c r="AQ15" s="165">
        <v>0.108</v>
      </c>
      <c r="AR15" s="356">
        <v>7.1999999999999995E-2</v>
      </c>
      <c r="AS15" s="357"/>
      <c r="AT15" s="161"/>
      <c r="AU15" s="166">
        <v>0.22289999999999999</v>
      </c>
      <c r="AV15" s="163">
        <v>0.1424</v>
      </c>
      <c r="AW15" s="167">
        <v>0.1646</v>
      </c>
      <c r="AX15" s="168">
        <v>0.1668</v>
      </c>
      <c r="AY15" s="169"/>
      <c r="AZ15" s="170"/>
      <c r="BA15" s="170"/>
      <c r="BB15" s="171"/>
      <c r="BC15" s="172">
        <v>7.1999999999999995E-2</v>
      </c>
    </row>
    <row r="16" spans="1:55" x14ac:dyDescent="0.3">
      <c r="A16" s="152">
        <v>0.39583333333333331</v>
      </c>
      <c r="B16" s="174">
        <v>0.74199999999999999</v>
      </c>
      <c r="C16" s="175">
        <v>0.72</v>
      </c>
      <c r="D16" s="176">
        <v>0.16900000000000001</v>
      </c>
      <c r="E16" s="177"/>
      <c r="F16" s="178"/>
      <c r="G16" s="179">
        <v>0.86699999999999999</v>
      </c>
      <c r="H16" s="179"/>
      <c r="I16" s="180"/>
      <c r="J16" s="160">
        <v>5.3999999999999999E-2</v>
      </c>
      <c r="K16" s="161"/>
      <c r="L16" s="181" t="s">
        <v>107</v>
      </c>
      <c r="M16" s="170" t="s">
        <v>107</v>
      </c>
      <c r="N16" s="302" t="s">
        <v>107</v>
      </c>
      <c r="O16" s="300" t="s">
        <v>107</v>
      </c>
      <c r="P16" s="440" t="s">
        <v>107</v>
      </c>
      <c r="Q16" s="357"/>
      <c r="R16" s="161"/>
      <c r="S16" s="169" t="s">
        <v>107</v>
      </c>
      <c r="T16" s="170" t="s">
        <v>107</v>
      </c>
      <c r="U16" s="169" t="s">
        <v>107</v>
      </c>
      <c r="V16" s="171" t="s">
        <v>107</v>
      </c>
      <c r="W16" s="169"/>
      <c r="X16" s="170"/>
      <c r="Y16" s="170"/>
      <c r="Z16" s="171"/>
      <c r="AA16" s="184" t="s">
        <v>107</v>
      </c>
      <c r="AB16" s="173"/>
      <c r="AC16" s="185">
        <v>0.9555555555555556</v>
      </c>
      <c r="AD16" s="174">
        <v>0.92700000000000005</v>
      </c>
      <c r="AE16" s="175">
        <v>0.8921</v>
      </c>
      <c r="AF16" s="176">
        <v>6.9699999999999998E-2</v>
      </c>
      <c r="AG16" s="177"/>
      <c r="AH16" s="178"/>
      <c r="AI16" s="179">
        <v>0.93899999999999995</v>
      </c>
      <c r="AJ16" s="179"/>
      <c r="AK16" s="180"/>
      <c r="AL16" s="160">
        <v>4.5999999999999999E-2</v>
      </c>
      <c r="AM16" s="161"/>
      <c r="AN16" s="181">
        <v>0.17430000000000001</v>
      </c>
      <c r="AO16" s="170">
        <v>0.13320000000000001</v>
      </c>
      <c r="AP16" s="302">
        <v>0.15570000000000001</v>
      </c>
      <c r="AQ16" s="183">
        <v>0.13289999999999999</v>
      </c>
      <c r="AR16" s="356">
        <v>8.3000000000000004E-2</v>
      </c>
      <c r="AS16" s="357"/>
      <c r="AT16" s="161"/>
      <c r="AU16" s="169">
        <v>0.19939999999999999</v>
      </c>
      <c r="AV16" s="170">
        <v>0.14660000000000001</v>
      </c>
      <c r="AW16" s="169">
        <v>0.25569999999999998</v>
      </c>
      <c r="AX16" s="171">
        <v>0.10290000000000001</v>
      </c>
      <c r="AY16" s="169"/>
      <c r="AZ16" s="170"/>
      <c r="BA16" s="170"/>
      <c r="BB16" s="171"/>
      <c r="BC16" s="184">
        <v>0.10199999999999999</v>
      </c>
    </row>
    <row r="17" spans="1:55" x14ac:dyDescent="0.3">
      <c r="A17" s="152">
        <v>0.4201388888888889</v>
      </c>
      <c r="B17" s="174">
        <v>0.85899999999999999</v>
      </c>
      <c r="C17" s="175">
        <v>0.81499999999999995</v>
      </c>
      <c r="D17" s="176">
        <v>0.106</v>
      </c>
      <c r="E17" s="177"/>
      <c r="F17" s="178"/>
      <c r="G17" s="179">
        <v>0.92700000000000005</v>
      </c>
      <c r="H17" s="179"/>
      <c r="I17" s="180"/>
      <c r="J17" s="160">
        <v>4.5999999999999999E-2</v>
      </c>
      <c r="K17" s="161"/>
      <c r="L17" s="181" t="s">
        <v>107</v>
      </c>
      <c r="M17" s="170" t="s">
        <v>107</v>
      </c>
      <c r="N17" s="302" t="s">
        <v>107</v>
      </c>
      <c r="O17" s="300" t="s">
        <v>107</v>
      </c>
      <c r="P17" s="440" t="s">
        <v>107</v>
      </c>
      <c r="Q17" s="357"/>
      <c r="R17" s="161"/>
      <c r="S17" s="169" t="s">
        <v>107</v>
      </c>
      <c r="T17" s="170" t="s">
        <v>107</v>
      </c>
      <c r="U17" s="169" t="s">
        <v>107</v>
      </c>
      <c r="V17" s="171" t="s">
        <v>107</v>
      </c>
      <c r="W17" s="169"/>
      <c r="X17" s="170"/>
      <c r="Y17" s="170"/>
      <c r="Z17" s="171"/>
      <c r="AA17" s="184" t="s">
        <v>107</v>
      </c>
      <c r="AB17" s="173"/>
      <c r="AC17" s="185">
        <v>8.3333333333333329E-2</v>
      </c>
      <c r="AD17" s="174">
        <v>0.91590000000000005</v>
      </c>
      <c r="AE17" s="175">
        <v>0.88639999999999997</v>
      </c>
      <c r="AF17" s="176">
        <v>8.1600000000000006E-2</v>
      </c>
      <c r="AG17" s="177"/>
      <c r="AH17" s="178"/>
      <c r="AI17" s="179">
        <v>0.9486</v>
      </c>
      <c r="AJ17" s="179"/>
      <c r="AK17" s="180"/>
      <c r="AL17" s="160">
        <v>0.05</v>
      </c>
      <c r="AM17" s="161"/>
      <c r="AN17" s="181">
        <v>0.15559999999999999</v>
      </c>
      <c r="AO17" s="170">
        <v>0.12859999999999999</v>
      </c>
      <c r="AP17" s="302">
        <v>0.22650000000000001</v>
      </c>
      <c r="AQ17" s="183">
        <v>8.3400000000000002E-2</v>
      </c>
      <c r="AR17" s="356">
        <v>8.4000000000000005E-2</v>
      </c>
      <c r="AS17" s="357"/>
      <c r="AT17" s="161"/>
      <c r="AU17" s="169">
        <v>0.20080000000000001</v>
      </c>
      <c r="AV17" s="170">
        <v>0.1338</v>
      </c>
      <c r="AW17" s="169">
        <v>0.21729999999999999</v>
      </c>
      <c r="AX17" s="171">
        <v>0.12609999999999999</v>
      </c>
      <c r="AY17" s="169"/>
      <c r="AZ17" s="170"/>
      <c r="BA17" s="170"/>
      <c r="BB17" s="171"/>
      <c r="BC17" s="184">
        <v>0.10199999999999999</v>
      </c>
    </row>
    <row r="18" spans="1:55" x14ac:dyDescent="0.3">
      <c r="A18" s="152">
        <v>0.52986111111111112</v>
      </c>
      <c r="B18" s="174">
        <v>0.91200000000000003</v>
      </c>
      <c r="C18" s="175">
        <v>0.88300000000000001</v>
      </c>
      <c r="D18" s="176">
        <v>8.7999999999999995E-2</v>
      </c>
      <c r="E18" s="177"/>
      <c r="F18" s="178"/>
      <c r="G18" s="179">
        <v>0.93669999999999998</v>
      </c>
      <c r="H18" s="179"/>
      <c r="I18" s="180"/>
      <c r="J18" s="160">
        <v>4.2000000000000003E-2</v>
      </c>
      <c r="K18" s="161"/>
      <c r="L18" s="181">
        <v>0.17960000000000001</v>
      </c>
      <c r="M18" s="170">
        <v>0.1668</v>
      </c>
      <c r="N18" s="302">
        <v>0.19139999999999999</v>
      </c>
      <c r="O18" s="300">
        <v>0.1145</v>
      </c>
      <c r="P18" s="440">
        <v>6.7000000000000004E-2</v>
      </c>
      <c r="Q18" s="357"/>
      <c r="R18" s="161"/>
      <c r="S18" s="169">
        <v>0.24110000000000001</v>
      </c>
      <c r="T18" s="170">
        <v>0.10730000000000001</v>
      </c>
      <c r="U18" s="169">
        <v>0.24709999999999999</v>
      </c>
      <c r="V18" s="171">
        <v>0.10580000000000001</v>
      </c>
      <c r="W18" s="169"/>
      <c r="X18" s="170"/>
      <c r="Y18" s="170"/>
      <c r="Z18" s="171"/>
      <c r="AA18" s="184">
        <v>6.5000000000000002E-2</v>
      </c>
      <c r="AB18" s="173"/>
      <c r="AC18" s="185">
        <v>0.16666666666666666</v>
      </c>
      <c r="AD18" s="174">
        <v>0.92430000000000001</v>
      </c>
      <c r="AE18" s="175">
        <v>0.84199999999999997</v>
      </c>
      <c r="AF18" s="176">
        <v>7.0999999999999994E-2</v>
      </c>
      <c r="AG18" s="177"/>
      <c r="AH18" s="178"/>
      <c r="AI18" s="179">
        <v>0.9355</v>
      </c>
      <c r="AJ18" s="179"/>
      <c r="AK18" s="180"/>
      <c r="AL18" s="160">
        <v>4.4999999999999998E-2</v>
      </c>
      <c r="AM18" s="161"/>
      <c r="AN18" s="181">
        <v>0.18010000000000001</v>
      </c>
      <c r="AO18" s="170">
        <v>0.1242</v>
      </c>
      <c r="AP18" s="302">
        <v>0.21049999999999999</v>
      </c>
      <c r="AQ18" s="183">
        <v>0.1108</v>
      </c>
      <c r="AR18" s="356">
        <v>8.7999999999999995E-2</v>
      </c>
      <c r="AS18" s="357"/>
      <c r="AT18" s="161"/>
      <c r="AU18" s="169">
        <v>0.2271</v>
      </c>
      <c r="AV18" s="170">
        <v>0.13250000000000001</v>
      </c>
      <c r="AW18" s="169">
        <v>0.32869999999999999</v>
      </c>
      <c r="AX18" s="171">
        <v>5.16E-2</v>
      </c>
      <c r="AY18" s="169"/>
      <c r="AZ18" s="170"/>
      <c r="BA18" s="170"/>
      <c r="BB18" s="171"/>
      <c r="BC18" s="184">
        <v>9.6000000000000002E-2</v>
      </c>
    </row>
    <row r="19" spans="1:55" x14ac:dyDescent="0.3">
      <c r="A19" s="152">
        <v>0.73263888888888884</v>
      </c>
      <c r="B19" s="174">
        <v>0.9</v>
      </c>
      <c r="C19" s="175">
        <v>0.83689999999999998</v>
      </c>
      <c r="D19" s="176">
        <v>0.10100000000000001</v>
      </c>
      <c r="E19" s="177"/>
      <c r="F19" s="178"/>
      <c r="G19" s="179">
        <v>0.9163</v>
      </c>
      <c r="H19" s="179"/>
      <c r="I19" s="180"/>
      <c r="J19" s="160">
        <v>4.4999999999999998E-2</v>
      </c>
      <c r="K19" s="161"/>
      <c r="L19" s="181">
        <v>0.20569999999999999</v>
      </c>
      <c r="M19" s="170">
        <v>0.14349999999999999</v>
      </c>
      <c r="N19" s="302">
        <v>0.28370000000000001</v>
      </c>
      <c r="O19" s="300">
        <v>8.4699999999999998E-2</v>
      </c>
      <c r="P19" s="440">
        <v>7.0000000000000007E-2</v>
      </c>
      <c r="Q19" s="357"/>
      <c r="R19" s="161"/>
      <c r="S19" s="169">
        <v>0.21990000000000001</v>
      </c>
      <c r="T19" s="170">
        <v>0.1326</v>
      </c>
      <c r="U19" s="169">
        <v>0.27329999999999999</v>
      </c>
      <c r="V19" s="171">
        <v>0.11360000000000001</v>
      </c>
      <c r="W19" s="169"/>
      <c r="X19" s="170"/>
      <c r="Y19" s="170"/>
      <c r="Z19" s="171"/>
      <c r="AA19" s="184">
        <v>7.0000000000000007E-2</v>
      </c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0.83019999999999994</v>
      </c>
      <c r="C23" s="198">
        <f t="shared" ref="C23:J23" si="0">IFERROR(AVERAGE(C15:C22),0)</f>
        <v>0.79337999999999997</v>
      </c>
      <c r="D23" s="198">
        <f t="shared" si="0"/>
        <v>0.12559999999999999</v>
      </c>
      <c r="E23" s="198">
        <f t="shared" si="0"/>
        <v>0</v>
      </c>
      <c r="F23" s="198">
        <f t="shared" si="0"/>
        <v>0</v>
      </c>
      <c r="G23" s="198">
        <f t="shared" si="0"/>
        <v>0.90380000000000005</v>
      </c>
      <c r="H23" s="198">
        <f t="shared" si="0"/>
        <v>0</v>
      </c>
      <c r="I23" s="198">
        <f t="shared" si="0"/>
        <v>0</v>
      </c>
      <c r="J23" s="198">
        <f t="shared" si="0"/>
        <v>4.8000000000000001E-2</v>
      </c>
      <c r="K23" s="161"/>
      <c r="L23" s="199">
        <f>IFERROR(AVERAGE(L15:L22),0)</f>
        <v>0.19583333333333333</v>
      </c>
      <c r="M23" s="198">
        <f>IFERROR(AVERAGE(M15:M22),0)</f>
        <v>0.15643333333333331</v>
      </c>
      <c r="N23" s="200">
        <f>IFERROR(AVERAGE(N15:N22),0)</f>
        <v>0.21789999999999998</v>
      </c>
      <c r="O23" s="201">
        <f>IFERROR(AVERAGE(O15:O22),0)</f>
        <v>0.12073333333333335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0.223</v>
      </c>
      <c r="T23" s="198">
        <f t="shared" si="1"/>
        <v>0.12063333333333333</v>
      </c>
      <c r="U23" s="198">
        <f t="shared" si="1"/>
        <v>0.23313333333333333</v>
      </c>
      <c r="V23" s="198">
        <f t="shared" si="1"/>
        <v>0.1274666666666667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6.9000000000000006E-2</v>
      </c>
      <c r="AB23" s="173"/>
      <c r="AC23" s="197" t="s">
        <v>58</v>
      </c>
      <c r="AD23" s="198">
        <f>IFERROR(AVERAGE(AD15:AD22),0)</f>
        <v>0.92315000000000003</v>
      </c>
      <c r="AE23" s="198">
        <f t="shared" ref="AE23:AL23" si="2">IFERROR(AVERAGE(AE15:AE22),0)</f>
        <v>0.87095</v>
      </c>
      <c r="AF23" s="198">
        <f t="shared" si="2"/>
        <v>7.3325000000000001E-2</v>
      </c>
      <c r="AG23" s="198">
        <f t="shared" si="2"/>
        <v>0</v>
      </c>
      <c r="AH23" s="198">
        <f t="shared" si="2"/>
        <v>0</v>
      </c>
      <c r="AI23" s="198">
        <f t="shared" si="2"/>
        <v>0.94104999999999994</v>
      </c>
      <c r="AJ23" s="198">
        <f t="shared" si="2"/>
        <v>0</v>
      </c>
      <c r="AK23" s="198">
        <f t="shared" si="2"/>
        <v>0</v>
      </c>
      <c r="AL23" s="198">
        <f t="shared" si="2"/>
        <v>4.5249999999999999E-2</v>
      </c>
      <c r="AM23" s="161"/>
      <c r="AN23" s="199">
        <f>IFERROR(AVERAGE(AN15:AN22),0)</f>
        <v>0.20142500000000002</v>
      </c>
      <c r="AO23" s="198">
        <f>IFERROR(AVERAGE(AO15:AO22),0)</f>
        <v>0.12640000000000001</v>
      </c>
      <c r="AP23" s="200">
        <f>IFERROR(AVERAGE(AP15:AP22),0)</f>
        <v>0.20047500000000001</v>
      </c>
      <c r="AQ23" s="201">
        <f>IFERROR(AVERAGE(AQ15:AQ22),0)</f>
        <v>0.10877500000000001</v>
      </c>
      <c r="AR23" s="396">
        <f>IFERROR(AVERAGE(AR15:AS22),0)</f>
        <v>8.1749999999999989E-2</v>
      </c>
      <c r="AS23" s="397"/>
      <c r="AT23" s="202"/>
      <c r="AU23" s="199">
        <f t="shared" ref="AU23:BC23" si="3">IFERROR(AVERAGE(AU15:AU22),0)</f>
        <v>0.21254999999999999</v>
      </c>
      <c r="AV23" s="198">
        <f t="shared" si="3"/>
        <v>0.13882500000000003</v>
      </c>
      <c r="AW23" s="198">
        <f t="shared" si="3"/>
        <v>0.24157499999999998</v>
      </c>
      <c r="AX23" s="198">
        <f t="shared" si="3"/>
        <v>0.11184999999999999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9.2999999999999999E-2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>
        <v>7</v>
      </c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 t="s">
        <v>109</v>
      </c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 t="s">
        <v>105</v>
      </c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323.44706911636047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1905</v>
      </c>
      <c r="D43" s="267"/>
      <c r="E43" s="276" t="s">
        <v>84</v>
      </c>
      <c r="F43" s="273">
        <f>AG9+AQ9+AV9</f>
        <v>224.18085106382978</v>
      </c>
      <c r="K43" s="266"/>
      <c r="R43" s="266"/>
    </row>
    <row r="44" spans="1:55" ht="16.2" thickBot="1" x14ac:dyDescent="0.35">
      <c r="A44" s="274" t="s">
        <v>3</v>
      </c>
      <c r="B44" s="275">
        <f>L8+AN8</f>
        <v>6306</v>
      </c>
      <c r="C44" s="277"/>
      <c r="D44" s="267"/>
      <c r="E44" s="276" t="s">
        <v>85</v>
      </c>
      <c r="F44" s="273">
        <f>B9+X9</f>
        <v>72.5</v>
      </c>
      <c r="K44" s="266"/>
      <c r="R44" s="266"/>
    </row>
    <row r="45" spans="1:55" ht="16.2" thickBot="1" x14ac:dyDescent="0.35">
      <c r="A45" s="274" t="s">
        <v>4</v>
      </c>
      <c r="B45" s="278">
        <f>S8+AU8</f>
        <v>2639</v>
      </c>
      <c r="C45" s="279">
        <f>W8+AY8</f>
        <v>0</v>
      </c>
      <c r="D45" s="267"/>
      <c r="E45" s="280" t="s">
        <v>86</v>
      </c>
      <c r="F45" s="281">
        <f>AD9+AZ9</f>
        <v>86.974789915966383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8945</v>
      </c>
      <c r="C46" s="284">
        <f>SUM(C43:C45)</f>
        <v>1905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1524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5549.28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2414.6849999999999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7963.9650000000001</v>
      </c>
      <c r="C52" s="291">
        <f>SUM(C49:C51)</f>
        <v>1524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0900-000000000000}">
      <formula1>$A$137:$A$148</formula1>
    </dataValidation>
    <dataValidation type="list" allowBlank="1" showInputMessage="1" showErrorMessage="1" sqref="AX11 BB11:BC11 V11 Z11:AA11" xr:uid="{00000000-0002-0000-0900-000001000000}">
      <formula1>"Silo 6, Silo 7, Silo 8, Silo 9"</formula1>
    </dataValidation>
    <dataValidation type="list" allowBlank="1" showInputMessage="1" showErrorMessage="1" sqref="AD11 AO11 AZ11 AV11 B11 M11 X11 T11" xr:uid="{00000000-0002-0000-0900-000002000000}">
      <formula1>"100#, 40/70"</formula1>
    </dataValidation>
    <dataValidation type="list" allowBlank="1" showInputMessage="1" showErrorMessage="1" sqref="AJ11:AM11 AQ11:AT11 H11:K11 O11:R11" xr:uid="{00000000-0002-0000-0900-000003000000}">
      <formula1>"Silo 1, Silo 2, Silo 6, Silo 7"</formula1>
    </dataValidation>
    <dataValidation type="list" allowBlank="1" showInputMessage="1" showErrorMessage="1" sqref="AV25 AD25 AO25 T25 B25 M25" xr:uid="{00000000-0002-0000-0900-000004000000}">
      <formula1>"1, 2, 3, 4, 5, 6, 7, 8, 9, 10, 11, 12, 13, 14, 15, 16"</formula1>
    </dataValidation>
    <dataValidation type="list" allowBlank="1" showInputMessage="1" showErrorMessage="1" sqref="C29:C31 AE29:AE31" xr:uid="{00000000-0002-0000-0900-000005000000}">
      <formula1>"Carrier 100, Carrier 200, Rotary"</formula1>
    </dataValidation>
    <dataValidation type="list" allowBlank="1" showInputMessage="1" showErrorMessage="1" sqref="B26 M26 T26 AD26 AO26 AV26" xr:uid="{00000000-0002-0000-0900-000006000000}">
      <formula1>"SP1, SP2, SP3, OWP SP"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C148"/>
  <sheetViews>
    <sheetView topLeftCell="A16" zoomScale="70" zoomScaleNormal="70" workbookViewId="0">
      <selection activeCell="B58" sqref="B58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>
        <v>42891</v>
      </c>
      <c r="C4" s="5"/>
      <c r="D4" s="6" t="s">
        <v>6</v>
      </c>
      <c r="E4" s="380" t="s">
        <v>94</v>
      </c>
      <c r="F4" s="381"/>
      <c r="G4" s="312"/>
      <c r="H4" s="312"/>
      <c r="I4" s="8"/>
      <c r="J4" s="9"/>
      <c r="K4" s="10"/>
      <c r="L4" s="6" t="s">
        <v>5</v>
      </c>
      <c r="M4" s="4">
        <f>B4</f>
        <v>42891</v>
      </c>
      <c r="N4" s="5"/>
      <c r="O4" s="370" t="s">
        <v>6</v>
      </c>
      <c r="P4" s="371"/>
      <c r="Q4" s="11" t="s">
        <v>94</v>
      </c>
      <c r="R4" s="12"/>
      <c r="S4" s="6" t="s">
        <v>5</v>
      </c>
      <c r="T4" s="4">
        <f>B4</f>
        <v>42891</v>
      </c>
      <c r="U4" s="5"/>
      <c r="V4" s="6" t="s">
        <v>6</v>
      </c>
      <c r="W4" s="382" t="s">
        <v>94</v>
      </c>
      <c r="X4" s="383"/>
      <c r="Y4" s="5"/>
      <c r="Z4" s="13"/>
      <c r="AA4" s="14"/>
      <c r="AB4" s="15"/>
      <c r="AC4" s="3" t="s">
        <v>5</v>
      </c>
      <c r="AD4" s="4">
        <f>B4</f>
        <v>42891</v>
      </c>
      <c r="AE4" s="5"/>
      <c r="AF4" s="6" t="s">
        <v>6</v>
      </c>
      <c r="AG4" s="380" t="s">
        <v>90</v>
      </c>
      <c r="AH4" s="381"/>
      <c r="AI4" s="312"/>
      <c r="AJ4" s="312"/>
      <c r="AK4" s="8"/>
      <c r="AL4" s="9"/>
      <c r="AM4" s="10"/>
      <c r="AN4" s="6" t="s">
        <v>5</v>
      </c>
      <c r="AO4" s="4">
        <f>B4</f>
        <v>42891</v>
      </c>
      <c r="AP4" s="5"/>
      <c r="AQ4" s="370" t="s">
        <v>6</v>
      </c>
      <c r="AR4" s="371"/>
      <c r="AS4" s="11" t="s">
        <v>90</v>
      </c>
      <c r="AT4" s="12"/>
      <c r="AU4" s="6" t="s">
        <v>5</v>
      </c>
      <c r="AV4" s="4">
        <f>B4</f>
        <v>42891</v>
      </c>
      <c r="AW4" s="5"/>
      <c r="AX4" s="6" t="s">
        <v>6</v>
      </c>
      <c r="AY4" s="382" t="s">
        <v>90</v>
      </c>
      <c r="AZ4" s="383"/>
      <c r="BA4" s="5"/>
      <c r="BB4" s="13"/>
      <c r="BC4" s="14"/>
    </row>
    <row r="5" spans="1:55" ht="43.8" thickBot="1" x14ac:dyDescent="0.35">
      <c r="A5" s="16" t="s">
        <v>8</v>
      </c>
      <c r="B5" s="17">
        <v>10.1</v>
      </c>
      <c r="C5" s="5"/>
      <c r="D5" s="18" t="s">
        <v>9</v>
      </c>
      <c r="E5" s="19"/>
      <c r="F5" s="20" t="s">
        <v>10</v>
      </c>
      <c r="G5" s="21">
        <f>SUM((B5+E5)/12, 0)</f>
        <v>0.84166666666666667</v>
      </c>
      <c r="H5" s="22"/>
      <c r="I5" s="23"/>
      <c r="J5" s="24"/>
      <c r="K5" s="25"/>
      <c r="L5" s="26" t="s">
        <v>11</v>
      </c>
      <c r="M5" s="27">
        <v>10.029999999999999</v>
      </c>
      <c r="N5" s="5"/>
      <c r="O5" s="28" t="s">
        <v>12</v>
      </c>
      <c r="P5" s="298">
        <f>SUM(M5/12)</f>
        <v>0.83583333333333332</v>
      </c>
      <c r="Q5" s="317"/>
      <c r="R5" s="29"/>
      <c r="S5" s="20" t="s">
        <v>13</v>
      </c>
      <c r="T5" s="17">
        <v>10.37</v>
      </c>
      <c r="U5" s="5"/>
      <c r="V5" s="18" t="s">
        <v>14</v>
      </c>
      <c r="W5" s="19"/>
      <c r="X5" s="18" t="s">
        <v>10</v>
      </c>
      <c r="Y5" s="30">
        <f>SUM(T5+W5)/12</f>
        <v>0.86416666666666664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/>
      <c r="AH5" s="20" t="s">
        <v>10</v>
      </c>
      <c r="AI5" s="21">
        <f>SUM(AD5+AG5)/12</f>
        <v>0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/>
      <c r="AW5" s="5"/>
      <c r="AX5" s="18" t="s">
        <v>14</v>
      </c>
      <c r="AY5" s="19"/>
      <c r="AZ5" s="18" t="s">
        <v>10</v>
      </c>
      <c r="BA5" s="30">
        <f>(AV5+AY5)/12</f>
        <v>0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>
        <v>889</v>
      </c>
      <c r="C8" s="59">
        <f>B8*(1-B10)</f>
        <v>849.88400000000001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>
        <v>3024</v>
      </c>
      <c r="M8" s="68">
        <v>2666</v>
      </c>
      <c r="N8" s="64">
        <f>L8*(1-M10)</f>
        <v>3024</v>
      </c>
      <c r="O8" s="69">
        <v>2383</v>
      </c>
      <c r="P8" s="296">
        <v>61</v>
      </c>
      <c r="Q8" s="60">
        <f>IFERROR((O8+P8)/L8,0)</f>
        <v>0.80820105820105825</v>
      </c>
      <c r="R8" s="70"/>
      <c r="S8" s="71">
        <v>1298</v>
      </c>
      <c r="T8" s="72">
        <v>1143</v>
      </c>
      <c r="U8" s="62">
        <f>S8*(1-T10)</f>
        <v>1198.0540000000001</v>
      </c>
      <c r="V8" s="60">
        <f>IFERROR(T8/S8,0)</f>
        <v>0.88058551617873648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/>
      <c r="AO8" s="68"/>
      <c r="AP8" s="64">
        <f>AN8*(1-AO10)</f>
        <v>0</v>
      </c>
      <c r="AQ8" s="69"/>
      <c r="AR8" s="296"/>
      <c r="AS8" s="60" t="e">
        <f>SUM((AQ8+AR8)/AP8,0)</f>
        <v>#DIV/0!</v>
      </c>
      <c r="AT8" s="70"/>
      <c r="AU8" s="71"/>
      <c r="AV8" s="72"/>
      <c r="AW8" s="62">
        <f>AU8*(1-AV10)</f>
        <v>0</v>
      </c>
      <c r="AX8" s="60">
        <f>IFERROR(AV8/AU8,0)</f>
        <v>0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88.019801980198025</v>
      </c>
      <c r="C9" s="79">
        <f>B8*(1-B10)</f>
        <v>849.88400000000001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301.49551345962118</v>
      </c>
      <c r="M9" s="86">
        <f>IFERROR(M8/M5,0)</f>
        <v>265.80259222333001</v>
      </c>
      <c r="N9" s="86">
        <f>IFERROR(N8/M5,0)</f>
        <v>301.49551345962118</v>
      </c>
      <c r="O9" s="86">
        <f>IFERROR(O8/M5,0)</f>
        <v>237.58723828514459</v>
      </c>
      <c r="P9" s="297">
        <f>SUM(P8/M5,0)</f>
        <v>6.0817547357926225</v>
      </c>
      <c r="Q9" s="87">
        <f>IFERROR(Q8/M5,0)</f>
        <v>8.0578370707981892E-2</v>
      </c>
      <c r="R9" s="88"/>
      <c r="S9" s="89">
        <f>IFERROR(S8/T5,0)</f>
        <v>125.16875602700097</v>
      </c>
      <c r="T9" s="90">
        <f>IFERROR(SUM(T8/T5),0)</f>
        <v>110.22179363548699</v>
      </c>
      <c r="U9" s="91">
        <f>IFERROR(U8/T5,0)</f>
        <v>115.53076181292191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0</v>
      </c>
      <c r="AO9" s="86">
        <f>IFERROR(AO8/AO5,0)</f>
        <v>0</v>
      </c>
      <c r="AP9" s="86">
        <f>IFERROR(AP8/AO5,0)</f>
        <v>0</v>
      </c>
      <c r="AQ9" s="86">
        <f>IFERROR(AQ8/AO5,0)</f>
        <v>0</v>
      </c>
      <c r="AR9" s="297">
        <f>SUM(AR8/AO5,0)</f>
        <v>0</v>
      </c>
      <c r="AS9" s="87">
        <f>IFERROR(AS8/AO5,0)</f>
        <v>0</v>
      </c>
      <c r="AT9" s="88"/>
      <c r="AU9" s="89">
        <f>IFERROR(AU8/AV5,0)</f>
        <v>0</v>
      </c>
      <c r="AV9" s="90">
        <f>IFERROR(SUM(AV8/AV5),0)</f>
        <v>0</v>
      </c>
      <c r="AW9" s="91">
        <f>IFERROR(AW8/AV5,0)</f>
        <v>0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4.4000000000000004E-2</v>
      </c>
      <c r="C10" s="99"/>
      <c r="D10" s="100"/>
      <c r="E10" s="101" t="s">
        <v>39</v>
      </c>
      <c r="F10" s="102">
        <f>J23</f>
        <v>4.4000000000000004E-2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7.6999999999999999E-2</v>
      </c>
      <c r="U10" s="112"/>
      <c r="V10" s="100"/>
      <c r="W10" s="101" t="s">
        <v>39</v>
      </c>
      <c r="X10" s="113">
        <f>AA23</f>
        <v>7.6999999999999999E-2</v>
      </c>
      <c r="Y10" s="5"/>
      <c r="Z10" s="5"/>
      <c r="AA10" s="114"/>
      <c r="AB10" s="15"/>
      <c r="AC10" s="97" t="s">
        <v>39</v>
      </c>
      <c r="AD10" s="98">
        <f>AL23</f>
        <v>4.7500000000000001E-2</v>
      </c>
      <c r="AE10" s="99"/>
      <c r="AF10" s="100"/>
      <c r="AG10" s="101" t="s">
        <v>39</v>
      </c>
      <c r="AH10" s="102">
        <f>AL23</f>
        <v>4.7500000000000001E-2</v>
      </c>
      <c r="AI10" s="103"/>
      <c r="AJ10" s="99"/>
      <c r="AK10" s="104"/>
      <c r="AL10" s="105"/>
      <c r="AM10" s="106"/>
      <c r="AN10" s="107" t="s">
        <v>39</v>
      </c>
      <c r="AO10" s="108">
        <f>AR23</f>
        <v>6.6500000000000004E-2</v>
      </c>
      <c r="AP10" s="109"/>
      <c r="AQ10" s="109"/>
      <c r="AR10" s="109"/>
      <c r="AS10" s="110"/>
      <c r="AT10" s="111"/>
      <c r="AU10" s="107" t="s">
        <v>39</v>
      </c>
      <c r="AV10" s="108">
        <f>BC23</f>
        <v>8.7499999999999994E-2</v>
      </c>
      <c r="AW10" s="112"/>
      <c r="AX10" s="100"/>
      <c r="AY10" s="101" t="s">
        <v>39</v>
      </c>
      <c r="AZ10" s="113">
        <f>BC23</f>
        <v>8.7499999999999994E-2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>
        <v>0.27430555555555552</v>
      </c>
      <c r="B15" s="153">
        <v>0.92200000000000004</v>
      </c>
      <c r="C15" s="154">
        <v>0.88900000000000001</v>
      </c>
      <c r="D15" s="155">
        <v>7.8E-2</v>
      </c>
      <c r="E15" s="156"/>
      <c r="F15" s="157"/>
      <c r="G15" s="158">
        <v>0.92500000000000004</v>
      </c>
      <c r="H15" s="158"/>
      <c r="I15" s="159"/>
      <c r="J15" s="160">
        <v>4.3999999999999997E-2</v>
      </c>
      <c r="K15" s="161"/>
      <c r="L15" s="162">
        <v>0.1661</v>
      </c>
      <c r="M15" s="163">
        <v>0.17199999999999999</v>
      </c>
      <c r="N15" s="164">
        <v>0.1762</v>
      </c>
      <c r="O15" s="299">
        <v>0.17419999999999999</v>
      </c>
      <c r="P15" s="446">
        <v>6.9000000000000006E-2</v>
      </c>
      <c r="Q15" s="447"/>
      <c r="R15" s="161"/>
      <c r="S15" s="166">
        <v>0.19939999999999999</v>
      </c>
      <c r="T15" s="163">
        <v>0.1361</v>
      </c>
      <c r="U15" s="167">
        <v>0.23880000000000001</v>
      </c>
      <c r="V15" s="168">
        <v>0.1239</v>
      </c>
      <c r="W15" s="169"/>
      <c r="X15" s="170"/>
      <c r="Y15" s="170"/>
      <c r="Z15" s="171"/>
      <c r="AA15" s="172">
        <v>7.4999999999999997E-2</v>
      </c>
      <c r="AB15" s="173"/>
      <c r="AC15" s="152">
        <v>0.79166666666666663</v>
      </c>
      <c r="AD15" s="153">
        <v>0.86</v>
      </c>
      <c r="AE15" s="154">
        <v>0.80030000000000001</v>
      </c>
      <c r="AF15" s="155">
        <v>0.1134</v>
      </c>
      <c r="AG15" s="156"/>
      <c r="AH15" s="157"/>
      <c r="AI15" s="158">
        <v>0.92610000000000003</v>
      </c>
      <c r="AJ15" s="158"/>
      <c r="AK15" s="159"/>
      <c r="AL15" s="160">
        <v>4.5999999999999999E-2</v>
      </c>
      <c r="AM15" s="161"/>
      <c r="AN15" s="162">
        <v>0.21890000000000001</v>
      </c>
      <c r="AO15" s="163">
        <v>0.1265</v>
      </c>
      <c r="AP15" s="164">
        <v>0.33460000000000001</v>
      </c>
      <c r="AQ15" s="165">
        <v>8.1299999999999997E-2</v>
      </c>
      <c r="AR15" s="356">
        <v>6.5000000000000002E-2</v>
      </c>
      <c r="AS15" s="357"/>
      <c r="AT15" s="161"/>
      <c r="AU15" s="166">
        <v>0.2356</v>
      </c>
      <c r="AV15" s="163">
        <v>0.1237</v>
      </c>
      <c r="AW15" s="167">
        <v>0.32829999999999998</v>
      </c>
      <c r="AX15" s="168">
        <v>8.4500000000000006E-2</v>
      </c>
      <c r="AY15" s="169"/>
      <c r="AZ15" s="170"/>
      <c r="BA15" s="170"/>
      <c r="BB15" s="171"/>
      <c r="BC15" s="172">
        <v>9.9000000000000005E-2</v>
      </c>
    </row>
    <row r="16" spans="1:55" x14ac:dyDescent="0.3">
      <c r="A16" s="152">
        <v>0.40972222222222227</v>
      </c>
      <c r="B16" s="174">
        <v>0.92100000000000004</v>
      </c>
      <c r="C16" s="175">
        <v>0.88200000000000001</v>
      </c>
      <c r="D16" s="176">
        <v>7.9000000000000001E-2</v>
      </c>
      <c r="E16" s="177"/>
      <c r="F16" s="178"/>
      <c r="G16" s="179">
        <v>0.93700000000000006</v>
      </c>
      <c r="H16" s="179"/>
      <c r="I16" s="180"/>
      <c r="J16" s="160">
        <v>4.2000000000000003E-2</v>
      </c>
      <c r="K16" s="161"/>
      <c r="L16" s="181">
        <v>0.17949999999999999</v>
      </c>
      <c r="M16" s="170">
        <v>0.1588</v>
      </c>
      <c r="N16" s="302">
        <v>0.1502</v>
      </c>
      <c r="O16" s="300">
        <v>0.1739</v>
      </c>
      <c r="P16" s="440">
        <v>7.0999999999999994E-2</v>
      </c>
      <c r="Q16" s="357"/>
      <c r="R16" s="161"/>
      <c r="S16" s="169">
        <v>0.19139999999999999</v>
      </c>
      <c r="T16" s="170">
        <v>0.13439999999999999</v>
      </c>
      <c r="U16" s="169">
        <v>0.2671</v>
      </c>
      <c r="V16" s="171">
        <v>8.7300000000000003E-2</v>
      </c>
      <c r="W16" s="169"/>
      <c r="X16" s="170"/>
      <c r="Y16" s="170"/>
      <c r="Z16" s="171"/>
      <c r="AA16" s="184">
        <v>7.6999999999999999E-2</v>
      </c>
      <c r="AB16" s="173"/>
      <c r="AC16" s="185">
        <v>0.87847222222222221</v>
      </c>
      <c r="AD16" s="174">
        <v>0.93820000000000003</v>
      </c>
      <c r="AE16" s="175">
        <v>0.66810000000000003</v>
      </c>
      <c r="AF16" s="176">
        <v>5.2200000000000003E-2</v>
      </c>
      <c r="AG16" s="177"/>
      <c r="AH16" s="178"/>
      <c r="AI16" s="179">
        <v>0.92449999999999999</v>
      </c>
      <c r="AJ16" s="179"/>
      <c r="AK16" s="180"/>
      <c r="AL16" s="160">
        <v>4.9000000000000002E-2</v>
      </c>
      <c r="AM16" s="161"/>
      <c r="AN16" s="181">
        <v>0.2157</v>
      </c>
      <c r="AO16" s="170">
        <v>0.1263</v>
      </c>
      <c r="AP16" s="302">
        <v>0.21809999999999999</v>
      </c>
      <c r="AQ16" s="183">
        <v>0.13469999999999999</v>
      </c>
      <c r="AR16" s="356">
        <v>6.8000000000000005E-2</v>
      </c>
      <c r="AS16" s="357"/>
      <c r="AT16" s="161"/>
      <c r="AU16" s="169">
        <v>0.21879999999999999</v>
      </c>
      <c r="AV16" s="170">
        <v>0.1196</v>
      </c>
      <c r="AW16" s="169">
        <v>0.31759999999999999</v>
      </c>
      <c r="AX16" s="171">
        <v>6.3299999999999995E-2</v>
      </c>
      <c r="AY16" s="169"/>
      <c r="AZ16" s="170"/>
      <c r="BA16" s="170"/>
      <c r="BB16" s="171"/>
      <c r="BC16" s="184">
        <v>7.5999999999999998E-2</v>
      </c>
    </row>
    <row r="17" spans="1:55" x14ac:dyDescent="0.3">
      <c r="A17" s="152">
        <v>0.625</v>
      </c>
      <c r="B17" s="174">
        <v>0.91300000000000003</v>
      </c>
      <c r="C17" s="175">
        <v>0.872</v>
      </c>
      <c r="D17" s="176">
        <v>7.5999999999999998E-2</v>
      </c>
      <c r="E17" s="177"/>
      <c r="F17" s="178"/>
      <c r="G17" s="179">
        <v>0.93289999999999995</v>
      </c>
      <c r="H17" s="179"/>
      <c r="I17" s="180"/>
      <c r="J17" s="160">
        <v>4.5999999999999999E-2</v>
      </c>
      <c r="K17" s="161"/>
      <c r="L17" s="181">
        <v>0.20300000000000001</v>
      </c>
      <c r="M17" s="170">
        <v>0.13189999999999999</v>
      </c>
      <c r="N17" s="302">
        <v>0.21460000000000001</v>
      </c>
      <c r="O17" s="300">
        <v>0.13189999999999999</v>
      </c>
      <c r="P17" s="440">
        <v>5.6000000000000001E-2</v>
      </c>
      <c r="Q17" s="357"/>
      <c r="R17" s="161"/>
      <c r="S17" s="169">
        <v>0.22800000000000001</v>
      </c>
      <c r="T17" s="170">
        <v>0.12230000000000001</v>
      </c>
      <c r="U17" s="169">
        <v>0.24940000000000001</v>
      </c>
      <c r="V17" s="171">
        <v>0.1148</v>
      </c>
      <c r="W17" s="169"/>
      <c r="X17" s="170"/>
      <c r="Y17" s="170"/>
      <c r="Z17" s="171"/>
      <c r="AA17" s="184">
        <v>7.9000000000000001E-2</v>
      </c>
      <c r="AB17" s="173"/>
      <c r="AC17" s="185"/>
      <c r="AD17" s="174"/>
      <c r="AE17" s="175"/>
      <c r="AF17" s="176"/>
      <c r="AG17" s="177"/>
      <c r="AH17" s="178"/>
      <c r="AI17" s="179"/>
      <c r="AJ17" s="179"/>
      <c r="AK17" s="180"/>
      <c r="AL17" s="160"/>
      <c r="AM17" s="161"/>
      <c r="AN17" s="181"/>
      <c r="AO17" s="170"/>
      <c r="AP17" s="302"/>
      <c r="AQ17" s="183"/>
      <c r="AR17" s="356"/>
      <c r="AS17" s="357"/>
      <c r="AT17" s="161"/>
      <c r="AU17" s="169"/>
      <c r="AV17" s="170"/>
      <c r="AW17" s="169"/>
      <c r="AX17" s="171"/>
      <c r="AY17" s="169"/>
      <c r="AZ17" s="170"/>
      <c r="BA17" s="170"/>
      <c r="BB17" s="171"/>
      <c r="BC17" s="184"/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/>
      <c r="AH18" s="178"/>
      <c r="AI18" s="179"/>
      <c r="AJ18" s="179"/>
      <c r="AK18" s="180"/>
      <c r="AL18" s="160"/>
      <c r="AM18" s="161"/>
      <c r="AN18" s="181"/>
      <c r="AO18" s="170"/>
      <c r="AP18" s="302"/>
      <c r="AQ18" s="183"/>
      <c r="AR18" s="356"/>
      <c r="AS18" s="357"/>
      <c r="AT18" s="161"/>
      <c r="AU18" s="169"/>
      <c r="AV18" s="170"/>
      <c r="AW18" s="169"/>
      <c r="AX18" s="171"/>
      <c r="AY18" s="169"/>
      <c r="AZ18" s="170"/>
      <c r="BA18" s="170"/>
      <c r="BB18" s="171"/>
      <c r="BC18" s="184"/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0.91866666666666674</v>
      </c>
      <c r="C23" s="198">
        <f t="shared" ref="C23:J23" si="0">IFERROR(AVERAGE(C15:C22),0)</f>
        <v>0.88099999999999989</v>
      </c>
      <c r="D23" s="198">
        <f t="shared" si="0"/>
        <v>7.7666666666666662E-2</v>
      </c>
      <c r="E23" s="198">
        <f t="shared" si="0"/>
        <v>0</v>
      </c>
      <c r="F23" s="198">
        <f t="shared" si="0"/>
        <v>0</v>
      </c>
      <c r="G23" s="198">
        <f t="shared" si="0"/>
        <v>0.93163333333333342</v>
      </c>
      <c r="H23" s="198">
        <f t="shared" si="0"/>
        <v>0</v>
      </c>
      <c r="I23" s="198">
        <f t="shared" si="0"/>
        <v>0</v>
      </c>
      <c r="J23" s="198">
        <f t="shared" si="0"/>
        <v>4.4000000000000004E-2</v>
      </c>
      <c r="K23" s="161"/>
      <c r="L23" s="199">
        <f>IFERROR(AVERAGE(L15:L22),0)</f>
        <v>0.18286666666666665</v>
      </c>
      <c r="M23" s="198">
        <f>IFERROR(AVERAGE(M15:M22),0)</f>
        <v>0.15423333333333333</v>
      </c>
      <c r="N23" s="200">
        <f>IFERROR(AVERAGE(N15:N22),0)</f>
        <v>0.18033333333333335</v>
      </c>
      <c r="O23" s="201">
        <f>IFERROR(AVERAGE(O15:O22),0)</f>
        <v>0.16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0.20626666666666668</v>
      </c>
      <c r="T23" s="198">
        <f t="shared" si="1"/>
        <v>0.13093333333333332</v>
      </c>
      <c r="U23" s="198">
        <f t="shared" si="1"/>
        <v>0.25176666666666669</v>
      </c>
      <c r="V23" s="198">
        <f t="shared" si="1"/>
        <v>0.10866666666666668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7.6999999999999999E-2</v>
      </c>
      <c r="AB23" s="173"/>
      <c r="AC23" s="197" t="s">
        <v>58</v>
      </c>
      <c r="AD23" s="198">
        <f>IFERROR(AVERAGE(AD15:AD22),0)</f>
        <v>0.89910000000000001</v>
      </c>
      <c r="AE23" s="198">
        <f t="shared" ref="AE23:AL23" si="2">IFERROR(AVERAGE(AE15:AE22),0)</f>
        <v>0.73419999999999996</v>
      </c>
      <c r="AF23" s="198">
        <f t="shared" si="2"/>
        <v>8.2799999999999999E-2</v>
      </c>
      <c r="AG23" s="198">
        <f t="shared" si="2"/>
        <v>0</v>
      </c>
      <c r="AH23" s="198">
        <f t="shared" si="2"/>
        <v>0</v>
      </c>
      <c r="AI23" s="198">
        <f t="shared" si="2"/>
        <v>0.92530000000000001</v>
      </c>
      <c r="AJ23" s="198">
        <f t="shared" si="2"/>
        <v>0</v>
      </c>
      <c r="AK23" s="198">
        <f t="shared" si="2"/>
        <v>0</v>
      </c>
      <c r="AL23" s="198">
        <f t="shared" si="2"/>
        <v>4.7500000000000001E-2</v>
      </c>
      <c r="AM23" s="161"/>
      <c r="AN23" s="199">
        <f>IFERROR(AVERAGE(AN15:AN22),0)</f>
        <v>0.21729999999999999</v>
      </c>
      <c r="AO23" s="198">
        <f>IFERROR(AVERAGE(AO15:AO22),0)</f>
        <v>0.12640000000000001</v>
      </c>
      <c r="AP23" s="200">
        <f>IFERROR(AVERAGE(AP15:AP22),0)</f>
        <v>0.27634999999999998</v>
      </c>
      <c r="AQ23" s="201">
        <f>IFERROR(AVERAGE(AQ15:AQ22),0)</f>
        <v>0.10799999999999998</v>
      </c>
      <c r="AR23" s="396">
        <f>IFERROR(AVERAGE(AR15:AS22),0)</f>
        <v>6.6500000000000004E-2</v>
      </c>
      <c r="AS23" s="397"/>
      <c r="AT23" s="202"/>
      <c r="AU23" s="199">
        <f t="shared" ref="AU23:BC23" si="3">IFERROR(AVERAGE(AU15:AU22),0)</f>
        <v>0.22720000000000001</v>
      </c>
      <c r="AV23" s="198">
        <f t="shared" si="3"/>
        <v>0.12165000000000001</v>
      </c>
      <c r="AW23" s="198">
        <f t="shared" si="3"/>
        <v>0.32294999999999996</v>
      </c>
      <c r="AX23" s="198">
        <f t="shared" si="3"/>
        <v>7.3899999999999993E-2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8.7499999999999994E-2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 t="s">
        <v>109</v>
      </c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 t="s">
        <v>110</v>
      </c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 t="s">
        <v>105</v>
      </c>
      <c r="AP26" s="404" t="s">
        <v>63</v>
      </c>
      <c r="AQ26" s="405"/>
      <c r="AR26" s="316"/>
      <c r="AS26" s="230"/>
      <c r="AT26" s="231"/>
      <c r="AU26" s="228" t="s">
        <v>62</v>
      </c>
      <c r="AV26" s="229" t="s">
        <v>105</v>
      </c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347.80903192063158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889</v>
      </c>
      <c r="D43" s="267"/>
      <c r="E43" s="276" t="s">
        <v>84</v>
      </c>
      <c r="F43" s="273">
        <f>AG9+AQ9+AV9</f>
        <v>0</v>
      </c>
      <c r="K43" s="266"/>
      <c r="R43" s="266"/>
    </row>
    <row r="44" spans="1:55" ht="16.2" thickBot="1" x14ac:dyDescent="0.35">
      <c r="A44" s="274" t="s">
        <v>3</v>
      </c>
      <c r="B44" s="275">
        <f>L8+AN8</f>
        <v>3024</v>
      </c>
      <c r="C44" s="277"/>
      <c r="D44" s="267"/>
      <c r="E44" s="276" t="s">
        <v>85</v>
      </c>
      <c r="F44" s="273">
        <f>B9+X9</f>
        <v>88.019801980198025</v>
      </c>
      <c r="K44" s="266"/>
      <c r="R44" s="266"/>
    </row>
    <row r="45" spans="1:55" ht="16.2" thickBot="1" x14ac:dyDescent="0.35">
      <c r="A45" s="274" t="s">
        <v>4</v>
      </c>
      <c r="B45" s="278">
        <f>S8+AU8</f>
        <v>1298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4322</v>
      </c>
      <c r="C46" s="284">
        <f>SUM(C43:C45)</f>
        <v>889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711.2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2661.12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1187.67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3848.79</v>
      </c>
      <c r="C52" s="291">
        <f>SUM(C49:C51)</f>
        <v>711.2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0A00-000000000000}">
      <formula1>$A$137:$A$148</formula1>
    </dataValidation>
    <dataValidation type="list" allowBlank="1" showInputMessage="1" showErrorMessage="1" sqref="AX11 BB11:BC11 V11 Z11:AA11" xr:uid="{00000000-0002-0000-0A00-000001000000}">
      <formula1>"Silo 6, Silo 7, Silo 8, Silo 9"</formula1>
    </dataValidation>
    <dataValidation type="list" allowBlank="1" showInputMessage="1" showErrorMessage="1" sqref="AD11 AO11 AZ11 AV11 B11 M11 X11 T11" xr:uid="{00000000-0002-0000-0A00-000002000000}">
      <formula1>"100#, 40/70"</formula1>
    </dataValidation>
    <dataValidation type="list" allowBlank="1" showInputMessage="1" showErrorMessage="1" sqref="AJ11:AM11 AQ11:AT11 H11:K11 O11:R11" xr:uid="{00000000-0002-0000-0A00-000003000000}">
      <formula1>"Silo 1, Silo 2, Silo 6, Silo 7"</formula1>
    </dataValidation>
    <dataValidation type="list" allowBlank="1" showInputMessage="1" showErrorMessage="1" sqref="AV25 AD25 AO25 T25 B25 M25" xr:uid="{00000000-0002-0000-0A00-000004000000}">
      <formula1>"1, 2, 3, 4, 5, 6, 7, 8, 9, 10, 11, 12, 13, 14, 15, 16"</formula1>
    </dataValidation>
    <dataValidation type="list" allowBlank="1" showInputMessage="1" showErrorMessage="1" sqref="C29:C31 AE29:AE31" xr:uid="{00000000-0002-0000-0A00-000005000000}">
      <formula1>"Carrier 100, Carrier 200, Rotary"</formula1>
    </dataValidation>
    <dataValidation type="list" allowBlank="1" showInputMessage="1" showErrorMessage="1" sqref="B26 M26 T26 AD26 AO26 AV26" xr:uid="{00000000-0002-0000-0A00-000006000000}">
      <formula1>"SP1, SP2, SP3, OWP SP"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C148"/>
  <sheetViews>
    <sheetView topLeftCell="A29" zoomScale="80" zoomScaleNormal="80" workbookViewId="0">
      <selection activeCell="AD9" sqref="AD9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7.109375" bestFit="1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>
        <v>42892</v>
      </c>
      <c r="C4" s="5"/>
      <c r="D4" s="6" t="s">
        <v>6</v>
      </c>
      <c r="E4" s="380" t="s">
        <v>99</v>
      </c>
      <c r="F4" s="381"/>
      <c r="G4" s="312"/>
      <c r="H4" s="312"/>
      <c r="I4" s="8"/>
      <c r="J4" s="9"/>
      <c r="K4" s="10"/>
      <c r="L4" s="6" t="s">
        <v>5</v>
      </c>
      <c r="M4" s="4">
        <f>B4</f>
        <v>42892</v>
      </c>
      <c r="N4" s="5"/>
      <c r="O4" s="370" t="s">
        <v>6</v>
      </c>
      <c r="P4" s="371"/>
      <c r="Q4" s="11" t="s">
        <v>99</v>
      </c>
      <c r="R4" s="12"/>
      <c r="S4" s="6" t="s">
        <v>5</v>
      </c>
      <c r="T4" s="4">
        <f>B4</f>
        <v>42892</v>
      </c>
      <c r="U4" s="5"/>
      <c r="V4" s="6" t="s">
        <v>6</v>
      </c>
      <c r="W4" s="382" t="s">
        <v>99</v>
      </c>
      <c r="X4" s="383"/>
      <c r="Y4" s="5"/>
      <c r="Z4" s="13"/>
      <c r="AA4" s="14"/>
      <c r="AB4" s="15"/>
      <c r="AC4" s="3" t="s">
        <v>5</v>
      </c>
      <c r="AD4" s="4">
        <f>B4</f>
        <v>42892</v>
      </c>
      <c r="AE4" s="5"/>
      <c r="AF4" s="6" t="s">
        <v>6</v>
      </c>
      <c r="AG4" s="380" t="s">
        <v>90</v>
      </c>
      <c r="AH4" s="381"/>
      <c r="AI4" s="312"/>
      <c r="AJ4" s="312"/>
      <c r="AK4" s="8"/>
      <c r="AL4" s="9"/>
      <c r="AM4" s="10"/>
      <c r="AN4" s="6" t="s">
        <v>5</v>
      </c>
      <c r="AO4" s="4">
        <f>B4</f>
        <v>42892</v>
      </c>
      <c r="AP4" s="5"/>
      <c r="AQ4" s="370" t="s">
        <v>6</v>
      </c>
      <c r="AR4" s="371"/>
      <c r="AS4" s="11" t="s">
        <v>90</v>
      </c>
      <c r="AT4" s="12"/>
      <c r="AU4" s="6" t="s">
        <v>5</v>
      </c>
      <c r="AV4" s="4">
        <f>B4</f>
        <v>42892</v>
      </c>
      <c r="AW4" s="5"/>
      <c r="AX4" s="6" t="s">
        <v>6</v>
      </c>
      <c r="AY4" s="382" t="s">
        <v>90</v>
      </c>
      <c r="AZ4" s="383"/>
      <c r="BA4" s="5"/>
      <c r="BB4" s="13"/>
      <c r="BC4" s="14"/>
    </row>
    <row r="5" spans="1:55" ht="43.8" thickBot="1" x14ac:dyDescent="0.35">
      <c r="A5" s="16" t="s">
        <v>8</v>
      </c>
      <c r="B5" s="17">
        <v>12</v>
      </c>
      <c r="C5" s="5"/>
      <c r="D5" s="18" t="s">
        <v>9</v>
      </c>
      <c r="E5" s="19"/>
      <c r="F5" s="20" t="s">
        <v>10</v>
      </c>
      <c r="G5" s="21">
        <f>SUM((B5+E5)/12, 0)</f>
        <v>1</v>
      </c>
      <c r="H5" s="22"/>
      <c r="I5" s="23"/>
      <c r="J5" s="24"/>
      <c r="K5" s="25"/>
      <c r="L5" s="26" t="s">
        <v>11</v>
      </c>
      <c r="M5" s="27">
        <v>5.0199999999999996</v>
      </c>
      <c r="N5" s="5"/>
      <c r="O5" s="28" t="s">
        <v>12</v>
      </c>
      <c r="P5" s="298">
        <f>SUM(M5/12)</f>
        <v>0.41833333333333328</v>
      </c>
      <c r="Q5" s="317"/>
      <c r="R5" s="29"/>
      <c r="S5" s="20" t="s">
        <v>13</v>
      </c>
      <c r="T5" s="17">
        <v>9.43</v>
      </c>
      <c r="U5" s="5"/>
      <c r="V5" s="18" t="s">
        <v>14</v>
      </c>
      <c r="W5" s="19"/>
      <c r="X5" s="18" t="s">
        <v>10</v>
      </c>
      <c r="Y5" s="30">
        <f>SUM(T5+W5)/12</f>
        <v>0.78583333333333327</v>
      </c>
      <c r="Z5" s="31"/>
      <c r="AA5" s="32"/>
      <c r="AB5" s="15"/>
      <c r="AC5" s="16" t="s">
        <v>8</v>
      </c>
      <c r="AD5" s="17">
        <v>11</v>
      </c>
      <c r="AE5" s="5"/>
      <c r="AF5" s="18" t="s">
        <v>9</v>
      </c>
      <c r="AG5" s="19"/>
      <c r="AH5" s="20" t="s">
        <v>10</v>
      </c>
      <c r="AI5" s="21">
        <f>SUM(AD5+AG5)/12</f>
        <v>0.91666666666666663</v>
      </c>
      <c r="AJ5" s="22"/>
      <c r="AK5" s="23"/>
      <c r="AL5" s="24"/>
      <c r="AM5" s="25"/>
      <c r="AN5" s="26" t="s">
        <v>11</v>
      </c>
      <c r="AO5" s="27">
        <v>11.9</v>
      </c>
      <c r="AP5" s="5"/>
      <c r="AQ5" s="28" t="s">
        <v>12</v>
      </c>
      <c r="AR5" s="298">
        <f>AO5/12</f>
        <v>0.9916666666666667</v>
      </c>
      <c r="AS5" s="317"/>
      <c r="AT5" s="29"/>
      <c r="AU5" s="20" t="s">
        <v>13</v>
      </c>
      <c r="AV5" s="17">
        <v>12</v>
      </c>
      <c r="AW5" s="5"/>
      <c r="AX5" s="18" t="s">
        <v>14</v>
      </c>
      <c r="AY5" s="19"/>
      <c r="AZ5" s="18" t="s">
        <v>10</v>
      </c>
      <c r="BA5" s="30">
        <f>(AV5+AY5)/12</f>
        <v>1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>
        <v>1051</v>
      </c>
      <c r="C8" s="59">
        <f>B8*(1-B10)</f>
        <v>1002.4438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>
        <v>1574</v>
      </c>
      <c r="M8" s="68">
        <v>1381</v>
      </c>
      <c r="N8" s="64">
        <f>L8*(1-M10)</f>
        <v>1574</v>
      </c>
      <c r="O8" s="69">
        <v>1080</v>
      </c>
      <c r="P8" s="296">
        <v>255</v>
      </c>
      <c r="Q8" s="60">
        <f>IFERROR((O8+P8)/L8,0)</f>
        <v>0.84815756035578149</v>
      </c>
      <c r="R8" s="70"/>
      <c r="S8" s="71">
        <v>1353</v>
      </c>
      <c r="T8" s="72">
        <v>1247</v>
      </c>
      <c r="U8" s="62">
        <f>S8*(1-T10)</f>
        <v>1268.8434</v>
      </c>
      <c r="V8" s="60">
        <f>IFERROR(T8/S8,0)</f>
        <v>0.92165558019216554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>
        <v>828</v>
      </c>
      <c r="AE8" s="59">
        <f>AD8*(1-AD10)</f>
        <v>788.67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>
        <v>3480</v>
      </c>
      <c r="AO8" s="68">
        <v>2983</v>
      </c>
      <c r="AP8" s="64">
        <f>AN8*(1-AO10)</f>
        <v>3198.9900000000002</v>
      </c>
      <c r="AQ8" s="69">
        <v>2484</v>
      </c>
      <c r="AR8" s="296">
        <v>380</v>
      </c>
      <c r="AS8" s="60">
        <f>SUM((AQ8+AR8)/AP8,0)</f>
        <v>0.89528257356228058</v>
      </c>
      <c r="AT8" s="70"/>
      <c r="AU8" s="71">
        <v>1493</v>
      </c>
      <c r="AV8" s="72">
        <v>1406</v>
      </c>
      <c r="AW8" s="62">
        <f>AU8*(1-AV10)</f>
        <v>1374.67975</v>
      </c>
      <c r="AX8" s="60">
        <f>IFERROR(AV8/AU8,0)</f>
        <v>0.94172806430006695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87.583333333333329</v>
      </c>
      <c r="C9" s="79">
        <f>B8*(1-B10)</f>
        <v>1002.4438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313.54581673306774</v>
      </c>
      <c r="M9" s="86">
        <f>IFERROR(M8/M5,0)</f>
        <v>275.09960159362549</v>
      </c>
      <c r="N9" s="86">
        <f>IFERROR(N8/M5,0)</f>
        <v>313.54581673306774</v>
      </c>
      <c r="O9" s="86">
        <f>IFERROR(O8/M5,0)</f>
        <v>215.13944223107572</v>
      </c>
      <c r="P9" s="297">
        <f>SUM(P8/M5,0)</f>
        <v>50.79681274900399</v>
      </c>
      <c r="Q9" s="87">
        <f>IFERROR(Q8/M5,0)</f>
        <v>0.1689556893139007</v>
      </c>
      <c r="R9" s="88"/>
      <c r="S9" s="89">
        <f>IFERROR(S8/T5,0)</f>
        <v>143.47826086956522</v>
      </c>
      <c r="T9" s="90">
        <f>IFERROR(SUM(T8/T5),0)</f>
        <v>132.23753976670201</v>
      </c>
      <c r="U9" s="91">
        <f>IFERROR(U8/T5,0)</f>
        <v>134.55391304347827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75.272727272727266</v>
      </c>
      <c r="AE9" s="79">
        <f>IFERROR(AE8/AD5,0)</f>
        <v>71.697272727272718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292.43697478991595</v>
      </c>
      <c r="AO9" s="86">
        <f>IFERROR(AO8/AO5,0)</f>
        <v>250.67226890756302</v>
      </c>
      <c r="AP9" s="86">
        <f>IFERROR(AP8/AO5,0)</f>
        <v>268.82268907563025</v>
      </c>
      <c r="AQ9" s="86">
        <f>IFERROR(AQ8/AO5,0)</f>
        <v>208.73949579831933</v>
      </c>
      <c r="AR9" s="297">
        <f>SUM(AR8/AO5,0)</f>
        <v>31.932773109243698</v>
      </c>
      <c r="AS9" s="87">
        <f>IFERROR(AS8/AO5,0)</f>
        <v>7.5233829711116015E-2</v>
      </c>
      <c r="AT9" s="88"/>
      <c r="AU9" s="89">
        <f>IFERROR(AU8/AV5,0)</f>
        <v>124.41666666666667</v>
      </c>
      <c r="AV9" s="90">
        <f>IFERROR(SUM(AV8/AV5),0)</f>
        <v>117.16666666666667</v>
      </c>
      <c r="AW9" s="91">
        <f>IFERROR(AW8/AV5,0)</f>
        <v>114.55664583333333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4.6199999999999998E-2</v>
      </c>
      <c r="C10" s="99"/>
      <c r="D10" s="100"/>
      <c r="E10" s="101" t="s">
        <v>39</v>
      </c>
      <c r="F10" s="102">
        <f>J23</f>
        <v>4.6199999999999998E-2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6.2199999999999998E-2</v>
      </c>
      <c r="U10" s="112"/>
      <c r="V10" s="100"/>
      <c r="W10" s="101" t="s">
        <v>39</v>
      </c>
      <c r="X10" s="113">
        <f>AA23</f>
        <v>6.2199999999999998E-2</v>
      </c>
      <c r="Y10" s="5"/>
      <c r="Z10" s="5"/>
      <c r="AA10" s="114"/>
      <c r="AB10" s="15"/>
      <c r="AC10" s="97" t="s">
        <v>39</v>
      </c>
      <c r="AD10" s="98">
        <f>AL23</f>
        <v>4.7500000000000001E-2</v>
      </c>
      <c r="AE10" s="99"/>
      <c r="AF10" s="100"/>
      <c r="AG10" s="101" t="s">
        <v>39</v>
      </c>
      <c r="AH10" s="102">
        <f>AL23</f>
        <v>4.7500000000000001E-2</v>
      </c>
      <c r="AI10" s="103"/>
      <c r="AJ10" s="99"/>
      <c r="AK10" s="104"/>
      <c r="AL10" s="105"/>
      <c r="AM10" s="106"/>
      <c r="AN10" s="107" t="s">
        <v>39</v>
      </c>
      <c r="AO10" s="108">
        <f>AR23</f>
        <v>8.0750000000000002E-2</v>
      </c>
      <c r="AP10" s="109"/>
      <c r="AQ10" s="109"/>
      <c r="AR10" s="109"/>
      <c r="AS10" s="110"/>
      <c r="AT10" s="111"/>
      <c r="AU10" s="107" t="s">
        <v>39</v>
      </c>
      <c r="AV10" s="108">
        <f>BC23</f>
        <v>7.9250000000000001E-2</v>
      </c>
      <c r="AW10" s="112"/>
      <c r="AX10" s="100"/>
      <c r="AY10" s="101" t="s">
        <v>39</v>
      </c>
      <c r="AZ10" s="113">
        <f>BC23</f>
        <v>7.9250000000000001E-2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>
        <v>0.27083333333333331</v>
      </c>
      <c r="B15" s="153">
        <v>0.83599999999999997</v>
      </c>
      <c r="C15" s="154">
        <v>0.77500000000000002</v>
      </c>
      <c r="D15" s="155">
        <v>0.114</v>
      </c>
      <c r="E15" s="156"/>
      <c r="F15" s="157"/>
      <c r="G15" s="158">
        <v>0.91790000000000005</v>
      </c>
      <c r="H15" s="158"/>
      <c r="I15" s="159"/>
      <c r="J15" s="160">
        <v>5.0999999999999997E-2</v>
      </c>
      <c r="K15" s="161"/>
      <c r="L15" s="162">
        <v>0.19539999999999999</v>
      </c>
      <c r="M15" s="163">
        <v>0.15010000000000001</v>
      </c>
      <c r="N15" s="164">
        <v>0.24079999999999999</v>
      </c>
      <c r="O15" s="299">
        <v>0.1109</v>
      </c>
      <c r="P15" s="446">
        <v>6.7000000000000004E-2</v>
      </c>
      <c r="Q15" s="447"/>
      <c r="R15" s="161"/>
      <c r="S15" s="166">
        <v>0.2041</v>
      </c>
      <c r="T15" s="163">
        <v>0.13300000000000001</v>
      </c>
      <c r="U15" s="167">
        <v>0.27600000000000002</v>
      </c>
      <c r="V15" s="168">
        <v>9.7000000000000003E-2</v>
      </c>
      <c r="W15" s="169"/>
      <c r="X15" s="170"/>
      <c r="Y15" s="170"/>
      <c r="Z15" s="171"/>
      <c r="AA15" s="172">
        <v>6.9000000000000006E-2</v>
      </c>
      <c r="AB15" s="173"/>
      <c r="AC15" s="152">
        <v>0.76041666666666663</v>
      </c>
      <c r="AD15" s="153">
        <v>0.95430000000000004</v>
      </c>
      <c r="AE15" s="154">
        <v>0.85</v>
      </c>
      <c r="AF15" s="155">
        <v>4.4400000000000002E-2</v>
      </c>
      <c r="AG15" s="156"/>
      <c r="AH15" s="157"/>
      <c r="AI15" s="158">
        <v>0.93159999999999998</v>
      </c>
      <c r="AJ15" s="158"/>
      <c r="AK15" s="159"/>
      <c r="AL15" s="160">
        <v>4.2000000000000003E-2</v>
      </c>
      <c r="AM15" s="161"/>
      <c r="AN15" s="162">
        <v>0.54479999999999995</v>
      </c>
      <c r="AO15" s="163">
        <v>5.4199999999999998E-2</v>
      </c>
      <c r="AP15" s="164">
        <v>0.3508</v>
      </c>
      <c r="AQ15" s="165">
        <v>7.2300000000000003E-2</v>
      </c>
      <c r="AR15" s="356">
        <v>0.08</v>
      </c>
      <c r="AS15" s="357"/>
      <c r="AT15" s="161"/>
      <c r="AU15" s="166">
        <v>0.38429999999999997</v>
      </c>
      <c r="AV15" s="163">
        <v>8.4500000000000006E-2</v>
      </c>
      <c r="AW15" s="167">
        <v>0.43980000000000002</v>
      </c>
      <c r="AX15" s="168">
        <v>5.8200000000000002E-2</v>
      </c>
      <c r="AY15" s="169"/>
      <c r="AZ15" s="170"/>
      <c r="BA15" s="170"/>
      <c r="BB15" s="171"/>
      <c r="BC15" s="172">
        <v>7.2999999999999995E-2</v>
      </c>
    </row>
    <row r="16" spans="1:55" x14ac:dyDescent="0.3">
      <c r="A16" s="152">
        <v>0.31597222222222221</v>
      </c>
      <c r="B16" s="174">
        <v>0.89100000000000001</v>
      </c>
      <c r="C16" s="175">
        <v>0.83399999999999996</v>
      </c>
      <c r="D16" s="176">
        <v>8.6999999999999994E-2</v>
      </c>
      <c r="E16" s="177"/>
      <c r="F16" s="178"/>
      <c r="G16" s="179">
        <v>0.91400000000000003</v>
      </c>
      <c r="H16" s="179"/>
      <c r="I16" s="180"/>
      <c r="J16" s="160">
        <v>4.4999999999999998E-2</v>
      </c>
      <c r="K16" s="161"/>
      <c r="L16" s="181" t="s">
        <v>107</v>
      </c>
      <c r="M16" s="170" t="s">
        <v>107</v>
      </c>
      <c r="N16" s="302" t="s">
        <v>107</v>
      </c>
      <c r="O16" s="300" t="s">
        <v>107</v>
      </c>
      <c r="P16" s="440" t="s">
        <v>107</v>
      </c>
      <c r="Q16" s="357"/>
      <c r="R16" s="161"/>
      <c r="S16" s="169" t="s">
        <v>107</v>
      </c>
      <c r="T16" s="170" t="s">
        <v>107</v>
      </c>
      <c r="U16" s="169" t="s">
        <v>107</v>
      </c>
      <c r="V16" s="171" t="s">
        <v>107</v>
      </c>
      <c r="W16" s="169"/>
      <c r="X16" s="170"/>
      <c r="Y16" s="170"/>
      <c r="Z16" s="171"/>
      <c r="AA16" s="184" t="s">
        <v>107</v>
      </c>
      <c r="AB16" s="173"/>
      <c r="AC16" s="185">
        <v>0.88888888888888884</v>
      </c>
      <c r="AD16" s="174">
        <v>0.82120000000000004</v>
      </c>
      <c r="AE16" s="175">
        <v>0.74060000000000004</v>
      </c>
      <c r="AF16" s="176">
        <v>0.1231</v>
      </c>
      <c r="AG16" s="177"/>
      <c r="AH16" s="178"/>
      <c r="AI16" s="179">
        <v>0.92500000000000004</v>
      </c>
      <c r="AJ16" s="179"/>
      <c r="AK16" s="180"/>
      <c r="AL16" s="160">
        <v>0.05</v>
      </c>
      <c r="AM16" s="161"/>
      <c r="AN16" s="181">
        <v>0.35730000000000001</v>
      </c>
      <c r="AO16" s="170">
        <v>8.2600000000000007E-2</v>
      </c>
      <c r="AP16" s="302">
        <v>0.37880000000000003</v>
      </c>
      <c r="AQ16" s="183">
        <v>8.9200000000000002E-2</v>
      </c>
      <c r="AR16" s="356">
        <v>0.08</v>
      </c>
      <c r="AS16" s="357"/>
      <c r="AT16" s="161"/>
      <c r="AU16" s="169">
        <v>0.3921</v>
      </c>
      <c r="AV16" s="170">
        <v>8.8099999999999998E-2</v>
      </c>
      <c r="AW16" s="169">
        <v>0.40660000000000002</v>
      </c>
      <c r="AX16" s="171">
        <v>9.1899999999999996E-2</v>
      </c>
      <c r="AY16" s="169"/>
      <c r="AZ16" s="170"/>
      <c r="BA16" s="170"/>
      <c r="BB16" s="171"/>
      <c r="BC16" s="184">
        <v>7.5999999999999998E-2</v>
      </c>
    </row>
    <row r="17" spans="1:55" x14ac:dyDescent="0.3">
      <c r="A17" s="152">
        <v>0.375</v>
      </c>
      <c r="B17" s="174">
        <v>0.91700000000000004</v>
      </c>
      <c r="C17" s="175">
        <v>0.86799999999999999</v>
      </c>
      <c r="D17" s="176">
        <v>7.3999999999999996E-2</v>
      </c>
      <c r="E17" s="177"/>
      <c r="F17" s="178"/>
      <c r="G17" s="179">
        <v>0.93330000000000002</v>
      </c>
      <c r="H17" s="179"/>
      <c r="I17" s="180"/>
      <c r="J17" s="160">
        <v>4.2999999999999997E-2</v>
      </c>
      <c r="K17" s="161"/>
      <c r="L17" s="181" t="s">
        <v>107</v>
      </c>
      <c r="M17" s="170" t="s">
        <v>107</v>
      </c>
      <c r="N17" s="302" t="s">
        <v>107</v>
      </c>
      <c r="O17" s="300" t="s">
        <v>107</v>
      </c>
      <c r="P17" s="440" t="s">
        <v>107</v>
      </c>
      <c r="Q17" s="357"/>
      <c r="R17" s="161"/>
      <c r="S17" s="169" t="s">
        <v>107</v>
      </c>
      <c r="T17" s="170" t="s">
        <v>107</v>
      </c>
      <c r="U17" s="169" t="s">
        <v>107</v>
      </c>
      <c r="V17" s="171" t="s">
        <v>107</v>
      </c>
      <c r="W17" s="169"/>
      <c r="X17" s="170"/>
      <c r="Y17" s="170"/>
      <c r="Z17" s="171"/>
      <c r="AA17" s="184" t="s">
        <v>107</v>
      </c>
      <c r="AB17" s="173"/>
      <c r="AC17" s="185">
        <v>0</v>
      </c>
      <c r="AD17" s="174">
        <v>0.93899999999999995</v>
      </c>
      <c r="AE17" s="175">
        <v>0.80100000000000005</v>
      </c>
      <c r="AF17" s="176">
        <v>5.5E-2</v>
      </c>
      <c r="AG17" s="177"/>
      <c r="AH17" s="178"/>
      <c r="AI17" s="179">
        <v>0.93300000000000005</v>
      </c>
      <c r="AJ17" s="179"/>
      <c r="AK17" s="180"/>
      <c r="AL17" s="160">
        <v>4.8000000000000001E-2</v>
      </c>
      <c r="AM17" s="161"/>
      <c r="AN17" s="181">
        <v>0.39300000000000002</v>
      </c>
      <c r="AO17" s="170">
        <v>7.9500000000000001E-2</v>
      </c>
      <c r="AP17" s="302">
        <v>0.43230000000000002</v>
      </c>
      <c r="AQ17" s="183">
        <v>6.5299999999999997E-2</v>
      </c>
      <c r="AR17" s="356">
        <v>8.4000000000000005E-2</v>
      </c>
      <c r="AS17" s="357"/>
      <c r="AT17" s="161"/>
      <c r="AU17" s="169">
        <v>0.35170000000000001</v>
      </c>
      <c r="AV17" s="170">
        <v>8.6499999999999994E-2</v>
      </c>
      <c r="AW17" s="169">
        <v>0.4355</v>
      </c>
      <c r="AX17" s="171">
        <v>7.2400000000000006E-2</v>
      </c>
      <c r="AY17" s="169"/>
      <c r="AZ17" s="170"/>
      <c r="BA17" s="170"/>
      <c r="BB17" s="171"/>
      <c r="BC17" s="184">
        <v>8.3000000000000004E-2</v>
      </c>
    </row>
    <row r="18" spans="1:55" x14ac:dyDescent="0.3">
      <c r="A18" s="152">
        <v>0.52083333333333337</v>
      </c>
      <c r="B18" s="174">
        <v>0.91900000000000004</v>
      </c>
      <c r="C18" s="175">
        <v>0.86399999999999999</v>
      </c>
      <c r="D18" s="176">
        <v>6.9000000000000006E-2</v>
      </c>
      <c r="E18" s="177"/>
      <c r="F18" s="178"/>
      <c r="G18" s="179">
        <v>0.93200000000000005</v>
      </c>
      <c r="H18" s="179"/>
      <c r="I18" s="180"/>
      <c r="J18" s="160">
        <v>4.5999999999999999E-2</v>
      </c>
      <c r="K18" s="161"/>
      <c r="L18" s="181" t="s">
        <v>107</v>
      </c>
      <c r="M18" s="170" t="s">
        <v>107</v>
      </c>
      <c r="N18" s="302" t="s">
        <v>107</v>
      </c>
      <c r="O18" s="300" t="s">
        <v>107</v>
      </c>
      <c r="P18" s="440" t="s">
        <v>107</v>
      </c>
      <c r="Q18" s="357"/>
      <c r="R18" s="161"/>
      <c r="S18" s="169">
        <v>0.39900000000000002</v>
      </c>
      <c r="T18" s="170">
        <v>9.9000000000000005E-2</v>
      </c>
      <c r="U18" s="169">
        <v>0.51100000000000001</v>
      </c>
      <c r="V18" s="171">
        <v>6.4299999999999996E-2</v>
      </c>
      <c r="W18" s="169"/>
      <c r="X18" s="170"/>
      <c r="Y18" s="170"/>
      <c r="Z18" s="171"/>
      <c r="AA18" s="184">
        <v>5.8999999999999997E-2</v>
      </c>
      <c r="AB18" s="173"/>
      <c r="AC18" s="185">
        <v>0.125</v>
      </c>
      <c r="AD18" s="174">
        <v>0.92800000000000005</v>
      </c>
      <c r="AE18" s="175">
        <v>0.85799999999999998</v>
      </c>
      <c r="AF18" s="176">
        <v>6.7000000000000004E-2</v>
      </c>
      <c r="AG18" s="177"/>
      <c r="AH18" s="178"/>
      <c r="AI18" s="179">
        <v>0.92900000000000005</v>
      </c>
      <c r="AJ18" s="179"/>
      <c r="AK18" s="180"/>
      <c r="AL18" s="160">
        <v>0.05</v>
      </c>
      <c r="AM18" s="161"/>
      <c r="AN18" s="181">
        <v>0.34710000000000002</v>
      </c>
      <c r="AO18" s="170">
        <v>8.7499999999999994E-2</v>
      </c>
      <c r="AP18" s="302">
        <v>0.38419999999999999</v>
      </c>
      <c r="AQ18" s="183">
        <v>9.9400000000000002E-2</v>
      </c>
      <c r="AR18" s="356">
        <v>7.9000000000000001E-2</v>
      </c>
      <c r="AS18" s="357"/>
      <c r="AT18" s="161"/>
      <c r="AU18" s="169">
        <v>0.37659999999999999</v>
      </c>
      <c r="AV18" s="170">
        <v>9.2100000000000001E-2</v>
      </c>
      <c r="AW18" s="169">
        <v>0.39860000000000001</v>
      </c>
      <c r="AX18" s="171">
        <v>9.9000000000000005E-2</v>
      </c>
      <c r="AY18" s="169"/>
      <c r="AZ18" s="170"/>
      <c r="BA18" s="170"/>
      <c r="BB18" s="171"/>
      <c r="BC18" s="184">
        <v>8.5000000000000006E-2</v>
      </c>
    </row>
    <row r="19" spans="1:55" x14ac:dyDescent="0.3">
      <c r="A19" s="152">
        <v>0.57291666666666663</v>
      </c>
      <c r="B19" s="174" t="s">
        <v>107</v>
      </c>
      <c r="C19" s="175" t="s">
        <v>107</v>
      </c>
      <c r="D19" s="176" t="s">
        <v>107</v>
      </c>
      <c r="E19" s="177"/>
      <c r="F19" s="178"/>
      <c r="G19" s="179" t="s">
        <v>107</v>
      </c>
      <c r="H19" s="179"/>
      <c r="I19" s="180"/>
      <c r="J19" s="160" t="s">
        <v>107</v>
      </c>
      <c r="K19" s="161"/>
      <c r="L19" s="181" t="s">
        <v>107</v>
      </c>
      <c r="M19" s="170" t="s">
        <v>107</v>
      </c>
      <c r="N19" s="302" t="s">
        <v>107</v>
      </c>
      <c r="O19" s="300" t="s">
        <v>107</v>
      </c>
      <c r="P19" s="440" t="s">
        <v>107</v>
      </c>
      <c r="Q19" s="357"/>
      <c r="R19" s="161"/>
      <c r="S19" s="169">
        <v>0.37269999999999998</v>
      </c>
      <c r="T19" s="170">
        <v>0.1096</v>
      </c>
      <c r="U19" s="169">
        <v>0.37540000000000001</v>
      </c>
      <c r="V19" s="171">
        <v>0.13700000000000001</v>
      </c>
      <c r="W19" s="169"/>
      <c r="X19" s="170"/>
      <c r="Y19" s="170"/>
      <c r="Z19" s="171"/>
      <c r="AA19" s="184">
        <v>5.8999999999999997E-2</v>
      </c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>
        <v>0.625</v>
      </c>
      <c r="B20" s="174" t="s">
        <v>107</v>
      </c>
      <c r="C20" s="175" t="s">
        <v>107</v>
      </c>
      <c r="D20" s="176" t="s">
        <v>107</v>
      </c>
      <c r="E20" s="177"/>
      <c r="F20" s="178"/>
      <c r="G20" s="179" t="s">
        <v>107</v>
      </c>
      <c r="H20" s="179"/>
      <c r="I20" s="180"/>
      <c r="J20" s="160" t="s">
        <v>107</v>
      </c>
      <c r="K20" s="161"/>
      <c r="L20" s="181" t="s">
        <v>107</v>
      </c>
      <c r="M20" s="170" t="s">
        <v>107</v>
      </c>
      <c r="N20" s="302" t="s">
        <v>107</v>
      </c>
      <c r="O20" s="300" t="s">
        <v>107</v>
      </c>
      <c r="P20" s="440" t="s">
        <v>107</v>
      </c>
      <c r="Q20" s="357"/>
      <c r="R20" s="161"/>
      <c r="S20" s="169">
        <v>0.37790000000000001</v>
      </c>
      <c r="T20" s="170">
        <v>9.9000000000000005E-2</v>
      </c>
      <c r="U20" s="169">
        <v>0.38329999999999997</v>
      </c>
      <c r="V20" s="171">
        <v>0.1295</v>
      </c>
      <c r="W20" s="169"/>
      <c r="X20" s="170"/>
      <c r="Y20" s="170"/>
      <c r="Z20" s="171"/>
      <c r="AA20" s="184">
        <v>6.4000000000000001E-2</v>
      </c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>
        <v>0.68402777777777779</v>
      </c>
      <c r="B21" s="174">
        <v>0.90400000000000003</v>
      </c>
      <c r="C21" s="175">
        <v>0.82699999999999996</v>
      </c>
      <c r="D21" s="176">
        <v>7.8E-2</v>
      </c>
      <c r="E21" s="177"/>
      <c r="F21" s="178"/>
      <c r="G21" s="179">
        <v>0.9123</v>
      </c>
      <c r="H21" s="179"/>
      <c r="I21" s="180"/>
      <c r="J21" s="160">
        <v>4.5999999999999999E-2</v>
      </c>
      <c r="K21" s="161"/>
      <c r="L21" s="181">
        <v>0.36549999999999999</v>
      </c>
      <c r="M21" s="170">
        <v>9.9299999999999999E-2</v>
      </c>
      <c r="N21" s="302">
        <v>0.34189999999999998</v>
      </c>
      <c r="O21" s="300">
        <v>0.11990000000000001</v>
      </c>
      <c r="P21" s="440">
        <v>0.06</v>
      </c>
      <c r="Q21" s="357"/>
      <c r="R21" s="161"/>
      <c r="S21" s="169">
        <v>0.37330000000000002</v>
      </c>
      <c r="T21" s="170">
        <v>9.0399999999999994E-2</v>
      </c>
      <c r="U21" s="169">
        <v>0.3841</v>
      </c>
      <c r="V21" s="171">
        <v>9.3700000000000006E-2</v>
      </c>
      <c r="W21" s="169"/>
      <c r="X21" s="170"/>
      <c r="Y21" s="170"/>
      <c r="Z21" s="171"/>
      <c r="AA21" s="184">
        <v>0.06</v>
      </c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0.89340000000000008</v>
      </c>
      <c r="C23" s="198">
        <f t="shared" ref="C23:J23" si="0">IFERROR(AVERAGE(C15:C22),0)</f>
        <v>0.8335999999999999</v>
      </c>
      <c r="D23" s="198">
        <f t="shared" si="0"/>
        <v>8.4400000000000003E-2</v>
      </c>
      <c r="E23" s="198">
        <f t="shared" si="0"/>
        <v>0</v>
      </c>
      <c r="F23" s="198">
        <f t="shared" si="0"/>
        <v>0</v>
      </c>
      <c r="G23" s="198">
        <f t="shared" si="0"/>
        <v>0.92189999999999994</v>
      </c>
      <c r="H23" s="198">
        <f t="shared" si="0"/>
        <v>0</v>
      </c>
      <c r="I23" s="198">
        <f t="shared" si="0"/>
        <v>0</v>
      </c>
      <c r="J23" s="198">
        <f t="shared" si="0"/>
        <v>4.6199999999999998E-2</v>
      </c>
      <c r="K23" s="161"/>
      <c r="L23" s="199">
        <f>IFERROR(AVERAGE(L15:L22),0)</f>
        <v>0.28044999999999998</v>
      </c>
      <c r="M23" s="198">
        <f>IFERROR(AVERAGE(M15:M22),0)</f>
        <v>0.12470000000000001</v>
      </c>
      <c r="N23" s="200">
        <f>IFERROR(AVERAGE(N15:N22),0)</f>
        <v>0.29135</v>
      </c>
      <c r="O23" s="201">
        <f>IFERROR(AVERAGE(O15:O22),0)</f>
        <v>0.1154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0.34539999999999998</v>
      </c>
      <c r="T23" s="198">
        <f t="shared" si="1"/>
        <v>0.1062</v>
      </c>
      <c r="U23" s="198">
        <f t="shared" si="1"/>
        <v>0.38596000000000003</v>
      </c>
      <c r="V23" s="198">
        <f t="shared" si="1"/>
        <v>0.10430000000000002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6.2199999999999998E-2</v>
      </c>
      <c r="AB23" s="173"/>
      <c r="AC23" s="197" t="s">
        <v>58</v>
      </c>
      <c r="AD23" s="198">
        <f>IFERROR(AVERAGE(AD15:AD22),0)</f>
        <v>0.91062500000000002</v>
      </c>
      <c r="AE23" s="198">
        <f t="shared" ref="AE23:AL23" si="2">IFERROR(AVERAGE(AE15:AE22),0)</f>
        <v>0.81240000000000001</v>
      </c>
      <c r="AF23" s="198">
        <f t="shared" si="2"/>
        <v>7.2374999999999995E-2</v>
      </c>
      <c r="AG23" s="198">
        <f t="shared" si="2"/>
        <v>0</v>
      </c>
      <c r="AH23" s="198">
        <f t="shared" si="2"/>
        <v>0</v>
      </c>
      <c r="AI23" s="198">
        <f t="shared" si="2"/>
        <v>0.92965000000000009</v>
      </c>
      <c r="AJ23" s="198">
        <f t="shared" si="2"/>
        <v>0</v>
      </c>
      <c r="AK23" s="198">
        <f t="shared" si="2"/>
        <v>0</v>
      </c>
      <c r="AL23" s="198">
        <f t="shared" si="2"/>
        <v>4.7500000000000001E-2</v>
      </c>
      <c r="AM23" s="161"/>
      <c r="AN23" s="199">
        <f>IFERROR(AVERAGE(AN15:AN22),0)</f>
        <v>0.41054999999999997</v>
      </c>
      <c r="AO23" s="198">
        <f>IFERROR(AVERAGE(AO15:AO22),0)</f>
        <v>7.594999999999999E-2</v>
      </c>
      <c r="AP23" s="200">
        <f>IFERROR(AVERAGE(AP15:AP22),0)</f>
        <v>0.38652500000000001</v>
      </c>
      <c r="AQ23" s="201">
        <f>IFERROR(AVERAGE(AQ15:AQ22),0)</f>
        <v>8.1549999999999997E-2</v>
      </c>
      <c r="AR23" s="396">
        <f>IFERROR(AVERAGE(AR15:AS22),0)</f>
        <v>8.0750000000000002E-2</v>
      </c>
      <c r="AS23" s="397"/>
      <c r="AT23" s="202"/>
      <c r="AU23" s="199">
        <f t="shared" ref="AU23:BC23" si="3">IFERROR(AVERAGE(AU15:AU22),0)</f>
        <v>0.37617499999999998</v>
      </c>
      <c r="AV23" s="198">
        <f t="shared" si="3"/>
        <v>8.7800000000000003E-2</v>
      </c>
      <c r="AW23" s="198">
        <f t="shared" si="3"/>
        <v>0.42012500000000003</v>
      </c>
      <c r="AX23" s="198">
        <f t="shared" si="3"/>
        <v>8.0375000000000002E-2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7.9250000000000001E-2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 t="s">
        <v>112</v>
      </c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 t="s">
        <v>111</v>
      </c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 t="s">
        <v>105</v>
      </c>
      <c r="AP26" s="404" t="s">
        <v>63</v>
      </c>
      <c r="AQ26" s="405"/>
      <c r="AR26" s="316"/>
      <c r="AS26" s="230"/>
      <c r="AT26" s="231"/>
      <c r="AU26" s="228" t="s">
        <v>62</v>
      </c>
      <c r="AV26" s="229" t="s">
        <v>105</v>
      </c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347.37698199777776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1879</v>
      </c>
      <c r="D43" s="267"/>
      <c r="E43" s="276" t="s">
        <v>84</v>
      </c>
      <c r="F43" s="273">
        <f>AG9+AQ9+AV9</f>
        <v>325.90616246498598</v>
      </c>
      <c r="K43" s="266"/>
      <c r="R43" s="266"/>
    </row>
    <row r="44" spans="1:55" ht="16.2" thickBot="1" x14ac:dyDescent="0.35">
      <c r="A44" s="274" t="s">
        <v>3</v>
      </c>
      <c r="B44" s="275">
        <f>L8+AN8</f>
        <v>5054</v>
      </c>
      <c r="C44" s="277"/>
      <c r="D44" s="267"/>
      <c r="E44" s="276" t="s">
        <v>85</v>
      </c>
      <c r="F44" s="273">
        <f>B9+X9</f>
        <v>87.583333333333329</v>
      </c>
      <c r="K44" s="266"/>
      <c r="R44" s="266"/>
    </row>
    <row r="45" spans="1:55" ht="16.2" thickBot="1" x14ac:dyDescent="0.35">
      <c r="A45" s="274" t="s">
        <v>4</v>
      </c>
      <c r="B45" s="278">
        <f>S8+AU8</f>
        <v>2846</v>
      </c>
      <c r="C45" s="279">
        <f>W8+AY8</f>
        <v>0</v>
      </c>
      <c r="D45" s="267"/>
      <c r="E45" s="280" t="s">
        <v>86</v>
      </c>
      <c r="F45" s="281">
        <f>AD9+AZ9</f>
        <v>75.272727272727266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7900</v>
      </c>
      <c r="C46" s="284">
        <f>SUM(C43:C45)</f>
        <v>1879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1503.2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4447.5200000000004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2604.09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7051.6100000000006</v>
      </c>
      <c r="C52" s="291">
        <f>SUM(C49:C51)</f>
        <v>1503.2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0B00-000000000000}">
      <formula1>$A$137:$A$148</formula1>
    </dataValidation>
    <dataValidation type="list" allowBlank="1" showInputMessage="1" showErrorMessage="1" sqref="AX11 BB11:BC11 V11 Z11:AA11" xr:uid="{00000000-0002-0000-0B00-000001000000}">
      <formula1>"Silo 6, Silo 7, Silo 8, Silo 9"</formula1>
    </dataValidation>
    <dataValidation type="list" allowBlank="1" showInputMessage="1" showErrorMessage="1" sqref="AD11 AO11 AZ11 AV11 B11 M11 X11 T11" xr:uid="{00000000-0002-0000-0B00-000002000000}">
      <formula1>"100#, 40/70"</formula1>
    </dataValidation>
    <dataValidation type="list" allowBlank="1" showInputMessage="1" showErrorMessage="1" sqref="AJ11:AM11 AQ11:AT11 H11:K11 O11:R11" xr:uid="{00000000-0002-0000-0B00-000003000000}">
      <formula1>"Silo 1, Silo 2, Silo 6, Silo 7"</formula1>
    </dataValidation>
    <dataValidation type="list" allowBlank="1" showInputMessage="1" showErrorMessage="1" sqref="AV25 AD25 AO25 T25 B25 M25" xr:uid="{00000000-0002-0000-0B00-000004000000}">
      <formula1>"1, 2, 3, 4, 5, 6, 7, 8, 9, 10, 11, 12, 13, 14, 15, 16"</formula1>
    </dataValidation>
    <dataValidation type="list" allowBlank="1" showInputMessage="1" showErrorMessage="1" sqref="C29:C31 AE29:AE31" xr:uid="{00000000-0002-0000-0B00-000005000000}">
      <formula1>"Carrier 100, Carrier 200, Rotary"</formula1>
    </dataValidation>
    <dataValidation type="list" allowBlank="1" showInputMessage="1" showErrorMessage="1" sqref="B26 M26 T26 AD26 AO26 AV26" xr:uid="{00000000-0002-0000-0B00-000006000000}">
      <formula1>"SP1, SP2, SP3, OWP SP"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C148"/>
  <sheetViews>
    <sheetView topLeftCell="A28" zoomScale="80" zoomScaleNormal="80" workbookViewId="0">
      <selection activeCell="AH7" sqref="AH7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>
        <v>42893</v>
      </c>
      <c r="C4" s="5"/>
      <c r="D4" s="6" t="s">
        <v>6</v>
      </c>
      <c r="E4" s="380"/>
      <c r="F4" s="381"/>
      <c r="G4" s="312"/>
      <c r="H4" s="312"/>
      <c r="I4" s="8"/>
      <c r="J4" s="9"/>
      <c r="K4" s="10"/>
      <c r="L4" s="6" t="s">
        <v>5</v>
      </c>
      <c r="M4" s="4">
        <f>B4</f>
        <v>42893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42893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42893</v>
      </c>
      <c r="AE4" s="5"/>
      <c r="AF4" s="6" t="s">
        <v>6</v>
      </c>
      <c r="AG4" s="380" t="s">
        <v>97</v>
      </c>
      <c r="AH4" s="381"/>
      <c r="AI4" s="312"/>
      <c r="AJ4" s="312"/>
      <c r="AK4" s="8"/>
      <c r="AL4" s="9"/>
      <c r="AM4" s="10"/>
      <c r="AN4" s="6" t="s">
        <v>5</v>
      </c>
      <c r="AO4" s="4">
        <f>B4</f>
        <v>42893</v>
      </c>
      <c r="AP4" s="5"/>
      <c r="AQ4" s="370" t="s">
        <v>6</v>
      </c>
      <c r="AR4" s="371"/>
      <c r="AS4" s="11" t="s">
        <v>97</v>
      </c>
      <c r="AT4" s="12"/>
      <c r="AU4" s="6" t="s">
        <v>5</v>
      </c>
      <c r="AV4" s="4">
        <f>B4</f>
        <v>42893</v>
      </c>
      <c r="AW4" s="5"/>
      <c r="AX4" s="6" t="s">
        <v>6</v>
      </c>
      <c r="AY4" s="382" t="s">
        <v>97</v>
      </c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>
        <v>10.53</v>
      </c>
      <c r="F5" s="20" t="s">
        <v>10</v>
      </c>
      <c r="G5" s="21">
        <f>SUM((B5+E5)/12, 0)</f>
        <v>0.87749999999999995</v>
      </c>
      <c r="H5" s="22"/>
      <c r="I5" s="23"/>
      <c r="J5" s="24"/>
      <c r="K5" s="25"/>
      <c r="L5" s="26" t="s">
        <v>11</v>
      </c>
      <c r="M5" s="27">
        <v>12</v>
      </c>
      <c r="N5" s="5"/>
      <c r="O5" s="28" t="s">
        <v>12</v>
      </c>
      <c r="P5" s="298">
        <f>SUM(M5/12)</f>
        <v>1</v>
      </c>
      <c r="Q5" s="317"/>
      <c r="R5" s="29"/>
      <c r="S5" s="20" t="s">
        <v>13</v>
      </c>
      <c r="T5" s="17">
        <v>12</v>
      </c>
      <c r="U5" s="5"/>
      <c r="V5" s="18" t="s">
        <v>14</v>
      </c>
      <c r="W5" s="19"/>
      <c r="X5" s="18" t="s">
        <v>10</v>
      </c>
      <c r="Y5" s="30">
        <f>SUM(T5+W5)/12</f>
        <v>1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>
        <v>10</v>
      </c>
      <c r="AH5" s="20" t="s">
        <v>10</v>
      </c>
      <c r="AI5" s="21">
        <f>SUM(AD5+AG5)/12</f>
        <v>0.83333333333333337</v>
      </c>
      <c r="AJ5" s="22"/>
      <c r="AK5" s="23"/>
      <c r="AL5" s="24"/>
      <c r="AM5" s="25"/>
      <c r="AN5" s="26" t="s">
        <v>11</v>
      </c>
      <c r="AO5" s="27">
        <v>11.5</v>
      </c>
      <c r="AP5" s="5"/>
      <c r="AQ5" s="28" t="s">
        <v>12</v>
      </c>
      <c r="AR5" s="298">
        <f>AO5/12</f>
        <v>0.95833333333333337</v>
      </c>
      <c r="AS5" s="317"/>
      <c r="AT5" s="29"/>
      <c r="AU5" s="20" t="s">
        <v>13</v>
      </c>
      <c r="AV5" s="17">
        <v>12</v>
      </c>
      <c r="AW5" s="5"/>
      <c r="AX5" s="18" t="s">
        <v>14</v>
      </c>
      <c r="AY5" s="19"/>
      <c r="AZ5" s="18" t="s">
        <v>10</v>
      </c>
      <c r="BA5" s="30">
        <f>(AV5+AY5)/12</f>
        <v>1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>
        <v>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>
        <v>121</v>
      </c>
      <c r="C8" s="59">
        <f>B8*(1-B10)</f>
        <v>115.2162</v>
      </c>
      <c r="D8" s="60">
        <f>IFERROR(H9/C9,0)</f>
        <v>0</v>
      </c>
      <c r="E8" s="61">
        <v>921</v>
      </c>
      <c r="F8" s="62">
        <f>E8*(1-F10)</f>
        <v>876.97620000000006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>
        <v>3833</v>
      </c>
      <c r="M8" s="68">
        <v>3332</v>
      </c>
      <c r="N8" s="64">
        <f>L8*(1-M10)</f>
        <v>3833</v>
      </c>
      <c r="O8" s="69">
        <v>3417</v>
      </c>
      <c r="P8" s="296"/>
      <c r="Q8" s="60">
        <f>IFERROR((O8+P8)/L8,0)</f>
        <v>0.89146882337594568</v>
      </c>
      <c r="R8" s="70"/>
      <c r="S8" s="71">
        <v>1515</v>
      </c>
      <c r="T8" s="72">
        <v>1437</v>
      </c>
      <c r="U8" s="62">
        <f>S8*(1-T10)</f>
        <v>1416.222</v>
      </c>
      <c r="V8" s="60">
        <f>IFERROR(T8/S8,0)</f>
        <v>0.94851485148514847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>
        <v>710</v>
      </c>
      <c r="AH8" s="62">
        <f>AG8*(1-AH10)</f>
        <v>660.12249999999995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>
        <v>3600</v>
      </c>
      <c r="AO8" s="68">
        <v>3093</v>
      </c>
      <c r="AP8" s="64">
        <f>AN8*(1-AO10)</f>
        <v>3324.6</v>
      </c>
      <c r="AQ8" s="69">
        <v>3085</v>
      </c>
      <c r="AR8" s="296">
        <v>0</v>
      </c>
      <c r="AS8" s="60">
        <f>SUM((AQ8+AR8)/AP8,0)</f>
        <v>0.92793117969078986</v>
      </c>
      <c r="AT8" s="70"/>
      <c r="AU8" s="71">
        <v>1553</v>
      </c>
      <c r="AV8" s="72">
        <v>1416</v>
      </c>
      <c r="AW8" s="62">
        <f>AU8*(1-AV10)</f>
        <v>1434.1955</v>
      </c>
      <c r="AX8" s="60">
        <f>IFERROR(AV8/AU8,0)</f>
        <v>0.91178364455891825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115.2162</v>
      </c>
      <c r="D9" s="80"/>
      <c r="E9" s="79">
        <f>IFERROR(SUM(E8/E5),0)</f>
        <v>87.464387464387471</v>
      </c>
      <c r="F9" s="81">
        <f>IFERROR(SUM(F8/E5),0)</f>
        <v>83.283589743589758</v>
      </c>
      <c r="G9" s="82"/>
      <c r="H9" s="83"/>
      <c r="I9" s="83"/>
      <c r="J9" s="84"/>
      <c r="K9" s="85"/>
      <c r="L9" s="86">
        <f>IFERROR(L8/M5,0)</f>
        <v>319.41666666666669</v>
      </c>
      <c r="M9" s="86">
        <f>IFERROR(M8/M5,0)</f>
        <v>277.66666666666669</v>
      </c>
      <c r="N9" s="86">
        <f>IFERROR(N8/M5,0)</f>
        <v>319.41666666666669</v>
      </c>
      <c r="O9" s="86">
        <f>IFERROR(O8/M5,0)</f>
        <v>284.75</v>
      </c>
      <c r="P9" s="297">
        <f>SUM(P8/M5,0)</f>
        <v>0</v>
      </c>
      <c r="Q9" s="87">
        <f>IFERROR(Q8/M5,0)</f>
        <v>7.428906861466214E-2</v>
      </c>
      <c r="R9" s="88"/>
      <c r="S9" s="89">
        <f>IFERROR(S8/T5,0)</f>
        <v>126.25</v>
      </c>
      <c r="T9" s="90">
        <f>IFERROR(SUM(T8/T5),0)</f>
        <v>119.75</v>
      </c>
      <c r="U9" s="91">
        <f>IFERROR(U8/T5,0)</f>
        <v>118.0185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71</v>
      </c>
      <c r="AH9" s="81">
        <f>IFERROR(SUM(AH8/AG5),0)</f>
        <v>66.012249999999995</v>
      </c>
      <c r="AI9" s="82"/>
      <c r="AJ9" s="83"/>
      <c r="AK9" s="83"/>
      <c r="AL9" s="84"/>
      <c r="AM9" s="85"/>
      <c r="AN9" s="86">
        <f>IFERROR(AN8/AO5,0)</f>
        <v>313.04347826086956</v>
      </c>
      <c r="AO9" s="86">
        <f>IFERROR(AO8/AO5,0)</f>
        <v>268.95652173913044</v>
      </c>
      <c r="AP9" s="86">
        <f>IFERROR(AP8/AO5,0)</f>
        <v>289.09565217391304</v>
      </c>
      <c r="AQ9" s="86">
        <f>IFERROR(AQ8/AO5,0)</f>
        <v>268.26086956521738</v>
      </c>
      <c r="AR9" s="297">
        <f>SUM(AR8/AO5,0)</f>
        <v>0</v>
      </c>
      <c r="AS9" s="87">
        <f>IFERROR(AS8/AO5,0)</f>
        <v>8.0689667799199116E-2</v>
      </c>
      <c r="AT9" s="88"/>
      <c r="AU9" s="89">
        <f>IFERROR(AU8/AV5,0)</f>
        <v>129.41666666666666</v>
      </c>
      <c r="AV9" s="90">
        <f>IFERROR(SUM(AV8/AV5),0)</f>
        <v>118</v>
      </c>
      <c r="AW9" s="91">
        <f>IFERROR(AW8/AV5,0)</f>
        <v>119.51629166666667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4.7799999999999995E-2</v>
      </c>
      <c r="C10" s="99"/>
      <c r="D10" s="100"/>
      <c r="E10" s="101" t="s">
        <v>39</v>
      </c>
      <c r="F10" s="102">
        <f>J23</f>
        <v>4.7799999999999995E-2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6.5200000000000008E-2</v>
      </c>
      <c r="U10" s="112"/>
      <c r="V10" s="100"/>
      <c r="W10" s="101" t="s">
        <v>39</v>
      </c>
      <c r="X10" s="113">
        <f>AA23</f>
        <v>6.5200000000000008E-2</v>
      </c>
      <c r="Y10" s="5"/>
      <c r="Z10" s="5"/>
      <c r="AA10" s="114"/>
      <c r="AB10" s="15"/>
      <c r="AC10" s="97" t="s">
        <v>39</v>
      </c>
      <c r="AD10" s="98">
        <f>AL23</f>
        <v>7.0250000000000007E-2</v>
      </c>
      <c r="AE10" s="99"/>
      <c r="AF10" s="100"/>
      <c r="AG10" s="101" t="s">
        <v>39</v>
      </c>
      <c r="AH10" s="102">
        <f>AL23</f>
        <v>7.0250000000000007E-2</v>
      </c>
      <c r="AI10" s="103"/>
      <c r="AJ10" s="99"/>
      <c r="AK10" s="104"/>
      <c r="AL10" s="105"/>
      <c r="AM10" s="106"/>
      <c r="AN10" s="107" t="s">
        <v>39</v>
      </c>
      <c r="AO10" s="108">
        <f>AR23</f>
        <v>7.6500000000000012E-2</v>
      </c>
      <c r="AP10" s="109"/>
      <c r="AQ10" s="109"/>
      <c r="AR10" s="109"/>
      <c r="AS10" s="110"/>
      <c r="AT10" s="111"/>
      <c r="AU10" s="107" t="s">
        <v>39</v>
      </c>
      <c r="AV10" s="108">
        <f>BC23</f>
        <v>7.6500000000000012E-2</v>
      </c>
      <c r="AW10" s="112"/>
      <c r="AX10" s="100"/>
      <c r="AY10" s="101" t="s">
        <v>39</v>
      </c>
      <c r="AZ10" s="113">
        <f>BC23</f>
        <v>7.6500000000000012E-2</v>
      </c>
      <c r="BA10" s="5"/>
      <c r="BB10" s="5"/>
      <c r="BC10" s="114"/>
    </row>
    <row r="11" spans="1:55" ht="15" thickBot="1" x14ac:dyDescent="0.35">
      <c r="A11" s="308" t="s">
        <v>40</v>
      </c>
      <c r="B11" s="116" t="s">
        <v>47</v>
      </c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 t="s">
        <v>42</v>
      </c>
      <c r="AE11" s="99"/>
      <c r="AF11" s="80"/>
      <c r="AG11" s="117"/>
      <c r="AH11" s="118"/>
      <c r="AI11" s="119" t="s">
        <v>41</v>
      </c>
      <c r="AJ11" s="120" t="s">
        <v>102</v>
      </c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 t="s">
        <v>103</v>
      </c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 t="s">
        <v>43</v>
      </c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>
        <v>0.27430555555555552</v>
      </c>
      <c r="B15" s="153">
        <v>0.89700000000000002</v>
      </c>
      <c r="C15" s="154">
        <v>0.83799999999999997</v>
      </c>
      <c r="D15" s="155">
        <v>7.5999999999999998E-2</v>
      </c>
      <c r="E15" s="156"/>
      <c r="F15" s="157"/>
      <c r="G15" s="158">
        <v>0.91400000000000003</v>
      </c>
      <c r="H15" s="158"/>
      <c r="I15" s="159"/>
      <c r="J15" s="160">
        <v>5.0999999999999997E-2</v>
      </c>
      <c r="K15" s="161"/>
      <c r="L15" s="162">
        <v>0.372</v>
      </c>
      <c r="M15" s="163">
        <v>9.6500000000000002E-2</v>
      </c>
      <c r="N15" s="164">
        <v>0.33100000000000002</v>
      </c>
      <c r="O15" s="299">
        <v>0.124</v>
      </c>
      <c r="P15" s="446">
        <v>6.6000000000000003E-2</v>
      </c>
      <c r="Q15" s="447"/>
      <c r="R15" s="161"/>
      <c r="S15" s="166">
        <v>0.33079999999999998</v>
      </c>
      <c r="T15" s="163">
        <v>0.1016</v>
      </c>
      <c r="U15" s="167">
        <v>0.3614</v>
      </c>
      <c r="V15" s="168">
        <v>0.11799999999999999</v>
      </c>
      <c r="W15" s="169"/>
      <c r="X15" s="170"/>
      <c r="Y15" s="170"/>
      <c r="Z15" s="171"/>
      <c r="AA15" s="172">
        <v>7.4999999999999997E-2</v>
      </c>
      <c r="AB15" s="173"/>
      <c r="AC15" s="152">
        <v>0.77083333333333337</v>
      </c>
      <c r="AD15" s="153"/>
      <c r="AE15" s="154"/>
      <c r="AF15" s="155"/>
      <c r="AG15" s="156">
        <v>0.30020000000000002</v>
      </c>
      <c r="AH15" s="157">
        <v>0.1338</v>
      </c>
      <c r="AI15" s="158"/>
      <c r="AJ15" s="158" t="s">
        <v>113</v>
      </c>
      <c r="AK15" s="159" t="s">
        <v>113</v>
      </c>
      <c r="AL15" s="160">
        <v>7.4999999999999997E-2</v>
      </c>
      <c r="AM15" s="161"/>
      <c r="AN15" s="162">
        <v>0.2596</v>
      </c>
      <c r="AO15" s="163">
        <v>0.1066</v>
      </c>
      <c r="AP15" s="164">
        <v>0.27800000000000002</v>
      </c>
      <c r="AQ15" s="165">
        <v>0.1278</v>
      </c>
      <c r="AR15" s="356">
        <v>7.4999999999999997E-2</v>
      </c>
      <c r="AS15" s="357"/>
      <c r="AT15" s="161"/>
      <c r="AU15" s="166">
        <v>0.2596</v>
      </c>
      <c r="AV15" s="163">
        <v>0.1066</v>
      </c>
      <c r="AW15" s="167">
        <v>0.3241</v>
      </c>
      <c r="AX15" s="168">
        <v>9.01E-2</v>
      </c>
      <c r="AY15" s="169"/>
      <c r="AZ15" s="170"/>
      <c r="BA15" s="170"/>
      <c r="BB15" s="171"/>
      <c r="BC15" s="172">
        <v>7.4999999999999997E-2</v>
      </c>
    </row>
    <row r="16" spans="1:55" x14ac:dyDescent="0.3">
      <c r="A16" s="152">
        <v>0.39930555555555558</v>
      </c>
      <c r="B16" s="174"/>
      <c r="C16" s="175"/>
      <c r="D16" s="176"/>
      <c r="E16" s="177">
        <v>0.314</v>
      </c>
      <c r="F16" s="178">
        <v>0.1047</v>
      </c>
      <c r="G16" s="179"/>
      <c r="H16" s="179">
        <v>3.9300000000000002E-2</v>
      </c>
      <c r="I16" s="180">
        <v>0.26619999999999999</v>
      </c>
      <c r="J16" s="160">
        <v>5.0000000000000001E-3</v>
      </c>
      <c r="K16" s="161"/>
      <c r="L16" s="181">
        <v>0.34549999999999997</v>
      </c>
      <c r="M16" s="170">
        <v>9.35E-2</v>
      </c>
      <c r="N16" s="302">
        <v>0.31590000000000001</v>
      </c>
      <c r="O16" s="300">
        <v>0.11890000000000001</v>
      </c>
      <c r="P16" s="440">
        <v>5.5E-2</v>
      </c>
      <c r="Q16" s="357"/>
      <c r="R16" s="161"/>
      <c r="S16" s="169">
        <v>0.34770000000000001</v>
      </c>
      <c r="T16" s="170">
        <v>9.0700000000000003E-2</v>
      </c>
      <c r="U16" s="169">
        <v>0.35920000000000002</v>
      </c>
      <c r="V16" s="171">
        <v>0.11799999999999999</v>
      </c>
      <c r="W16" s="169"/>
      <c r="X16" s="170"/>
      <c r="Y16" s="170"/>
      <c r="Z16" s="171"/>
      <c r="AA16" s="184">
        <v>5.6000000000000001E-2</v>
      </c>
      <c r="AB16" s="173"/>
      <c r="AC16" s="185">
        <v>0.88194444444444453</v>
      </c>
      <c r="AD16" s="174"/>
      <c r="AE16" s="175"/>
      <c r="AF16" s="176"/>
      <c r="AG16" s="177">
        <v>0.28029999999999999</v>
      </c>
      <c r="AH16" s="178">
        <v>0.1157</v>
      </c>
      <c r="AI16" s="179"/>
      <c r="AJ16" s="179">
        <v>2.1100000000000001E-2</v>
      </c>
      <c r="AK16" s="180">
        <v>0.3054</v>
      </c>
      <c r="AL16" s="160">
        <v>7.0000000000000007E-2</v>
      </c>
      <c r="AM16" s="161"/>
      <c r="AN16" s="181">
        <v>0.28029999999999999</v>
      </c>
      <c r="AO16" s="170">
        <v>0.11600000000000001</v>
      </c>
      <c r="AP16" s="302">
        <v>0.31909999999999999</v>
      </c>
      <c r="AQ16" s="183">
        <v>5.9900000000000002E-2</v>
      </c>
      <c r="AR16" s="356">
        <v>7.0000000000000007E-2</v>
      </c>
      <c r="AS16" s="357"/>
      <c r="AT16" s="161"/>
      <c r="AU16" s="169">
        <v>0.28029999999999999</v>
      </c>
      <c r="AV16" s="170">
        <v>0.1157</v>
      </c>
      <c r="AW16" s="169">
        <v>0.26850000000000002</v>
      </c>
      <c r="AX16" s="171">
        <v>0.1187</v>
      </c>
      <c r="AY16" s="169"/>
      <c r="AZ16" s="170"/>
      <c r="BA16" s="170"/>
      <c r="BB16" s="171"/>
      <c r="BC16" s="184">
        <v>7.0000000000000007E-2</v>
      </c>
    </row>
    <row r="17" spans="1:55" x14ac:dyDescent="0.3">
      <c r="A17" s="152">
        <v>0.53472222222222221</v>
      </c>
      <c r="B17" s="174"/>
      <c r="C17" s="175"/>
      <c r="D17" s="176"/>
      <c r="E17" s="177">
        <v>0.15440000000000001</v>
      </c>
      <c r="F17" s="178">
        <v>0.13719999999999999</v>
      </c>
      <c r="G17" s="179"/>
      <c r="H17" s="179">
        <v>2.6100000000000002E-2</v>
      </c>
      <c r="I17" s="180">
        <v>0.3039</v>
      </c>
      <c r="J17" s="160">
        <v>0.05</v>
      </c>
      <c r="K17" s="161"/>
      <c r="L17" s="181">
        <v>0.21809999999999999</v>
      </c>
      <c r="M17" s="170">
        <v>0.12839999999999999</v>
      </c>
      <c r="N17" s="302">
        <v>0.1895</v>
      </c>
      <c r="O17" s="300">
        <v>0.15590000000000001</v>
      </c>
      <c r="P17" s="440">
        <v>6.2E-2</v>
      </c>
      <c r="Q17" s="357"/>
      <c r="R17" s="161"/>
      <c r="S17" s="169"/>
      <c r="T17" s="170"/>
      <c r="U17" s="169">
        <v>0.224</v>
      </c>
      <c r="V17" s="171">
        <v>0.13600000000000001</v>
      </c>
      <c r="W17" s="169"/>
      <c r="X17" s="170"/>
      <c r="Y17" s="170"/>
      <c r="Z17" s="171"/>
      <c r="AA17" s="184">
        <v>6.2E-2</v>
      </c>
      <c r="AB17" s="173"/>
      <c r="AC17" s="185">
        <v>6.25E-2</v>
      </c>
      <c r="AD17" s="174"/>
      <c r="AE17" s="175"/>
      <c r="AF17" s="176"/>
      <c r="AG17" s="177">
        <v>0.20979999999999999</v>
      </c>
      <c r="AH17" s="178">
        <v>0.10059999999999999</v>
      </c>
      <c r="AI17" s="179"/>
      <c r="AJ17" s="179">
        <v>0.1608</v>
      </c>
      <c r="AK17" s="180">
        <v>0.1547</v>
      </c>
      <c r="AL17" s="160">
        <v>7.4999999999999997E-2</v>
      </c>
      <c r="AM17" s="161"/>
      <c r="AN17" s="181">
        <v>0.26750000000000002</v>
      </c>
      <c r="AO17" s="170">
        <v>0.1133</v>
      </c>
      <c r="AP17" s="302">
        <v>0.2697</v>
      </c>
      <c r="AQ17" s="183">
        <v>0.12189999999999999</v>
      </c>
      <c r="AR17" s="356">
        <v>6.4000000000000001E-2</v>
      </c>
      <c r="AS17" s="357"/>
      <c r="AT17" s="161"/>
      <c r="AU17" s="169">
        <v>0.26750000000000002</v>
      </c>
      <c r="AV17" s="170">
        <v>0.1133</v>
      </c>
      <c r="AW17" s="169">
        <v>0.19850000000000001</v>
      </c>
      <c r="AX17" s="171">
        <v>0.20630000000000001</v>
      </c>
      <c r="AY17" s="169"/>
      <c r="AZ17" s="170"/>
      <c r="BA17" s="170"/>
      <c r="BB17" s="171"/>
      <c r="BC17" s="184">
        <v>6.4000000000000001E-2</v>
      </c>
    </row>
    <row r="18" spans="1:55" x14ac:dyDescent="0.3">
      <c r="A18" s="152">
        <v>0.64583333333333337</v>
      </c>
      <c r="B18" s="174"/>
      <c r="C18" s="175"/>
      <c r="D18" s="176"/>
      <c r="E18" s="177">
        <v>0.1789</v>
      </c>
      <c r="F18" s="178">
        <v>0.15809999999999999</v>
      </c>
      <c r="G18" s="179"/>
      <c r="H18" s="179">
        <v>2.9499999999999998E-2</v>
      </c>
      <c r="I18" s="180">
        <v>0.31409999999999999</v>
      </c>
      <c r="J18" s="160">
        <v>7.3999999999999996E-2</v>
      </c>
      <c r="K18" s="161"/>
      <c r="L18" s="181">
        <v>0.25679999999999997</v>
      </c>
      <c r="M18" s="170">
        <v>0.11210000000000001</v>
      </c>
      <c r="N18" s="302">
        <v>0.2031</v>
      </c>
      <c r="O18" s="300">
        <v>0.14249999999999999</v>
      </c>
      <c r="P18" s="440">
        <v>6.5000000000000002E-2</v>
      </c>
      <c r="Q18" s="357"/>
      <c r="R18" s="161"/>
      <c r="S18" s="169">
        <v>0.25679999999999997</v>
      </c>
      <c r="T18" s="170">
        <v>0.11210000000000001</v>
      </c>
      <c r="U18" s="169">
        <v>0.32619999999999999</v>
      </c>
      <c r="V18" s="171">
        <v>8.3900000000000002E-2</v>
      </c>
      <c r="W18" s="169"/>
      <c r="X18" s="170"/>
      <c r="Y18" s="170"/>
      <c r="Z18" s="171"/>
      <c r="AA18" s="184">
        <v>6.5000000000000002E-2</v>
      </c>
      <c r="AB18" s="173"/>
      <c r="AC18" s="185">
        <v>0.1388888888888889</v>
      </c>
      <c r="AD18" s="174"/>
      <c r="AE18" s="175"/>
      <c r="AF18" s="176"/>
      <c r="AG18" s="177">
        <v>0.17860000000000001</v>
      </c>
      <c r="AH18" s="178">
        <v>0.13350000000000001</v>
      </c>
      <c r="AI18" s="179"/>
      <c r="AJ18" s="179">
        <v>0.13300000000000001</v>
      </c>
      <c r="AK18" s="180">
        <v>0.1338</v>
      </c>
      <c r="AL18" s="160">
        <v>6.0999999999999999E-2</v>
      </c>
      <c r="AM18" s="161"/>
      <c r="AN18" s="181">
        <v>0.26939999999999997</v>
      </c>
      <c r="AO18" s="170">
        <v>0.11020000000000001</v>
      </c>
      <c r="AP18" s="302">
        <v>0.29330000000000001</v>
      </c>
      <c r="AQ18" s="183">
        <v>0.1018</v>
      </c>
      <c r="AR18" s="356">
        <v>9.7000000000000003E-2</v>
      </c>
      <c r="AS18" s="357"/>
      <c r="AT18" s="161"/>
      <c r="AU18" s="169">
        <v>0.26939999999999997</v>
      </c>
      <c r="AV18" s="170">
        <v>0.11020000000000001</v>
      </c>
      <c r="AW18" s="169">
        <v>0.29780000000000001</v>
      </c>
      <c r="AX18" s="171">
        <v>0.1363</v>
      </c>
      <c r="AY18" s="169"/>
      <c r="AZ18" s="170"/>
      <c r="BA18" s="170"/>
      <c r="BB18" s="171"/>
      <c r="BC18" s="184">
        <v>9.7000000000000003E-2</v>
      </c>
    </row>
    <row r="19" spans="1:55" x14ac:dyDescent="0.3">
      <c r="A19" s="152">
        <v>0.70138888888888884</v>
      </c>
      <c r="B19" s="174"/>
      <c r="C19" s="175"/>
      <c r="D19" s="176"/>
      <c r="E19" s="177">
        <v>0.30869999999999997</v>
      </c>
      <c r="F19" s="178">
        <v>0.1275</v>
      </c>
      <c r="G19" s="179"/>
      <c r="H19" s="179">
        <v>2.41E-2</v>
      </c>
      <c r="I19" s="180">
        <v>0.32679999999999998</v>
      </c>
      <c r="J19" s="160">
        <v>5.8999999999999997E-2</v>
      </c>
      <c r="K19" s="161"/>
      <c r="L19" s="181">
        <v>0.26939999999999997</v>
      </c>
      <c r="M19" s="170">
        <v>0.11210000000000001</v>
      </c>
      <c r="N19" s="302">
        <v>0.24179999999999999</v>
      </c>
      <c r="O19" s="300">
        <v>0.13980000000000001</v>
      </c>
      <c r="P19" s="440">
        <v>6.8000000000000005E-2</v>
      </c>
      <c r="Q19" s="357"/>
      <c r="R19" s="161"/>
      <c r="S19" s="169">
        <v>0.26900000000000002</v>
      </c>
      <c r="T19" s="170">
        <v>0.112</v>
      </c>
      <c r="U19" s="169">
        <v>0.30869999999999997</v>
      </c>
      <c r="V19" s="171">
        <v>0.1275</v>
      </c>
      <c r="W19" s="169"/>
      <c r="X19" s="170"/>
      <c r="Y19" s="170"/>
      <c r="Z19" s="171"/>
      <c r="AA19" s="184">
        <v>6.8000000000000005E-2</v>
      </c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0.89700000000000002</v>
      </c>
      <c r="C23" s="198">
        <f t="shared" ref="C23:J23" si="0">IFERROR(AVERAGE(C15:C22),0)</f>
        <v>0.83799999999999997</v>
      </c>
      <c r="D23" s="198">
        <f t="shared" si="0"/>
        <v>7.5999999999999998E-2</v>
      </c>
      <c r="E23" s="198">
        <f t="shared" si="0"/>
        <v>0.23899999999999999</v>
      </c>
      <c r="F23" s="198">
        <f t="shared" si="0"/>
        <v>0.13187500000000002</v>
      </c>
      <c r="G23" s="198">
        <f t="shared" si="0"/>
        <v>0.91400000000000003</v>
      </c>
      <c r="H23" s="198">
        <f t="shared" si="0"/>
        <v>2.9749999999999999E-2</v>
      </c>
      <c r="I23" s="198">
        <f t="shared" si="0"/>
        <v>0.30275000000000002</v>
      </c>
      <c r="J23" s="198">
        <f t="shared" si="0"/>
        <v>4.7799999999999995E-2</v>
      </c>
      <c r="K23" s="161"/>
      <c r="L23" s="199">
        <f>IFERROR(AVERAGE(L15:L22),0)</f>
        <v>0.29235999999999995</v>
      </c>
      <c r="M23" s="198">
        <f>IFERROR(AVERAGE(M15:M22),0)</f>
        <v>0.10851999999999999</v>
      </c>
      <c r="N23" s="200">
        <f>IFERROR(AVERAGE(N15:N22),0)</f>
        <v>0.25626000000000004</v>
      </c>
      <c r="O23" s="201">
        <f>IFERROR(AVERAGE(O15:O22),0)</f>
        <v>0.13622000000000001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0.30107499999999998</v>
      </c>
      <c r="T23" s="198">
        <f t="shared" si="1"/>
        <v>0.1041</v>
      </c>
      <c r="U23" s="198">
        <f t="shared" si="1"/>
        <v>0.31589999999999996</v>
      </c>
      <c r="V23" s="198">
        <f t="shared" si="1"/>
        <v>0.11667999999999998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6.5200000000000008E-2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0.242225</v>
      </c>
      <c r="AH23" s="198">
        <f t="shared" si="2"/>
        <v>0.12089999999999999</v>
      </c>
      <c r="AI23" s="198">
        <f t="shared" si="2"/>
        <v>0</v>
      </c>
      <c r="AJ23" s="198">
        <f t="shared" si="2"/>
        <v>0.10496666666666667</v>
      </c>
      <c r="AK23" s="198">
        <f t="shared" si="2"/>
        <v>0.19796666666666665</v>
      </c>
      <c r="AL23" s="198">
        <f t="shared" si="2"/>
        <v>7.0250000000000007E-2</v>
      </c>
      <c r="AM23" s="161"/>
      <c r="AN23" s="199">
        <f>IFERROR(AVERAGE(AN15:AN22),0)</f>
        <v>0.26919999999999999</v>
      </c>
      <c r="AO23" s="198">
        <f>IFERROR(AVERAGE(AO15:AO22),0)</f>
        <v>0.11152500000000001</v>
      </c>
      <c r="AP23" s="200">
        <f>IFERROR(AVERAGE(AP15:AP22),0)</f>
        <v>0.29002499999999998</v>
      </c>
      <c r="AQ23" s="201">
        <f>IFERROR(AVERAGE(AQ15:AQ22),0)</f>
        <v>0.10285</v>
      </c>
      <c r="AR23" s="396">
        <f>IFERROR(AVERAGE(AR15:AS22),0)</f>
        <v>7.6500000000000012E-2</v>
      </c>
      <c r="AS23" s="397"/>
      <c r="AT23" s="202"/>
      <c r="AU23" s="199">
        <f t="shared" ref="AU23:BC23" si="3">IFERROR(AVERAGE(AU15:AU22),0)</f>
        <v>0.26919999999999999</v>
      </c>
      <c r="AV23" s="198">
        <f t="shared" si="3"/>
        <v>0.11145000000000001</v>
      </c>
      <c r="AW23" s="198">
        <f t="shared" si="3"/>
        <v>0.27222499999999999</v>
      </c>
      <c r="AX23" s="198">
        <f t="shared" si="3"/>
        <v>0.13785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7.6500000000000012E-2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 t="s">
        <v>110</v>
      </c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 t="s">
        <v>110</v>
      </c>
      <c r="N26" s="404" t="s">
        <v>63</v>
      </c>
      <c r="O26" s="405"/>
      <c r="P26" s="423"/>
      <c r="Q26" s="424"/>
      <c r="R26" s="231"/>
      <c r="S26" s="228" t="s">
        <v>62</v>
      </c>
      <c r="T26" s="229" t="s">
        <v>110</v>
      </c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 t="s">
        <v>114</v>
      </c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 t="s">
        <v>105</v>
      </c>
      <c r="AP26" s="404" t="s">
        <v>63</v>
      </c>
      <c r="AQ26" s="405"/>
      <c r="AR26" s="316"/>
      <c r="AS26" s="230"/>
      <c r="AT26" s="231"/>
      <c r="AU26" s="228" t="s">
        <v>62</v>
      </c>
      <c r="AV26" s="229" t="s">
        <v>105</v>
      </c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491.96438746438747</v>
      </c>
      <c r="K42" s="266"/>
      <c r="R42" s="266"/>
    </row>
    <row r="43" spans="1:55" ht="16.2" thickBot="1" x14ac:dyDescent="0.35">
      <c r="A43" s="274" t="s">
        <v>2</v>
      </c>
      <c r="B43" s="275">
        <f>E8+AG8</f>
        <v>1631</v>
      </c>
      <c r="C43" s="275">
        <f>B8+AD8</f>
        <v>121</v>
      </c>
      <c r="D43" s="267"/>
      <c r="E43" s="276" t="s">
        <v>84</v>
      </c>
      <c r="F43" s="273">
        <f>AG9+AQ9+AV9</f>
        <v>457.26086956521738</v>
      </c>
      <c r="K43" s="266"/>
      <c r="R43" s="266"/>
    </row>
    <row r="44" spans="1:55" ht="16.2" thickBot="1" x14ac:dyDescent="0.35">
      <c r="A44" s="274" t="s">
        <v>3</v>
      </c>
      <c r="B44" s="275">
        <f>L8+AN8</f>
        <v>7433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3068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12132</v>
      </c>
      <c r="C46" s="284">
        <f>SUM(C43:C45)</f>
        <v>121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1304.8000000000002</v>
      </c>
      <c r="C49" s="275">
        <f>C43*0.8</f>
        <v>96.800000000000011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6541.04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2807.2200000000003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10653.060000000001</v>
      </c>
      <c r="C52" s="291">
        <f>SUM(C49:C51)</f>
        <v>96.800000000000011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0C00-000000000000}">
      <formula1>$A$137:$A$148</formula1>
    </dataValidation>
    <dataValidation type="list" allowBlank="1" showInputMessage="1" showErrorMessage="1" sqref="AX11 BB11:BC11 V11 Z11:AA11" xr:uid="{00000000-0002-0000-0C00-000001000000}">
      <formula1>"Silo 6, Silo 7, Silo 8, Silo 9"</formula1>
    </dataValidation>
    <dataValidation type="list" allowBlank="1" showInputMessage="1" showErrorMessage="1" sqref="AD11 AO11 AZ11 AV11 B11 M11 X11 T11" xr:uid="{00000000-0002-0000-0C00-000002000000}">
      <formula1>"100#, 40/70"</formula1>
    </dataValidation>
    <dataValidation type="list" allowBlank="1" showInputMessage="1" showErrorMessage="1" sqref="AJ11:AM11 AQ11:AT11 H11:K11 O11:R11" xr:uid="{00000000-0002-0000-0C00-000003000000}">
      <formula1>"Silo 1, Silo 2, Silo 6, Silo 7"</formula1>
    </dataValidation>
    <dataValidation type="list" allowBlank="1" showInputMessage="1" showErrorMessage="1" sqref="AV25 AD25 AO25 T25 B25 M25" xr:uid="{00000000-0002-0000-0C00-000004000000}">
      <formula1>"1, 2, 3, 4, 5, 6, 7, 8, 9, 10, 11, 12, 13, 14, 15, 16"</formula1>
    </dataValidation>
    <dataValidation type="list" allowBlank="1" showInputMessage="1" showErrorMessage="1" sqref="C29:C31 AE29:AE31" xr:uid="{00000000-0002-0000-0C00-000005000000}">
      <formula1>"Carrier 100, Carrier 200, Rotary"</formula1>
    </dataValidation>
    <dataValidation type="list" allowBlank="1" showInputMessage="1" showErrorMessage="1" sqref="B26 M26 T26 AD26 AO26 AV26" xr:uid="{00000000-0002-0000-0C00-000006000000}">
      <formula1>"SP1, SP2, SP3, OWP SP"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C148"/>
  <sheetViews>
    <sheetView topLeftCell="A22" zoomScale="70" zoomScaleNormal="70" workbookViewId="0">
      <selection activeCell="AV20" sqref="AV20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>
        <v>42894</v>
      </c>
      <c r="C4" s="5"/>
      <c r="D4" s="6" t="s">
        <v>6</v>
      </c>
      <c r="E4" s="380" t="s">
        <v>93</v>
      </c>
      <c r="F4" s="381"/>
      <c r="G4" s="312"/>
      <c r="H4" s="312"/>
      <c r="I4" s="8"/>
      <c r="J4" s="9"/>
      <c r="K4" s="10"/>
      <c r="L4" s="6" t="s">
        <v>5</v>
      </c>
      <c r="M4" s="4">
        <f>B4</f>
        <v>42894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42894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42894</v>
      </c>
      <c r="AE4" s="5"/>
      <c r="AF4" s="6" t="s">
        <v>6</v>
      </c>
      <c r="AG4" s="380" t="s">
        <v>7</v>
      </c>
      <c r="AH4" s="381"/>
      <c r="AI4" s="312"/>
      <c r="AJ4" s="312"/>
      <c r="AK4" s="8"/>
      <c r="AL4" s="9"/>
      <c r="AM4" s="10"/>
      <c r="AN4" s="6" t="s">
        <v>5</v>
      </c>
      <c r="AO4" s="4">
        <f>B4</f>
        <v>42894</v>
      </c>
      <c r="AP4" s="5"/>
      <c r="AQ4" s="370" t="s">
        <v>6</v>
      </c>
      <c r="AR4" s="371"/>
      <c r="AS4" s="11"/>
      <c r="AT4" s="12" t="s">
        <v>7</v>
      </c>
      <c r="AU4" s="6" t="s">
        <v>5</v>
      </c>
      <c r="AV4" s="4">
        <f>B4</f>
        <v>42894</v>
      </c>
      <c r="AW4" s="5"/>
      <c r="AX4" s="6" t="s">
        <v>6</v>
      </c>
      <c r="AY4" s="382" t="s">
        <v>7</v>
      </c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>
        <v>9</v>
      </c>
      <c r="F5" s="20" t="s">
        <v>10</v>
      </c>
      <c r="G5" s="21">
        <f>SUM((B5+E5)/12, 0)</f>
        <v>0.75</v>
      </c>
      <c r="H5" s="22"/>
      <c r="I5" s="23"/>
      <c r="J5" s="24"/>
      <c r="K5" s="25"/>
      <c r="L5" s="26" t="s">
        <v>11</v>
      </c>
      <c r="M5" s="27">
        <v>12</v>
      </c>
      <c r="N5" s="5"/>
      <c r="O5" s="28" t="s">
        <v>12</v>
      </c>
      <c r="P5" s="298">
        <f>SUM(M5/12)</f>
        <v>1</v>
      </c>
      <c r="Q5" s="317"/>
      <c r="R5" s="29"/>
      <c r="S5" s="20" t="s">
        <v>13</v>
      </c>
      <c r="T5" s="17">
        <v>8.75</v>
      </c>
      <c r="U5" s="5"/>
      <c r="V5" s="18" t="s">
        <v>14</v>
      </c>
      <c r="W5" s="19"/>
      <c r="X5" s="18" t="s">
        <v>10</v>
      </c>
      <c r="Y5" s="30">
        <f>SUM(T5+W5)/12</f>
        <v>0.72916666666666663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>
        <v>11.3</v>
      </c>
      <c r="AH5" s="20" t="s">
        <v>10</v>
      </c>
      <c r="AI5" s="21">
        <f>SUM(AD5+AG5)/12</f>
        <v>0.94166666666666676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>
        <v>12</v>
      </c>
      <c r="AW5" s="5"/>
      <c r="AX5" s="18" t="s">
        <v>14</v>
      </c>
      <c r="AY5" s="19"/>
      <c r="AZ5" s="18" t="s">
        <v>10</v>
      </c>
      <c r="BA5" s="30">
        <f>(AV5+AY5)/12</f>
        <v>1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>
        <v>600</v>
      </c>
      <c r="F8" s="62">
        <f>E8*(1-F10)</f>
        <v>554.4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>
        <v>3648</v>
      </c>
      <c r="M8" s="68">
        <v>3194</v>
      </c>
      <c r="N8" s="64">
        <f>L8*(1-M10)</f>
        <v>3648</v>
      </c>
      <c r="O8" s="69">
        <v>3203</v>
      </c>
      <c r="P8" s="296"/>
      <c r="Q8" s="60">
        <f>IFERROR((O8+P8)/L8,0)</f>
        <v>0.87801535087719296</v>
      </c>
      <c r="R8" s="70"/>
      <c r="S8" s="71">
        <v>1230</v>
      </c>
      <c r="T8" s="72">
        <v>1151</v>
      </c>
      <c r="U8" s="62">
        <f>S8*(1-T10)</f>
        <v>1151.895</v>
      </c>
      <c r="V8" s="60">
        <f>IFERROR(T8/S8,0)</f>
        <v>0.93577235772357725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>
        <v>762</v>
      </c>
      <c r="AH8" s="62">
        <f>AG8*(1-AH10)</f>
        <v>698.24599999999998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>
        <v>3515</v>
      </c>
      <c r="AO8" s="68">
        <v>3092</v>
      </c>
      <c r="AP8" s="64">
        <f>AN8*(1-AO10)</f>
        <v>3239.6583333333333</v>
      </c>
      <c r="AQ8" s="69">
        <v>3025</v>
      </c>
      <c r="AR8" s="296"/>
      <c r="AS8" s="60">
        <f>SUM((AQ8+AR8)/AP8,0)</f>
        <v>0.93374044073577722</v>
      </c>
      <c r="AT8" s="70"/>
      <c r="AU8" s="71">
        <v>1595</v>
      </c>
      <c r="AV8" s="72">
        <v>1482</v>
      </c>
      <c r="AW8" s="62">
        <f>AU8*(1-AV10)</f>
        <v>1470.0583333333334</v>
      </c>
      <c r="AX8" s="60">
        <f>IFERROR(AV8/AU8,0)</f>
        <v>0.92915360501567401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66.666666666666671</v>
      </c>
      <c r="F9" s="81">
        <f>IFERROR(SUM(F8/E5),0)</f>
        <v>61.599999999999994</v>
      </c>
      <c r="G9" s="82"/>
      <c r="H9" s="83"/>
      <c r="I9" s="83"/>
      <c r="J9" s="84"/>
      <c r="K9" s="85"/>
      <c r="L9" s="86">
        <f>IFERROR(L8/M5,0)</f>
        <v>304</v>
      </c>
      <c r="M9" s="86">
        <f>IFERROR(M8/M5,0)</f>
        <v>266.16666666666669</v>
      </c>
      <c r="N9" s="86">
        <f>IFERROR(N8/M5,0)</f>
        <v>304</v>
      </c>
      <c r="O9" s="86">
        <f>IFERROR(O8/M5,0)</f>
        <v>266.91666666666669</v>
      </c>
      <c r="P9" s="297">
        <f>SUM(P8/M5,0)</f>
        <v>0</v>
      </c>
      <c r="Q9" s="87">
        <f>IFERROR(Q8/M5,0)</f>
        <v>7.3167945906432746E-2</v>
      </c>
      <c r="R9" s="88"/>
      <c r="S9" s="89">
        <f>IFERROR(S8/T5,0)</f>
        <v>140.57142857142858</v>
      </c>
      <c r="T9" s="90">
        <f>IFERROR(SUM(T8/T5),0)</f>
        <v>131.54285714285714</v>
      </c>
      <c r="U9" s="91">
        <f>IFERROR(U8/T5,0)</f>
        <v>131.64514285714284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67.43362831858407</v>
      </c>
      <c r="AH9" s="81">
        <f>IFERROR(SUM(AH8/AG5),0)</f>
        <v>61.791681415929197</v>
      </c>
      <c r="AI9" s="82"/>
      <c r="AJ9" s="83"/>
      <c r="AK9" s="83"/>
      <c r="AL9" s="84"/>
      <c r="AM9" s="85"/>
      <c r="AN9" s="86">
        <f>IFERROR(AN8/AO5,0)</f>
        <v>292.91666666666669</v>
      </c>
      <c r="AO9" s="86">
        <f>IFERROR(AO8/AO5,0)</f>
        <v>257.66666666666669</v>
      </c>
      <c r="AP9" s="86">
        <f>IFERROR(AP8/AO5,0)</f>
        <v>269.97152777777779</v>
      </c>
      <c r="AQ9" s="86">
        <f>IFERROR(AQ8/AO5,0)</f>
        <v>252.08333333333334</v>
      </c>
      <c r="AR9" s="297">
        <f>SUM(AR8/AO5,0)</f>
        <v>0</v>
      </c>
      <c r="AS9" s="87">
        <f>IFERROR(AS8/AO5,0)</f>
        <v>7.7811703394648102E-2</v>
      </c>
      <c r="AT9" s="88"/>
      <c r="AU9" s="89">
        <f>IFERROR(AU8/AV5,0)</f>
        <v>132.91666666666666</v>
      </c>
      <c r="AV9" s="90">
        <f>IFERROR(SUM(AV8/AV5),0)</f>
        <v>123.5</v>
      </c>
      <c r="AW9" s="91">
        <f>IFERROR(AW8/AV5,0)</f>
        <v>122.50486111111111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7.5999999999999998E-2</v>
      </c>
      <c r="C10" s="99"/>
      <c r="D10" s="100"/>
      <c r="E10" s="101" t="s">
        <v>39</v>
      </c>
      <c r="F10" s="102">
        <f>J23</f>
        <v>7.5999999999999998E-2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6.3500000000000001E-2</v>
      </c>
      <c r="U10" s="112"/>
      <c r="V10" s="100"/>
      <c r="W10" s="101" t="s">
        <v>39</v>
      </c>
      <c r="X10" s="113">
        <f>AA23</f>
        <v>6.3500000000000001E-2</v>
      </c>
      <c r="Y10" s="5"/>
      <c r="Z10" s="5"/>
      <c r="AA10" s="114"/>
      <c r="AB10" s="15"/>
      <c r="AC10" s="97" t="s">
        <v>39</v>
      </c>
      <c r="AD10" s="98">
        <f>AL23</f>
        <v>8.3666666666666667E-2</v>
      </c>
      <c r="AE10" s="99"/>
      <c r="AF10" s="100"/>
      <c r="AG10" s="101" t="s">
        <v>39</v>
      </c>
      <c r="AH10" s="102">
        <f>AL23</f>
        <v>8.3666666666666667E-2</v>
      </c>
      <c r="AI10" s="103"/>
      <c r="AJ10" s="99"/>
      <c r="AK10" s="104"/>
      <c r="AL10" s="105"/>
      <c r="AM10" s="106"/>
      <c r="AN10" s="107" t="s">
        <v>39</v>
      </c>
      <c r="AO10" s="108">
        <f>AR23</f>
        <v>7.8333333333333324E-2</v>
      </c>
      <c r="AP10" s="109"/>
      <c r="AQ10" s="109"/>
      <c r="AR10" s="109"/>
      <c r="AS10" s="110"/>
      <c r="AT10" s="111"/>
      <c r="AU10" s="107" t="s">
        <v>39</v>
      </c>
      <c r="AV10" s="108">
        <f>BC23</f>
        <v>7.8333333333333324E-2</v>
      </c>
      <c r="AW10" s="112"/>
      <c r="AX10" s="100"/>
      <c r="AY10" s="101" t="s">
        <v>39</v>
      </c>
      <c r="AZ10" s="113">
        <f>BC23</f>
        <v>7.8333333333333324E-2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>
        <v>0.192</v>
      </c>
      <c r="F15" s="157">
        <v>0.152</v>
      </c>
      <c r="G15" s="158"/>
      <c r="H15" s="158">
        <v>3.2000000000000001E-2</v>
      </c>
      <c r="I15" s="159">
        <v>0.252</v>
      </c>
      <c r="J15" s="160">
        <v>7.0999999999999994E-2</v>
      </c>
      <c r="K15" s="161"/>
      <c r="L15" s="162">
        <v>0.312</v>
      </c>
      <c r="M15" s="163">
        <v>0.10299999999999999</v>
      </c>
      <c r="N15" s="164">
        <v>0.30599999999999999</v>
      </c>
      <c r="O15" s="299">
        <v>9.1999999999999998E-2</v>
      </c>
      <c r="P15" s="446">
        <v>0.06</v>
      </c>
      <c r="Q15" s="447"/>
      <c r="R15" s="161"/>
      <c r="S15" s="166">
        <v>0.312</v>
      </c>
      <c r="T15" s="163">
        <v>0.10299999999999999</v>
      </c>
      <c r="U15" s="167">
        <v>0.34499999999999997</v>
      </c>
      <c r="V15" s="168">
        <v>0.09</v>
      </c>
      <c r="W15" s="169"/>
      <c r="X15" s="170"/>
      <c r="Y15" s="170"/>
      <c r="Z15" s="171"/>
      <c r="AA15" s="172">
        <v>0.06</v>
      </c>
      <c r="AB15" s="173"/>
      <c r="AC15" s="152"/>
      <c r="AD15" s="153"/>
      <c r="AE15" s="154"/>
      <c r="AF15" s="155"/>
      <c r="AG15" s="156">
        <v>0.189</v>
      </c>
      <c r="AH15" s="157">
        <v>0.16200000000000001</v>
      </c>
      <c r="AI15" s="158"/>
      <c r="AJ15" s="158">
        <v>3.4000000000000002E-2</v>
      </c>
      <c r="AK15" s="159">
        <v>0.23899999999999999</v>
      </c>
      <c r="AL15" s="160">
        <v>0.09</v>
      </c>
      <c r="AM15" s="161"/>
      <c r="AN15" s="162">
        <v>0.27600000000000002</v>
      </c>
      <c r="AO15" s="163">
        <v>0.11799999999999999</v>
      </c>
      <c r="AP15" s="164">
        <v>0.27300000000000002</v>
      </c>
      <c r="AQ15" s="165">
        <v>0.14000000000000001</v>
      </c>
      <c r="AR15" s="356">
        <v>7.3999999999999996E-2</v>
      </c>
      <c r="AS15" s="357"/>
      <c r="AT15" s="161"/>
      <c r="AU15" s="166">
        <v>0.27600000000000002</v>
      </c>
      <c r="AV15" s="163">
        <v>0.11799999999999999</v>
      </c>
      <c r="AW15" s="167">
        <v>0.30399999999999999</v>
      </c>
      <c r="AX15" s="168">
        <v>0.12</v>
      </c>
      <c r="AY15" s="169"/>
      <c r="AZ15" s="170"/>
      <c r="BA15" s="170"/>
      <c r="BB15" s="171"/>
      <c r="BC15" s="172">
        <v>7.3999999999999996E-2</v>
      </c>
    </row>
    <row r="16" spans="1:55" x14ac:dyDescent="0.3">
      <c r="A16" s="152"/>
      <c r="B16" s="174"/>
      <c r="C16" s="175"/>
      <c r="D16" s="176"/>
      <c r="E16" s="177">
        <v>0.22500000000000001</v>
      </c>
      <c r="F16" s="178">
        <v>0.129</v>
      </c>
      <c r="G16" s="179"/>
      <c r="H16" s="179">
        <v>0.04</v>
      </c>
      <c r="I16" s="180">
        <v>0.19800000000000001</v>
      </c>
      <c r="J16" s="160">
        <v>7.0000000000000007E-2</v>
      </c>
      <c r="K16" s="161"/>
      <c r="L16" s="181">
        <v>0.29699999999999999</v>
      </c>
      <c r="M16" s="170">
        <v>0.105</v>
      </c>
      <c r="N16" s="302">
        <v>0.36699999999999999</v>
      </c>
      <c r="O16" s="300">
        <v>5.8000000000000003E-2</v>
      </c>
      <c r="P16" s="440">
        <v>6.9000000000000006E-2</v>
      </c>
      <c r="Q16" s="357"/>
      <c r="R16" s="161"/>
      <c r="S16" s="169">
        <v>0.32400000000000001</v>
      </c>
      <c r="T16" s="170">
        <v>0.113</v>
      </c>
      <c r="U16" s="169">
        <v>0.313</v>
      </c>
      <c r="V16" s="171">
        <v>0.111</v>
      </c>
      <c r="W16" s="169"/>
      <c r="X16" s="170"/>
      <c r="Y16" s="170"/>
      <c r="Z16" s="171"/>
      <c r="AA16" s="184">
        <v>6.7000000000000004E-2</v>
      </c>
      <c r="AB16" s="173"/>
      <c r="AC16" s="185"/>
      <c r="AD16" s="174"/>
      <c r="AE16" s="175"/>
      <c r="AF16" s="176"/>
      <c r="AG16" s="177">
        <v>0.28499999999999998</v>
      </c>
      <c r="AH16" s="178">
        <v>0.114</v>
      </c>
      <c r="AI16" s="179"/>
      <c r="AJ16" s="179">
        <v>5.7000000000000002E-2</v>
      </c>
      <c r="AK16" s="180">
        <v>0.254</v>
      </c>
      <c r="AL16" s="160">
        <v>8.5000000000000006E-2</v>
      </c>
      <c r="AM16" s="161"/>
      <c r="AN16" s="181">
        <v>0.28499999999999998</v>
      </c>
      <c r="AO16" s="170">
        <v>0.114</v>
      </c>
      <c r="AP16" s="302">
        <v>0.29499999999999998</v>
      </c>
      <c r="AQ16" s="183">
        <v>0.105</v>
      </c>
      <c r="AR16" s="356">
        <v>8.5000000000000006E-2</v>
      </c>
      <c r="AS16" s="357"/>
      <c r="AT16" s="161"/>
      <c r="AU16" s="169">
        <v>0.28499999999999998</v>
      </c>
      <c r="AV16" s="170">
        <v>0.114</v>
      </c>
      <c r="AW16" s="169">
        <v>0.32400000000000001</v>
      </c>
      <c r="AX16" s="171">
        <v>9.7000000000000003E-2</v>
      </c>
      <c r="AY16" s="169"/>
      <c r="AZ16" s="170"/>
      <c r="BA16" s="170"/>
      <c r="BB16" s="171"/>
      <c r="BC16" s="184">
        <v>8.5000000000000006E-2</v>
      </c>
    </row>
    <row r="17" spans="1:55" x14ac:dyDescent="0.3">
      <c r="A17" s="152"/>
      <c r="B17" s="174"/>
      <c r="C17" s="175"/>
      <c r="D17" s="176"/>
      <c r="E17" s="177">
        <v>0.189</v>
      </c>
      <c r="F17" s="178">
        <v>0.16200000000000001</v>
      </c>
      <c r="G17" s="179"/>
      <c r="H17" s="179">
        <v>3.5000000000000003E-2</v>
      </c>
      <c r="I17" s="180">
        <v>0.23899999999999999</v>
      </c>
      <c r="J17" s="160">
        <v>8.6999999999999994E-2</v>
      </c>
      <c r="K17" s="161"/>
      <c r="L17" s="181">
        <v>0.32400000000000001</v>
      </c>
      <c r="M17" s="170">
        <v>0.113</v>
      </c>
      <c r="N17" s="302">
        <v>0.28999999999999998</v>
      </c>
      <c r="O17" s="300">
        <v>0.107</v>
      </c>
      <c r="P17" s="440">
        <v>6.7000000000000004E-2</v>
      </c>
      <c r="Q17" s="357"/>
      <c r="R17" s="161"/>
      <c r="S17" s="169"/>
      <c r="T17" s="170"/>
      <c r="U17" s="169"/>
      <c r="V17" s="171"/>
      <c r="W17" s="169"/>
      <c r="X17" s="170"/>
      <c r="Y17" s="170"/>
      <c r="Z17" s="171"/>
      <c r="AA17" s="184"/>
      <c r="AB17" s="173"/>
      <c r="AC17" s="185"/>
      <c r="AD17" s="174"/>
      <c r="AE17" s="175"/>
      <c r="AF17" s="176"/>
      <c r="AG17" s="177">
        <v>0.32700000000000001</v>
      </c>
      <c r="AH17" s="178">
        <v>0.113</v>
      </c>
      <c r="AI17" s="179"/>
      <c r="AJ17" s="179">
        <v>3.6999999999999998E-2</v>
      </c>
      <c r="AK17" s="180">
        <v>0.26400000000000001</v>
      </c>
      <c r="AL17" s="160">
        <v>7.5999999999999998E-2</v>
      </c>
      <c r="AM17" s="161"/>
      <c r="AN17" s="181">
        <v>0.32700000000000001</v>
      </c>
      <c r="AO17" s="170">
        <v>0.113</v>
      </c>
      <c r="AP17" s="302">
        <v>0.33500000000000002</v>
      </c>
      <c r="AQ17" s="183">
        <v>0.113</v>
      </c>
      <c r="AR17" s="356">
        <v>7.5999999999999998E-2</v>
      </c>
      <c r="AS17" s="357"/>
      <c r="AT17" s="161"/>
      <c r="AU17" s="169">
        <v>0.32700000000000001</v>
      </c>
      <c r="AV17" s="170">
        <v>0.113</v>
      </c>
      <c r="AW17" s="169">
        <v>0.36099999999999999</v>
      </c>
      <c r="AX17" s="171">
        <v>9.8000000000000004E-2</v>
      </c>
      <c r="AY17" s="169"/>
      <c r="AZ17" s="170"/>
      <c r="BA17" s="170"/>
      <c r="BB17" s="171"/>
      <c r="BC17" s="184">
        <v>7.5999999999999998E-2</v>
      </c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/>
      <c r="AH18" s="178"/>
      <c r="AI18" s="179"/>
      <c r="AJ18" s="179"/>
      <c r="AK18" s="180"/>
      <c r="AL18" s="160"/>
      <c r="AM18" s="161"/>
      <c r="AN18" s="181"/>
      <c r="AO18" s="170"/>
      <c r="AP18" s="302"/>
      <c r="AQ18" s="183"/>
      <c r="AR18" s="356"/>
      <c r="AS18" s="357"/>
      <c r="AT18" s="161"/>
      <c r="AU18" s="169"/>
      <c r="AV18" s="170"/>
      <c r="AW18" s="169"/>
      <c r="AX18" s="171"/>
      <c r="AY18" s="169"/>
      <c r="AZ18" s="170"/>
      <c r="BA18" s="170"/>
      <c r="BB18" s="171"/>
      <c r="BC18" s="184"/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0.20200000000000004</v>
      </c>
      <c r="F23" s="198">
        <f t="shared" si="0"/>
        <v>0.1476666666666667</v>
      </c>
      <c r="G23" s="198">
        <f t="shared" si="0"/>
        <v>0</v>
      </c>
      <c r="H23" s="198">
        <f t="shared" si="0"/>
        <v>3.5666666666666673E-2</v>
      </c>
      <c r="I23" s="198">
        <f t="shared" si="0"/>
        <v>0.22966666666666669</v>
      </c>
      <c r="J23" s="198">
        <f t="shared" si="0"/>
        <v>7.5999999999999998E-2</v>
      </c>
      <c r="K23" s="161"/>
      <c r="L23" s="199">
        <f>IFERROR(AVERAGE(L15:L22),0)</f>
        <v>0.311</v>
      </c>
      <c r="M23" s="198">
        <f>IFERROR(AVERAGE(M15:M22),0)</f>
        <v>0.107</v>
      </c>
      <c r="N23" s="200">
        <f>IFERROR(AVERAGE(N15:N22),0)</f>
        <v>0.32100000000000001</v>
      </c>
      <c r="O23" s="201">
        <f>IFERROR(AVERAGE(O15:O22),0)</f>
        <v>8.5666666666666669E-2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0.318</v>
      </c>
      <c r="T23" s="198">
        <f t="shared" si="1"/>
        <v>0.108</v>
      </c>
      <c r="U23" s="198">
        <f t="shared" si="1"/>
        <v>0.32899999999999996</v>
      </c>
      <c r="V23" s="198">
        <f t="shared" si="1"/>
        <v>0.10050000000000001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6.3500000000000001E-2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0.26699999999999996</v>
      </c>
      <c r="AH23" s="198">
        <f t="shared" si="2"/>
        <v>0.12966666666666668</v>
      </c>
      <c r="AI23" s="198">
        <f t="shared" si="2"/>
        <v>0</v>
      </c>
      <c r="AJ23" s="198">
        <f t="shared" si="2"/>
        <v>4.2666666666666665E-2</v>
      </c>
      <c r="AK23" s="198">
        <f t="shared" si="2"/>
        <v>0.25233333333333335</v>
      </c>
      <c r="AL23" s="198">
        <f t="shared" si="2"/>
        <v>8.3666666666666667E-2</v>
      </c>
      <c r="AM23" s="161"/>
      <c r="AN23" s="199">
        <f>IFERROR(AVERAGE(AN15:AN22),0)</f>
        <v>0.29599999999999999</v>
      </c>
      <c r="AO23" s="198">
        <f>IFERROR(AVERAGE(AO15:AO22),0)</f>
        <v>0.11499999999999999</v>
      </c>
      <c r="AP23" s="200">
        <f>IFERROR(AVERAGE(AP15:AP22),0)</f>
        <v>0.30099999999999999</v>
      </c>
      <c r="AQ23" s="201">
        <f>IFERROR(AVERAGE(AQ15:AQ22),0)</f>
        <v>0.11933333333333333</v>
      </c>
      <c r="AR23" s="396">
        <f>IFERROR(AVERAGE(AR15:AS22),0)</f>
        <v>7.8333333333333324E-2</v>
      </c>
      <c r="AS23" s="397"/>
      <c r="AT23" s="202"/>
      <c r="AU23" s="199">
        <f t="shared" ref="AU23:BC23" si="3">IFERROR(AVERAGE(AU15:AU22),0)</f>
        <v>0.29599999999999999</v>
      </c>
      <c r="AV23" s="198">
        <f t="shared" si="3"/>
        <v>0.11499999999999999</v>
      </c>
      <c r="AW23" s="198">
        <f t="shared" si="3"/>
        <v>0.32966666666666666</v>
      </c>
      <c r="AX23" s="198">
        <f t="shared" si="3"/>
        <v>0.105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7.8333333333333324E-2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 t="s">
        <v>114</v>
      </c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 t="s">
        <v>105</v>
      </c>
      <c r="N26" s="404" t="s">
        <v>63</v>
      </c>
      <c r="O26" s="405"/>
      <c r="P26" s="423"/>
      <c r="Q26" s="424"/>
      <c r="R26" s="231"/>
      <c r="S26" s="228" t="s">
        <v>62</v>
      </c>
      <c r="T26" s="229" t="s">
        <v>105</v>
      </c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 t="s">
        <v>105</v>
      </c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 t="s">
        <v>105</v>
      </c>
      <c r="AP26" s="404" t="s">
        <v>63</v>
      </c>
      <c r="AQ26" s="405"/>
      <c r="AR26" s="316"/>
      <c r="AS26" s="230"/>
      <c r="AT26" s="231"/>
      <c r="AU26" s="228" t="s">
        <v>62</v>
      </c>
      <c r="AV26" s="229" t="s">
        <v>105</v>
      </c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465.12619047619052</v>
      </c>
      <c r="K42" s="266"/>
      <c r="R42" s="266"/>
    </row>
    <row r="43" spans="1:55" ht="16.2" thickBot="1" x14ac:dyDescent="0.35">
      <c r="A43" s="274" t="s">
        <v>2</v>
      </c>
      <c r="B43" s="275">
        <f>E8+AG8</f>
        <v>1362</v>
      </c>
      <c r="C43" s="275">
        <f>B8+AD8</f>
        <v>0</v>
      </c>
      <c r="D43" s="267"/>
      <c r="E43" s="276" t="s">
        <v>84</v>
      </c>
      <c r="F43" s="273">
        <f>AG9+AQ9+AV9</f>
        <v>443.01696165191743</v>
      </c>
      <c r="K43" s="266"/>
      <c r="R43" s="266"/>
    </row>
    <row r="44" spans="1:55" ht="16.2" thickBot="1" x14ac:dyDescent="0.35">
      <c r="A44" s="274" t="s">
        <v>3</v>
      </c>
      <c r="B44" s="275">
        <f>L8+AN8</f>
        <v>7163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2825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11350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1089.6000000000001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6303.44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2584.875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9977.9150000000009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0D00-000000000000}">
      <formula1>$A$137:$A$148</formula1>
    </dataValidation>
    <dataValidation type="list" allowBlank="1" showInputMessage="1" showErrorMessage="1" sqref="AX11 BB11:BC11 V11 Z11:AA11" xr:uid="{00000000-0002-0000-0D00-000001000000}">
      <formula1>"Silo 6, Silo 7, Silo 8, Silo 9"</formula1>
    </dataValidation>
    <dataValidation type="list" allowBlank="1" showInputMessage="1" showErrorMessage="1" sqref="AD11 AO11 AZ11 AV11 B11 M11 X11 T11" xr:uid="{00000000-0002-0000-0D00-000002000000}">
      <formula1>"100#, 40/70"</formula1>
    </dataValidation>
    <dataValidation type="list" allowBlank="1" showInputMessage="1" showErrorMessage="1" sqref="AJ11:AM11 AQ11:AT11 H11:K11 O11:R11" xr:uid="{00000000-0002-0000-0D00-000003000000}">
      <formula1>"Silo 1, Silo 2, Silo 6, Silo 7"</formula1>
    </dataValidation>
    <dataValidation type="list" allowBlank="1" showInputMessage="1" showErrorMessage="1" sqref="AV25 AD25 AO25 T25 B25 M25" xr:uid="{00000000-0002-0000-0D00-000004000000}">
      <formula1>"1, 2, 3, 4, 5, 6, 7, 8, 9, 10, 11, 12, 13, 14, 15, 16"</formula1>
    </dataValidation>
    <dataValidation type="list" allowBlank="1" showInputMessage="1" showErrorMessage="1" sqref="C29:C31 AE29:AE31" xr:uid="{00000000-0002-0000-0D00-000005000000}">
      <formula1>"Carrier 100, Carrier 200, Rotary"</formula1>
    </dataValidation>
    <dataValidation type="list" allowBlank="1" showInputMessage="1" showErrorMessage="1" sqref="B26 M26 T26 AD26 AO26 AV26" xr:uid="{00000000-0002-0000-0D00-000006000000}">
      <formula1>"SP1, SP2, SP3, OWP SP"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C148"/>
  <sheetViews>
    <sheetView topLeftCell="A28" zoomScale="70" zoomScaleNormal="70" workbookViewId="0">
      <selection activeCell="AR19" sqref="AR19:AS19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>
        <v>42895</v>
      </c>
      <c r="C4" s="5"/>
      <c r="D4" s="6" t="s">
        <v>6</v>
      </c>
      <c r="E4" s="380" t="s">
        <v>93</v>
      </c>
      <c r="F4" s="381"/>
      <c r="G4" s="312"/>
      <c r="H4" s="312"/>
      <c r="I4" s="8"/>
      <c r="J4" s="9"/>
      <c r="K4" s="10"/>
      <c r="L4" s="6" t="s">
        <v>5</v>
      </c>
      <c r="M4" s="4">
        <f>B4</f>
        <v>42895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42895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42895</v>
      </c>
      <c r="AE4" s="5"/>
      <c r="AF4" s="6" t="s">
        <v>6</v>
      </c>
      <c r="AG4" s="380" t="s">
        <v>7</v>
      </c>
      <c r="AH4" s="381"/>
      <c r="AI4" s="312"/>
      <c r="AJ4" s="312"/>
      <c r="AK4" s="8"/>
      <c r="AL4" s="9"/>
      <c r="AM4" s="10"/>
      <c r="AN4" s="6" t="s">
        <v>5</v>
      </c>
      <c r="AO4" s="4">
        <f>B4</f>
        <v>42895</v>
      </c>
      <c r="AP4" s="5"/>
      <c r="AQ4" s="370" t="s">
        <v>6</v>
      </c>
      <c r="AR4" s="371"/>
      <c r="AS4" s="11" t="s">
        <v>7</v>
      </c>
      <c r="AT4" s="12"/>
      <c r="AU4" s="6" t="s">
        <v>5</v>
      </c>
      <c r="AV4" s="4">
        <f>B4</f>
        <v>42895</v>
      </c>
      <c r="AW4" s="5"/>
      <c r="AX4" s="6" t="s">
        <v>6</v>
      </c>
      <c r="AY4" s="382" t="s">
        <v>7</v>
      </c>
      <c r="AZ4" s="383"/>
      <c r="BA4" s="5"/>
      <c r="BB4" s="13"/>
      <c r="BC4" s="14"/>
    </row>
    <row r="5" spans="1:55" ht="43.8" thickBot="1" x14ac:dyDescent="0.35">
      <c r="A5" s="16" t="s">
        <v>8</v>
      </c>
      <c r="B5" s="17">
        <v>8.8000000000000007</v>
      </c>
      <c r="C5" s="5"/>
      <c r="D5" s="18" t="s">
        <v>9</v>
      </c>
      <c r="E5" s="19"/>
      <c r="F5" s="20" t="s">
        <v>10</v>
      </c>
      <c r="G5" s="21">
        <f>SUM((B5+E5)/12, 0)</f>
        <v>0.73333333333333339</v>
      </c>
      <c r="H5" s="22"/>
      <c r="I5" s="23"/>
      <c r="J5" s="24"/>
      <c r="K5" s="25"/>
      <c r="L5" s="26" t="s">
        <v>11</v>
      </c>
      <c r="M5" s="27">
        <v>12</v>
      </c>
      <c r="N5" s="5"/>
      <c r="O5" s="28" t="s">
        <v>12</v>
      </c>
      <c r="P5" s="298">
        <f>SUM(M5/12)</f>
        <v>1</v>
      </c>
      <c r="Q5" s="317"/>
      <c r="R5" s="29"/>
      <c r="S5" s="20" t="s">
        <v>13</v>
      </c>
      <c r="T5" s="17">
        <v>11.25</v>
      </c>
      <c r="U5" s="5"/>
      <c r="V5" s="18" t="s">
        <v>14</v>
      </c>
      <c r="W5" s="19"/>
      <c r="X5" s="18" t="s">
        <v>10</v>
      </c>
      <c r="Y5" s="30">
        <f>SUM(T5+W5)/12</f>
        <v>0.9375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>
        <v>11</v>
      </c>
      <c r="AH5" s="20" t="s">
        <v>10</v>
      </c>
      <c r="AI5" s="21">
        <f>SUM(AD5+AG5)/12</f>
        <v>0.91666666666666663</v>
      </c>
      <c r="AJ5" s="22"/>
      <c r="AK5" s="23"/>
      <c r="AL5" s="24"/>
      <c r="AM5" s="25"/>
      <c r="AN5" s="26" t="s">
        <v>11</v>
      </c>
      <c r="AO5" s="27">
        <v>11.8</v>
      </c>
      <c r="AP5" s="5"/>
      <c r="AQ5" s="28" t="s">
        <v>12</v>
      </c>
      <c r="AR5" s="298">
        <f>AO5/12</f>
        <v>0.98333333333333339</v>
      </c>
      <c r="AS5" s="317"/>
      <c r="AT5" s="29"/>
      <c r="AU5" s="20" t="s">
        <v>13</v>
      </c>
      <c r="AV5" s="17">
        <v>12</v>
      </c>
      <c r="AW5" s="5"/>
      <c r="AX5" s="18" t="s">
        <v>14</v>
      </c>
      <c r="AY5" s="19"/>
      <c r="AZ5" s="18" t="s">
        <v>10</v>
      </c>
      <c r="BA5" s="30">
        <f>(AV5+AY5)/12</f>
        <v>1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>
        <v>655</v>
      </c>
      <c r="C8" s="59">
        <f>B8*(1-B10)</f>
        <v>617.01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>
        <v>3948</v>
      </c>
      <c r="M8" s="68">
        <v>3502</v>
      </c>
      <c r="N8" s="64">
        <f>L8*(1-M10)</f>
        <v>3948</v>
      </c>
      <c r="O8" s="69">
        <v>3299</v>
      </c>
      <c r="P8" s="296"/>
      <c r="Q8" s="60">
        <f>IFERROR((O8+P8)/L8,0)</f>
        <v>0.83561296859169198</v>
      </c>
      <c r="R8" s="70"/>
      <c r="S8" s="71">
        <v>1634</v>
      </c>
      <c r="T8" s="72">
        <v>1541</v>
      </c>
      <c r="U8" s="62">
        <f>S8*(1-T10)</f>
        <v>1520.7093333333332</v>
      </c>
      <c r="V8" s="60">
        <f>IFERROR(T8/S8,0)</f>
        <v>0.94308445532435736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>
        <v>800</v>
      </c>
      <c r="AH8" s="62">
        <f>AG8*(1-AH10)</f>
        <v>741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>
        <v>3629</v>
      </c>
      <c r="AO8" s="68">
        <v>3197</v>
      </c>
      <c r="AP8" s="64">
        <f>AN8*(1-AO10)</f>
        <v>3361.3612499999999</v>
      </c>
      <c r="AQ8" s="69">
        <v>3009</v>
      </c>
      <c r="AR8" s="296"/>
      <c r="AS8" s="60">
        <f>SUM((AQ8+AR8)/AP8,0)</f>
        <v>0.89517304931149544</v>
      </c>
      <c r="AT8" s="70"/>
      <c r="AU8" s="71">
        <v>1642</v>
      </c>
      <c r="AV8" s="72">
        <v>1547</v>
      </c>
      <c r="AW8" s="62">
        <f>AU8*(1-AV10)</f>
        <v>1523.3654999999999</v>
      </c>
      <c r="AX8" s="60">
        <f>IFERROR(AV8/AU8,0)</f>
        <v>0.94214372716199757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74.431818181818173</v>
      </c>
      <c r="C9" s="79">
        <f>B8*(1-B10)</f>
        <v>617.01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329</v>
      </c>
      <c r="M9" s="86">
        <f>IFERROR(M8/M5,0)</f>
        <v>291.83333333333331</v>
      </c>
      <c r="N9" s="86">
        <f>IFERROR(N8/M5,0)</f>
        <v>329</v>
      </c>
      <c r="O9" s="86">
        <f>IFERROR(O8/M5,0)</f>
        <v>274.91666666666669</v>
      </c>
      <c r="P9" s="297">
        <f>SUM(P8/M5,0)</f>
        <v>0</v>
      </c>
      <c r="Q9" s="87">
        <f>IFERROR(Q8/M5,0)</f>
        <v>6.9634414049307661E-2</v>
      </c>
      <c r="R9" s="88"/>
      <c r="S9" s="89">
        <f>IFERROR(S8/T5,0)</f>
        <v>145.24444444444444</v>
      </c>
      <c r="T9" s="90">
        <f>IFERROR(SUM(T8/T5),0)</f>
        <v>136.97777777777779</v>
      </c>
      <c r="U9" s="91">
        <f>IFERROR(U8/T5,0)</f>
        <v>135.17416296296295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72.727272727272734</v>
      </c>
      <c r="AH9" s="81">
        <f>IFERROR(SUM(AH8/AG5),0)</f>
        <v>67.36363636363636</v>
      </c>
      <c r="AI9" s="82"/>
      <c r="AJ9" s="83"/>
      <c r="AK9" s="83"/>
      <c r="AL9" s="84"/>
      <c r="AM9" s="85"/>
      <c r="AN9" s="86">
        <f>IFERROR(AN8/AO5,0)</f>
        <v>307.5423728813559</v>
      </c>
      <c r="AO9" s="86">
        <f>IFERROR(AO8/AO5,0)</f>
        <v>270.93220338983048</v>
      </c>
      <c r="AP9" s="86">
        <f>IFERROR(AP8/AO5,0)</f>
        <v>284.86112288135593</v>
      </c>
      <c r="AQ9" s="86">
        <f>IFERROR(AQ8/AO5,0)</f>
        <v>254.99999999999997</v>
      </c>
      <c r="AR9" s="297">
        <f>SUM(AR8/AO5,0)</f>
        <v>0</v>
      </c>
      <c r="AS9" s="87">
        <f>IFERROR(AS8/AO5,0)</f>
        <v>7.5862122823008082E-2</v>
      </c>
      <c r="AT9" s="88"/>
      <c r="AU9" s="89">
        <f>IFERROR(AU8/AV5,0)</f>
        <v>136.83333333333334</v>
      </c>
      <c r="AV9" s="90">
        <f>IFERROR(SUM(AV8/AV5),0)</f>
        <v>128.91666666666666</v>
      </c>
      <c r="AW9" s="91">
        <f>IFERROR(AW8/AV5,0)</f>
        <v>126.94712499999999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5.7999999999999996E-2</v>
      </c>
      <c r="C10" s="99"/>
      <c r="D10" s="100"/>
      <c r="E10" s="101" t="s">
        <v>39</v>
      </c>
      <c r="F10" s="102">
        <f>J23</f>
        <v>5.7999999999999996E-2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6.9333333333333344E-2</v>
      </c>
      <c r="U10" s="112"/>
      <c r="V10" s="100"/>
      <c r="W10" s="101" t="s">
        <v>39</v>
      </c>
      <c r="X10" s="113">
        <f>AA23</f>
        <v>6.9333333333333344E-2</v>
      </c>
      <c r="Y10" s="5"/>
      <c r="Z10" s="5"/>
      <c r="AA10" s="114"/>
      <c r="AB10" s="15"/>
      <c r="AC10" s="97" t="s">
        <v>39</v>
      </c>
      <c r="AD10" s="98">
        <f>AL23</f>
        <v>7.375000000000001E-2</v>
      </c>
      <c r="AE10" s="99"/>
      <c r="AF10" s="100"/>
      <c r="AG10" s="101" t="s">
        <v>39</v>
      </c>
      <c r="AH10" s="102">
        <f>AL23</f>
        <v>7.375000000000001E-2</v>
      </c>
      <c r="AI10" s="103"/>
      <c r="AJ10" s="99"/>
      <c r="AK10" s="104"/>
      <c r="AL10" s="105"/>
      <c r="AM10" s="106"/>
      <c r="AN10" s="107" t="s">
        <v>39</v>
      </c>
      <c r="AO10" s="108">
        <f>AR23</f>
        <v>7.375000000000001E-2</v>
      </c>
      <c r="AP10" s="109"/>
      <c r="AQ10" s="109"/>
      <c r="AR10" s="109"/>
      <c r="AS10" s="110"/>
      <c r="AT10" s="111"/>
      <c r="AU10" s="107" t="s">
        <v>39</v>
      </c>
      <c r="AV10" s="108">
        <f>BC23</f>
        <v>7.2249999999999995E-2</v>
      </c>
      <c r="AW10" s="112"/>
      <c r="AX10" s="100"/>
      <c r="AY10" s="101" t="s">
        <v>39</v>
      </c>
      <c r="AZ10" s="113">
        <f>BC23</f>
        <v>7.2249999999999995E-2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>
        <v>0.30399999999999999</v>
      </c>
      <c r="F15" s="157">
        <v>0.1</v>
      </c>
      <c r="G15" s="158">
        <v>5.1999999999999998E-2</v>
      </c>
      <c r="H15" s="158">
        <v>0.22900000000000001</v>
      </c>
      <c r="I15" s="159"/>
      <c r="J15" s="160">
        <v>0.06</v>
      </c>
      <c r="K15" s="161"/>
      <c r="L15" s="162">
        <v>0.30399999999999999</v>
      </c>
      <c r="M15" s="163">
        <v>0.1</v>
      </c>
      <c r="N15" s="164">
        <v>0.28000000000000003</v>
      </c>
      <c r="O15" s="299">
        <v>9.9000000000000005E-2</v>
      </c>
      <c r="P15" s="446">
        <v>0.06</v>
      </c>
      <c r="Q15" s="447"/>
      <c r="R15" s="161"/>
      <c r="S15" s="166">
        <v>0.30399999999999999</v>
      </c>
      <c r="T15" s="163">
        <v>0.1</v>
      </c>
      <c r="U15" s="167">
        <v>0.35799999999999998</v>
      </c>
      <c r="V15" s="168">
        <v>7.2999999999999995E-2</v>
      </c>
      <c r="W15" s="169"/>
      <c r="X15" s="170"/>
      <c r="Y15" s="170"/>
      <c r="Z15" s="171"/>
      <c r="AA15" s="172">
        <v>0.06</v>
      </c>
      <c r="AB15" s="173"/>
      <c r="AC15" s="152"/>
      <c r="AD15" s="153"/>
      <c r="AE15" s="154"/>
      <c r="AF15" s="155"/>
      <c r="AG15" s="156">
        <v>0.17899999999999999</v>
      </c>
      <c r="AH15" s="157">
        <v>0.121</v>
      </c>
      <c r="AI15" s="158"/>
      <c r="AJ15" s="158">
        <v>0.04</v>
      </c>
      <c r="AK15" s="159">
        <v>0.17299999999999999</v>
      </c>
      <c r="AL15" s="160">
        <v>6.8000000000000005E-2</v>
      </c>
      <c r="AM15" s="161"/>
      <c r="AN15" s="162">
        <v>0.17899999999999999</v>
      </c>
      <c r="AO15" s="163">
        <v>0.121</v>
      </c>
      <c r="AP15" s="164">
        <v>8.2000000000000003E-2</v>
      </c>
      <c r="AQ15" s="165">
        <v>0.3</v>
      </c>
      <c r="AR15" s="356">
        <v>6.8000000000000005E-2</v>
      </c>
      <c r="AS15" s="357"/>
      <c r="AT15" s="161"/>
      <c r="AU15" s="166">
        <v>0.30099999999999999</v>
      </c>
      <c r="AV15" s="163">
        <v>0.10299999999999999</v>
      </c>
      <c r="AW15" s="167">
        <v>0.32900000000000001</v>
      </c>
      <c r="AX15" s="168">
        <v>8.8999999999999996E-2</v>
      </c>
      <c r="AY15" s="169"/>
      <c r="AZ15" s="170"/>
      <c r="BA15" s="170"/>
      <c r="BB15" s="171"/>
      <c r="BC15" s="172">
        <v>7.5999999999999998E-2</v>
      </c>
    </row>
    <row r="16" spans="1:55" x14ac:dyDescent="0.3">
      <c r="A16" s="152"/>
      <c r="B16" s="174"/>
      <c r="C16" s="175"/>
      <c r="D16" s="176"/>
      <c r="E16" s="177">
        <v>0.17799999999999999</v>
      </c>
      <c r="F16" s="178">
        <v>9.8000000000000004E-2</v>
      </c>
      <c r="G16" s="179">
        <v>3.4000000000000002E-2</v>
      </c>
      <c r="H16" s="179">
        <v>0.22900000000000001</v>
      </c>
      <c r="I16" s="180"/>
      <c r="J16" s="160">
        <v>5.6000000000000001E-2</v>
      </c>
      <c r="K16" s="161"/>
      <c r="L16" s="181">
        <v>0.161</v>
      </c>
      <c r="M16" s="170">
        <v>0.13900000000000001</v>
      </c>
      <c r="N16" s="302">
        <v>0.17699999999999999</v>
      </c>
      <c r="O16" s="300">
        <v>0.13100000000000001</v>
      </c>
      <c r="P16" s="440">
        <v>5.6000000000000001E-2</v>
      </c>
      <c r="Q16" s="357"/>
      <c r="R16" s="161"/>
      <c r="S16" s="169">
        <v>0.29199999999999998</v>
      </c>
      <c r="T16" s="170">
        <v>9.9000000000000005E-2</v>
      </c>
      <c r="U16" s="169">
        <v>0.32100000000000001</v>
      </c>
      <c r="V16" s="171">
        <v>9.2999999999999999E-2</v>
      </c>
      <c r="W16" s="169"/>
      <c r="X16" s="170"/>
      <c r="Y16" s="170"/>
      <c r="Z16" s="171"/>
      <c r="AA16" s="184">
        <v>7.9000000000000001E-2</v>
      </c>
      <c r="AB16" s="173"/>
      <c r="AC16" s="185"/>
      <c r="AD16" s="174"/>
      <c r="AE16" s="175"/>
      <c r="AF16" s="176"/>
      <c r="AG16" s="177">
        <v>0.189</v>
      </c>
      <c r="AH16" s="178">
        <v>0.16300000000000001</v>
      </c>
      <c r="AI16" s="179"/>
      <c r="AJ16" s="179">
        <v>3.1E-2</v>
      </c>
      <c r="AK16" s="180">
        <v>0.245</v>
      </c>
      <c r="AL16" s="160">
        <v>7.5999999999999998E-2</v>
      </c>
      <c r="AM16" s="161"/>
      <c r="AN16" s="181">
        <v>0.189</v>
      </c>
      <c r="AO16" s="170">
        <v>0.16300000000000001</v>
      </c>
      <c r="AP16" s="302">
        <v>0.18099999999999999</v>
      </c>
      <c r="AQ16" s="183">
        <v>0.13100000000000001</v>
      </c>
      <c r="AR16" s="356">
        <v>7.5999999999999998E-2</v>
      </c>
      <c r="AS16" s="357"/>
      <c r="AT16" s="161"/>
      <c r="AU16" s="169">
        <v>0.29599999999999999</v>
      </c>
      <c r="AV16" s="170">
        <v>9.6000000000000002E-2</v>
      </c>
      <c r="AW16" s="169">
        <v>0.34699999999999998</v>
      </c>
      <c r="AX16" s="171">
        <v>7.3999999999999996E-2</v>
      </c>
      <c r="AY16" s="169"/>
      <c r="AZ16" s="170"/>
      <c r="BA16" s="170"/>
      <c r="BB16" s="171"/>
      <c r="BC16" s="184">
        <v>7.1999999999999995E-2</v>
      </c>
    </row>
    <row r="17" spans="1:55" x14ac:dyDescent="0.3">
      <c r="A17" s="152"/>
      <c r="B17" s="174"/>
      <c r="C17" s="175"/>
      <c r="D17" s="176"/>
      <c r="E17" s="177"/>
      <c r="F17" s="178"/>
      <c r="G17" s="179"/>
      <c r="H17" s="179"/>
      <c r="I17" s="180"/>
      <c r="J17" s="160"/>
      <c r="K17" s="161"/>
      <c r="L17" s="181">
        <v>0.17799999999999999</v>
      </c>
      <c r="M17" s="170">
        <v>9.8000000000000004E-2</v>
      </c>
      <c r="N17" s="302">
        <v>0.14399999999999999</v>
      </c>
      <c r="O17" s="300">
        <v>0.13300000000000001</v>
      </c>
      <c r="P17" s="440">
        <v>5.6000000000000001E-2</v>
      </c>
      <c r="Q17" s="357"/>
      <c r="R17" s="161"/>
      <c r="S17" s="169">
        <v>0.27600000000000002</v>
      </c>
      <c r="T17" s="170">
        <v>0.111</v>
      </c>
      <c r="U17" s="169">
        <v>0.31900000000000001</v>
      </c>
      <c r="V17" s="171">
        <v>8.5999999999999993E-2</v>
      </c>
      <c r="W17" s="169"/>
      <c r="X17" s="170"/>
      <c r="Y17" s="170"/>
      <c r="Z17" s="171"/>
      <c r="AA17" s="184">
        <v>6.9000000000000006E-2</v>
      </c>
      <c r="AB17" s="173"/>
      <c r="AC17" s="185"/>
      <c r="AD17" s="174"/>
      <c r="AE17" s="175"/>
      <c r="AF17" s="176"/>
      <c r="AG17" s="177">
        <v>0.193</v>
      </c>
      <c r="AH17" s="178">
        <v>0.152</v>
      </c>
      <c r="AI17" s="179"/>
      <c r="AJ17" s="179">
        <v>0.04</v>
      </c>
      <c r="AK17" s="180">
        <v>0.16800000000000001</v>
      </c>
      <c r="AL17" s="160">
        <v>7.5999999999999998E-2</v>
      </c>
      <c r="AM17" s="161"/>
      <c r="AN17" s="181">
        <v>0.193</v>
      </c>
      <c r="AO17" s="170">
        <v>0.152</v>
      </c>
      <c r="AP17" s="302">
        <v>0.182</v>
      </c>
      <c r="AQ17" s="183">
        <v>0.113</v>
      </c>
      <c r="AR17" s="356">
        <v>7.5999999999999998E-2</v>
      </c>
      <c r="AS17" s="357"/>
      <c r="AT17" s="161"/>
      <c r="AU17" s="169">
        <v>0.28799999999999998</v>
      </c>
      <c r="AV17" s="170">
        <v>9.6000000000000002E-2</v>
      </c>
      <c r="AW17" s="169">
        <v>0.32900000000000001</v>
      </c>
      <c r="AX17" s="171">
        <v>8.5000000000000006E-2</v>
      </c>
      <c r="AY17" s="169"/>
      <c r="AZ17" s="170"/>
      <c r="BA17" s="170"/>
      <c r="BB17" s="171"/>
      <c r="BC17" s="184">
        <v>7.2999999999999995E-2</v>
      </c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>
        <v>0.19700000000000001</v>
      </c>
      <c r="AH18" s="178">
        <v>0.13400000000000001</v>
      </c>
      <c r="AI18" s="179"/>
      <c r="AJ18" s="179">
        <v>4.7E-2</v>
      </c>
      <c r="AK18" s="180">
        <v>0.20899999999999999</v>
      </c>
      <c r="AL18" s="160">
        <v>7.4999999999999997E-2</v>
      </c>
      <c r="AM18" s="161"/>
      <c r="AN18" s="181">
        <v>0.19700000000000001</v>
      </c>
      <c r="AO18" s="170">
        <v>0.13400000000000001</v>
      </c>
      <c r="AP18" s="302">
        <v>0.17</v>
      </c>
      <c r="AQ18" s="183">
        <v>0.11899999999999999</v>
      </c>
      <c r="AR18" s="356">
        <v>7.4999999999999997E-2</v>
      </c>
      <c r="AS18" s="357"/>
      <c r="AT18" s="161"/>
      <c r="AU18" s="169">
        <v>0.3</v>
      </c>
      <c r="AV18" s="170">
        <v>9.4E-2</v>
      </c>
      <c r="AW18" s="169">
        <v>0.32500000000000001</v>
      </c>
      <c r="AX18" s="171">
        <v>9.7000000000000003E-2</v>
      </c>
      <c r="AY18" s="169"/>
      <c r="AZ18" s="170"/>
      <c r="BA18" s="170"/>
      <c r="BB18" s="171"/>
      <c r="BC18" s="184">
        <v>6.8000000000000005E-2</v>
      </c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0.24099999999999999</v>
      </c>
      <c r="F23" s="198">
        <f t="shared" si="0"/>
        <v>9.9000000000000005E-2</v>
      </c>
      <c r="G23" s="198">
        <f t="shared" si="0"/>
        <v>4.2999999999999997E-2</v>
      </c>
      <c r="H23" s="198">
        <f t="shared" si="0"/>
        <v>0.22900000000000001</v>
      </c>
      <c r="I23" s="198">
        <f t="shared" si="0"/>
        <v>0</v>
      </c>
      <c r="J23" s="198">
        <f t="shared" si="0"/>
        <v>5.7999999999999996E-2</v>
      </c>
      <c r="K23" s="161"/>
      <c r="L23" s="199">
        <f>IFERROR(AVERAGE(L15:L22),0)</f>
        <v>0.21433333333333335</v>
      </c>
      <c r="M23" s="198">
        <f>IFERROR(AVERAGE(M15:M22),0)</f>
        <v>0.11233333333333334</v>
      </c>
      <c r="N23" s="200">
        <f>IFERROR(AVERAGE(N15:N22),0)</f>
        <v>0.20033333333333334</v>
      </c>
      <c r="O23" s="201">
        <f>IFERROR(AVERAGE(O15:O22),0)</f>
        <v>0.121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0.29066666666666668</v>
      </c>
      <c r="T23" s="198">
        <f t="shared" si="1"/>
        <v>0.10333333333333333</v>
      </c>
      <c r="U23" s="198">
        <f t="shared" si="1"/>
        <v>0.33266666666666667</v>
      </c>
      <c r="V23" s="198">
        <f t="shared" si="1"/>
        <v>8.4000000000000005E-2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6.9333333333333344E-2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0.1895</v>
      </c>
      <c r="AH23" s="198">
        <f t="shared" si="2"/>
        <v>0.14250000000000002</v>
      </c>
      <c r="AI23" s="198">
        <f t="shared" si="2"/>
        <v>0</v>
      </c>
      <c r="AJ23" s="198">
        <f t="shared" si="2"/>
        <v>3.9500000000000007E-2</v>
      </c>
      <c r="AK23" s="198">
        <f t="shared" si="2"/>
        <v>0.19874999999999998</v>
      </c>
      <c r="AL23" s="198">
        <f t="shared" si="2"/>
        <v>7.375000000000001E-2</v>
      </c>
      <c r="AM23" s="161"/>
      <c r="AN23" s="199">
        <f>IFERROR(AVERAGE(AN15:AN22),0)</f>
        <v>0.1895</v>
      </c>
      <c r="AO23" s="198">
        <f>IFERROR(AVERAGE(AO15:AO22),0)</f>
        <v>0.14250000000000002</v>
      </c>
      <c r="AP23" s="200">
        <f>IFERROR(AVERAGE(AP15:AP22),0)</f>
        <v>0.15375</v>
      </c>
      <c r="AQ23" s="201">
        <f>IFERROR(AVERAGE(AQ15:AQ22),0)</f>
        <v>0.16575000000000001</v>
      </c>
      <c r="AR23" s="396">
        <f>IFERROR(AVERAGE(AR15:AS22),0)</f>
        <v>7.375000000000001E-2</v>
      </c>
      <c r="AS23" s="397"/>
      <c r="AT23" s="202"/>
      <c r="AU23" s="199">
        <f t="shared" ref="AU23:BC23" si="3">IFERROR(AVERAGE(AU15:AU22),0)</f>
        <v>0.29625000000000001</v>
      </c>
      <c r="AV23" s="198">
        <f t="shared" si="3"/>
        <v>9.7250000000000003E-2</v>
      </c>
      <c r="AW23" s="198">
        <f t="shared" si="3"/>
        <v>0.33249999999999996</v>
      </c>
      <c r="AX23" s="198">
        <f t="shared" si="3"/>
        <v>8.6249999999999993E-2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7.2249999999999995E-2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 t="s">
        <v>114</v>
      </c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 t="s">
        <v>114</v>
      </c>
      <c r="N26" s="404" t="s">
        <v>63</v>
      </c>
      <c r="O26" s="405"/>
      <c r="P26" s="423"/>
      <c r="Q26" s="424"/>
      <c r="R26" s="231"/>
      <c r="S26" s="228" t="s">
        <v>62</v>
      </c>
      <c r="T26" s="229" t="s">
        <v>111</v>
      </c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 t="s">
        <v>114</v>
      </c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 t="s">
        <v>114</v>
      </c>
      <c r="AP26" s="404" t="s">
        <v>63</v>
      </c>
      <c r="AQ26" s="405"/>
      <c r="AR26" s="316"/>
      <c r="AS26" s="230"/>
      <c r="AT26" s="231"/>
      <c r="AU26" s="228" t="s">
        <v>62</v>
      </c>
      <c r="AV26" s="229" t="s">
        <v>105</v>
      </c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 t="s">
        <v>115</v>
      </c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 t="s">
        <v>116</v>
      </c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411.8944444444445</v>
      </c>
      <c r="K42" s="266"/>
      <c r="R42" s="266"/>
    </row>
    <row r="43" spans="1:55" ht="16.2" thickBot="1" x14ac:dyDescent="0.35">
      <c r="A43" s="274" t="s">
        <v>2</v>
      </c>
      <c r="B43" s="275">
        <f>E8+AG8</f>
        <v>800</v>
      </c>
      <c r="C43" s="275">
        <f>B8+AD8</f>
        <v>655</v>
      </c>
      <c r="D43" s="267"/>
      <c r="E43" s="276" t="s">
        <v>84</v>
      </c>
      <c r="F43" s="273">
        <f>AG9+AQ9+AV9</f>
        <v>456.64393939393938</v>
      </c>
      <c r="K43" s="266"/>
      <c r="R43" s="266"/>
    </row>
    <row r="44" spans="1:55" ht="16.2" thickBot="1" x14ac:dyDescent="0.35">
      <c r="A44" s="274" t="s">
        <v>3</v>
      </c>
      <c r="B44" s="275">
        <f>L8+AN8</f>
        <v>7577</v>
      </c>
      <c r="C44" s="277"/>
      <c r="D44" s="267"/>
      <c r="E44" s="276" t="s">
        <v>85</v>
      </c>
      <c r="F44" s="273">
        <f>B9+X9</f>
        <v>74.431818181818173</v>
      </c>
      <c r="K44" s="266"/>
      <c r="R44" s="266"/>
    </row>
    <row r="45" spans="1:55" ht="16.2" thickBot="1" x14ac:dyDescent="0.35">
      <c r="A45" s="274" t="s">
        <v>4</v>
      </c>
      <c r="B45" s="278">
        <f>S8+AU8</f>
        <v>3276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11653</v>
      </c>
      <c r="C46" s="284">
        <f>SUM(C43:C45)</f>
        <v>655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640</v>
      </c>
      <c r="C49" s="275">
        <f>C43*0.8</f>
        <v>524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6667.76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2997.54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10305.299999999999</v>
      </c>
      <c r="C52" s="291">
        <f>SUM(C49:C51)</f>
        <v>524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0E00-000000000000}">
      <formula1>$A$137:$A$148</formula1>
    </dataValidation>
    <dataValidation type="list" allowBlank="1" showInputMessage="1" showErrorMessage="1" sqref="AX11 BB11:BC11 V11 Z11:AA11" xr:uid="{00000000-0002-0000-0E00-000001000000}">
      <formula1>"Silo 6, Silo 7, Silo 8, Silo 9"</formula1>
    </dataValidation>
    <dataValidation type="list" allowBlank="1" showInputMessage="1" showErrorMessage="1" sqref="AD11 AO11 AZ11 AV11 B11 M11 X11 T11" xr:uid="{00000000-0002-0000-0E00-000002000000}">
      <formula1>"100#, 40/70"</formula1>
    </dataValidation>
    <dataValidation type="list" allowBlank="1" showInputMessage="1" showErrorMessage="1" sqref="AJ11:AM11 AQ11:AT11 H11:K11 O11:R11" xr:uid="{00000000-0002-0000-0E00-000003000000}">
      <formula1>"Silo 1, Silo 2, Silo 6, Silo 7"</formula1>
    </dataValidation>
    <dataValidation type="list" allowBlank="1" showInputMessage="1" showErrorMessage="1" sqref="AV25 AD25 AO25 T25 B25 M25" xr:uid="{00000000-0002-0000-0E00-000004000000}">
      <formula1>"1, 2, 3, 4, 5, 6, 7, 8, 9, 10, 11, 12, 13, 14, 15, 16"</formula1>
    </dataValidation>
    <dataValidation type="list" allowBlank="1" showInputMessage="1" showErrorMessage="1" sqref="C29:C31 AE29:AE31" xr:uid="{00000000-0002-0000-0E00-000005000000}">
      <formula1>"Carrier 100, Carrier 200, Rotary"</formula1>
    </dataValidation>
    <dataValidation type="list" allowBlank="1" showInputMessage="1" showErrorMessage="1" sqref="B26 M26 T26 AD26 AO26 AV26" xr:uid="{00000000-0002-0000-0E00-000006000000}">
      <formula1>"SP1, SP2, SP3, OWP SP"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148"/>
  <sheetViews>
    <sheetView zoomScale="40" zoomScaleNormal="40" workbookViewId="0">
      <selection activeCell="AV8" sqref="AV8"/>
    </sheetView>
  </sheetViews>
  <sheetFormatPr defaultRowHeight="14.4" x14ac:dyDescent="0.3"/>
  <cols>
    <col min="1" max="1" width="10.6640625" customWidth="1"/>
    <col min="2" max="2" width="10.5546875" bestFit="1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>
        <v>42896</v>
      </c>
      <c r="C4" s="5"/>
      <c r="D4" s="6" t="s">
        <v>6</v>
      </c>
      <c r="E4" s="380" t="s">
        <v>93</v>
      </c>
      <c r="F4" s="381"/>
      <c r="G4" s="312"/>
      <c r="H4" s="312"/>
      <c r="I4" s="8"/>
      <c r="J4" s="9"/>
      <c r="K4" s="10"/>
      <c r="L4" s="6" t="s">
        <v>5</v>
      </c>
      <c r="M4" s="4">
        <f>B4</f>
        <v>42896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42896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42896</v>
      </c>
      <c r="AE4" s="5"/>
      <c r="AF4" s="6" t="s">
        <v>6</v>
      </c>
      <c r="AG4" s="380" t="s">
        <v>7</v>
      </c>
      <c r="AH4" s="381"/>
      <c r="AI4" s="312"/>
      <c r="AJ4" s="312"/>
      <c r="AK4" s="8"/>
      <c r="AL4" s="9"/>
      <c r="AM4" s="10"/>
      <c r="AN4" s="6" t="s">
        <v>5</v>
      </c>
      <c r="AO4" s="4">
        <f>B4</f>
        <v>42896</v>
      </c>
      <c r="AP4" s="5"/>
      <c r="AQ4" s="370" t="s">
        <v>6</v>
      </c>
      <c r="AR4" s="371"/>
      <c r="AS4" s="11"/>
      <c r="AT4" s="12" t="s">
        <v>7</v>
      </c>
      <c r="AU4" s="6" t="s">
        <v>5</v>
      </c>
      <c r="AV4" s="4">
        <f>B4</f>
        <v>42896</v>
      </c>
      <c r="AW4" s="5"/>
      <c r="AX4" s="6" t="s">
        <v>6</v>
      </c>
      <c r="AY4" s="382" t="s">
        <v>7</v>
      </c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>
        <v>10.7</v>
      </c>
      <c r="F5" s="20" t="s">
        <v>10</v>
      </c>
      <c r="G5" s="21">
        <f>SUM((B5+E5)/12, 0)</f>
        <v>0.89166666666666661</v>
      </c>
      <c r="H5" s="22"/>
      <c r="I5" s="23"/>
      <c r="J5" s="24"/>
      <c r="K5" s="25"/>
      <c r="L5" s="26" t="s">
        <v>11</v>
      </c>
      <c r="M5" s="27">
        <v>12</v>
      </c>
      <c r="N5" s="5"/>
      <c r="O5" s="28" t="s">
        <v>12</v>
      </c>
      <c r="P5" s="298">
        <f>SUM(M5/12)</f>
        <v>1</v>
      </c>
      <c r="Q5" s="317"/>
      <c r="R5" s="29"/>
      <c r="S5" s="20" t="s">
        <v>13</v>
      </c>
      <c r="T5" s="17">
        <v>12</v>
      </c>
      <c r="U5" s="5"/>
      <c r="V5" s="18" t="s">
        <v>14</v>
      </c>
      <c r="W5" s="19"/>
      <c r="X5" s="18" t="s">
        <v>10</v>
      </c>
      <c r="Y5" s="30">
        <f>SUM(T5+W5)/12</f>
        <v>1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>
        <v>12</v>
      </c>
      <c r="AH5" s="20" t="s">
        <v>10</v>
      </c>
      <c r="AI5" s="21">
        <f>SUM(AD5+AG5)/12</f>
        <v>1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>
        <v>12</v>
      </c>
      <c r="AW5" s="5"/>
      <c r="AX5" s="18" t="s">
        <v>14</v>
      </c>
      <c r="AY5" s="19"/>
      <c r="AZ5" s="18" t="s">
        <v>10</v>
      </c>
      <c r="BA5" s="30">
        <f>(AV5+AY5)/12</f>
        <v>1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>
        <v>914</v>
      </c>
      <c r="F8" s="62">
        <f>E8*(1-F10)</f>
        <v>860.98799999999994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>
        <v>4210</v>
      </c>
      <c r="M8" s="68">
        <v>3695</v>
      </c>
      <c r="N8" s="64">
        <f>L8*(1-M10)</f>
        <v>4210</v>
      </c>
      <c r="O8" s="69">
        <v>3506</v>
      </c>
      <c r="P8" s="296"/>
      <c r="Q8" s="60">
        <f>IFERROR((O8+P8)/L8,0)</f>
        <v>0.83277909738717337</v>
      </c>
      <c r="R8" s="70"/>
      <c r="S8" s="71">
        <v>1807</v>
      </c>
      <c r="T8" s="72">
        <v>1737</v>
      </c>
      <c r="U8" s="62">
        <f>S8*(1-T10)</f>
        <v>1690.7496666666666</v>
      </c>
      <c r="V8" s="60">
        <f>IFERROR(T8/S8,0)</f>
        <v>0.96126175982291096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>
        <v>1066</v>
      </c>
      <c r="AH8" s="62">
        <f>AG8*(1-AH10)</f>
        <v>991.37999999999988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>
        <v>3617</v>
      </c>
      <c r="AO8" s="68">
        <v>3181</v>
      </c>
      <c r="AP8" s="64">
        <f>AN8*(1-AO10)</f>
        <v>3356.5759999999996</v>
      </c>
      <c r="AQ8" s="69">
        <v>3010</v>
      </c>
      <c r="AR8" s="296"/>
      <c r="AS8" s="60">
        <f>SUM((AQ8+AR8)/AP8,0)</f>
        <v>0.89674716139303878</v>
      </c>
      <c r="AT8" s="70"/>
      <c r="AU8" s="71">
        <v>1809</v>
      </c>
      <c r="AV8" s="72">
        <v>1711</v>
      </c>
      <c r="AW8" s="62">
        <f>AU8*(1-AV10)</f>
        <v>1685.0835</v>
      </c>
      <c r="AX8" s="60">
        <f>IFERROR(AV8/AU8,0)</f>
        <v>0.94582642343836376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85.420560747663558</v>
      </c>
      <c r="F9" s="81">
        <f>IFERROR(SUM(F8/E5),0)</f>
        <v>80.466168224299068</v>
      </c>
      <c r="G9" s="82"/>
      <c r="H9" s="83"/>
      <c r="I9" s="83"/>
      <c r="J9" s="84"/>
      <c r="K9" s="85"/>
      <c r="L9" s="86">
        <f>IFERROR(L8/M5,0)</f>
        <v>350.83333333333331</v>
      </c>
      <c r="M9" s="86">
        <f>IFERROR(M8/M5,0)</f>
        <v>307.91666666666669</v>
      </c>
      <c r="N9" s="86">
        <f>IFERROR(N8/M5,0)</f>
        <v>350.83333333333331</v>
      </c>
      <c r="O9" s="86">
        <f>IFERROR(O8/M5,0)</f>
        <v>292.16666666666669</v>
      </c>
      <c r="P9" s="297">
        <f>SUM(P8/M5,0)</f>
        <v>0</v>
      </c>
      <c r="Q9" s="87">
        <f>IFERROR(Q8/M5,0)</f>
        <v>6.9398258115597786E-2</v>
      </c>
      <c r="R9" s="88"/>
      <c r="S9" s="89">
        <f>IFERROR(S8/T5,0)</f>
        <v>150.58333333333334</v>
      </c>
      <c r="T9" s="90">
        <f>IFERROR(SUM(T8/T5),0)</f>
        <v>144.75</v>
      </c>
      <c r="U9" s="91">
        <f>IFERROR(U8/T5,0)</f>
        <v>140.89580555555554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88.833333333333329</v>
      </c>
      <c r="AH9" s="81">
        <f>IFERROR(SUM(AH8/AG5),0)</f>
        <v>82.614999999999995</v>
      </c>
      <c r="AI9" s="82"/>
      <c r="AJ9" s="83"/>
      <c r="AK9" s="83"/>
      <c r="AL9" s="84"/>
      <c r="AM9" s="85"/>
      <c r="AN9" s="86">
        <f>IFERROR(AN8/AO5,0)</f>
        <v>301.41666666666669</v>
      </c>
      <c r="AO9" s="86">
        <f>IFERROR(AO8/AO5,0)</f>
        <v>265.08333333333331</v>
      </c>
      <c r="AP9" s="86">
        <f>IFERROR(AP8/AO5,0)</f>
        <v>279.71466666666663</v>
      </c>
      <c r="AQ9" s="86">
        <f>IFERROR(AQ8/AO5,0)</f>
        <v>250.83333333333334</v>
      </c>
      <c r="AR9" s="297">
        <f>SUM(AR8/AO5,0)</f>
        <v>0</v>
      </c>
      <c r="AS9" s="87">
        <f>IFERROR(AS8/AO5,0)</f>
        <v>7.472893011608657E-2</v>
      </c>
      <c r="AT9" s="88"/>
      <c r="AU9" s="89">
        <f>IFERROR(AU8/AV5,0)</f>
        <v>150.75</v>
      </c>
      <c r="AV9" s="90">
        <f>IFERROR(SUM(AV8/AV5),0)</f>
        <v>142.58333333333334</v>
      </c>
      <c r="AW9" s="91">
        <f>IFERROR(AW8/AV5,0)</f>
        <v>140.42362499999999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5.7999999999999996E-2</v>
      </c>
      <c r="C10" s="99"/>
      <c r="D10" s="100"/>
      <c r="E10" s="101" t="s">
        <v>39</v>
      </c>
      <c r="F10" s="102">
        <f>J23</f>
        <v>5.7999999999999996E-2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6.433333333333334E-2</v>
      </c>
      <c r="U10" s="112"/>
      <c r="V10" s="100"/>
      <c r="W10" s="101" t="s">
        <v>39</v>
      </c>
      <c r="X10" s="113">
        <f>AA23</f>
        <v>6.433333333333334E-2</v>
      </c>
      <c r="Y10" s="5"/>
      <c r="Z10" s="5"/>
      <c r="AA10" s="114"/>
      <c r="AB10" s="15"/>
      <c r="AC10" s="97" t="s">
        <v>39</v>
      </c>
      <c r="AD10" s="98">
        <f>AL23</f>
        <v>7.0000000000000007E-2</v>
      </c>
      <c r="AE10" s="99"/>
      <c r="AF10" s="100"/>
      <c r="AG10" s="101" t="s">
        <v>39</v>
      </c>
      <c r="AH10" s="102">
        <f>AL23</f>
        <v>7.0000000000000007E-2</v>
      </c>
      <c r="AI10" s="103"/>
      <c r="AJ10" s="99"/>
      <c r="AK10" s="104"/>
      <c r="AL10" s="105"/>
      <c r="AM10" s="106"/>
      <c r="AN10" s="107" t="s">
        <v>39</v>
      </c>
      <c r="AO10" s="108">
        <f>AR23</f>
        <v>7.2000000000000008E-2</v>
      </c>
      <c r="AP10" s="109"/>
      <c r="AQ10" s="109"/>
      <c r="AR10" s="109"/>
      <c r="AS10" s="110"/>
      <c r="AT10" s="111"/>
      <c r="AU10" s="107" t="s">
        <v>39</v>
      </c>
      <c r="AV10" s="108">
        <f>BC23</f>
        <v>6.8500000000000005E-2</v>
      </c>
      <c r="AW10" s="112"/>
      <c r="AX10" s="100"/>
      <c r="AY10" s="101" t="s">
        <v>39</v>
      </c>
      <c r="AZ10" s="113">
        <f>BC23</f>
        <v>6.8500000000000005E-2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>
        <v>0.154</v>
      </c>
      <c r="F15" s="157">
        <v>0.13400000000000001</v>
      </c>
      <c r="G15" s="158"/>
      <c r="H15" s="158">
        <v>3.9E-2</v>
      </c>
      <c r="I15" s="159">
        <v>0.23400000000000001</v>
      </c>
      <c r="J15" s="160">
        <v>6.4000000000000001E-2</v>
      </c>
      <c r="K15" s="161"/>
      <c r="L15" s="162">
        <v>0.154</v>
      </c>
      <c r="M15" s="163">
        <v>0.13400000000000001</v>
      </c>
      <c r="N15" s="164">
        <v>0.157</v>
      </c>
      <c r="O15" s="299">
        <v>0.14299999999999999</v>
      </c>
      <c r="P15" s="446">
        <v>6.4000000000000001E-2</v>
      </c>
      <c r="Q15" s="447"/>
      <c r="R15" s="161"/>
      <c r="S15" s="166">
        <v>0.26500000000000001</v>
      </c>
      <c r="T15" s="163">
        <v>9.4E-2</v>
      </c>
      <c r="U15" s="167">
        <v>0.30499999999999999</v>
      </c>
      <c r="V15" s="168">
        <v>8.8999999999999996E-2</v>
      </c>
      <c r="W15" s="169"/>
      <c r="X15" s="170"/>
      <c r="Y15" s="170"/>
      <c r="Z15" s="171"/>
      <c r="AA15" s="172">
        <v>7.1999999999999995E-2</v>
      </c>
      <c r="AB15" s="173"/>
      <c r="AC15" s="152"/>
      <c r="AD15" s="153"/>
      <c r="AE15" s="154"/>
      <c r="AF15" s="155"/>
      <c r="AG15" s="156">
        <v>0.17699999999999999</v>
      </c>
      <c r="AH15" s="157">
        <v>0.13700000000000001</v>
      </c>
      <c r="AI15" s="158"/>
      <c r="AJ15" s="158">
        <v>3.2000000000000001E-2</v>
      </c>
      <c r="AK15" s="159">
        <v>0.26800000000000002</v>
      </c>
      <c r="AL15" s="160">
        <v>6.4000000000000001E-2</v>
      </c>
      <c r="AM15" s="161"/>
      <c r="AN15" s="162">
        <v>0.17699999999999999</v>
      </c>
      <c r="AO15" s="163">
        <v>0.13700000000000001</v>
      </c>
      <c r="AP15" s="164">
        <v>0.191</v>
      </c>
      <c r="AQ15" s="165">
        <v>0.11799999999999999</v>
      </c>
      <c r="AR15" s="356">
        <v>6.4000000000000001E-2</v>
      </c>
      <c r="AS15" s="357"/>
      <c r="AT15" s="161"/>
      <c r="AU15" s="166">
        <v>0.26600000000000001</v>
      </c>
      <c r="AV15" s="163">
        <v>9.7000000000000003E-2</v>
      </c>
      <c r="AW15" s="167">
        <v>0.30199999999999999</v>
      </c>
      <c r="AX15" s="168">
        <v>0.09</v>
      </c>
      <c r="AY15" s="169"/>
      <c r="AZ15" s="170"/>
      <c r="BA15" s="170"/>
      <c r="BB15" s="171"/>
      <c r="BC15" s="172">
        <v>6.8000000000000005E-2</v>
      </c>
    </row>
    <row r="16" spans="1:55" x14ac:dyDescent="0.3">
      <c r="A16" s="152"/>
      <c r="B16" s="174"/>
      <c r="C16" s="175"/>
      <c r="D16" s="176"/>
      <c r="E16" s="177">
        <v>0.14199999999999999</v>
      </c>
      <c r="F16" s="178">
        <v>0.14299999999999999</v>
      </c>
      <c r="G16" s="179"/>
      <c r="H16" s="179">
        <v>3.5000000000000003E-2</v>
      </c>
      <c r="I16" s="180">
        <v>0.23899999999999999</v>
      </c>
      <c r="J16" s="160">
        <v>6.7000000000000004E-2</v>
      </c>
      <c r="K16" s="161"/>
      <c r="L16" s="181">
        <v>0.14199999999999999</v>
      </c>
      <c r="M16" s="170">
        <v>0.14299999999999999</v>
      </c>
      <c r="N16" s="302">
        <v>0.157</v>
      </c>
      <c r="O16" s="300">
        <v>0.16400000000000001</v>
      </c>
      <c r="P16" s="440">
        <v>6.7000000000000004E-2</v>
      </c>
      <c r="Q16" s="357"/>
      <c r="R16" s="161"/>
      <c r="S16" s="169">
        <v>0.30599999999999999</v>
      </c>
      <c r="T16" s="170">
        <v>0.09</v>
      </c>
      <c r="U16" s="169">
        <v>0.32</v>
      </c>
      <c r="V16" s="171">
        <v>0.10299999999999999</v>
      </c>
      <c r="W16" s="169"/>
      <c r="X16" s="170"/>
      <c r="Y16" s="170"/>
      <c r="Z16" s="171"/>
      <c r="AA16" s="184">
        <v>0.06</v>
      </c>
      <c r="AB16" s="173"/>
      <c r="AC16" s="185"/>
      <c r="AD16" s="174"/>
      <c r="AE16" s="175"/>
      <c r="AF16" s="176"/>
      <c r="AG16" s="177">
        <v>0.14299999999999999</v>
      </c>
      <c r="AH16" s="178">
        <v>0.152</v>
      </c>
      <c r="AI16" s="179"/>
      <c r="AJ16" s="179">
        <v>4.9000000000000002E-2</v>
      </c>
      <c r="AK16" s="180">
        <v>0.24099999999999999</v>
      </c>
      <c r="AL16" s="160">
        <v>7.0999999999999994E-2</v>
      </c>
      <c r="AM16" s="161"/>
      <c r="AN16" s="181">
        <v>0.14299999999999999</v>
      </c>
      <c r="AO16" s="170">
        <v>0.155</v>
      </c>
      <c r="AP16" s="302">
        <v>0.161</v>
      </c>
      <c r="AQ16" s="183">
        <v>0.15</v>
      </c>
      <c r="AR16" s="356">
        <v>7.0999999999999994E-2</v>
      </c>
      <c r="AS16" s="357"/>
      <c r="AT16" s="161"/>
      <c r="AU16" s="169">
        <v>0.24199999999999999</v>
      </c>
      <c r="AV16" s="170">
        <v>0.1</v>
      </c>
      <c r="AW16" s="169">
        <v>0.309</v>
      </c>
      <c r="AX16" s="171">
        <v>8.6999999999999994E-2</v>
      </c>
      <c r="AY16" s="169"/>
      <c r="AZ16" s="170"/>
      <c r="BA16" s="170"/>
      <c r="BB16" s="171"/>
      <c r="BC16" s="184">
        <v>7.0999999999999994E-2</v>
      </c>
    </row>
    <row r="17" spans="1:55" x14ac:dyDescent="0.3">
      <c r="A17" s="152"/>
      <c r="B17" s="174"/>
      <c r="C17" s="175"/>
      <c r="D17" s="176"/>
      <c r="E17" s="177">
        <v>0.14899999999999999</v>
      </c>
      <c r="F17" s="178">
        <v>0.16300000000000001</v>
      </c>
      <c r="G17" s="179"/>
      <c r="H17" s="179">
        <v>0.03</v>
      </c>
      <c r="I17" s="180">
        <v>0.25700000000000001</v>
      </c>
      <c r="J17" s="160">
        <v>4.2999999999999997E-2</v>
      </c>
      <c r="K17" s="161"/>
      <c r="L17" s="181">
        <v>0.14899999999999999</v>
      </c>
      <c r="M17" s="170">
        <v>0.16300000000000001</v>
      </c>
      <c r="N17" s="302">
        <v>0.157</v>
      </c>
      <c r="O17" s="300">
        <v>0.16600000000000001</v>
      </c>
      <c r="P17" s="440">
        <v>4.2999999999999997E-2</v>
      </c>
      <c r="Q17" s="357"/>
      <c r="R17" s="161"/>
      <c r="S17" s="169">
        <v>0.30199999999999999</v>
      </c>
      <c r="T17" s="170">
        <v>6.8000000000000005E-2</v>
      </c>
      <c r="U17" s="169">
        <v>0.31900000000000001</v>
      </c>
      <c r="V17" s="171">
        <v>9.4E-2</v>
      </c>
      <c r="W17" s="169"/>
      <c r="X17" s="170"/>
      <c r="Y17" s="170"/>
      <c r="Z17" s="171"/>
      <c r="AA17" s="184">
        <v>6.0999999999999999E-2</v>
      </c>
      <c r="AB17" s="173"/>
      <c r="AC17" s="185"/>
      <c r="AD17" s="174"/>
      <c r="AE17" s="175"/>
      <c r="AF17" s="176"/>
      <c r="AG17" s="177">
        <v>0.185</v>
      </c>
      <c r="AH17" s="178">
        <v>0.16300000000000001</v>
      </c>
      <c r="AI17" s="179"/>
      <c r="AJ17" s="179">
        <v>3.5999999999999997E-2</v>
      </c>
      <c r="AK17" s="180">
        <v>0.2</v>
      </c>
      <c r="AL17" s="160">
        <v>7.0999999999999994E-2</v>
      </c>
      <c r="AM17" s="161"/>
      <c r="AN17" s="181">
        <v>0.185</v>
      </c>
      <c r="AO17" s="170">
        <v>0.16300000000000001</v>
      </c>
      <c r="AP17" s="302">
        <v>0.19</v>
      </c>
      <c r="AQ17" s="183">
        <v>0.11899999999999999</v>
      </c>
      <c r="AR17" s="356">
        <v>7.9000000000000001E-2</v>
      </c>
      <c r="AS17" s="357"/>
      <c r="AT17" s="161"/>
      <c r="AU17" s="169">
        <v>0.251</v>
      </c>
      <c r="AV17" s="170">
        <v>9.0999999999999998E-2</v>
      </c>
      <c r="AW17" s="169">
        <v>0.30099999999999999</v>
      </c>
      <c r="AX17" s="171">
        <v>7.4999999999999997E-2</v>
      </c>
      <c r="AY17" s="169"/>
      <c r="AZ17" s="170"/>
      <c r="BA17" s="170"/>
      <c r="BB17" s="171"/>
      <c r="BC17" s="184">
        <v>7.2999999999999995E-2</v>
      </c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>
        <v>0.182</v>
      </c>
      <c r="AH18" s="178">
        <v>0.14000000000000001</v>
      </c>
      <c r="AI18" s="179"/>
      <c r="AJ18" s="179">
        <v>0.03</v>
      </c>
      <c r="AK18" s="180">
        <v>0.252</v>
      </c>
      <c r="AL18" s="160">
        <v>7.3999999999999996E-2</v>
      </c>
      <c r="AM18" s="161"/>
      <c r="AN18" s="181">
        <v>0.182</v>
      </c>
      <c r="AO18" s="170">
        <v>0.14000000000000001</v>
      </c>
      <c r="AP18" s="302">
        <v>0.17399999999999999</v>
      </c>
      <c r="AQ18" s="183">
        <v>0.11600000000000001</v>
      </c>
      <c r="AR18" s="356">
        <v>7.3999999999999996E-2</v>
      </c>
      <c r="AS18" s="357"/>
      <c r="AT18" s="161"/>
      <c r="AU18" s="169">
        <v>0.26700000000000002</v>
      </c>
      <c r="AV18" s="170">
        <v>8.8999999999999996E-2</v>
      </c>
      <c r="AW18" s="169">
        <v>0.255</v>
      </c>
      <c r="AX18" s="171">
        <v>0.108</v>
      </c>
      <c r="AY18" s="169"/>
      <c r="AZ18" s="170"/>
      <c r="BA18" s="170"/>
      <c r="BB18" s="171"/>
      <c r="BC18" s="184">
        <v>6.2E-2</v>
      </c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0.14833333333333332</v>
      </c>
      <c r="F23" s="198">
        <f t="shared" si="0"/>
        <v>0.1466666666666667</v>
      </c>
      <c r="G23" s="198">
        <f t="shared" si="0"/>
        <v>0</v>
      </c>
      <c r="H23" s="198">
        <f t="shared" si="0"/>
        <v>3.4666666666666672E-2</v>
      </c>
      <c r="I23" s="198">
        <f t="shared" si="0"/>
        <v>0.24333333333333332</v>
      </c>
      <c r="J23" s="198">
        <f t="shared" si="0"/>
        <v>5.7999999999999996E-2</v>
      </c>
      <c r="K23" s="161"/>
      <c r="L23" s="199">
        <f>IFERROR(AVERAGE(L15:L22),0)</f>
        <v>0.14833333333333332</v>
      </c>
      <c r="M23" s="198">
        <f>IFERROR(AVERAGE(M15:M22),0)</f>
        <v>0.1466666666666667</v>
      </c>
      <c r="N23" s="200">
        <f>IFERROR(AVERAGE(N15:N22),0)</f>
        <v>0.157</v>
      </c>
      <c r="O23" s="201">
        <f>IFERROR(AVERAGE(O15:O22),0)</f>
        <v>0.15766666666666665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0.29099999999999998</v>
      </c>
      <c r="T23" s="198">
        <f t="shared" si="1"/>
        <v>8.4000000000000005E-2</v>
      </c>
      <c r="U23" s="198">
        <f t="shared" si="1"/>
        <v>0.31466666666666665</v>
      </c>
      <c r="V23" s="198">
        <f t="shared" si="1"/>
        <v>9.5333333333333339E-2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6.433333333333334E-2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0.17174999999999996</v>
      </c>
      <c r="AH23" s="198">
        <f t="shared" si="2"/>
        <v>0.14800000000000002</v>
      </c>
      <c r="AI23" s="198">
        <f t="shared" si="2"/>
        <v>0</v>
      </c>
      <c r="AJ23" s="198">
        <f t="shared" si="2"/>
        <v>3.6749999999999998E-2</v>
      </c>
      <c r="AK23" s="198">
        <f t="shared" si="2"/>
        <v>0.24025000000000002</v>
      </c>
      <c r="AL23" s="198">
        <f t="shared" si="2"/>
        <v>7.0000000000000007E-2</v>
      </c>
      <c r="AM23" s="161"/>
      <c r="AN23" s="199">
        <f>IFERROR(AVERAGE(AN15:AN22),0)</f>
        <v>0.17174999999999996</v>
      </c>
      <c r="AO23" s="198">
        <f>IFERROR(AVERAGE(AO15:AO22),0)</f>
        <v>0.14875000000000002</v>
      </c>
      <c r="AP23" s="200">
        <f>IFERROR(AVERAGE(AP15:AP22),0)</f>
        <v>0.17899999999999999</v>
      </c>
      <c r="AQ23" s="201">
        <f>IFERROR(AVERAGE(AQ15:AQ22),0)</f>
        <v>0.12575</v>
      </c>
      <c r="AR23" s="396">
        <f>IFERROR(AVERAGE(AR15:AS22),0)</f>
        <v>7.2000000000000008E-2</v>
      </c>
      <c r="AS23" s="397"/>
      <c r="AT23" s="202"/>
      <c r="AU23" s="199">
        <f t="shared" ref="AU23:BC23" si="3">IFERROR(AVERAGE(AU15:AU22),0)</f>
        <v>0.25650000000000001</v>
      </c>
      <c r="AV23" s="198">
        <f t="shared" si="3"/>
        <v>9.425E-2</v>
      </c>
      <c r="AW23" s="198">
        <f t="shared" si="3"/>
        <v>0.29174999999999995</v>
      </c>
      <c r="AX23" s="198">
        <f t="shared" si="3"/>
        <v>0.09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6.8500000000000005E-2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 t="s">
        <v>114</v>
      </c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 t="s">
        <v>114</v>
      </c>
      <c r="N26" s="404" t="s">
        <v>63</v>
      </c>
      <c r="O26" s="405"/>
      <c r="P26" s="423"/>
      <c r="Q26" s="424"/>
      <c r="R26" s="231"/>
      <c r="S26" s="228" t="s">
        <v>62</v>
      </c>
      <c r="T26" s="229" t="s">
        <v>111</v>
      </c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 t="s">
        <v>114</v>
      </c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 t="s">
        <v>114</v>
      </c>
      <c r="AP26" s="404" t="s">
        <v>63</v>
      </c>
      <c r="AQ26" s="405"/>
      <c r="AR26" s="316"/>
      <c r="AS26" s="230"/>
      <c r="AT26" s="231"/>
      <c r="AU26" s="228" t="s">
        <v>62</v>
      </c>
      <c r="AV26" s="229" t="s">
        <v>114</v>
      </c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522.3372274143303</v>
      </c>
      <c r="K42" s="266"/>
      <c r="R42" s="266"/>
    </row>
    <row r="43" spans="1:55" ht="16.2" thickBot="1" x14ac:dyDescent="0.35">
      <c r="A43" s="274" t="s">
        <v>2</v>
      </c>
      <c r="B43" s="275">
        <f>E8+AG8</f>
        <v>1980</v>
      </c>
      <c r="C43" s="275">
        <f>B8+AD8</f>
        <v>0</v>
      </c>
      <c r="D43" s="267"/>
      <c r="E43" s="276" t="s">
        <v>84</v>
      </c>
      <c r="F43" s="273">
        <f>AG9+AQ9+AV9</f>
        <v>482.25</v>
      </c>
      <c r="K43" s="266"/>
      <c r="R43" s="266"/>
    </row>
    <row r="44" spans="1:55" ht="16.2" thickBot="1" x14ac:dyDescent="0.35">
      <c r="A44" s="274" t="s">
        <v>3</v>
      </c>
      <c r="B44" s="275">
        <f>L8+AN8</f>
        <v>7827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3616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13423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1584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6887.76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3308.6400000000003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11780.400000000001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0F00-000000000000}">
      <formula1>$A$137:$A$148</formula1>
    </dataValidation>
    <dataValidation type="list" allowBlank="1" showInputMessage="1" showErrorMessage="1" sqref="AX11 BB11:BC11 V11 Z11:AA11" xr:uid="{00000000-0002-0000-0F00-000001000000}">
      <formula1>"Silo 6, Silo 7, Silo 8, Silo 9"</formula1>
    </dataValidation>
    <dataValidation type="list" allowBlank="1" showInputMessage="1" showErrorMessage="1" sqref="AD11 AO11 AZ11 AV11 B11 M11 X11 T11" xr:uid="{00000000-0002-0000-0F00-000002000000}">
      <formula1>"100#, 40/70"</formula1>
    </dataValidation>
    <dataValidation type="list" allowBlank="1" showInputMessage="1" showErrorMessage="1" sqref="AJ11:AM11 AQ11:AT11 H11:K11 O11:R11" xr:uid="{00000000-0002-0000-0F00-000003000000}">
      <formula1>"Silo 1, Silo 2, Silo 6, Silo 7"</formula1>
    </dataValidation>
    <dataValidation type="list" allowBlank="1" showInputMessage="1" showErrorMessage="1" sqref="AV25 AD25 AO25 T25 B25 M25" xr:uid="{00000000-0002-0000-0F00-000004000000}">
      <formula1>"1, 2, 3, 4, 5, 6, 7, 8, 9, 10, 11, 12, 13, 14, 15, 16"</formula1>
    </dataValidation>
    <dataValidation type="list" allowBlank="1" showInputMessage="1" showErrorMessage="1" sqref="C29:C31 AE29:AE31" xr:uid="{00000000-0002-0000-0F00-000005000000}">
      <formula1>"Carrier 100, Carrier 200, Rotary"</formula1>
    </dataValidation>
    <dataValidation type="list" allowBlank="1" showInputMessage="1" showErrorMessage="1" sqref="B26 M26 T26 AD26 AO26 AV26" xr:uid="{00000000-0002-0000-0F00-000006000000}">
      <formula1>"SP1, SP2, SP3, OWP SP"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C148"/>
  <sheetViews>
    <sheetView topLeftCell="A16" zoomScale="50" zoomScaleNormal="50" workbookViewId="0">
      <selection activeCell="AV8" sqref="AV8"/>
    </sheetView>
  </sheetViews>
  <sheetFormatPr defaultRowHeight="14.4" x14ac:dyDescent="0.3"/>
  <cols>
    <col min="1" max="1" width="10.6640625" customWidth="1"/>
    <col min="2" max="2" width="9.44140625" bestFit="1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>
        <v>42897</v>
      </c>
      <c r="C4" s="5"/>
      <c r="D4" s="6" t="s">
        <v>6</v>
      </c>
      <c r="E4" s="380" t="s">
        <v>93</v>
      </c>
      <c r="F4" s="381"/>
      <c r="G4" s="312"/>
      <c r="H4" s="312"/>
      <c r="I4" s="8"/>
      <c r="J4" s="9"/>
      <c r="K4" s="10"/>
      <c r="L4" s="6" t="s">
        <v>5</v>
      </c>
      <c r="M4" s="4">
        <f>B4</f>
        <v>42897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42897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42897</v>
      </c>
      <c r="AE4" s="5"/>
      <c r="AF4" s="6" t="s">
        <v>6</v>
      </c>
      <c r="AG4" s="380"/>
      <c r="AH4" s="381"/>
      <c r="AI4" s="312"/>
      <c r="AJ4" s="312"/>
      <c r="AK4" s="8"/>
      <c r="AL4" s="9"/>
      <c r="AM4" s="10"/>
      <c r="AN4" s="6" t="s">
        <v>5</v>
      </c>
      <c r="AO4" s="4">
        <f>B4</f>
        <v>42897</v>
      </c>
      <c r="AP4" s="5"/>
      <c r="AQ4" s="370" t="s">
        <v>6</v>
      </c>
      <c r="AR4" s="371"/>
      <c r="AS4" s="11"/>
      <c r="AT4" s="12"/>
      <c r="AU4" s="6" t="s">
        <v>5</v>
      </c>
      <c r="AV4" s="4">
        <f>B4</f>
        <v>42897</v>
      </c>
      <c r="AW4" s="5"/>
      <c r="AX4" s="6" t="s">
        <v>6</v>
      </c>
      <c r="AY4" s="382"/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>
        <v>10.199999999999999</v>
      </c>
      <c r="F5" s="20" t="s">
        <v>10</v>
      </c>
      <c r="G5" s="21">
        <f>SUM((B5+E5)/12, 0)</f>
        <v>0.85</v>
      </c>
      <c r="H5" s="22"/>
      <c r="I5" s="23"/>
      <c r="J5" s="24"/>
      <c r="K5" s="25"/>
      <c r="L5" s="26" t="s">
        <v>11</v>
      </c>
      <c r="M5" s="27">
        <v>11.6</v>
      </c>
      <c r="N5" s="5"/>
      <c r="O5" s="28" t="s">
        <v>12</v>
      </c>
      <c r="P5" s="298">
        <f>SUM(M5/12)</f>
        <v>0.96666666666666667</v>
      </c>
      <c r="Q5" s="317"/>
      <c r="R5" s="29"/>
      <c r="S5" s="20" t="s">
        <v>13</v>
      </c>
      <c r="T5" s="17">
        <v>11.6</v>
      </c>
      <c r="U5" s="5"/>
      <c r="V5" s="18" t="s">
        <v>14</v>
      </c>
      <c r="W5" s="19"/>
      <c r="X5" s="18" t="s">
        <v>10</v>
      </c>
      <c r="Y5" s="30">
        <f>SUM(T5+W5)/12</f>
        <v>0.96666666666666667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>
        <v>12</v>
      </c>
      <c r="AH5" s="20" t="s">
        <v>10</v>
      </c>
      <c r="AI5" s="21">
        <f>SUM(AD5+AG5)/12</f>
        <v>1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>
        <v>12</v>
      </c>
      <c r="AW5" s="5"/>
      <c r="AX5" s="18" t="s">
        <v>14</v>
      </c>
      <c r="AY5" s="19"/>
      <c r="AZ5" s="18" t="s">
        <v>10</v>
      </c>
      <c r="BA5" s="30">
        <f>(AV5+AY5)/12</f>
        <v>1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>
        <v>950</v>
      </c>
      <c r="F8" s="62">
        <f>E8*(1-F10)</f>
        <v>929.57500000000005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>
        <v>4057</v>
      </c>
      <c r="M8" s="68">
        <v>3573</v>
      </c>
      <c r="N8" s="64">
        <f>L8*(1-M10)</f>
        <v>4057</v>
      </c>
      <c r="O8" s="69">
        <v>3247</v>
      </c>
      <c r="P8" s="296"/>
      <c r="Q8" s="60">
        <f>IFERROR((O8+P8)/L8,0)</f>
        <v>0.80034508257333004</v>
      </c>
      <c r="R8" s="70"/>
      <c r="S8" s="71">
        <v>1843</v>
      </c>
      <c r="T8" s="72">
        <v>1770</v>
      </c>
      <c r="U8" s="62">
        <f>S8*(1-T10)</f>
        <v>1735.1845000000001</v>
      </c>
      <c r="V8" s="60">
        <f>IFERROR(T8/S8,0)</f>
        <v>0.9603906673901248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>
        <v>1025</v>
      </c>
      <c r="AH8" s="62">
        <f>AG8*(1-AH10)</f>
        <v>961.96249999999998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>
        <v>3930</v>
      </c>
      <c r="AO8" s="68">
        <v>3447</v>
      </c>
      <c r="AP8" s="64">
        <f>AN8*(1-AO10)</f>
        <v>3691.2525000000001</v>
      </c>
      <c r="AQ8" s="69">
        <v>3518</v>
      </c>
      <c r="AR8" s="296"/>
      <c r="AS8" s="60">
        <f>SUM((AQ8+AR8)/AP8,0)</f>
        <v>0.95306403449777544</v>
      </c>
      <c r="AT8" s="70"/>
      <c r="AU8" s="71">
        <v>1830</v>
      </c>
      <c r="AV8" s="72">
        <v>1749</v>
      </c>
      <c r="AW8" s="62">
        <f>AU8*(1-AV10)</f>
        <v>1718.3700000000001</v>
      </c>
      <c r="AX8" s="60">
        <f>IFERROR(AV8/AU8,0)</f>
        <v>0.95573770491803278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93.137254901960787</v>
      </c>
      <c r="F9" s="81">
        <f>IFERROR(SUM(F8/E5),0)</f>
        <v>91.134803921568633</v>
      </c>
      <c r="G9" s="82"/>
      <c r="H9" s="83"/>
      <c r="I9" s="83"/>
      <c r="J9" s="84"/>
      <c r="K9" s="85"/>
      <c r="L9" s="86">
        <f>IFERROR(L8/M5,0)</f>
        <v>349.74137931034483</v>
      </c>
      <c r="M9" s="86">
        <f>IFERROR(M8/M5,0)</f>
        <v>308.01724137931035</v>
      </c>
      <c r="N9" s="86">
        <f>IFERROR(N8/M5,0)</f>
        <v>349.74137931034483</v>
      </c>
      <c r="O9" s="86">
        <f>IFERROR(O8/M5,0)</f>
        <v>279.91379310344826</v>
      </c>
      <c r="P9" s="297">
        <f>SUM(P8/M5,0)</f>
        <v>0</v>
      </c>
      <c r="Q9" s="87">
        <f>IFERROR(Q8/M5,0)</f>
        <v>6.8995265739080172E-2</v>
      </c>
      <c r="R9" s="88"/>
      <c r="S9" s="89">
        <f>IFERROR(S8/T5,0)</f>
        <v>158.87931034482759</v>
      </c>
      <c r="T9" s="90">
        <f>IFERROR(SUM(T8/T5),0)</f>
        <v>152.58620689655172</v>
      </c>
      <c r="U9" s="91">
        <f>IFERROR(U8/T5,0)</f>
        <v>149.58487068965519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85.416666666666671</v>
      </c>
      <c r="AH9" s="81">
        <f>IFERROR(SUM(AH8/AG5),0)</f>
        <v>80.16354166666666</v>
      </c>
      <c r="AI9" s="82"/>
      <c r="AJ9" s="83"/>
      <c r="AK9" s="83"/>
      <c r="AL9" s="84"/>
      <c r="AM9" s="85"/>
      <c r="AN9" s="86">
        <f>IFERROR(AN8/AO5,0)</f>
        <v>327.5</v>
      </c>
      <c r="AO9" s="86">
        <f>IFERROR(AO8/AO5,0)</f>
        <v>287.25</v>
      </c>
      <c r="AP9" s="86">
        <f>IFERROR(AP8/AO5,0)</f>
        <v>307.604375</v>
      </c>
      <c r="AQ9" s="86">
        <f>IFERROR(AQ8/AO5,0)</f>
        <v>293.16666666666669</v>
      </c>
      <c r="AR9" s="297">
        <f>SUM(AR8/AO5,0)</f>
        <v>0</v>
      </c>
      <c r="AS9" s="87">
        <f>IFERROR(AS8/AO5,0)</f>
        <v>7.9422002874814615E-2</v>
      </c>
      <c r="AT9" s="88"/>
      <c r="AU9" s="89">
        <f>IFERROR(AU8/AV5,0)</f>
        <v>152.5</v>
      </c>
      <c r="AV9" s="90">
        <f>IFERROR(SUM(AV8/AV5),0)</f>
        <v>145.75</v>
      </c>
      <c r="AW9" s="91">
        <f>IFERROR(AW8/AV5,0)</f>
        <v>143.19750000000002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2.1499999999999998E-2</v>
      </c>
      <c r="C10" s="99"/>
      <c r="D10" s="100"/>
      <c r="E10" s="101" t="s">
        <v>39</v>
      </c>
      <c r="F10" s="102">
        <f>J23</f>
        <v>2.1499999999999998E-2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5.8499999999999996E-2</v>
      </c>
      <c r="U10" s="112"/>
      <c r="V10" s="100"/>
      <c r="W10" s="101" t="s">
        <v>39</v>
      </c>
      <c r="X10" s="113">
        <f>AA23</f>
        <v>5.8499999999999996E-2</v>
      </c>
      <c r="Y10" s="5"/>
      <c r="Z10" s="5"/>
      <c r="AA10" s="114"/>
      <c r="AB10" s="15"/>
      <c r="AC10" s="97" t="s">
        <v>39</v>
      </c>
      <c r="AD10" s="98">
        <f>AL23</f>
        <v>6.1499999999999999E-2</v>
      </c>
      <c r="AE10" s="99"/>
      <c r="AF10" s="100"/>
      <c r="AG10" s="101" t="s">
        <v>39</v>
      </c>
      <c r="AH10" s="102">
        <f>AL23</f>
        <v>6.1499999999999999E-2</v>
      </c>
      <c r="AI10" s="103"/>
      <c r="AJ10" s="99"/>
      <c r="AK10" s="104"/>
      <c r="AL10" s="105"/>
      <c r="AM10" s="106"/>
      <c r="AN10" s="107" t="s">
        <v>39</v>
      </c>
      <c r="AO10" s="108">
        <f>AR23</f>
        <v>6.0749999999999998E-2</v>
      </c>
      <c r="AP10" s="109"/>
      <c r="AQ10" s="109"/>
      <c r="AR10" s="109"/>
      <c r="AS10" s="110"/>
      <c r="AT10" s="111"/>
      <c r="AU10" s="107" t="s">
        <v>39</v>
      </c>
      <c r="AV10" s="108">
        <f>BC23</f>
        <v>6.0999999999999999E-2</v>
      </c>
      <c r="AW10" s="112"/>
      <c r="AX10" s="100"/>
      <c r="AY10" s="101" t="s">
        <v>39</v>
      </c>
      <c r="AZ10" s="113">
        <f>BC23</f>
        <v>6.0999999999999999E-2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>
        <v>0.21099999999999999</v>
      </c>
      <c r="F15" s="157">
        <v>0.11799999999999999</v>
      </c>
      <c r="G15" s="158"/>
      <c r="H15" s="158">
        <v>4.5999999999999999E-2</v>
      </c>
      <c r="I15" s="159">
        <v>0.14899999999999999</v>
      </c>
      <c r="J15" s="160">
        <v>1.2999999999999999E-2</v>
      </c>
      <c r="K15" s="161"/>
      <c r="L15" s="162">
        <v>0.23899999999999999</v>
      </c>
      <c r="M15" s="163">
        <v>8.2000000000000003E-2</v>
      </c>
      <c r="N15" s="164">
        <v>0.223</v>
      </c>
      <c r="O15" s="299">
        <v>9.5000000000000001E-2</v>
      </c>
      <c r="P15" s="446">
        <v>5.8999999999999997E-2</v>
      </c>
      <c r="Q15" s="447"/>
      <c r="R15" s="161"/>
      <c r="S15" s="166">
        <v>0.23899999999999999</v>
      </c>
      <c r="T15" s="163">
        <v>8.2000000000000003E-2</v>
      </c>
      <c r="U15" s="167">
        <v>0.30199999999999999</v>
      </c>
      <c r="V15" s="168">
        <v>6.9000000000000006E-2</v>
      </c>
      <c r="W15" s="169"/>
      <c r="X15" s="170"/>
      <c r="Y15" s="170"/>
      <c r="Z15" s="171"/>
      <c r="AA15" s="172">
        <v>5.8999999999999997E-2</v>
      </c>
      <c r="AB15" s="173"/>
      <c r="AC15" s="152"/>
      <c r="AD15" s="153"/>
      <c r="AE15" s="154"/>
      <c r="AF15" s="155"/>
      <c r="AG15" s="156">
        <v>0.27400000000000002</v>
      </c>
      <c r="AH15" s="157">
        <v>7.8E-2</v>
      </c>
      <c r="AI15" s="158"/>
      <c r="AJ15" s="158">
        <v>4.7E-2</v>
      </c>
      <c r="AK15" s="159">
        <v>0.14799999999999999</v>
      </c>
      <c r="AL15" s="160">
        <v>6.2E-2</v>
      </c>
      <c r="AM15" s="161"/>
      <c r="AN15" s="162">
        <v>0.2515</v>
      </c>
      <c r="AO15" s="163">
        <v>0.14799999999999999</v>
      </c>
      <c r="AP15" s="164">
        <v>0.23400000000000001</v>
      </c>
      <c r="AQ15" s="165">
        <v>9.8000000000000004E-2</v>
      </c>
      <c r="AR15" s="356">
        <v>6.3E-2</v>
      </c>
      <c r="AS15" s="357"/>
      <c r="AT15" s="161"/>
      <c r="AU15" s="166">
        <v>0.27400000000000002</v>
      </c>
      <c r="AV15" s="163">
        <v>7.8E-2</v>
      </c>
      <c r="AW15" s="167">
        <v>0.28699999999999998</v>
      </c>
      <c r="AX15" s="168">
        <v>8.7999999999999995E-2</v>
      </c>
      <c r="AY15" s="169"/>
      <c r="AZ15" s="170"/>
      <c r="BA15" s="170"/>
      <c r="BB15" s="171"/>
      <c r="BC15" s="172">
        <v>6.3E-2</v>
      </c>
    </row>
    <row r="16" spans="1:55" x14ac:dyDescent="0.3">
      <c r="A16" s="152"/>
      <c r="B16" s="174"/>
      <c r="C16" s="175"/>
      <c r="D16" s="176"/>
      <c r="E16" s="177">
        <v>0.217</v>
      </c>
      <c r="F16" s="178">
        <v>0.11899999999999999</v>
      </c>
      <c r="G16" s="179"/>
      <c r="H16" s="179">
        <v>4.9000000000000002E-2</v>
      </c>
      <c r="I16" s="180">
        <v>0.157</v>
      </c>
      <c r="J16" s="160">
        <v>0.03</v>
      </c>
      <c r="K16" s="161"/>
      <c r="L16" s="181">
        <v>0.217</v>
      </c>
      <c r="M16" s="170">
        <v>0.11899999999999999</v>
      </c>
      <c r="N16" s="302">
        <v>0.19500000000000001</v>
      </c>
      <c r="O16" s="300">
        <v>0.13</v>
      </c>
      <c r="P16" s="440">
        <v>0.03</v>
      </c>
      <c r="Q16" s="357"/>
      <c r="R16" s="161"/>
      <c r="S16" s="169">
        <v>0.26</v>
      </c>
      <c r="T16" s="170">
        <v>8.1000000000000003E-2</v>
      </c>
      <c r="U16" s="169">
        <v>0.30199999999999999</v>
      </c>
      <c r="V16" s="171">
        <v>6.9000000000000006E-2</v>
      </c>
      <c r="W16" s="169"/>
      <c r="X16" s="170"/>
      <c r="Y16" s="170"/>
      <c r="Z16" s="171"/>
      <c r="AA16" s="184">
        <v>5.8000000000000003E-2</v>
      </c>
      <c r="AB16" s="173"/>
      <c r="AC16" s="185"/>
      <c r="AD16" s="174"/>
      <c r="AE16" s="175"/>
      <c r="AF16" s="176"/>
      <c r="AG16" s="177">
        <v>0.222</v>
      </c>
      <c r="AH16" s="178">
        <v>0.112</v>
      </c>
      <c r="AI16" s="179"/>
      <c r="AJ16" s="179">
        <v>5.8000000000000003E-2</v>
      </c>
      <c r="AK16" s="180">
        <v>0.17299999999999999</v>
      </c>
      <c r="AL16" s="160">
        <v>0.06</v>
      </c>
      <c r="AM16" s="161"/>
      <c r="AN16" s="181">
        <v>0.222</v>
      </c>
      <c r="AO16" s="170">
        <v>0.112</v>
      </c>
      <c r="AP16" s="302">
        <v>0.22</v>
      </c>
      <c r="AQ16" s="183">
        <v>0.10199999999999999</v>
      </c>
      <c r="AR16" s="356">
        <v>0.06</v>
      </c>
      <c r="AS16" s="357"/>
      <c r="AT16" s="161"/>
      <c r="AU16" s="169">
        <v>0.26200000000000001</v>
      </c>
      <c r="AV16" s="170">
        <v>8.1000000000000003E-2</v>
      </c>
      <c r="AW16" s="169">
        <v>0.28799999999999998</v>
      </c>
      <c r="AX16" s="171">
        <v>9.6000000000000002E-2</v>
      </c>
      <c r="AY16" s="169"/>
      <c r="AZ16" s="170"/>
      <c r="BA16" s="170"/>
      <c r="BB16" s="171"/>
      <c r="BC16" s="184">
        <v>0.06</v>
      </c>
    </row>
    <row r="17" spans="1:55" x14ac:dyDescent="0.3">
      <c r="A17" s="152"/>
      <c r="B17" s="174"/>
      <c r="C17" s="175"/>
      <c r="D17" s="176"/>
      <c r="E17" s="177"/>
      <c r="F17" s="178"/>
      <c r="G17" s="179"/>
      <c r="H17" s="179"/>
      <c r="I17" s="180"/>
      <c r="J17" s="160"/>
      <c r="K17" s="161"/>
      <c r="L17" s="181"/>
      <c r="M17" s="170"/>
      <c r="N17" s="302"/>
      <c r="O17" s="300"/>
      <c r="P17" s="440"/>
      <c r="Q17" s="357"/>
      <c r="R17" s="161"/>
      <c r="S17" s="169"/>
      <c r="T17" s="170"/>
      <c r="U17" s="169"/>
      <c r="V17" s="171"/>
      <c r="W17" s="169"/>
      <c r="X17" s="170"/>
      <c r="Y17" s="170"/>
      <c r="Z17" s="171"/>
      <c r="AA17" s="184"/>
      <c r="AB17" s="173"/>
      <c r="AC17" s="185"/>
      <c r="AD17" s="174"/>
      <c r="AE17" s="175"/>
      <c r="AF17" s="176"/>
      <c r="AG17" s="177">
        <v>0.20300000000000001</v>
      </c>
      <c r="AH17" s="178">
        <v>0.11799999999999999</v>
      </c>
      <c r="AI17" s="179"/>
      <c r="AJ17" s="179">
        <v>0.376</v>
      </c>
      <c r="AK17" s="180">
        <v>2.8000000000000001E-2</v>
      </c>
      <c r="AL17" s="160">
        <v>6.0999999999999999E-2</v>
      </c>
      <c r="AM17" s="161"/>
      <c r="AN17" s="181">
        <v>0.29699999999999999</v>
      </c>
      <c r="AO17" s="170">
        <v>0.08</v>
      </c>
      <c r="AP17" s="302">
        <v>0.27200000000000002</v>
      </c>
      <c r="AQ17" s="183">
        <v>8.1000000000000003E-2</v>
      </c>
      <c r="AR17" s="356">
        <v>5.8000000000000003E-2</v>
      </c>
      <c r="AS17" s="357"/>
      <c r="AT17" s="161"/>
      <c r="AU17" s="169">
        <v>0.20300000000000001</v>
      </c>
      <c r="AV17" s="170">
        <v>0.11799999999999999</v>
      </c>
      <c r="AW17" s="169">
        <v>0.32500000000000001</v>
      </c>
      <c r="AX17" s="171">
        <v>6.3E-2</v>
      </c>
      <c r="AY17" s="169"/>
      <c r="AZ17" s="170"/>
      <c r="BA17" s="170"/>
      <c r="BB17" s="171"/>
      <c r="BC17" s="184">
        <v>5.8000000000000003E-2</v>
      </c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>
        <v>0.28999999999999998</v>
      </c>
      <c r="AH18" s="178">
        <v>7.5999999999999998E-2</v>
      </c>
      <c r="AI18" s="179"/>
      <c r="AJ18" s="179">
        <v>7.4999999999999997E-2</v>
      </c>
      <c r="AK18" s="180">
        <v>0.121</v>
      </c>
      <c r="AL18" s="160">
        <v>6.3E-2</v>
      </c>
      <c r="AM18" s="161"/>
      <c r="AN18" s="181">
        <v>0.26400000000000001</v>
      </c>
      <c r="AO18" s="170">
        <v>9.0999999999999998E-2</v>
      </c>
      <c r="AP18" s="302">
        <v>0.253</v>
      </c>
      <c r="AQ18" s="183">
        <v>8.5999999999999993E-2</v>
      </c>
      <c r="AR18" s="356">
        <v>6.2E-2</v>
      </c>
      <c r="AS18" s="357"/>
      <c r="AT18" s="161"/>
      <c r="AU18" s="169">
        <v>0.28999999999999998</v>
      </c>
      <c r="AV18" s="170">
        <v>7.5999999999999998E-2</v>
      </c>
      <c r="AW18" s="169">
        <v>0.36</v>
      </c>
      <c r="AX18" s="171">
        <v>5.2999999999999999E-2</v>
      </c>
      <c r="AY18" s="169"/>
      <c r="AZ18" s="170"/>
      <c r="BA18" s="170"/>
      <c r="BB18" s="171"/>
      <c r="BC18" s="184">
        <v>6.3E-2</v>
      </c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0.214</v>
      </c>
      <c r="F23" s="198">
        <f t="shared" si="0"/>
        <v>0.11849999999999999</v>
      </c>
      <c r="G23" s="198">
        <f t="shared" si="0"/>
        <v>0</v>
      </c>
      <c r="H23" s="198">
        <f t="shared" si="0"/>
        <v>4.7500000000000001E-2</v>
      </c>
      <c r="I23" s="198">
        <f t="shared" si="0"/>
        <v>0.153</v>
      </c>
      <c r="J23" s="198">
        <f t="shared" si="0"/>
        <v>2.1499999999999998E-2</v>
      </c>
      <c r="K23" s="161"/>
      <c r="L23" s="199">
        <f>IFERROR(AVERAGE(L15:L22),0)</f>
        <v>0.22799999999999998</v>
      </c>
      <c r="M23" s="198">
        <f>IFERROR(AVERAGE(M15:M22),0)</f>
        <v>0.10050000000000001</v>
      </c>
      <c r="N23" s="200">
        <f>IFERROR(AVERAGE(N15:N22),0)</f>
        <v>0.20900000000000002</v>
      </c>
      <c r="O23" s="201">
        <f>IFERROR(AVERAGE(O15:O22),0)</f>
        <v>0.1125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0.2495</v>
      </c>
      <c r="T23" s="198">
        <f t="shared" si="1"/>
        <v>8.1500000000000003E-2</v>
      </c>
      <c r="U23" s="198">
        <f t="shared" si="1"/>
        <v>0.30199999999999999</v>
      </c>
      <c r="V23" s="198">
        <f t="shared" si="1"/>
        <v>6.9000000000000006E-2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5.8499999999999996E-2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0.24725000000000003</v>
      </c>
      <c r="AH23" s="198">
        <f t="shared" si="2"/>
        <v>9.6000000000000002E-2</v>
      </c>
      <c r="AI23" s="198">
        <f t="shared" si="2"/>
        <v>0</v>
      </c>
      <c r="AJ23" s="198">
        <f t="shared" si="2"/>
        <v>0.13899999999999998</v>
      </c>
      <c r="AK23" s="198">
        <f t="shared" si="2"/>
        <v>0.11749999999999999</v>
      </c>
      <c r="AL23" s="198">
        <f t="shared" si="2"/>
        <v>6.1499999999999999E-2</v>
      </c>
      <c r="AM23" s="161"/>
      <c r="AN23" s="199">
        <f>IFERROR(AVERAGE(AN15:AN22),0)</f>
        <v>0.25862499999999999</v>
      </c>
      <c r="AO23" s="198">
        <f>IFERROR(AVERAGE(AO15:AO22),0)</f>
        <v>0.10775000000000001</v>
      </c>
      <c r="AP23" s="200">
        <f>IFERROR(AVERAGE(AP15:AP22),0)</f>
        <v>0.24475</v>
      </c>
      <c r="AQ23" s="201">
        <f>IFERROR(AVERAGE(AQ15:AQ22),0)</f>
        <v>9.1749999999999998E-2</v>
      </c>
      <c r="AR23" s="396">
        <f>IFERROR(AVERAGE(AR15:AS22),0)</f>
        <v>6.0749999999999998E-2</v>
      </c>
      <c r="AS23" s="397"/>
      <c r="AT23" s="202"/>
      <c r="AU23" s="199">
        <f t="shared" ref="AU23:BC23" si="3">IFERROR(AVERAGE(AU15:AU22),0)</f>
        <v>0.25725000000000003</v>
      </c>
      <c r="AV23" s="198">
        <f t="shared" si="3"/>
        <v>8.8250000000000009E-2</v>
      </c>
      <c r="AW23" s="198">
        <f t="shared" si="3"/>
        <v>0.31499999999999995</v>
      </c>
      <c r="AX23" s="198">
        <f t="shared" si="3"/>
        <v>7.4999999999999997E-2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6.0999999999999999E-2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 t="s">
        <v>117</v>
      </c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 t="s">
        <v>114</v>
      </c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 t="s">
        <v>114</v>
      </c>
      <c r="N26" s="404" t="s">
        <v>63</v>
      </c>
      <c r="O26" s="405"/>
      <c r="P26" s="423">
        <v>9</v>
      </c>
      <c r="Q26" s="424"/>
      <c r="R26" s="231"/>
      <c r="S26" s="228" t="s">
        <v>62</v>
      </c>
      <c r="T26" s="229" t="s">
        <v>111</v>
      </c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525.63725490196077</v>
      </c>
      <c r="K42" s="266"/>
      <c r="R42" s="266"/>
    </row>
    <row r="43" spans="1:55" ht="16.2" thickBot="1" x14ac:dyDescent="0.35">
      <c r="A43" s="274" t="s">
        <v>2</v>
      </c>
      <c r="B43" s="275">
        <f>E8+AG8</f>
        <v>1975</v>
      </c>
      <c r="C43" s="275">
        <f>B8+AD8</f>
        <v>0</v>
      </c>
      <c r="D43" s="267"/>
      <c r="E43" s="276" t="s">
        <v>84</v>
      </c>
      <c r="F43" s="273">
        <f>AG9+AQ9+AV9</f>
        <v>524.33333333333337</v>
      </c>
      <c r="K43" s="266"/>
      <c r="R43" s="266"/>
    </row>
    <row r="44" spans="1:55" ht="16.2" thickBot="1" x14ac:dyDescent="0.35">
      <c r="A44" s="274" t="s">
        <v>3</v>
      </c>
      <c r="B44" s="275">
        <f>L8+AN8</f>
        <v>7987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3673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13635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1580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7028.56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3360.7950000000001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11969.355000000001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1000-000000000000}">
      <formula1>$A$137:$A$148</formula1>
    </dataValidation>
    <dataValidation type="list" allowBlank="1" showInputMessage="1" showErrorMessage="1" sqref="AX11 BB11:BC11 V11 Z11:AA11" xr:uid="{00000000-0002-0000-1000-000001000000}">
      <formula1>"Silo 6, Silo 7, Silo 8, Silo 9"</formula1>
    </dataValidation>
    <dataValidation type="list" allowBlank="1" showInputMessage="1" showErrorMessage="1" sqref="AD11 AO11 AZ11 AV11 B11 M11 X11 T11" xr:uid="{00000000-0002-0000-1000-000002000000}">
      <formula1>"100#, 40/70"</formula1>
    </dataValidation>
    <dataValidation type="list" allowBlank="1" showInputMessage="1" showErrorMessage="1" sqref="AJ11:AM11 AQ11:AT11 H11:K11 O11:R11" xr:uid="{00000000-0002-0000-1000-000003000000}">
      <formula1>"Silo 1, Silo 2, Silo 6, Silo 7"</formula1>
    </dataValidation>
    <dataValidation type="list" allowBlank="1" showInputMessage="1" showErrorMessage="1" sqref="AV25 AD25 AO25 T25 B25 M25" xr:uid="{00000000-0002-0000-1000-000004000000}">
      <formula1>"1, 2, 3, 4, 5, 6, 7, 8, 9, 10, 11, 12, 13, 14, 15, 16"</formula1>
    </dataValidation>
    <dataValidation type="list" allowBlank="1" showInputMessage="1" showErrorMessage="1" sqref="C29:C31 AE29:AE31" xr:uid="{00000000-0002-0000-1000-000005000000}">
      <formula1>"Carrier 100, Carrier 200, Rotary"</formula1>
    </dataValidation>
    <dataValidation type="list" allowBlank="1" showInputMessage="1" showErrorMessage="1" sqref="B26 M26 T26 AD26 AO26 AV26" xr:uid="{00000000-0002-0000-1000-000006000000}">
      <formula1>"SP1, SP2, SP3, OWP SP"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C148"/>
  <sheetViews>
    <sheetView topLeftCell="AF1" zoomScale="80" zoomScaleNormal="80" workbookViewId="0">
      <selection activeCell="AU6" sqref="AU6:BC6"/>
    </sheetView>
  </sheetViews>
  <sheetFormatPr defaultRowHeight="14.4" x14ac:dyDescent="0.3"/>
  <cols>
    <col min="1" max="1" width="10.6640625" customWidth="1"/>
    <col min="2" max="2" width="9.44140625" bestFit="1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>
        <v>42898</v>
      </c>
      <c r="C4" s="5"/>
      <c r="D4" s="6" t="s">
        <v>6</v>
      </c>
      <c r="E4" s="380" t="s">
        <v>93</v>
      </c>
      <c r="F4" s="381"/>
      <c r="G4" s="312"/>
      <c r="H4" s="312"/>
      <c r="I4" s="8"/>
      <c r="J4" s="9"/>
      <c r="K4" s="10"/>
      <c r="L4" s="6" t="s">
        <v>5</v>
      </c>
      <c r="M4" s="4">
        <f>B4</f>
        <v>42898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42898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42898</v>
      </c>
      <c r="AE4" s="5"/>
      <c r="AF4" s="6" t="s">
        <v>6</v>
      </c>
      <c r="AG4" s="380"/>
      <c r="AH4" s="381"/>
      <c r="AI4" s="312"/>
      <c r="AJ4" s="312"/>
      <c r="AK4" s="8"/>
      <c r="AL4" s="9"/>
      <c r="AM4" s="10"/>
      <c r="AN4" s="6" t="s">
        <v>5</v>
      </c>
      <c r="AO4" s="4">
        <f>B4</f>
        <v>42898</v>
      </c>
      <c r="AP4" s="5"/>
      <c r="AQ4" s="370" t="s">
        <v>6</v>
      </c>
      <c r="AR4" s="371"/>
      <c r="AS4" s="11"/>
      <c r="AT4" s="12"/>
      <c r="AU4" s="6" t="s">
        <v>5</v>
      </c>
      <c r="AV4" s="4">
        <f>B4</f>
        <v>42898</v>
      </c>
      <c r="AW4" s="5"/>
      <c r="AX4" s="6" t="s">
        <v>6</v>
      </c>
      <c r="AY4" s="382"/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>
        <v>11.8</v>
      </c>
      <c r="F5" s="20" t="s">
        <v>10</v>
      </c>
      <c r="G5" s="21">
        <f>SUM((B5+E5)/12, 0)</f>
        <v>0.98333333333333339</v>
      </c>
      <c r="H5" s="22"/>
      <c r="I5" s="23"/>
      <c r="J5" s="24"/>
      <c r="K5" s="25"/>
      <c r="L5" s="26" t="s">
        <v>11</v>
      </c>
      <c r="M5" s="27">
        <v>12</v>
      </c>
      <c r="N5" s="5"/>
      <c r="O5" s="28" t="s">
        <v>12</v>
      </c>
      <c r="P5" s="298">
        <f>SUM(M5/12)</f>
        <v>1</v>
      </c>
      <c r="Q5" s="317"/>
      <c r="R5" s="29"/>
      <c r="S5" s="20" t="s">
        <v>13</v>
      </c>
      <c r="T5" s="17">
        <v>12</v>
      </c>
      <c r="U5" s="5"/>
      <c r="V5" s="18" t="s">
        <v>14</v>
      </c>
      <c r="W5" s="19"/>
      <c r="X5" s="18" t="s">
        <v>10</v>
      </c>
      <c r="Y5" s="30">
        <f>SUM(T5+W5)/12</f>
        <v>1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>
        <v>12</v>
      </c>
      <c r="AH5" s="20" t="s">
        <v>10</v>
      </c>
      <c r="AI5" s="21">
        <f>SUM(AD5+AG5)/12</f>
        <v>1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>
        <v>12</v>
      </c>
      <c r="AW5" s="5"/>
      <c r="AX5" s="18" t="s">
        <v>14</v>
      </c>
      <c r="AY5" s="19"/>
      <c r="AZ5" s="18" t="s">
        <v>10</v>
      </c>
      <c r="BA5" s="30">
        <f>(AV5+AY5)/12</f>
        <v>1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>
        <v>1109</v>
      </c>
      <c r="F8" s="62">
        <f>E8*(1-F10)</f>
        <v>1049.114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>
        <v>4178</v>
      </c>
      <c r="M8" s="68">
        <v>3658</v>
      </c>
      <c r="N8" s="64">
        <f>L8*(1-M10)</f>
        <v>4178</v>
      </c>
      <c r="O8" s="69">
        <v>3832</v>
      </c>
      <c r="P8" s="296"/>
      <c r="Q8" s="60">
        <f>IFERROR((O8+P8)/L8,0)</f>
        <v>0.91718525610339874</v>
      </c>
      <c r="R8" s="70"/>
      <c r="S8" s="71">
        <v>1943</v>
      </c>
      <c r="T8" s="72">
        <v>1871</v>
      </c>
      <c r="U8" s="62">
        <f>S8*(1-T10)</f>
        <v>1838.078</v>
      </c>
      <c r="V8" s="60">
        <f>IFERROR(T8/S8,0)</f>
        <v>0.96294390118373652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>
        <v>1052</v>
      </c>
      <c r="AH8" s="62">
        <f>AG8*(1-AH10)</f>
        <v>994.92899999999997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>
        <v>4144</v>
      </c>
      <c r="AO8" s="68">
        <v>3650</v>
      </c>
      <c r="AP8" s="64">
        <f>AN8*(1-AO10)</f>
        <v>3924.3679999999999</v>
      </c>
      <c r="AQ8" s="69">
        <v>3662</v>
      </c>
      <c r="AR8" s="296"/>
      <c r="AS8" s="60">
        <f>SUM((AQ8+AR8)/AP8,0)</f>
        <v>0.93314388456943897</v>
      </c>
      <c r="AT8" s="70"/>
      <c r="AU8" s="71">
        <v>1828</v>
      </c>
      <c r="AV8" s="72">
        <v>1724</v>
      </c>
      <c r="AW8" s="62">
        <f>AU8*(1-AV10)</f>
        <v>1731.116</v>
      </c>
      <c r="AX8" s="60">
        <f>IFERROR(AV8/AU8,0)</f>
        <v>0.94310722100656452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93.983050847457619</v>
      </c>
      <c r="F9" s="81">
        <f>IFERROR(SUM(F8/E5),0)</f>
        <v>88.90796610169491</v>
      </c>
      <c r="G9" s="82"/>
      <c r="H9" s="83"/>
      <c r="I9" s="83"/>
      <c r="J9" s="84"/>
      <c r="K9" s="85"/>
      <c r="L9" s="86">
        <f>IFERROR(L8/M5,0)</f>
        <v>348.16666666666669</v>
      </c>
      <c r="M9" s="86">
        <f>IFERROR(M8/M5,0)</f>
        <v>304.83333333333331</v>
      </c>
      <c r="N9" s="86">
        <f>IFERROR(N8/M5,0)</f>
        <v>348.16666666666669</v>
      </c>
      <c r="O9" s="86">
        <f>IFERROR(O8/M5,0)</f>
        <v>319.33333333333331</v>
      </c>
      <c r="P9" s="297">
        <f>SUM(P8/M5,0)</f>
        <v>0</v>
      </c>
      <c r="Q9" s="87">
        <f>IFERROR(Q8/M5,0)</f>
        <v>7.6432104675283233E-2</v>
      </c>
      <c r="R9" s="88"/>
      <c r="S9" s="89">
        <f>IFERROR(S8/T5,0)</f>
        <v>161.91666666666666</v>
      </c>
      <c r="T9" s="90">
        <f>IFERROR(SUM(T8/T5),0)</f>
        <v>155.91666666666666</v>
      </c>
      <c r="U9" s="91">
        <f>IFERROR(U8/T5,0)</f>
        <v>153.17316666666667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87.666666666666671</v>
      </c>
      <c r="AH9" s="81">
        <f>IFERROR(SUM(AH8/AG5),0)</f>
        <v>82.910749999999993</v>
      </c>
      <c r="AI9" s="82"/>
      <c r="AJ9" s="83"/>
      <c r="AK9" s="83"/>
      <c r="AL9" s="84"/>
      <c r="AM9" s="85"/>
      <c r="AN9" s="86">
        <f>IFERROR(AN8/AO5,0)</f>
        <v>345.33333333333331</v>
      </c>
      <c r="AO9" s="86">
        <f>IFERROR(AO8/AO5,0)</f>
        <v>304.16666666666669</v>
      </c>
      <c r="AP9" s="86">
        <f>IFERROR(AP8/AO5,0)</f>
        <v>327.03066666666666</v>
      </c>
      <c r="AQ9" s="86">
        <f>IFERROR(AQ8/AO5,0)</f>
        <v>305.16666666666669</v>
      </c>
      <c r="AR9" s="297">
        <f>SUM(AR8/AO5,0)</f>
        <v>0</v>
      </c>
      <c r="AS9" s="87">
        <f>IFERROR(AS8/AO5,0)</f>
        <v>7.7761990380786586E-2</v>
      </c>
      <c r="AT9" s="88"/>
      <c r="AU9" s="89">
        <f>IFERROR(AU8/AV5,0)</f>
        <v>152.33333333333334</v>
      </c>
      <c r="AV9" s="90">
        <f>IFERROR(SUM(AV8/AV5),0)</f>
        <v>143.66666666666666</v>
      </c>
      <c r="AW9" s="91">
        <f>IFERROR(AW8/AV5,0)</f>
        <v>144.25966666666667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5.3999999999999999E-2</v>
      </c>
      <c r="C10" s="99"/>
      <c r="D10" s="100"/>
      <c r="E10" s="101" t="s">
        <v>39</v>
      </c>
      <c r="F10" s="102">
        <f>J23</f>
        <v>5.3999999999999999E-2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5.3999999999999999E-2</v>
      </c>
      <c r="U10" s="112"/>
      <c r="V10" s="100"/>
      <c r="W10" s="101" t="s">
        <v>39</v>
      </c>
      <c r="X10" s="113">
        <f>AA23</f>
        <v>5.3999999999999999E-2</v>
      </c>
      <c r="Y10" s="5"/>
      <c r="Z10" s="5"/>
      <c r="AA10" s="114"/>
      <c r="AB10" s="15"/>
      <c r="AC10" s="97" t="s">
        <v>39</v>
      </c>
      <c r="AD10" s="98">
        <f>AL23</f>
        <v>5.425E-2</v>
      </c>
      <c r="AE10" s="99"/>
      <c r="AF10" s="100"/>
      <c r="AG10" s="101" t="s">
        <v>39</v>
      </c>
      <c r="AH10" s="102">
        <f>AL23</f>
        <v>5.425E-2</v>
      </c>
      <c r="AI10" s="103"/>
      <c r="AJ10" s="99"/>
      <c r="AK10" s="104"/>
      <c r="AL10" s="105"/>
      <c r="AM10" s="106"/>
      <c r="AN10" s="107" t="s">
        <v>39</v>
      </c>
      <c r="AO10" s="108">
        <f>AR23</f>
        <v>5.2999999999999999E-2</v>
      </c>
      <c r="AP10" s="109"/>
      <c r="AQ10" s="109"/>
      <c r="AR10" s="109"/>
      <c r="AS10" s="110"/>
      <c r="AT10" s="111"/>
      <c r="AU10" s="107" t="s">
        <v>39</v>
      </c>
      <c r="AV10" s="108">
        <f>BC23</f>
        <v>5.2999999999999999E-2</v>
      </c>
      <c r="AW10" s="112"/>
      <c r="AX10" s="100"/>
      <c r="AY10" s="101" t="s">
        <v>39</v>
      </c>
      <c r="AZ10" s="113">
        <f>BC23</f>
        <v>5.2999999999999999E-2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>
        <v>0.26500000000000001</v>
      </c>
      <c r="F15" s="157">
        <v>8.1000000000000003E-2</v>
      </c>
      <c r="G15" s="158"/>
      <c r="H15" s="158">
        <v>5.2999999999999999E-2</v>
      </c>
      <c r="I15" s="159">
        <v>0.27200000000000002</v>
      </c>
      <c r="J15" s="160">
        <v>5.8000000000000003E-2</v>
      </c>
      <c r="K15" s="161"/>
      <c r="L15" s="162">
        <v>0.22800000000000001</v>
      </c>
      <c r="M15" s="163">
        <v>9.9000000000000005E-2</v>
      </c>
      <c r="N15" s="164">
        <v>0.23499999999999999</v>
      </c>
      <c r="O15" s="299">
        <v>8.5999999999999993E-2</v>
      </c>
      <c r="P15" s="446">
        <v>0.06</v>
      </c>
      <c r="Q15" s="447"/>
      <c r="R15" s="161"/>
      <c r="S15" s="166">
        <v>0.26500000000000001</v>
      </c>
      <c r="T15" s="163">
        <v>8.1000000000000003E-2</v>
      </c>
      <c r="U15" s="167">
        <v>0.30599999999999999</v>
      </c>
      <c r="V15" s="168">
        <v>6.2E-2</v>
      </c>
      <c r="W15" s="169"/>
      <c r="X15" s="170"/>
      <c r="Y15" s="170"/>
      <c r="Z15" s="171"/>
      <c r="AA15" s="172">
        <v>5.8000000000000003E-2</v>
      </c>
      <c r="AB15" s="173"/>
      <c r="AC15" s="152"/>
      <c r="AD15" s="153"/>
      <c r="AE15" s="154"/>
      <c r="AF15" s="155"/>
      <c r="AG15" s="156">
        <v>0.28999999999999998</v>
      </c>
      <c r="AH15" s="157">
        <v>0.11600000000000001</v>
      </c>
      <c r="AI15" s="158"/>
      <c r="AJ15" s="158">
        <v>5.0999999999999997E-2</v>
      </c>
      <c r="AK15" s="159">
        <v>0.27900000000000003</v>
      </c>
      <c r="AL15" s="160">
        <v>6.3E-2</v>
      </c>
      <c r="AM15" s="161"/>
      <c r="AN15" s="162">
        <v>0.248</v>
      </c>
      <c r="AO15" s="163">
        <v>0.115</v>
      </c>
      <c r="AP15" s="164">
        <v>0.20799999999999999</v>
      </c>
      <c r="AQ15" s="165">
        <v>0.23200000000000001</v>
      </c>
      <c r="AR15" s="356">
        <v>6.3E-2</v>
      </c>
      <c r="AS15" s="357"/>
      <c r="AT15" s="161"/>
      <c r="AU15" s="166">
        <v>0.28999999999999998</v>
      </c>
      <c r="AV15" s="163">
        <v>0.11600000000000001</v>
      </c>
      <c r="AW15" s="167">
        <v>0.318</v>
      </c>
      <c r="AX15" s="168">
        <v>0.11899999999999999</v>
      </c>
      <c r="AY15" s="169"/>
      <c r="AZ15" s="170"/>
      <c r="BA15" s="170"/>
      <c r="BB15" s="171"/>
      <c r="BC15" s="172">
        <v>6.3E-2</v>
      </c>
    </row>
    <row r="16" spans="1:55" x14ac:dyDescent="0.3">
      <c r="A16" s="152"/>
      <c r="B16" s="174"/>
      <c r="C16" s="175"/>
      <c r="D16" s="176"/>
      <c r="E16" s="177">
        <v>0.27400000000000002</v>
      </c>
      <c r="F16" s="178">
        <v>8.2000000000000003E-2</v>
      </c>
      <c r="G16" s="179"/>
      <c r="H16" s="179">
        <v>4.3999999999999997E-2</v>
      </c>
      <c r="I16" s="180">
        <v>0.246</v>
      </c>
      <c r="J16" s="160">
        <v>5.8000000000000003E-2</v>
      </c>
      <c r="K16" s="161"/>
      <c r="L16" s="181">
        <v>0.27400000000000002</v>
      </c>
      <c r="M16" s="170">
        <v>8.2000000000000003E-2</v>
      </c>
      <c r="N16" s="302">
        <v>0.23799999999999999</v>
      </c>
      <c r="O16" s="300">
        <v>9.1999999999999998E-2</v>
      </c>
      <c r="P16" s="440">
        <v>5.8000000000000003E-2</v>
      </c>
      <c r="Q16" s="357"/>
      <c r="R16" s="161"/>
      <c r="S16" s="169">
        <v>0.27400000000000002</v>
      </c>
      <c r="T16" s="170">
        <v>8.2000000000000003E-2</v>
      </c>
      <c r="U16" s="169">
        <v>0.28499999999999998</v>
      </c>
      <c r="V16" s="171">
        <v>7.0999999999999994E-2</v>
      </c>
      <c r="W16" s="169"/>
      <c r="X16" s="170"/>
      <c r="Y16" s="170"/>
      <c r="Z16" s="171"/>
      <c r="AA16" s="184">
        <v>5.8000000000000003E-2</v>
      </c>
      <c r="AB16" s="173"/>
      <c r="AC16" s="185"/>
      <c r="AD16" s="174"/>
      <c r="AE16" s="175"/>
      <c r="AF16" s="176"/>
      <c r="AG16" s="177">
        <v>0.32</v>
      </c>
      <c r="AH16" s="178">
        <v>0.11799999999999999</v>
      </c>
      <c r="AI16" s="179"/>
      <c r="AJ16" s="179">
        <v>4.9000000000000002E-2</v>
      </c>
      <c r="AK16" s="180">
        <v>0.26600000000000001</v>
      </c>
      <c r="AL16" s="160">
        <v>4.8000000000000001E-2</v>
      </c>
      <c r="AM16" s="161"/>
      <c r="AN16" s="181">
        <v>0.246</v>
      </c>
      <c r="AO16" s="170">
        <v>0.114</v>
      </c>
      <c r="AP16" s="302">
        <v>0.28999999999999998</v>
      </c>
      <c r="AQ16" s="183">
        <v>0.115</v>
      </c>
      <c r="AR16" s="356">
        <v>4.8000000000000001E-2</v>
      </c>
      <c r="AS16" s="357"/>
      <c r="AT16" s="161"/>
      <c r="AU16" s="169">
        <v>0.32</v>
      </c>
      <c r="AV16" s="170">
        <v>0.11799999999999999</v>
      </c>
      <c r="AW16" s="169">
        <v>0.32</v>
      </c>
      <c r="AX16" s="171">
        <v>0.106</v>
      </c>
      <c r="AY16" s="169"/>
      <c r="AZ16" s="170"/>
      <c r="BA16" s="170"/>
      <c r="BB16" s="171"/>
      <c r="BC16" s="184">
        <v>4.8000000000000001E-2</v>
      </c>
    </row>
    <row r="17" spans="1:55" x14ac:dyDescent="0.3">
      <c r="A17" s="152"/>
      <c r="B17" s="174"/>
      <c r="C17" s="175"/>
      <c r="D17" s="176"/>
      <c r="E17" s="177">
        <v>0.32200000000000001</v>
      </c>
      <c r="F17" s="178">
        <v>0.125</v>
      </c>
      <c r="G17" s="179"/>
      <c r="H17" s="179">
        <v>0.22800000000000001</v>
      </c>
      <c r="I17" s="180">
        <v>0.214</v>
      </c>
      <c r="J17" s="160">
        <v>4.5999999999999999E-2</v>
      </c>
      <c r="K17" s="161"/>
      <c r="L17" s="181">
        <v>0.29299999999999998</v>
      </c>
      <c r="M17" s="170">
        <v>0.11600000000000001</v>
      </c>
      <c r="N17" s="302">
        <v>0.29499999999999998</v>
      </c>
      <c r="O17" s="300">
        <v>0.11899999999999999</v>
      </c>
      <c r="P17" s="440">
        <v>4.2000000000000003E-2</v>
      </c>
      <c r="Q17" s="357"/>
      <c r="R17" s="161"/>
      <c r="S17" s="169">
        <v>0.32200000000000001</v>
      </c>
      <c r="T17" s="170">
        <v>0.125</v>
      </c>
      <c r="U17" s="169">
        <v>0.34799999999999998</v>
      </c>
      <c r="V17" s="171">
        <v>0.105</v>
      </c>
      <c r="W17" s="169"/>
      <c r="X17" s="170"/>
      <c r="Y17" s="170"/>
      <c r="Z17" s="171"/>
      <c r="AA17" s="184">
        <v>4.5999999999999999E-2</v>
      </c>
      <c r="AB17" s="173"/>
      <c r="AC17" s="185"/>
      <c r="AD17" s="174"/>
      <c r="AE17" s="175"/>
      <c r="AF17" s="176"/>
      <c r="AG17" s="177">
        <v>0.28100000000000003</v>
      </c>
      <c r="AH17" s="178">
        <v>0.128</v>
      </c>
      <c r="AI17" s="179"/>
      <c r="AJ17" s="179">
        <v>4.4999999999999998E-2</v>
      </c>
      <c r="AK17" s="180">
        <v>0.23799999999999999</v>
      </c>
      <c r="AL17" s="160">
        <v>4.8000000000000001E-2</v>
      </c>
      <c r="AM17" s="161"/>
      <c r="AN17" s="181">
        <v>0.28399999999999997</v>
      </c>
      <c r="AO17" s="170">
        <v>0.127</v>
      </c>
      <c r="AP17" s="302">
        <v>0.224</v>
      </c>
      <c r="AQ17" s="183">
        <v>0.14000000000000001</v>
      </c>
      <c r="AR17" s="356">
        <v>4.8000000000000001E-2</v>
      </c>
      <c r="AS17" s="357"/>
      <c r="AT17" s="161"/>
      <c r="AU17" s="169">
        <v>0.28100000000000003</v>
      </c>
      <c r="AV17" s="170">
        <v>0.128</v>
      </c>
      <c r="AW17" s="169">
        <v>0.247</v>
      </c>
      <c r="AX17" s="171">
        <v>0.14199999999999999</v>
      </c>
      <c r="AY17" s="169"/>
      <c r="AZ17" s="170"/>
      <c r="BA17" s="170"/>
      <c r="BB17" s="171"/>
      <c r="BC17" s="184">
        <v>4.8000000000000001E-2</v>
      </c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>
        <v>0.26200000000000001</v>
      </c>
      <c r="AH18" s="178">
        <v>0.121</v>
      </c>
      <c r="AI18" s="179"/>
      <c r="AJ18" s="179">
        <v>0.05</v>
      </c>
      <c r="AK18" s="180">
        <v>0.22900000000000001</v>
      </c>
      <c r="AL18" s="160">
        <v>5.8000000000000003E-2</v>
      </c>
      <c r="AM18" s="161"/>
      <c r="AN18" s="181">
        <v>0.26500000000000001</v>
      </c>
      <c r="AO18" s="170">
        <v>0.125</v>
      </c>
      <c r="AP18" s="302">
        <v>0.23400000000000001</v>
      </c>
      <c r="AQ18" s="183">
        <v>0.14099999999999999</v>
      </c>
      <c r="AR18" s="356">
        <v>5.2999999999999999E-2</v>
      </c>
      <c r="AS18" s="357"/>
      <c r="AT18" s="161"/>
      <c r="AU18" s="169">
        <v>0.26200000000000001</v>
      </c>
      <c r="AV18" s="170">
        <v>0.121</v>
      </c>
      <c r="AW18" s="169">
        <v>0.28299999999999997</v>
      </c>
      <c r="AX18" s="171">
        <v>0.113</v>
      </c>
      <c r="AY18" s="169"/>
      <c r="AZ18" s="170"/>
      <c r="BA18" s="170"/>
      <c r="BB18" s="171"/>
      <c r="BC18" s="184">
        <v>5.2999999999999999E-2</v>
      </c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0.28699999999999998</v>
      </c>
      <c r="F23" s="198">
        <f t="shared" si="0"/>
        <v>9.6000000000000016E-2</v>
      </c>
      <c r="G23" s="198">
        <f t="shared" si="0"/>
        <v>0</v>
      </c>
      <c r="H23" s="198">
        <f t="shared" si="0"/>
        <v>0.10833333333333334</v>
      </c>
      <c r="I23" s="198">
        <f t="shared" si="0"/>
        <v>0.24399999999999999</v>
      </c>
      <c r="J23" s="198">
        <f t="shared" si="0"/>
        <v>5.3999999999999999E-2</v>
      </c>
      <c r="K23" s="161"/>
      <c r="L23" s="199">
        <f>IFERROR(AVERAGE(L15:L22),0)</f>
        <v>0.26499999999999996</v>
      </c>
      <c r="M23" s="198">
        <f>IFERROR(AVERAGE(M15:M22),0)</f>
        <v>9.8999999999999991E-2</v>
      </c>
      <c r="N23" s="200">
        <f>IFERROR(AVERAGE(N15:N22),0)</f>
        <v>0.25600000000000001</v>
      </c>
      <c r="O23" s="201">
        <f>IFERROR(AVERAGE(O15:O22),0)</f>
        <v>9.8999999999999991E-2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0.28699999999999998</v>
      </c>
      <c r="T23" s="198">
        <f t="shared" si="1"/>
        <v>9.6000000000000016E-2</v>
      </c>
      <c r="U23" s="198">
        <f t="shared" si="1"/>
        <v>0.313</v>
      </c>
      <c r="V23" s="198">
        <f t="shared" si="1"/>
        <v>7.9333333333333325E-2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5.3999999999999999E-2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0.28825000000000001</v>
      </c>
      <c r="AH23" s="198">
        <f t="shared" si="2"/>
        <v>0.12075</v>
      </c>
      <c r="AI23" s="198">
        <f t="shared" si="2"/>
        <v>0</v>
      </c>
      <c r="AJ23" s="198">
        <f t="shared" si="2"/>
        <v>4.8750000000000002E-2</v>
      </c>
      <c r="AK23" s="198">
        <f t="shared" si="2"/>
        <v>0.253</v>
      </c>
      <c r="AL23" s="198">
        <f t="shared" si="2"/>
        <v>5.425E-2</v>
      </c>
      <c r="AM23" s="161"/>
      <c r="AN23" s="199">
        <f>IFERROR(AVERAGE(AN15:AN22),0)</f>
        <v>0.26075000000000004</v>
      </c>
      <c r="AO23" s="198">
        <f>IFERROR(AVERAGE(AO15:AO22),0)</f>
        <v>0.12025</v>
      </c>
      <c r="AP23" s="200">
        <f>IFERROR(AVERAGE(AP15:AP22),0)</f>
        <v>0.23899999999999999</v>
      </c>
      <c r="AQ23" s="201">
        <f>IFERROR(AVERAGE(AQ15:AQ22),0)</f>
        <v>0.157</v>
      </c>
      <c r="AR23" s="396">
        <f>IFERROR(AVERAGE(AR15:AS22),0)</f>
        <v>5.2999999999999999E-2</v>
      </c>
      <c r="AS23" s="397"/>
      <c r="AT23" s="202"/>
      <c r="AU23" s="199">
        <f t="shared" ref="AU23:BC23" si="3">IFERROR(AVERAGE(AU15:AU22),0)</f>
        <v>0.28825000000000001</v>
      </c>
      <c r="AV23" s="198">
        <f t="shared" si="3"/>
        <v>0.12075</v>
      </c>
      <c r="AW23" s="198">
        <f t="shared" si="3"/>
        <v>0.29199999999999998</v>
      </c>
      <c r="AX23" s="198">
        <f t="shared" si="3"/>
        <v>0.12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5.2999999999999999E-2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 t="s">
        <v>106</v>
      </c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 t="s">
        <v>111</v>
      </c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 t="s">
        <v>111</v>
      </c>
      <c r="N26" s="404" t="s">
        <v>63</v>
      </c>
      <c r="O26" s="405"/>
      <c r="P26" s="423">
        <v>10</v>
      </c>
      <c r="Q26" s="424"/>
      <c r="R26" s="231"/>
      <c r="S26" s="228" t="s">
        <v>62</v>
      </c>
      <c r="T26" s="229" t="s">
        <v>111</v>
      </c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569.23305084745755</v>
      </c>
      <c r="K42" s="266"/>
      <c r="R42" s="266"/>
    </row>
    <row r="43" spans="1:55" ht="16.2" thickBot="1" x14ac:dyDescent="0.35">
      <c r="A43" s="274" t="s">
        <v>2</v>
      </c>
      <c r="B43" s="275">
        <f>E8+AG8</f>
        <v>2161</v>
      </c>
      <c r="C43" s="275">
        <f>B8+AD8</f>
        <v>0</v>
      </c>
      <c r="D43" s="267"/>
      <c r="E43" s="276" t="s">
        <v>84</v>
      </c>
      <c r="F43" s="273">
        <f>AG9+AQ9+AV9</f>
        <v>536.5</v>
      </c>
      <c r="K43" s="266"/>
      <c r="R43" s="266"/>
    </row>
    <row r="44" spans="1:55" ht="16.2" thickBot="1" x14ac:dyDescent="0.35">
      <c r="A44" s="274" t="s">
        <v>3</v>
      </c>
      <c r="B44" s="275">
        <f>L8+AN8</f>
        <v>8322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3771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14254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1728.8000000000002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7323.36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3450.4650000000001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12502.625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1100-000000000000}">
      <formula1>$A$137:$A$148</formula1>
    </dataValidation>
    <dataValidation type="list" allowBlank="1" showInputMessage="1" showErrorMessage="1" sqref="AX11 BB11:BC11 V11 Z11:AA11" xr:uid="{00000000-0002-0000-1100-000001000000}">
      <formula1>"Silo 6, Silo 7, Silo 8, Silo 9"</formula1>
    </dataValidation>
    <dataValidation type="list" allowBlank="1" showInputMessage="1" showErrorMessage="1" sqref="AD11 AO11 AZ11 AV11 B11 M11 X11 T11" xr:uid="{00000000-0002-0000-1100-000002000000}">
      <formula1>"100#, 40/70"</formula1>
    </dataValidation>
    <dataValidation type="list" allowBlank="1" showInputMessage="1" showErrorMessage="1" sqref="AJ11:AM11 AQ11:AT11 H11:K11 O11:R11" xr:uid="{00000000-0002-0000-1100-000003000000}">
      <formula1>"Silo 1, Silo 2, Silo 6, Silo 7"</formula1>
    </dataValidation>
    <dataValidation type="list" allowBlank="1" showInputMessage="1" showErrorMessage="1" sqref="AV25 AD25 AO25 T25 B25 M25" xr:uid="{00000000-0002-0000-1100-000004000000}">
      <formula1>"1, 2, 3, 4, 5, 6, 7, 8, 9, 10, 11, 12, 13, 14, 15, 16"</formula1>
    </dataValidation>
    <dataValidation type="list" allowBlank="1" showInputMessage="1" showErrorMessage="1" sqref="C29:C31 AE29:AE31" xr:uid="{00000000-0002-0000-1100-000005000000}">
      <formula1>"Carrier 100, Carrier 200, Rotary"</formula1>
    </dataValidation>
    <dataValidation type="list" allowBlank="1" showInputMessage="1" showErrorMessage="1" sqref="B26 M26 T26 AD26 AO26 AV26" xr:uid="{00000000-0002-0000-1100-000006000000}">
      <formula1>"SP1, SP2, SP3, OWP SP"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C148"/>
  <sheetViews>
    <sheetView topLeftCell="AI7" zoomScale="90" zoomScaleNormal="90" workbookViewId="0">
      <selection activeCell="AV5" sqref="AV5"/>
    </sheetView>
  </sheetViews>
  <sheetFormatPr defaultRowHeight="14.4" x14ac:dyDescent="0.3"/>
  <cols>
    <col min="1" max="1" width="10.6640625" customWidth="1"/>
    <col min="2" max="2" width="9.44140625" bestFit="1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>
        <v>42899</v>
      </c>
      <c r="C4" s="5"/>
      <c r="D4" s="6" t="s">
        <v>6</v>
      </c>
      <c r="E4" s="380" t="s">
        <v>93</v>
      </c>
      <c r="F4" s="381"/>
      <c r="G4" s="312"/>
      <c r="H4" s="312"/>
      <c r="I4" s="8"/>
      <c r="J4" s="9"/>
      <c r="K4" s="10"/>
      <c r="L4" s="6" t="s">
        <v>5</v>
      </c>
      <c r="M4" s="4">
        <f>B4</f>
        <v>42899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42899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42899</v>
      </c>
      <c r="AE4" s="5"/>
      <c r="AF4" s="6" t="s">
        <v>6</v>
      </c>
      <c r="AG4" s="380" t="s">
        <v>100</v>
      </c>
      <c r="AH4" s="381"/>
      <c r="AI4" s="312"/>
      <c r="AJ4" s="312"/>
      <c r="AK4" s="8"/>
      <c r="AL4" s="9"/>
      <c r="AM4" s="10"/>
      <c r="AN4" s="6" t="s">
        <v>5</v>
      </c>
      <c r="AO4" s="4">
        <f>B4</f>
        <v>42899</v>
      </c>
      <c r="AP4" s="5"/>
      <c r="AQ4" s="370" t="s">
        <v>6</v>
      </c>
      <c r="AR4" s="371"/>
      <c r="AS4" s="11" t="s">
        <v>100</v>
      </c>
      <c r="AT4" s="12"/>
      <c r="AU4" s="6" t="s">
        <v>5</v>
      </c>
      <c r="AV4" s="4">
        <f>B4</f>
        <v>42899</v>
      </c>
      <c r="AW4" s="5"/>
      <c r="AX4" s="6" t="s">
        <v>6</v>
      </c>
      <c r="AY4" s="382" t="s">
        <v>100</v>
      </c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/>
      <c r="F5" s="20" t="s">
        <v>10</v>
      </c>
      <c r="G5" s="21">
        <f>SUM((B5+E5)/12, 0)</f>
        <v>0</v>
      </c>
      <c r="H5" s="22"/>
      <c r="I5" s="23"/>
      <c r="J5" s="24"/>
      <c r="K5" s="25"/>
      <c r="L5" s="26" t="s">
        <v>11</v>
      </c>
      <c r="M5" s="27"/>
      <c r="N5" s="5"/>
      <c r="O5" s="28" t="s">
        <v>12</v>
      </c>
      <c r="P5" s="298">
        <f>SUM(M5/12)</f>
        <v>0</v>
      </c>
      <c r="Q5" s="317"/>
      <c r="R5" s="29"/>
      <c r="S5" s="20" t="s">
        <v>13</v>
      </c>
      <c r="T5" s="17"/>
      <c r="U5" s="5"/>
      <c r="V5" s="18" t="s">
        <v>14</v>
      </c>
      <c r="W5" s="19"/>
      <c r="X5" s="18" t="s">
        <v>10</v>
      </c>
      <c r="Y5" s="30">
        <f>SUM(T5+W5)/12</f>
        <v>0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>
        <v>12</v>
      </c>
      <c r="AH5" s="20" t="s">
        <v>10</v>
      </c>
      <c r="AI5" s="21">
        <f>SUM(AD5+AG5)/12</f>
        <v>1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>
        <v>6</v>
      </c>
      <c r="AW5" s="5"/>
      <c r="AX5" s="18" t="s">
        <v>14</v>
      </c>
      <c r="AY5" s="19"/>
      <c r="AZ5" s="18" t="s">
        <v>10</v>
      </c>
      <c r="BA5" s="30">
        <f>(AV5+AY5)/12</f>
        <v>0.5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/>
      <c r="M8" s="68"/>
      <c r="N8" s="64">
        <f>L8*(1-M10)</f>
        <v>0</v>
      </c>
      <c r="O8" s="69"/>
      <c r="P8" s="296"/>
      <c r="Q8" s="60">
        <f>IFERROR((O8+P8)/L8,0)</f>
        <v>0</v>
      </c>
      <c r="R8" s="70"/>
      <c r="S8" s="71"/>
      <c r="T8" s="72"/>
      <c r="U8" s="62">
        <f>S8*(1-T10)</f>
        <v>0</v>
      </c>
      <c r="V8" s="60">
        <f>IFERROR(T8/S8,0)</f>
        <v>0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>
        <v>972</v>
      </c>
      <c r="AH8" s="62">
        <f>AG8*(1-AH10)</f>
        <v>910.43999999999994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>
        <v>3610</v>
      </c>
      <c r="AO8" s="68"/>
      <c r="AP8" s="64">
        <f>AN8*(1-AO10)</f>
        <v>3381.3666666666668</v>
      </c>
      <c r="AQ8" s="69">
        <v>3470</v>
      </c>
      <c r="AR8" s="296"/>
      <c r="AS8" s="60">
        <f>SUM((AQ8+AR8)/AP8,0)</f>
        <v>1.0262122810303527</v>
      </c>
      <c r="AT8" s="70"/>
      <c r="AU8" s="71">
        <v>665</v>
      </c>
      <c r="AV8" s="72">
        <v>579</v>
      </c>
      <c r="AW8" s="62">
        <f>AU8*(1-AV10)</f>
        <v>619.11500000000001</v>
      </c>
      <c r="AX8" s="60">
        <f>IFERROR(AV8/AU8,0)</f>
        <v>0.87067669172932327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0</v>
      </c>
      <c r="M9" s="86">
        <f>IFERROR(M8/M5,0)</f>
        <v>0</v>
      </c>
      <c r="N9" s="86">
        <f>IFERROR(N8/M5,0)</f>
        <v>0</v>
      </c>
      <c r="O9" s="86">
        <f>IFERROR(O8/M5,0)</f>
        <v>0</v>
      </c>
      <c r="P9" s="297" t="e">
        <f>SUM(P8/M5,0)</f>
        <v>#DIV/0!</v>
      </c>
      <c r="Q9" s="87">
        <f>IFERROR(Q8/M5,0)</f>
        <v>0</v>
      </c>
      <c r="R9" s="88"/>
      <c r="S9" s="89">
        <f>IFERROR(S8/T5,0)</f>
        <v>0</v>
      </c>
      <c r="T9" s="90">
        <f>IFERROR(SUM(T8/T5),0)</f>
        <v>0</v>
      </c>
      <c r="U9" s="91">
        <f>IFERROR(U8/T5,0)</f>
        <v>0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81</v>
      </c>
      <c r="AH9" s="81">
        <f>IFERROR(SUM(AH8/AG5),0)</f>
        <v>75.86999999999999</v>
      </c>
      <c r="AI9" s="82"/>
      <c r="AJ9" s="83"/>
      <c r="AK9" s="83"/>
      <c r="AL9" s="84"/>
      <c r="AM9" s="85"/>
      <c r="AN9" s="86">
        <f>IFERROR(AN8/AO5,0)</f>
        <v>300.83333333333331</v>
      </c>
      <c r="AO9" s="86">
        <f>IFERROR(AO8/AO5,0)</f>
        <v>0</v>
      </c>
      <c r="AP9" s="86">
        <f>IFERROR(AP8/AO5,0)</f>
        <v>281.78055555555557</v>
      </c>
      <c r="AQ9" s="86">
        <f>IFERROR(AQ8/AO5,0)</f>
        <v>289.16666666666669</v>
      </c>
      <c r="AR9" s="297">
        <f>SUM(AR8/AO5,0)</f>
        <v>0</v>
      </c>
      <c r="AS9" s="87">
        <f>IFERROR(AS8/AO5,0)</f>
        <v>8.5517690085862727E-2</v>
      </c>
      <c r="AT9" s="88"/>
      <c r="AU9" s="89">
        <f>IFERROR(AU8/AV5,0)</f>
        <v>110.83333333333333</v>
      </c>
      <c r="AV9" s="90">
        <f>IFERROR(SUM(AV8/AV5),0)</f>
        <v>96.5</v>
      </c>
      <c r="AW9" s="91">
        <f>IFERROR(AW8/AV5,0)</f>
        <v>103.18583333333333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5.8999999999999997E-2</v>
      </c>
      <c r="C10" s="99"/>
      <c r="D10" s="100"/>
      <c r="E10" s="101" t="s">
        <v>39</v>
      </c>
      <c r="F10" s="102">
        <f>J23</f>
        <v>5.8999999999999997E-2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5.8999999999999997E-2</v>
      </c>
      <c r="U10" s="112"/>
      <c r="V10" s="100"/>
      <c r="W10" s="101" t="s">
        <v>39</v>
      </c>
      <c r="X10" s="113">
        <f>AA23</f>
        <v>5.8999999999999997E-2</v>
      </c>
      <c r="Y10" s="5"/>
      <c r="Z10" s="5"/>
      <c r="AA10" s="114"/>
      <c r="AB10" s="15"/>
      <c r="AC10" s="97" t="s">
        <v>39</v>
      </c>
      <c r="AD10" s="98">
        <f>AL23</f>
        <v>6.3333333333333339E-2</v>
      </c>
      <c r="AE10" s="99"/>
      <c r="AF10" s="100"/>
      <c r="AG10" s="101" t="s">
        <v>39</v>
      </c>
      <c r="AH10" s="102">
        <f>AL23</f>
        <v>6.3333333333333339E-2</v>
      </c>
      <c r="AI10" s="103"/>
      <c r="AJ10" s="99"/>
      <c r="AK10" s="104"/>
      <c r="AL10" s="105"/>
      <c r="AM10" s="106"/>
      <c r="AN10" s="107" t="s">
        <v>39</v>
      </c>
      <c r="AO10" s="108">
        <f>AR23</f>
        <v>6.3333333333333339E-2</v>
      </c>
      <c r="AP10" s="109"/>
      <c r="AQ10" s="109"/>
      <c r="AR10" s="109"/>
      <c r="AS10" s="110"/>
      <c r="AT10" s="111"/>
      <c r="AU10" s="107" t="s">
        <v>39</v>
      </c>
      <c r="AV10" s="108">
        <f>BC23</f>
        <v>6.9000000000000006E-2</v>
      </c>
      <c r="AW10" s="112"/>
      <c r="AX10" s="100"/>
      <c r="AY10" s="101" t="s">
        <v>39</v>
      </c>
      <c r="AZ10" s="113">
        <f>BC23</f>
        <v>6.9000000000000006E-2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>
        <v>0.29699999999999999</v>
      </c>
      <c r="F15" s="157">
        <v>0.11700000000000001</v>
      </c>
      <c r="G15" s="158"/>
      <c r="H15" s="158">
        <v>0.189</v>
      </c>
      <c r="I15" s="159">
        <v>0.20100000000000001</v>
      </c>
      <c r="J15" s="160">
        <v>6.2E-2</v>
      </c>
      <c r="K15" s="161"/>
      <c r="L15" s="162">
        <v>0.29699999999999999</v>
      </c>
      <c r="M15" s="163">
        <v>0.11700000000000001</v>
      </c>
      <c r="N15" s="164">
        <v>0.155</v>
      </c>
      <c r="O15" s="299">
        <v>0.253</v>
      </c>
      <c r="P15" s="446">
        <v>6.2E-2</v>
      </c>
      <c r="Q15" s="447"/>
      <c r="R15" s="161"/>
      <c r="S15" s="166">
        <v>0.29699999999999999</v>
      </c>
      <c r="T15" s="163">
        <v>0.11700000000000001</v>
      </c>
      <c r="U15" s="167">
        <v>0.316</v>
      </c>
      <c r="V15" s="168">
        <v>9.9000000000000005E-2</v>
      </c>
      <c r="W15" s="169"/>
      <c r="X15" s="170"/>
      <c r="Y15" s="170"/>
      <c r="Z15" s="171"/>
      <c r="AA15" s="172">
        <v>6.2E-2</v>
      </c>
      <c r="AB15" s="173"/>
      <c r="AC15" s="152"/>
      <c r="AD15" s="153"/>
      <c r="AE15" s="154"/>
      <c r="AF15" s="155"/>
      <c r="AG15" s="156">
        <v>0.182</v>
      </c>
      <c r="AH15" s="157">
        <v>0.125</v>
      </c>
      <c r="AI15" s="158"/>
      <c r="AJ15" s="158">
        <v>2.4E-2</v>
      </c>
      <c r="AK15" s="159">
        <v>0.34499999999999997</v>
      </c>
      <c r="AL15" s="160">
        <v>5.8000000000000003E-2</v>
      </c>
      <c r="AM15" s="161"/>
      <c r="AN15" s="162">
        <v>0.182</v>
      </c>
      <c r="AO15" s="163">
        <v>0.125</v>
      </c>
      <c r="AP15" s="164">
        <v>0.17199999999999999</v>
      </c>
      <c r="AQ15" s="165">
        <v>0.13400000000000001</v>
      </c>
      <c r="AR15" s="356">
        <v>5.8000000000000003E-2</v>
      </c>
      <c r="AS15" s="357"/>
      <c r="AT15" s="161"/>
      <c r="AU15" s="166">
        <v>0.18099999999999999</v>
      </c>
      <c r="AV15" s="163">
        <v>0.114</v>
      </c>
      <c r="AW15" s="167">
        <v>0.19900000000000001</v>
      </c>
      <c r="AX15" s="168">
        <v>9.8000000000000004E-2</v>
      </c>
      <c r="AY15" s="169"/>
      <c r="AZ15" s="170"/>
      <c r="BA15" s="170"/>
      <c r="BB15" s="171"/>
      <c r="BC15" s="172">
        <v>6.9000000000000006E-2</v>
      </c>
    </row>
    <row r="16" spans="1:55" x14ac:dyDescent="0.3">
      <c r="A16" s="152">
        <v>0.4375</v>
      </c>
      <c r="B16" s="174"/>
      <c r="C16" s="175"/>
      <c r="D16" s="176"/>
      <c r="E16" s="177">
        <v>0.318</v>
      </c>
      <c r="F16" s="178">
        <v>0.111</v>
      </c>
      <c r="G16" s="179"/>
      <c r="H16" s="179">
        <v>4.1000000000000002E-2</v>
      </c>
      <c r="I16" s="180">
        <v>0.33</v>
      </c>
      <c r="J16" s="160">
        <v>0.05</v>
      </c>
      <c r="K16" s="161"/>
      <c r="L16" s="181"/>
      <c r="M16" s="170"/>
      <c r="N16" s="302"/>
      <c r="O16" s="300"/>
      <c r="P16" s="440">
        <v>6.3E-2</v>
      </c>
      <c r="Q16" s="357"/>
      <c r="R16" s="161"/>
      <c r="S16" s="169">
        <v>0.318</v>
      </c>
      <c r="T16" s="170">
        <v>0.111</v>
      </c>
      <c r="U16" s="169">
        <v>0.318</v>
      </c>
      <c r="V16" s="171">
        <v>0.108</v>
      </c>
      <c r="W16" s="169"/>
      <c r="X16" s="170"/>
      <c r="Y16" s="170"/>
      <c r="Z16" s="171"/>
      <c r="AA16" s="184">
        <v>0.05</v>
      </c>
      <c r="AB16" s="173"/>
      <c r="AC16" s="185"/>
      <c r="AD16" s="174"/>
      <c r="AE16" s="175"/>
      <c r="AF16" s="176"/>
      <c r="AG16" s="177">
        <v>0.23300000000000001</v>
      </c>
      <c r="AH16" s="178">
        <v>0.122</v>
      </c>
      <c r="AI16" s="179"/>
      <c r="AJ16" s="179">
        <v>3.6999999999999998E-2</v>
      </c>
      <c r="AK16" s="180">
        <v>0.28299999999999997</v>
      </c>
      <c r="AL16" s="160">
        <v>6.3E-2</v>
      </c>
      <c r="AM16" s="161"/>
      <c r="AN16" s="181">
        <v>0.23300000000000001</v>
      </c>
      <c r="AO16" s="170">
        <v>0.122</v>
      </c>
      <c r="AP16" s="302">
        <v>0.22700000000000001</v>
      </c>
      <c r="AQ16" s="183">
        <v>0.126</v>
      </c>
      <c r="AR16" s="356">
        <v>6.3E-2</v>
      </c>
      <c r="AS16" s="357"/>
      <c r="AT16" s="161"/>
      <c r="AU16" s="169"/>
      <c r="AV16" s="170"/>
      <c r="AW16" s="169"/>
      <c r="AX16" s="171"/>
      <c r="AY16" s="169"/>
      <c r="AZ16" s="170"/>
      <c r="BA16" s="170"/>
      <c r="BB16" s="171"/>
      <c r="BC16" s="184"/>
    </row>
    <row r="17" spans="1:55" x14ac:dyDescent="0.3">
      <c r="A17" s="152">
        <v>0.4375</v>
      </c>
      <c r="B17" s="174"/>
      <c r="C17" s="175"/>
      <c r="D17" s="176"/>
      <c r="E17" s="177"/>
      <c r="F17" s="178"/>
      <c r="G17" s="179"/>
      <c r="H17" s="179">
        <v>0.433</v>
      </c>
      <c r="I17" s="180">
        <v>3.4000000000000002E-2</v>
      </c>
      <c r="J17" s="160"/>
      <c r="K17" s="161"/>
      <c r="L17" s="181"/>
      <c r="M17" s="170"/>
      <c r="N17" s="302"/>
      <c r="O17" s="300"/>
      <c r="P17" s="440"/>
      <c r="Q17" s="357"/>
      <c r="R17" s="161"/>
      <c r="S17" s="169">
        <v>0.21099999999999999</v>
      </c>
      <c r="T17" s="170">
        <v>0.10100000000000001</v>
      </c>
      <c r="U17" s="169">
        <v>0.254</v>
      </c>
      <c r="V17" s="171">
        <v>0.10199999999999999</v>
      </c>
      <c r="W17" s="169"/>
      <c r="X17" s="170"/>
      <c r="Y17" s="170"/>
      <c r="Z17" s="171"/>
      <c r="AA17" s="184">
        <v>6.0999999999999999E-2</v>
      </c>
      <c r="AB17" s="173"/>
      <c r="AC17" s="185"/>
      <c r="AD17" s="174"/>
      <c r="AE17" s="175"/>
      <c r="AF17" s="176"/>
      <c r="AG17" s="177">
        <v>0.18099999999999999</v>
      </c>
      <c r="AH17" s="178">
        <v>0.114</v>
      </c>
      <c r="AI17" s="179"/>
      <c r="AJ17" s="179">
        <v>3.2000000000000001E-2</v>
      </c>
      <c r="AK17" s="180">
        <v>0.216</v>
      </c>
      <c r="AL17" s="160">
        <v>6.9000000000000006E-2</v>
      </c>
      <c r="AM17" s="161"/>
      <c r="AN17" s="181">
        <v>0.18099999999999999</v>
      </c>
      <c r="AO17" s="170">
        <v>0.114</v>
      </c>
      <c r="AP17" s="302">
        <v>0.17799999999999999</v>
      </c>
      <c r="AQ17" s="183">
        <v>0.107</v>
      </c>
      <c r="AR17" s="356">
        <v>6.9000000000000006E-2</v>
      </c>
      <c r="AS17" s="357"/>
      <c r="AT17" s="161"/>
      <c r="AU17" s="169"/>
      <c r="AV17" s="170"/>
      <c r="AW17" s="169"/>
      <c r="AX17" s="171"/>
      <c r="AY17" s="169"/>
      <c r="AZ17" s="170"/>
      <c r="BA17" s="170"/>
      <c r="BB17" s="171"/>
      <c r="BC17" s="184"/>
    </row>
    <row r="18" spans="1:55" x14ac:dyDescent="0.3">
      <c r="A18" s="152"/>
      <c r="B18" s="174"/>
      <c r="C18" s="175"/>
      <c r="D18" s="176"/>
      <c r="E18" s="177">
        <v>0.21099999999999999</v>
      </c>
      <c r="F18" s="178">
        <v>0.10100000000000001</v>
      </c>
      <c r="G18" s="179"/>
      <c r="H18" s="179">
        <v>4.2000000000000003E-2</v>
      </c>
      <c r="I18" s="180">
        <v>0.35399999999999998</v>
      </c>
      <c r="J18" s="160">
        <v>6.0999999999999999E-2</v>
      </c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>
        <v>6.3E-2</v>
      </c>
      <c r="AB18" s="173"/>
      <c r="AC18" s="185"/>
      <c r="AD18" s="174"/>
      <c r="AE18" s="175"/>
      <c r="AF18" s="176"/>
      <c r="AG18" s="177"/>
      <c r="AH18" s="178"/>
      <c r="AI18" s="179"/>
      <c r="AJ18" s="179"/>
      <c r="AK18" s="180"/>
      <c r="AL18" s="160"/>
      <c r="AM18" s="161"/>
      <c r="AN18" s="181"/>
      <c r="AO18" s="170"/>
      <c r="AP18" s="302"/>
      <c r="AQ18" s="183"/>
      <c r="AR18" s="356"/>
      <c r="AS18" s="357"/>
      <c r="AT18" s="161"/>
      <c r="AU18" s="169"/>
      <c r="AV18" s="170"/>
      <c r="AW18" s="169"/>
      <c r="AX18" s="171"/>
      <c r="AY18" s="169"/>
      <c r="AZ18" s="170"/>
      <c r="BA18" s="170"/>
      <c r="BB18" s="171"/>
      <c r="BC18" s="184"/>
    </row>
    <row r="19" spans="1:55" x14ac:dyDescent="0.3">
      <c r="A19" s="152"/>
      <c r="B19" s="174"/>
      <c r="C19" s="175"/>
      <c r="D19" s="176"/>
      <c r="E19" s="177"/>
      <c r="F19" s="178"/>
      <c r="G19" s="179"/>
      <c r="H19" s="179">
        <v>0.252</v>
      </c>
      <c r="I19" s="180">
        <v>0.04</v>
      </c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>
        <v>6.3E-2</v>
      </c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0.27533333333333332</v>
      </c>
      <c r="F23" s="198">
        <f t="shared" si="0"/>
        <v>0.10966666666666668</v>
      </c>
      <c r="G23" s="198">
        <f t="shared" si="0"/>
        <v>0</v>
      </c>
      <c r="H23" s="198">
        <f t="shared" si="0"/>
        <v>0.19140000000000001</v>
      </c>
      <c r="I23" s="198">
        <f t="shared" si="0"/>
        <v>0.19180000000000003</v>
      </c>
      <c r="J23" s="198">
        <f t="shared" si="0"/>
        <v>5.8999999999999997E-2</v>
      </c>
      <c r="K23" s="161"/>
      <c r="L23" s="199">
        <f>IFERROR(AVERAGE(L15:L22),0)</f>
        <v>0.29699999999999999</v>
      </c>
      <c r="M23" s="198">
        <f>IFERROR(AVERAGE(M15:M22),0)</f>
        <v>0.11700000000000001</v>
      </c>
      <c r="N23" s="200">
        <f>IFERROR(AVERAGE(N15:N22),0)</f>
        <v>0.155</v>
      </c>
      <c r="O23" s="201">
        <f>IFERROR(AVERAGE(O15:O22),0)</f>
        <v>0.253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0.27533333333333332</v>
      </c>
      <c r="T23" s="198">
        <f t="shared" si="1"/>
        <v>0.10966666666666668</v>
      </c>
      <c r="U23" s="198">
        <f t="shared" si="1"/>
        <v>0.29599999999999999</v>
      </c>
      <c r="V23" s="198">
        <f t="shared" si="1"/>
        <v>0.10299999999999999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5.8999999999999997E-2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0.19866666666666669</v>
      </c>
      <c r="AH23" s="198">
        <f t="shared" si="2"/>
        <v>0.12033333333333333</v>
      </c>
      <c r="AI23" s="198">
        <f t="shared" si="2"/>
        <v>0</v>
      </c>
      <c r="AJ23" s="198">
        <f t="shared" si="2"/>
        <v>3.1E-2</v>
      </c>
      <c r="AK23" s="198">
        <f t="shared" si="2"/>
        <v>0.28133333333333327</v>
      </c>
      <c r="AL23" s="198">
        <f t="shared" si="2"/>
        <v>6.3333333333333339E-2</v>
      </c>
      <c r="AM23" s="161"/>
      <c r="AN23" s="199">
        <f>IFERROR(AVERAGE(AN15:AN22),0)</f>
        <v>0.19866666666666669</v>
      </c>
      <c r="AO23" s="198">
        <f>IFERROR(AVERAGE(AO15:AO22),0)</f>
        <v>0.12033333333333333</v>
      </c>
      <c r="AP23" s="200">
        <f>IFERROR(AVERAGE(AP15:AP22),0)</f>
        <v>0.19233333333333333</v>
      </c>
      <c r="AQ23" s="201">
        <f>IFERROR(AVERAGE(AQ15:AQ22),0)</f>
        <v>0.12233333333333334</v>
      </c>
      <c r="AR23" s="396">
        <f>IFERROR(AVERAGE(AR15:AS22),0)</f>
        <v>6.3333333333333339E-2</v>
      </c>
      <c r="AS23" s="397"/>
      <c r="AT23" s="202"/>
      <c r="AU23" s="199">
        <f t="shared" ref="AU23:BC23" si="3">IFERROR(AVERAGE(AU15:AU22),0)</f>
        <v>0.18099999999999999</v>
      </c>
      <c r="AV23" s="198">
        <f t="shared" si="3"/>
        <v>0.114</v>
      </c>
      <c r="AW23" s="198">
        <f t="shared" si="3"/>
        <v>0.19900000000000001</v>
      </c>
      <c r="AX23" s="198">
        <f t="shared" si="3"/>
        <v>9.8000000000000004E-2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6.9000000000000006E-2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 t="s">
        <v>105</v>
      </c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 t="s">
        <v>105</v>
      </c>
      <c r="N26" s="404" t="s">
        <v>63</v>
      </c>
      <c r="O26" s="405"/>
      <c r="P26" s="423"/>
      <c r="Q26" s="424"/>
      <c r="R26" s="231"/>
      <c r="S26" s="228" t="s">
        <v>62</v>
      </c>
      <c r="T26" s="229" t="s">
        <v>105</v>
      </c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0</v>
      </c>
      <c r="K42" s="266"/>
      <c r="R42" s="266"/>
    </row>
    <row r="43" spans="1:55" ht="16.2" thickBot="1" x14ac:dyDescent="0.35">
      <c r="A43" s="274" t="s">
        <v>2</v>
      </c>
      <c r="B43" s="275">
        <f>E8+AG8</f>
        <v>972</v>
      </c>
      <c r="C43" s="275">
        <f>B8+AD8</f>
        <v>0</v>
      </c>
      <c r="D43" s="267"/>
      <c r="E43" s="276" t="s">
        <v>84</v>
      </c>
      <c r="F43" s="273">
        <f>AG9+AQ9+AV9</f>
        <v>466.66666666666669</v>
      </c>
      <c r="K43" s="266"/>
      <c r="R43" s="266"/>
    </row>
    <row r="44" spans="1:55" ht="16.2" thickBot="1" x14ac:dyDescent="0.35">
      <c r="A44" s="274" t="s">
        <v>3</v>
      </c>
      <c r="B44" s="275">
        <f>L8+AN8</f>
        <v>3610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665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5247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777.6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3176.8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608.47500000000002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4562.875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1200-000000000000}">
      <formula1>$A$137:$A$148</formula1>
    </dataValidation>
    <dataValidation type="list" allowBlank="1" showInputMessage="1" showErrorMessage="1" sqref="AX11 BB11:BC11 V11 Z11:AA11" xr:uid="{00000000-0002-0000-1200-000001000000}">
      <formula1>"Silo 6, Silo 7, Silo 8, Silo 9"</formula1>
    </dataValidation>
    <dataValidation type="list" allowBlank="1" showInputMessage="1" showErrorMessage="1" sqref="AD11 AO11 AZ11 AV11 B11 M11 X11 T11" xr:uid="{00000000-0002-0000-1200-000002000000}">
      <formula1>"100#, 40/70"</formula1>
    </dataValidation>
    <dataValidation type="list" allowBlank="1" showInputMessage="1" showErrorMessage="1" sqref="AJ11:AM11 AQ11:AT11 H11:K11 O11:R11" xr:uid="{00000000-0002-0000-1200-000003000000}">
      <formula1>"Silo 1, Silo 2, Silo 6, Silo 7"</formula1>
    </dataValidation>
    <dataValidation type="list" allowBlank="1" showInputMessage="1" showErrorMessage="1" sqref="AV25 AD25 AO25 T25 B25 M25" xr:uid="{00000000-0002-0000-1200-000004000000}">
      <formula1>"1, 2, 3, 4, 5, 6, 7, 8, 9, 10, 11, 12, 13, 14, 15, 16"</formula1>
    </dataValidation>
    <dataValidation type="list" allowBlank="1" showInputMessage="1" showErrorMessage="1" sqref="C29:C31 AE29:AE31" xr:uid="{00000000-0002-0000-1200-000005000000}">
      <formula1>"Carrier 100, Carrier 200, Rotary"</formula1>
    </dataValidation>
    <dataValidation type="list" allowBlank="1" showInputMessage="1" showErrorMessage="1" sqref="B26 M26 T26 AD26 AO26 AV26" xr:uid="{00000000-0002-0000-1200-000006000000}">
      <formula1>"SP1, SP2, SP3, OWP SP"</formula1>
    </dataValidation>
  </dataValidation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C148"/>
  <sheetViews>
    <sheetView topLeftCell="Z7" zoomScale="75" zoomScaleNormal="75" workbookViewId="0">
      <selection activeCell="AI16" sqref="AI16"/>
    </sheetView>
  </sheetViews>
  <sheetFormatPr defaultRowHeight="14.4" x14ac:dyDescent="0.3"/>
  <cols>
    <col min="1" max="1" width="10.6640625" customWidth="1"/>
    <col min="2" max="2" width="10.5546875" bestFit="1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>
        <v>42900</v>
      </c>
      <c r="C4" s="5"/>
      <c r="D4" s="6" t="s">
        <v>6</v>
      </c>
      <c r="E4" s="380" t="s">
        <v>93</v>
      </c>
      <c r="F4" s="381"/>
      <c r="G4" s="312"/>
      <c r="H4" s="312"/>
      <c r="I4" s="8"/>
      <c r="J4" s="9"/>
      <c r="K4" s="10"/>
      <c r="L4" s="6" t="s">
        <v>5</v>
      </c>
      <c r="M4" s="4">
        <f>B4</f>
        <v>42900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42900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42900</v>
      </c>
      <c r="AE4" s="5"/>
      <c r="AF4" s="6" t="s">
        <v>6</v>
      </c>
      <c r="AG4" s="380" t="s">
        <v>7</v>
      </c>
      <c r="AH4" s="381"/>
      <c r="AI4" s="312"/>
      <c r="AJ4" s="312"/>
      <c r="AK4" s="8"/>
      <c r="AL4" s="9"/>
      <c r="AM4" s="10"/>
      <c r="AN4" s="6" t="s">
        <v>5</v>
      </c>
      <c r="AO4" s="4">
        <f>B4</f>
        <v>42900</v>
      </c>
      <c r="AP4" s="5"/>
      <c r="AQ4" s="370" t="s">
        <v>6</v>
      </c>
      <c r="AR4" s="371"/>
      <c r="AS4" s="11" t="s">
        <v>7</v>
      </c>
      <c r="AT4" s="12"/>
      <c r="AU4" s="6" t="s">
        <v>5</v>
      </c>
      <c r="AV4" s="4">
        <f>B4</f>
        <v>42900</v>
      </c>
      <c r="AW4" s="5"/>
      <c r="AX4" s="6" t="s">
        <v>6</v>
      </c>
      <c r="AY4" s="382" t="s">
        <v>7</v>
      </c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>
        <v>10.5</v>
      </c>
      <c r="F5" s="20" t="s">
        <v>10</v>
      </c>
      <c r="G5" s="21">
        <f>SUM((B5+E5)/12, 0)</f>
        <v>0.875</v>
      </c>
      <c r="H5" s="22"/>
      <c r="I5" s="23"/>
      <c r="J5" s="24"/>
      <c r="K5" s="25"/>
      <c r="L5" s="26" t="s">
        <v>11</v>
      </c>
      <c r="M5" s="27">
        <v>11.25</v>
      </c>
      <c r="N5" s="5"/>
      <c r="O5" s="28" t="s">
        <v>12</v>
      </c>
      <c r="P5" s="298">
        <f>SUM(M5/12)</f>
        <v>0.9375</v>
      </c>
      <c r="Q5" s="317"/>
      <c r="R5" s="29"/>
      <c r="S5" s="20" t="s">
        <v>13</v>
      </c>
      <c r="T5" s="17">
        <v>12</v>
      </c>
      <c r="U5" s="5"/>
      <c r="V5" s="18" t="s">
        <v>14</v>
      </c>
      <c r="W5" s="19"/>
      <c r="X5" s="18" t="s">
        <v>10</v>
      </c>
      <c r="Y5" s="30">
        <f>SUM(T5+W5)/12</f>
        <v>1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/>
      <c r="AH5" s="20" t="s">
        <v>10</v>
      </c>
      <c r="AI5" s="21">
        <f>SUM(AD5+AG5)/12</f>
        <v>0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/>
      <c r="AW5" s="5"/>
      <c r="AX5" s="18" t="s">
        <v>14</v>
      </c>
      <c r="AY5" s="19"/>
      <c r="AZ5" s="18" t="s">
        <v>10</v>
      </c>
      <c r="BA5" s="30">
        <f>(AV5+AY5)/12</f>
        <v>0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>
        <v>830</v>
      </c>
      <c r="F8" s="62">
        <f>E8*(1-F10)</f>
        <v>776.46500000000003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>
        <v>3709</v>
      </c>
      <c r="M8" s="68">
        <v>1392</v>
      </c>
      <c r="N8" s="64">
        <f>L8*(1-M10)</f>
        <v>3709</v>
      </c>
      <c r="O8" s="69">
        <v>3160</v>
      </c>
      <c r="P8" s="296"/>
      <c r="Q8" s="60">
        <f>IFERROR((O8+P8)/L8,0)</f>
        <v>0.8519816662173092</v>
      </c>
      <c r="R8" s="70"/>
      <c r="S8" s="71">
        <v>1486</v>
      </c>
      <c r="T8" s="72">
        <v>1374</v>
      </c>
      <c r="U8" s="62">
        <f>S8*(1-T10)</f>
        <v>1382.723</v>
      </c>
      <c r="V8" s="60">
        <f>IFERROR(T8/S8,0)</f>
        <v>0.92462987886944814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>
        <v>200</v>
      </c>
      <c r="AE8" s="59">
        <f>AD8*(1-AD10)</f>
        <v>185.8</v>
      </c>
      <c r="AF8" s="60">
        <f>IFERROR(AJ9/AE9,0)</f>
        <v>0</v>
      </c>
      <c r="AG8" s="61">
        <v>457</v>
      </c>
      <c r="AH8" s="62">
        <f>AG8*(1-AH10)</f>
        <v>424.553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>
        <v>4153</v>
      </c>
      <c r="AO8" s="68">
        <v>2493</v>
      </c>
      <c r="AP8" s="64">
        <f>AN8*(1-AO10)</f>
        <v>3930.1223333333332</v>
      </c>
      <c r="AQ8" s="69">
        <v>3752</v>
      </c>
      <c r="AR8" s="296"/>
      <c r="AS8" s="60">
        <f>SUM((AQ8+AR8)/AP8,0)</f>
        <v>0.95467766185734504</v>
      </c>
      <c r="AT8" s="70"/>
      <c r="AU8" s="71">
        <v>1653</v>
      </c>
      <c r="AV8" s="72">
        <v>1569</v>
      </c>
      <c r="AW8" s="62">
        <f>AU8*(1-AV10)</f>
        <v>1536.739</v>
      </c>
      <c r="AX8" s="60">
        <f>IFERROR(AV8/AU8,0)</f>
        <v>0.94918330308529941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79.047619047619051</v>
      </c>
      <c r="F9" s="81">
        <f>IFERROR(SUM(F8/E5),0)</f>
        <v>73.949047619047619</v>
      </c>
      <c r="G9" s="82"/>
      <c r="H9" s="83"/>
      <c r="I9" s="83"/>
      <c r="J9" s="84"/>
      <c r="K9" s="85"/>
      <c r="L9" s="86">
        <f>IFERROR(L8/M5,0)</f>
        <v>329.68888888888887</v>
      </c>
      <c r="M9" s="86">
        <f>IFERROR(M8/M5,0)</f>
        <v>123.73333333333333</v>
      </c>
      <c r="N9" s="86">
        <f>IFERROR(N8/M5,0)</f>
        <v>329.68888888888887</v>
      </c>
      <c r="O9" s="86">
        <f>IFERROR(O8/M5,0)</f>
        <v>280.88888888888891</v>
      </c>
      <c r="P9" s="297">
        <f>SUM(P8/M5,0)</f>
        <v>0</v>
      </c>
      <c r="Q9" s="87">
        <f>IFERROR(Q8/M5,0)</f>
        <v>7.5731703663760822E-2</v>
      </c>
      <c r="R9" s="88"/>
      <c r="S9" s="89">
        <f>IFERROR(S8/T5,0)</f>
        <v>123.83333333333333</v>
      </c>
      <c r="T9" s="90">
        <f>IFERROR(SUM(T8/T5),0)</f>
        <v>114.5</v>
      </c>
      <c r="U9" s="91">
        <f>IFERROR(U8/T5,0)</f>
        <v>115.22691666666667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346.08333333333331</v>
      </c>
      <c r="AO9" s="86">
        <f>IFERROR(AO8/AO5,0)</f>
        <v>207.75</v>
      </c>
      <c r="AP9" s="86">
        <f>IFERROR(AP8/AO5,0)</f>
        <v>327.51019444444444</v>
      </c>
      <c r="AQ9" s="86">
        <f>IFERROR(AQ8/AO5,0)</f>
        <v>312.66666666666669</v>
      </c>
      <c r="AR9" s="297">
        <f>SUM(AR8/AO5,0)</f>
        <v>0</v>
      </c>
      <c r="AS9" s="87">
        <f>IFERROR(AS8/AO5,0)</f>
        <v>7.9556471821445415E-2</v>
      </c>
      <c r="AT9" s="88"/>
      <c r="AU9" s="89">
        <f>IFERROR(AU8/AV5,0)</f>
        <v>0</v>
      </c>
      <c r="AV9" s="90">
        <f>IFERROR(SUM(AV8/AV5),0)</f>
        <v>0</v>
      </c>
      <c r="AW9" s="91">
        <f>IFERROR(AW8/AV5,0)</f>
        <v>0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6.4500000000000002E-2</v>
      </c>
      <c r="C10" s="99"/>
      <c r="D10" s="100"/>
      <c r="E10" s="101" t="s">
        <v>39</v>
      </c>
      <c r="F10" s="102">
        <f>J23</f>
        <v>6.4500000000000002E-2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6.9500000000000006E-2</v>
      </c>
      <c r="U10" s="112"/>
      <c r="V10" s="100"/>
      <c r="W10" s="101" t="s">
        <v>39</v>
      </c>
      <c r="X10" s="113">
        <f>AA23</f>
        <v>6.9500000000000006E-2</v>
      </c>
      <c r="Y10" s="5"/>
      <c r="Z10" s="5"/>
      <c r="AA10" s="114"/>
      <c r="AB10" s="15"/>
      <c r="AC10" s="97" t="s">
        <v>39</v>
      </c>
      <c r="AD10" s="98">
        <f>AL23</f>
        <v>7.0999999999999994E-2</v>
      </c>
      <c r="AE10" s="99"/>
      <c r="AF10" s="100"/>
      <c r="AG10" s="101" t="s">
        <v>39</v>
      </c>
      <c r="AH10" s="102">
        <f>AL23</f>
        <v>7.0999999999999994E-2</v>
      </c>
      <c r="AI10" s="103"/>
      <c r="AJ10" s="99"/>
      <c r="AK10" s="104"/>
      <c r="AL10" s="105"/>
      <c r="AM10" s="106"/>
      <c r="AN10" s="107" t="s">
        <v>39</v>
      </c>
      <c r="AO10" s="108">
        <f>AR23</f>
        <v>5.3666666666666668E-2</v>
      </c>
      <c r="AP10" s="109"/>
      <c r="AQ10" s="109"/>
      <c r="AR10" s="109"/>
      <c r="AS10" s="110"/>
      <c r="AT10" s="111"/>
      <c r="AU10" s="107" t="s">
        <v>39</v>
      </c>
      <c r="AV10" s="108">
        <f>BC23</f>
        <v>7.0333333333333345E-2</v>
      </c>
      <c r="AW10" s="112"/>
      <c r="AX10" s="100"/>
      <c r="AY10" s="101" t="s">
        <v>39</v>
      </c>
      <c r="AZ10" s="113">
        <f>BC23</f>
        <v>7.0333333333333345E-2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>
        <v>0.129</v>
      </c>
      <c r="F15" s="157">
        <v>0.28299999999999997</v>
      </c>
      <c r="G15" s="158"/>
      <c r="H15" s="158">
        <v>0.02</v>
      </c>
      <c r="I15" s="159">
        <v>0.45100000000000001</v>
      </c>
      <c r="J15" s="160">
        <v>5.6000000000000001E-2</v>
      </c>
      <c r="K15" s="161"/>
      <c r="L15" s="162">
        <v>0.217</v>
      </c>
      <c r="M15" s="163">
        <v>0.13300000000000001</v>
      </c>
      <c r="N15" s="164">
        <v>0.20300000000000001</v>
      </c>
      <c r="O15" s="299">
        <v>0.11899999999999999</v>
      </c>
      <c r="P15" s="446">
        <v>5.5E-2</v>
      </c>
      <c r="Q15" s="447"/>
      <c r="R15" s="161"/>
      <c r="S15" s="166">
        <v>0.20300000000000001</v>
      </c>
      <c r="T15" s="163">
        <v>0.11899999999999999</v>
      </c>
      <c r="U15" s="167">
        <v>0.20799999999999999</v>
      </c>
      <c r="V15" s="168">
        <v>8.7999999999999995E-2</v>
      </c>
      <c r="W15" s="169"/>
      <c r="X15" s="170"/>
      <c r="Y15" s="170"/>
      <c r="Z15" s="171"/>
      <c r="AA15" s="172">
        <v>5.5E-2</v>
      </c>
      <c r="AB15" s="173"/>
      <c r="AC15" s="152"/>
      <c r="AD15" s="153"/>
      <c r="AE15" s="154"/>
      <c r="AF15" s="155"/>
      <c r="AG15" s="156">
        <v>0.129</v>
      </c>
      <c r="AH15" s="157">
        <v>0.30199999999999999</v>
      </c>
      <c r="AI15" s="158"/>
      <c r="AJ15" s="158">
        <v>0.02</v>
      </c>
      <c r="AK15" s="159">
        <v>0.36499999999999999</v>
      </c>
      <c r="AL15" s="160">
        <v>9.1999999999999998E-2</v>
      </c>
      <c r="AM15" s="161"/>
      <c r="AN15" s="162">
        <v>0.24399999999999999</v>
      </c>
      <c r="AO15" s="163">
        <v>7.0999999999999994E-2</v>
      </c>
      <c r="AP15" s="164">
        <v>0.17</v>
      </c>
      <c r="AQ15" s="165">
        <v>0.125</v>
      </c>
      <c r="AR15" s="356">
        <v>0.05</v>
      </c>
      <c r="AS15" s="357"/>
      <c r="AT15" s="161"/>
      <c r="AU15" s="166">
        <v>0.13600000000000001</v>
      </c>
      <c r="AV15" s="163">
        <v>0.13300000000000001</v>
      </c>
      <c r="AW15" s="167">
        <v>0.17599999999999999</v>
      </c>
      <c r="AX15" s="168">
        <v>0.114</v>
      </c>
      <c r="AY15" s="169"/>
      <c r="AZ15" s="170"/>
      <c r="BA15" s="170"/>
      <c r="BB15" s="171"/>
      <c r="BC15" s="172">
        <v>7.0999999999999994E-2</v>
      </c>
    </row>
    <row r="16" spans="1:55" x14ac:dyDescent="0.3">
      <c r="A16" s="152"/>
      <c r="B16" s="174"/>
      <c r="C16" s="175"/>
      <c r="D16" s="176"/>
      <c r="E16" s="177">
        <v>0.16500000000000001</v>
      </c>
      <c r="F16" s="178">
        <v>0.22</v>
      </c>
      <c r="G16" s="179"/>
      <c r="H16" s="179">
        <v>0.108</v>
      </c>
      <c r="I16" s="180">
        <v>0.255</v>
      </c>
      <c r="J16" s="160">
        <v>7.2999999999999995E-2</v>
      </c>
      <c r="K16" s="161"/>
      <c r="L16" s="181">
        <v>0.16900000000000001</v>
      </c>
      <c r="M16" s="170">
        <v>0.13600000000000001</v>
      </c>
      <c r="N16" s="302">
        <v>0.17599999999999999</v>
      </c>
      <c r="O16" s="300">
        <v>0.13800000000000001</v>
      </c>
      <c r="P16" s="440">
        <v>6.6000000000000003E-2</v>
      </c>
      <c r="Q16" s="357"/>
      <c r="R16" s="161"/>
      <c r="S16" s="169">
        <v>0.15</v>
      </c>
      <c r="T16" s="170">
        <v>0.113</v>
      </c>
      <c r="U16" s="169">
        <v>0.152</v>
      </c>
      <c r="V16" s="171">
        <v>0.127</v>
      </c>
      <c r="W16" s="169"/>
      <c r="X16" s="170"/>
      <c r="Y16" s="170"/>
      <c r="Z16" s="171"/>
      <c r="AA16" s="184">
        <v>8.4000000000000005E-2</v>
      </c>
      <c r="AB16" s="173"/>
      <c r="AC16" s="185"/>
      <c r="AD16" s="174"/>
      <c r="AE16" s="175"/>
      <c r="AF16" s="176"/>
      <c r="AG16" s="177">
        <v>0.107</v>
      </c>
      <c r="AH16" s="178">
        <v>0.33500000000000002</v>
      </c>
      <c r="AI16" s="179"/>
      <c r="AJ16" s="179">
        <v>2.1000000000000001E-2</v>
      </c>
      <c r="AK16" s="180">
        <v>0.42499999999999999</v>
      </c>
      <c r="AL16" s="160">
        <v>7.3999999999999996E-2</v>
      </c>
      <c r="AM16" s="161"/>
      <c r="AN16" s="181">
        <v>0.23499999999999999</v>
      </c>
      <c r="AO16" s="170">
        <v>9.1999999999999998E-2</v>
      </c>
      <c r="AP16" s="302">
        <v>0.20899999999999999</v>
      </c>
      <c r="AQ16" s="183">
        <v>0.10199999999999999</v>
      </c>
      <c r="AR16" s="356">
        <v>6.0999999999999999E-2</v>
      </c>
      <c r="AS16" s="357"/>
      <c r="AT16" s="161"/>
      <c r="AU16" s="169">
        <v>0.161</v>
      </c>
      <c r="AV16" s="170">
        <v>0.108</v>
      </c>
      <c r="AW16" s="169">
        <v>0.17799999999999999</v>
      </c>
      <c r="AX16" s="171">
        <v>0.113</v>
      </c>
      <c r="AY16" s="169"/>
      <c r="AZ16" s="170"/>
      <c r="BA16" s="170"/>
      <c r="BB16" s="171"/>
      <c r="BC16" s="184">
        <v>6.8000000000000005E-2</v>
      </c>
    </row>
    <row r="17" spans="1:55" x14ac:dyDescent="0.3">
      <c r="A17" s="152"/>
      <c r="B17" s="174"/>
      <c r="C17" s="175"/>
      <c r="D17" s="176"/>
      <c r="E17" s="177"/>
      <c r="F17" s="178"/>
      <c r="G17" s="179"/>
      <c r="H17" s="179"/>
      <c r="I17" s="180"/>
      <c r="J17" s="160"/>
      <c r="K17" s="161"/>
      <c r="L17" s="181"/>
      <c r="M17" s="170"/>
      <c r="N17" s="302"/>
      <c r="O17" s="300"/>
      <c r="P17" s="440"/>
      <c r="Q17" s="357"/>
      <c r="R17" s="161"/>
      <c r="S17" s="169"/>
      <c r="T17" s="170"/>
      <c r="U17" s="169"/>
      <c r="V17" s="171"/>
      <c r="W17" s="169"/>
      <c r="X17" s="170"/>
      <c r="Y17" s="170"/>
      <c r="Z17" s="171"/>
      <c r="AA17" s="184"/>
      <c r="AB17" s="173"/>
      <c r="AC17" s="185"/>
      <c r="AD17" s="174"/>
      <c r="AE17" s="175"/>
      <c r="AF17" s="176"/>
      <c r="AG17" s="177">
        <v>0.113</v>
      </c>
      <c r="AH17" s="178">
        <v>0.27600000000000002</v>
      </c>
      <c r="AI17" s="179"/>
      <c r="AJ17" s="179">
        <v>3.2000000000000001E-2</v>
      </c>
      <c r="AK17" s="180">
        <v>0.34799999999999998</v>
      </c>
      <c r="AL17" s="160">
        <v>7.8E-2</v>
      </c>
      <c r="AM17" s="161"/>
      <c r="AN17" s="181">
        <v>0.25900000000000001</v>
      </c>
      <c r="AO17" s="170">
        <v>0.10100000000000001</v>
      </c>
      <c r="AP17" s="302">
        <v>0.21099999999999999</v>
      </c>
      <c r="AQ17" s="183">
        <v>0.115</v>
      </c>
      <c r="AR17" s="356">
        <v>0.05</v>
      </c>
      <c r="AS17" s="357"/>
      <c r="AT17" s="161"/>
      <c r="AU17" s="169">
        <v>0.13800000000000001</v>
      </c>
      <c r="AV17" s="170">
        <v>0.13</v>
      </c>
      <c r="AW17" s="169">
        <v>0.19600000000000001</v>
      </c>
      <c r="AX17" s="171">
        <v>0.106</v>
      </c>
      <c r="AY17" s="169"/>
      <c r="AZ17" s="170"/>
      <c r="BA17" s="170"/>
      <c r="BB17" s="171"/>
      <c r="BC17" s="184">
        <v>7.1999999999999995E-2</v>
      </c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>
        <v>0.95499999999999996</v>
      </c>
      <c r="AE18" s="175">
        <v>0.79</v>
      </c>
      <c r="AF18" s="176">
        <v>0.2</v>
      </c>
      <c r="AG18" s="177"/>
      <c r="AH18" s="178"/>
      <c r="AI18" s="179">
        <v>0.95</v>
      </c>
      <c r="AJ18" s="179"/>
      <c r="AK18" s="180"/>
      <c r="AL18" s="160">
        <v>0.04</v>
      </c>
      <c r="AM18" s="161"/>
      <c r="AN18" s="181"/>
      <c r="AO18" s="170"/>
      <c r="AP18" s="302"/>
      <c r="AQ18" s="183"/>
      <c r="AR18" s="356"/>
      <c r="AS18" s="357"/>
      <c r="AT18" s="161"/>
      <c r="AU18" s="169"/>
      <c r="AV18" s="170"/>
      <c r="AW18" s="169"/>
      <c r="AX18" s="171"/>
      <c r="AY18" s="169"/>
      <c r="AZ18" s="170"/>
      <c r="BA18" s="170"/>
      <c r="BB18" s="171"/>
      <c r="BC18" s="184"/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0.14700000000000002</v>
      </c>
      <c r="F23" s="198">
        <f t="shared" si="0"/>
        <v>0.2515</v>
      </c>
      <c r="G23" s="198">
        <f t="shared" si="0"/>
        <v>0</v>
      </c>
      <c r="H23" s="198">
        <f t="shared" si="0"/>
        <v>6.4000000000000001E-2</v>
      </c>
      <c r="I23" s="198">
        <f t="shared" si="0"/>
        <v>0.35299999999999998</v>
      </c>
      <c r="J23" s="198">
        <f t="shared" si="0"/>
        <v>6.4500000000000002E-2</v>
      </c>
      <c r="K23" s="161"/>
      <c r="L23" s="199">
        <f>IFERROR(AVERAGE(L15:L22),0)</f>
        <v>0.193</v>
      </c>
      <c r="M23" s="198">
        <f>IFERROR(AVERAGE(M15:M22),0)</f>
        <v>0.13450000000000001</v>
      </c>
      <c r="N23" s="200">
        <f>IFERROR(AVERAGE(N15:N22),0)</f>
        <v>0.1895</v>
      </c>
      <c r="O23" s="201">
        <f>IFERROR(AVERAGE(O15:O22),0)</f>
        <v>0.1285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0.17649999999999999</v>
      </c>
      <c r="T23" s="198">
        <f t="shared" si="1"/>
        <v>0.11599999999999999</v>
      </c>
      <c r="U23" s="198">
        <f t="shared" si="1"/>
        <v>0.18</v>
      </c>
      <c r="V23" s="198">
        <f t="shared" si="1"/>
        <v>0.1075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6.9500000000000006E-2</v>
      </c>
      <c r="AB23" s="173"/>
      <c r="AC23" s="197" t="s">
        <v>58</v>
      </c>
      <c r="AD23" s="198">
        <f>IFERROR(AVERAGE(AD15:AD22),0)</f>
        <v>0.95499999999999996</v>
      </c>
      <c r="AE23" s="198">
        <f t="shared" ref="AE23:AL23" si="2">IFERROR(AVERAGE(AE15:AE22),0)</f>
        <v>0.79</v>
      </c>
      <c r="AF23" s="198">
        <f t="shared" si="2"/>
        <v>0.2</v>
      </c>
      <c r="AG23" s="198">
        <f t="shared" si="2"/>
        <v>0.11633333333333333</v>
      </c>
      <c r="AH23" s="198">
        <f t="shared" si="2"/>
        <v>0.30433333333333334</v>
      </c>
      <c r="AI23" s="198">
        <f t="shared" si="2"/>
        <v>0.95</v>
      </c>
      <c r="AJ23" s="198">
        <f t="shared" si="2"/>
        <v>2.4333333333333335E-2</v>
      </c>
      <c r="AK23" s="198">
        <f t="shared" si="2"/>
        <v>0.3793333333333333</v>
      </c>
      <c r="AL23" s="198">
        <f t="shared" si="2"/>
        <v>7.0999999999999994E-2</v>
      </c>
      <c r="AM23" s="161"/>
      <c r="AN23" s="199">
        <f>IFERROR(AVERAGE(AN15:AN22),0)</f>
        <v>0.246</v>
      </c>
      <c r="AO23" s="198">
        <f>IFERROR(AVERAGE(AO15:AO22),0)</f>
        <v>8.8000000000000009E-2</v>
      </c>
      <c r="AP23" s="200">
        <f>IFERROR(AVERAGE(AP15:AP22),0)</f>
        <v>0.19666666666666666</v>
      </c>
      <c r="AQ23" s="201">
        <f>IFERROR(AVERAGE(AQ15:AQ22),0)</f>
        <v>0.11399999999999999</v>
      </c>
      <c r="AR23" s="396">
        <f>IFERROR(AVERAGE(AR15:AS22),0)</f>
        <v>5.3666666666666668E-2</v>
      </c>
      <c r="AS23" s="397"/>
      <c r="AT23" s="202"/>
      <c r="AU23" s="199">
        <f t="shared" ref="AU23:BC23" si="3">IFERROR(AVERAGE(AU15:AU22),0)</f>
        <v>0.14500000000000002</v>
      </c>
      <c r="AV23" s="198">
        <f t="shared" si="3"/>
        <v>0.12366666666666666</v>
      </c>
      <c r="AW23" s="198">
        <f t="shared" si="3"/>
        <v>0.18333333333333335</v>
      </c>
      <c r="AX23" s="198">
        <f t="shared" si="3"/>
        <v>0.111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7.0333333333333345E-2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 t="s">
        <v>118</v>
      </c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 t="s">
        <v>114</v>
      </c>
      <c r="N26" s="404" t="s">
        <v>63</v>
      </c>
      <c r="O26" s="405"/>
      <c r="P26" s="423"/>
      <c r="Q26" s="424"/>
      <c r="R26" s="231"/>
      <c r="S26" s="228" t="s">
        <v>62</v>
      </c>
      <c r="T26" s="229" t="s">
        <v>105</v>
      </c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 t="s">
        <v>114</v>
      </c>
      <c r="AP26" s="404" t="s">
        <v>63</v>
      </c>
      <c r="AQ26" s="405"/>
      <c r="AR26" s="316"/>
      <c r="AS26" s="230"/>
      <c r="AT26" s="231"/>
      <c r="AU26" s="228" t="s">
        <v>62</v>
      </c>
      <c r="AV26" s="229" t="s">
        <v>105</v>
      </c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474.43650793650795</v>
      </c>
      <c r="K42" s="266"/>
      <c r="R42" s="266"/>
    </row>
    <row r="43" spans="1:55" ht="16.2" thickBot="1" x14ac:dyDescent="0.35">
      <c r="A43" s="274" t="s">
        <v>2</v>
      </c>
      <c r="B43" s="275">
        <f>E8+AG8</f>
        <v>1287</v>
      </c>
      <c r="C43" s="275">
        <f>B8+AD8</f>
        <v>200</v>
      </c>
      <c r="D43" s="267"/>
      <c r="E43" s="276" t="s">
        <v>84</v>
      </c>
      <c r="F43" s="273">
        <f>AG9+AQ9+AV9</f>
        <v>312.66666666666669</v>
      </c>
      <c r="K43" s="266"/>
      <c r="R43" s="266"/>
    </row>
    <row r="44" spans="1:55" ht="16.2" thickBot="1" x14ac:dyDescent="0.35">
      <c r="A44" s="274" t="s">
        <v>3</v>
      </c>
      <c r="B44" s="275">
        <f>L8+AN8</f>
        <v>7862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3139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12288</v>
      </c>
      <c r="C46" s="284">
        <f>SUM(C43:C45)</f>
        <v>200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1029.6000000000001</v>
      </c>
      <c r="C49" s="275">
        <f>C43*0.8</f>
        <v>160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6918.56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2872.1849999999999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10820.345000000001</v>
      </c>
      <c r="C52" s="291">
        <f>SUM(C49:C51)</f>
        <v>160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1300-000000000000}">
      <formula1>$A$137:$A$148</formula1>
    </dataValidation>
    <dataValidation type="list" allowBlank="1" showInputMessage="1" showErrorMessage="1" sqref="AX11 BB11:BC11 V11 Z11:AA11" xr:uid="{00000000-0002-0000-1300-000001000000}">
      <formula1>"Silo 6, Silo 7, Silo 8, Silo 9"</formula1>
    </dataValidation>
    <dataValidation type="list" allowBlank="1" showInputMessage="1" showErrorMessage="1" sqref="AD11 AO11 AZ11 AV11 B11 M11 X11 T11" xr:uid="{00000000-0002-0000-1300-000002000000}">
      <formula1>"100#, 40/70"</formula1>
    </dataValidation>
    <dataValidation type="list" allowBlank="1" showInputMessage="1" showErrorMessage="1" sqref="AJ11:AM11 AQ11:AT11 H11:K11 O11:R11" xr:uid="{00000000-0002-0000-1300-000003000000}">
      <formula1>"Silo 1, Silo 2, Silo 6, Silo 7"</formula1>
    </dataValidation>
    <dataValidation type="list" allowBlank="1" showInputMessage="1" showErrorMessage="1" sqref="AV25 AD25 AO25 T25 B25 M25" xr:uid="{00000000-0002-0000-1300-000004000000}">
      <formula1>"1, 2, 3, 4, 5, 6, 7, 8, 9, 10, 11, 12, 13, 14, 15, 16"</formula1>
    </dataValidation>
    <dataValidation type="list" allowBlank="1" showInputMessage="1" showErrorMessage="1" sqref="C29:C31 AE29:AE31" xr:uid="{00000000-0002-0000-1300-000005000000}">
      <formula1>"Carrier 100, Carrier 200, Rotary"</formula1>
    </dataValidation>
    <dataValidation type="list" allowBlank="1" showInputMessage="1" showErrorMessage="1" sqref="B26 M26 T26 AD26 AO26 AV26" xr:uid="{00000000-0002-0000-1300-000006000000}">
      <formula1>"SP1, SP2, SP3, OWP SP"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C148"/>
  <sheetViews>
    <sheetView topLeftCell="AB1" zoomScale="80" zoomScaleNormal="80" workbookViewId="0">
      <selection activeCell="AI17" sqref="AI17"/>
    </sheetView>
  </sheetViews>
  <sheetFormatPr defaultRowHeight="14.4" x14ac:dyDescent="0.3"/>
  <cols>
    <col min="1" max="1" width="10.6640625" customWidth="1"/>
    <col min="2" max="2" width="9.6640625" bestFit="1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>
        <v>42901</v>
      </c>
      <c r="C4" s="5"/>
      <c r="D4" s="6" t="s">
        <v>6</v>
      </c>
      <c r="E4" s="380" t="s">
        <v>95</v>
      </c>
      <c r="F4" s="381"/>
      <c r="G4" s="312"/>
      <c r="H4" s="312"/>
      <c r="I4" s="8"/>
      <c r="J4" s="9"/>
      <c r="K4" s="10"/>
      <c r="L4" s="6" t="s">
        <v>5</v>
      </c>
      <c r="M4" s="4">
        <f>B4</f>
        <v>42901</v>
      </c>
      <c r="N4" s="5"/>
      <c r="O4" s="370" t="s">
        <v>6</v>
      </c>
      <c r="P4" s="371"/>
      <c r="Q4" s="11" t="s">
        <v>94</v>
      </c>
      <c r="R4" s="12"/>
      <c r="S4" s="6" t="s">
        <v>5</v>
      </c>
      <c r="T4" s="4">
        <f>B4</f>
        <v>42901</v>
      </c>
      <c r="U4" s="5"/>
      <c r="V4" s="6" t="s">
        <v>6</v>
      </c>
      <c r="W4" s="382" t="s">
        <v>94</v>
      </c>
      <c r="X4" s="383"/>
      <c r="Y4" s="5"/>
      <c r="Z4" s="13"/>
      <c r="AA4" s="14"/>
      <c r="AB4" s="15"/>
      <c r="AC4" s="3" t="s">
        <v>5</v>
      </c>
      <c r="AD4" s="4">
        <f>B4</f>
        <v>42901</v>
      </c>
      <c r="AE4" s="5"/>
      <c r="AF4" s="6" t="s">
        <v>6</v>
      </c>
      <c r="AG4" s="380" t="s">
        <v>90</v>
      </c>
      <c r="AH4" s="381"/>
      <c r="AI4" s="312"/>
      <c r="AJ4" s="312"/>
      <c r="AK4" s="8"/>
      <c r="AL4" s="9"/>
      <c r="AM4" s="10"/>
      <c r="AN4" s="6" t="s">
        <v>5</v>
      </c>
      <c r="AO4" s="4">
        <f>B4</f>
        <v>42901</v>
      </c>
      <c r="AP4" s="5"/>
      <c r="AQ4" s="370" t="s">
        <v>6</v>
      </c>
      <c r="AR4" s="371"/>
      <c r="AS4" s="11" t="s">
        <v>90</v>
      </c>
      <c r="AT4" s="12"/>
      <c r="AU4" s="6" t="s">
        <v>5</v>
      </c>
      <c r="AV4" s="4">
        <f>B4</f>
        <v>42901</v>
      </c>
      <c r="AW4" s="5"/>
      <c r="AX4" s="6" t="s">
        <v>6</v>
      </c>
      <c r="AY4" s="382" t="s">
        <v>90</v>
      </c>
      <c r="AZ4" s="383"/>
      <c r="BA4" s="5"/>
      <c r="BB4" s="13"/>
      <c r="BC4" s="14"/>
    </row>
    <row r="5" spans="1:55" ht="43.8" thickBot="1" x14ac:dyDescent="0.35">
      <c r="A5" s="16" t="s">
        <v>8</v>
      </c>
      <c r="B5" s="17">
        <v>12</v>
      </c>
      <c r="C5" s="5"/>
      <c r="D5" s="18" t="s">
        <v>9</v>
      </c>
      <c r="E5" s="19"/>
      <c r="F5" s="20" t="s">
        <v>10</v>
      </c>
      <c r="G5" s="21">
        <f>SUM((B5+E5)/12, 0)</f>
        <v>1</v>
      </c>
      <c r="H5" s="22"/>
      <c r="I5" s="23"/>
      <c r="J5" s="24"/>
      <c r="K5" s="25"/>
      <c r="L5" s="26" t="s">
        <v>11</v>
      </c>
      <c r="M5" s="27">
        <v>11.34</v>
      </c>
      <c r="N5" s="5"/>
      <c r="O5" s="28" t="s">
        <v>12</v>
      </c>
      <c r="P5" s="298">
        <f>SUM(M5/12)</f>
        <v>0.94499999999999995</v>
      </c>
      <c r="Q5" s="317"/>
      <c r="R5" s="29"/>
      <c r="S5" s="20" t="s">
        <v>13</v>
      </c>
      <c r="T5" s="17">
        <v>7.28</v>
      </c>
      <c r="U5" s="5"/>
      <c r="V5" s="18" t="s">
        <v>14</v>
      </c>
      <c r="W5" s="19"/>
      <c r="X5" s="18" t="s">
        <v>10</v>
      </c>
      <c r="Y5" s="30">
        <f>SUM(T5+W5)/12</f>
        <v>0.60666666666666669</v>
      </c>
      <c r="Z5" s="31"/>
      <c r="AA5" s="32"/>
      <c r="AB5" s="15"/>
      <c r="AC5" s="16" t="s">
        <v>8</v>
      </c>
      <c r="AD5" s="17">
        <v>12</v>
      </c>
      <c r="AE5" s="5"/>
      <c r="AF5" s="18" t="s">
        <v>9</v>
      </c>
      <c r="AG5" s="19"/>
      <c r="AH5" s="20" t="s">
        <v>10</v>
      </c>
      <c r="AI5" s="21">
        <f>SUM(AD5+AG5)/12</f>
        <v>1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>
        <v>12</v>
      </c>
      <c r="AW5" s="5"/>
      <c r="AX5" s="18" t="s">
        <v>14</v>
      </c>
      <c r="AY5" s="19"/>
      <c r="AZ5" s="18" t="s">
        <v>10</v>
      </c>
      <c r="BA5" s="30">
        <f>(AV5+AY5)/12</f>
        <v>1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>
        <v>1132</v>
      </c>
      <c r="C8" s="59">
        <f>B8*(1-B10)</f>
        <v>1092.3799999999999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>
        <v>4065</v>
      </c>
      <c r="M8" s="68">
        <v>2600</v>
      </c>
      <c r="N8" s="64">
        <f>L8*(1-M10)</f>
        <v>4065</v>
      </c>
      <c r="O8" s="69">
        <v>2930</v>
      </c>
      <c r="P8" s="296">
        <v>571</v>
      </c>
      <c r="Q8" s="60">
        <f>IFERROR((O8+P8)/L8,0)</f>
        <v>0.86125461254612545</v>
      </c>
      <c r="R8" s="70"/>
      <c r="S8" s="71">
        <v>1071</v>
      </c>
      <c r="T8" s="72">
        <v>1020</v>
      </c>
      <c r="U8" s="62">
        <f>S8*(1-T10)</f>
        <v>1001.9204999999999</v>
      </c>
      <c r="V8" s="60">
        <f>IFERROR(T8/S8,0)</f>
        <v>0.95238095238095233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>
        <v>1125</v>
      </c>
      <c r="AE8" s="59">
        <f>AD8*(1-AD10)</f>
        <v>1081.96875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>
        <v>4230</v>
      </c>
      <c r="AO8" s="68">
        <v>2774</v>
      </c>
      <c r="AP8" s="64">
        <f>AN8*(1-AO10)</f>
        <v>3974.61375</v>
      </c>
      <c r="AQ8" s="69">
        <v>3059</v>
      </c>
      <c r="AR8" s="296">
        <v>620</v>
      </c>
      <c r="AS8" s="60">
        <f>SUM((AQ8+AR8)/AP8,0)</f>
        <v>0.92562453395628697</v>
      </c>
      <c r="AT8" s="70"/>
      <c r="AU8" s="71">
        <v>1628</v>
      </c>
      <c r="AV8" s="72">
        <v>1530</v>
      </c>
      <c r="AW8" s="62">
        <f>AU8*(1-AV10)</f>
        <v>1520.145</v>
      </c>
      <c r="AX8" s="60">
        <f>IFERROR(AV8/AU8,0)</f>
        <v>0.93980343980343983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94.333333333333329</v>
      </c>
      <c r="C9" s="79">
        <f>B8*(1-B10)</f>
        <v>1092.3799999999999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358.46560846560845</v>
      </c>
      <c r="M9" s="86">
        <f>IFERROR(M8/M5,0)</f>
        <v>229.27689594356261</v>
      </c>
      <c r="N9" s="86">
        <f>IFERROR(N8/M5,0)</f>
        <v>358.46560846560845</v>
      </c>
      <c r="O9" s="86">
        <f>IFERROR(O8/M5,0)</f>
        <v>258.37742504409169</v>
      </c>
      <c r="P9" s="297">
        <f>SUM(P8/M5,0)</f>
        <v>50.352733686067019</v>
      </c>
      <c r="Q9" s="87">
        <f>IFERROR(Q8/M5,0)</f>
        <v>7.5948378531404362E-2</v>
      </c>
      <c r="R9" s="88"/>
      <c r="S9" s="89">
        <f>IFERROR(S8/T5,0)</f>
        <v>147.11538461538461</v>
      </c>
      <c r="T9" s="90">
        <f>IFERROR(SUM(T8/T5),0)</f>
        <v>140.1098901098901</v>
      </c>
      <c r="U9" s="91">
        <f>IFERROR(U8/T5,0)</f>
        <v>137.62644230769229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93.75</v>
      </c>
      <c r="AE9" s="79">
        <f>IFERROR(AE8/AD5,0)</f>
        <v>90.1640625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352.5</v>
      </c>
      <c r="AO9" s="86">
        <f>IFERROR(AO8/AO5,0)</f>
        <v>231.16666666666666</v>
      </c>
      <c r="AP9" s="86">
        <f>IFERROR(AP8/AO5,0)</f>
        <v>331.21781249999998</v>
      </c>
      <c r="AQ9" s="86">
        <f>IFERROR(AQ8/AO5,0)</f>
        <v>254.91666666666666</v>
      </c>
      <c r="AR9" s="297">
        <f>SUM(AR8/AO5,0)</f>
        <v>51.666666666666664</v>
      </c>
      <c r="AS9" s="87">
        <f>IFERROR(AS8/AO5,0)</f>
        <v>7.7135377829690585E-2</v>
      </c>
      <c r="AT9" s="88"/>
      <c r="AU9" s="89">
        <f>IFERROR(AU8/AV5,0)</f>
        <v>135.66666666666666</v>
      </c>
      <c r="AV9" s="90">
        <f>IFERROR(SUM(AV8/AV5),0)</f>
        <v>127.5</v>
      </c>
      <c r="AW9" s="91">
        <f>IFERROR(AW8/AV5,0)</f>
        <v>126.67874999999999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3.5000000000000003E-2</v>
      </c>
      <c r="C10" s="99"/>
      <c r="D10" s="100"/>
      <c r="E10" s="101" t="s">
        <v>39</v>
      </c>
      <c r="F10" s="102">
        <f>J23</f>
        <v>3.5000000000000003E-2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6.4500000000000002E-2</v>
      </c>
      <c r="U10" s="112"/>
      <c r="V10" s="100"/>
      <c r="W10" s="101" t="s">
        <v>39</v>
      </c>
      <c r="X10" s="113">
        <f>AA23</f>
        <v>6.4500000000000002E-2</v>
      </c>
      <c r="Y10" s="5"/>
      <c r="Z10" s="5"/>
      <c r="AA10" s="114"/>
      <c r="AB10" s="15"/>
      <c r="AC10" s="97" t="s">
        <v>39</v>
      </c>
      <c r="AD10" s="98">
        <f>AL23</f>
        <v>3.8249999999999999E-2</v>
      </c>
      <c r="AE10" s="99"/>
      <c r="AF10" s="100"/>
      <c r="AG10" s="101" t="s">
        <v>39</v>
      </c>
      <c r="AH10" s="102">
        <f>AL23</f>
        <v>3.8249999999999999E-2</v>
      </c>
      <c r="AI10" s="103"/>
      <c r="AJ10" s="99"/>
      <c r="AK10" s="104"/>
      <c r="AL10" s="105"/>
      <c r="AM10" s="106"/>
      <c r="AN10" s="107" t="s">
        <v>39</v>
      </c>
      <c r="AO10" s="108">
        <f>AR23</f>
        <v>6.0375000000000005E-2</v>
      </c>
      <c r="AP10" s="109"/>
      <c r="AQ10" s="109"/>
      <c r="AR10" s="109"/>
      <c r="AS10" s="110"/>
      <c r="AT10" s="111"/>
      <c r="AU10" s="107" t="s">
        <v>39</v>
      </c>
      <c r="AV10" s="108">
        <f>BC23</f>
        <v>6.6250000000000003E-2</v>
      </c>
      <c r="AW10" s="112"/>
      <c r="AX10" s="100"/>
      <c r="AY10" s="101" t="s">
        <v>39</v>
      </c>
      <c r="AZ10" s="113">
        <f>BC23</f>
        <v>6.6250000000000003E-2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>
        <v>0.28472222222222221</v>
      </c>
      <c r="B15" s="153">
        <v>0.92900000000000005</v>
      </c>
      <c r="C15" s="154">
        <v>0.88200000000000001</v>
      </c>
      <c r="D15" s="155">
        <v>6.2E-2</v>
      </c>
      <c r="E15" s="156"/>
      <c r="F15" s="157"/>
      <c r="G15" s="158">
        <v>0.90249999999999997</v>
      </c>
      <c r="H15" s="158"/>
      <c r="I15" s="159"/>
      <c r="J15" s="160">
        <v>3.5000000000000003E-2</v>
      </c>
      <c r="K15" s="161"/>
      <c r="L15" s="162">
        <v>0.22170000000000001</v>
      </c>
      <c r="M15" s="163">
        <v>9.9199999999999997E-2</v>
      </c>
      <c r="N15" s="164">
        <v>0.2079</v>
      </c>
      <c r="O15" s="299">
        <v>9.1800000000000007E-2</v>
      </c>
      <c r="P15" s="446">
        <v>5.8000000000000003E-2</v>
      </c>
      <c r="Q15" s="447"/>
      <c r="R15" s="161"/>
      <c r="S15" s="166">
        <v>0.13</v>
      </c>
      <c r="T15" s="163">
        <v>0.13300000000000001</v>
      </c>
      <c r="U15" s="167">
        <v>0.187</v>
      </c>
      <c r="V15" s="168">
        <v>9.2999999999999999E-2</v>
      </c>
      <c r="W15" s="169"/>
      <c r="X15" s="170"/>
      <c r="Y15" s="170"/>
      <c r="Z15" s="171"/>
      <c r="AA15" s="172">
        <v>6.8000000000000005E-2</v>
      </c>
      <c r="AB15" s="173"/>
      <c r="AC15" s="152">
        <v>0.76736111111111116</v>
      </c>
      <c r="AD15" s="153">
        <v>0.95520000000000005</v>
      </c>
      <c r="AE15" s="154">
        <v>0.79659999999999997</v>
      </c>
      <c r="AF15" s="155">
        <v>4.3099999999999999E-2</v>
      </c>
      <c r="AG15" s="156"/>
      <c r="AH15" s="157"/>
      <c r="AI15" s="158">
        <v>0.93200000000000005</v>
      </c>
      <c r="AJ15" s="158"/>
      <c r="AK15" s="159"/>
      <c r="AL15" s="160">
        <v>3.9E-2</v>
      </c>
      <c r="AM15" s="161"/>
      <c r="AN15" s="162">
        <v>0.2157</v>
      </c>
      <c r="AO15" s="163">
        <v>0.1087</v>
      </c>
      <c r="AP15" s="164">
        <v>0.21210000000000001</v>
      </c>
      <c r="AQ15" s="165">
        <v>8.0199999999999994E-2</v>
      </c>
      <c r="AR15" s="356">
        <v>5.3999999999999999E-2</v>
      </c>
      <c r="AS15" s="357"/>
      <c r="AT15" s="161"/>
      <c r="AU15" s="166">
        <v>0.15670000000000001</v>
      </c>
      <c r="AV15" s="163">
        <v>0.11700000000000001</v>
      </c>
      <c r="AW15" s="167">
        <v>0.21029999999999999</v>
      </c>
      <c r="AX15" s="168">
        <v>6.0400000000000002E-2</v>
      </c>
      <c r="AY15" s="169"/>
      <c r="AZ15" s="170"/>
      <c r="BA15" s="170"/>
      <c r="BB15" s="171"/>
      <c r="BC15" s="172">
        <v>6.6000000000000003E-2</v>
      </c>
    </row>
    <row r="16" spans="1:55" x14ac:dyDescent="0.3">
      <c r="A16" s="152">
        <v>0.4548611111111111</v>
      </c>
      <c r="B16" s="174">
        <v>0.92300000000000004</v>
      </c>
      <c r="C16" s="175">
        <v>0.872</v>
      </c>
      <c r="D16" s="176">
        <v>7.6999999999999999E-2</v>
      </c>
      <c r="E16" s="177"/>
      <c r="F16" s="178"/>
      <c r="G16" s="179">
        <v>0.92059999999999997</v>
      </c>
      <c r="H16" s="179"/>
      <c r="I16" s="180"/>
      <c r="J16" s="160">
        <v>3.5999999999999997E-2</v>
      </c>
      <c r="K16" s="161"/>
      <c r="L16" s="181">
        <v>0.18709999999999999</v>
      </c>
      <c r="M16" s="170">
        <v>0.1263</v>
      </c>
      <c r="N16" s="302">
        <v>0.18790000000000001</v>
      </c>
      <c r="O16" s="300">
        <v>0.11799999999999999</v>
      </c>
      <c r="P16" s="440">
        <v>5.5E-2</v>
      </c>
      <c r="Q16" s="357"/>
      <c r="R16" s="161"/>
      <c r="S16" s="169" t="s">
        <v>113</v>
      </c>
      <c r="T16" s="170" t="s">
        <v>113</v>
      </c>
      <c r="U16" s="169" t="s">
        <v>113</v>
      </c>
      <c r="V16" s="171" t="s">
        <v>113</v>
      </c>
      <c r="W16" s="169"/>
      <c r="X16" s="170"/>
      <c r="Y16" s="170"/>
      <c r="Z16" s="171"/>
      <c r="AA16" s="184" t="s">
        <v>113</v>
      </c>
      <c r="AB16" s="173"/>
      <c r="AC16" s="185">
        <v>0.88888888888888884</v>
      </c>
      <c r="AD16" s="174">
        <v>0.93710000000000004</v>
      </c>
      <c r="AE16" s="175">
        <v>0.86209999999999998</v>
      </c>
      <c r="AF16" s="176">
        <v>6.0299999999999999E-2</v>
      </c>
      <c r="AG16" s="177"/>
      <c r="AH16" s="178"/>
      <c r="AI16" s="179">
        <v>0.91559999999999997</v>
      </c>
      <c r="AJ16" s="179"/>
      <c r="AK16" s="180"/>
      <c r="AL16" s="160">
        <v>3.9E-2</v>
      </c>
      <c r="AM16" s="161"/>
      <c r="AN16" s="181">
        <v>0.21510000000000001</v>
      </c>
      <c r="AO16" s="170">
        <v>9.8699999999999996E-2</v>
      </c>
      <c r="AP16" s="302">
        <v>0.22009999999999999</v>
      </c>
      <c r="AQ16" s="183">
        <v>7.85E-2</v>
      </c>
      <c r="AR16" s="356">
        <v>5.8000000000000003E-2</v>
      </c>
      <c r="AS16" s="357"/>
      <c r="AT16" s="161"/>
      <c r="AU16" s="169">
        <v>0.15090000000000001</v>
      </c>
      <c r="AV16" s="170">
        <v>0.12239999999999999</v>
      </c>
      <c r="AW16" s="169">
        <v>0.17369999999999999</v>
      </c>
      <c r="AX16" s="171">
        <v>8.1699999999999995E-2</v>
      </c>
      <c r="AY16" s="169"/>
      <c r="AZ16" s="170"/>
      <c r="BA16" s="170"/>
      <c r="BB16" s="171"/>
      <c r="BC16" s="184">
        <v>7.6999999999999999E-2</v>
      </c>
    </row>
    <row r="17" spans="1:55" x14ac:dyDescent="0.3">
      <c r="A17" s="152">
        <v>0.61805555555555558</v>
      </c>
      <c r="B17" s="174">
        <v>0.93600000000000005</v>
      </c>
      <c r="C17" s="175">
        <v>0.88600000000000001</v>
      </c>
      <c r="D17" s="176">
        <v>6.4000000000000001E-2</v>
      </c>
      <c r="E17" s="177"/>
      <c r="F17" s="178"/>
      <c r="G17" s="179">
        <v>0.93930000000000002</v>
      </c>
      <c r="H17" s="179"/>
      <c r="I17" s="180"/>
      <c r="J17" s="160">
        <v>3.4000000000000002E-2</v>
      </c>
      <c r="K17" s="161"/>
      <c r="L17" s="181">
        <v>0.1817</v>
      </c>
      <c r="M17" s="170">
        <v>0.13170000000000001</v>
      </c>
      <c r="N17" s="302">
        <v>0.19309999999999999</v>
      </c>
      <c r="O17" s="300">
        <v>0.1053</v>
      </c>
      <c r="P17" s="440">
        <v>5.7000000000000002E-2</v>
      </c>
      <c r="Q17" s="357"/>
      <c r="R17" s="161"/>
      <c r="S17" s="169">
        <v>0.1416</v>
      </c>
      <c r="T17" s="170">
        <v>0.1434</v>
      </c>
      <c r="U17" s="169">
        <v>0.18010000000000001</v>
      </c>
      <c r="V17" s="171">
        <v>9.7100000000000006E-2</v>
      </c>
      <c r="W17" s="169"/>
      <c r="X17" s="170"/>
      <c r="Y17" s="170"/>
      <c r="Z17" s="171"/>
      <c r="AA17" s="184">
        <v>6.0999999999999999E-2</v>
      </c>
      <c r="AB17" s="173"/>
      <c r="AC17" s="185">
        <v>1.0416666666666666E-2</v>
      </c>
      <c r="AD17" s="174">
        <v>0.94999</v>
      </c>
      <c r="AE17" s="175">
        <v>0.75539999999999996</v>
      </c>
      <c r="AF17" s="176">
        <v>4.82E-2</v>
      </c>
      <c r="AG17" s="177"/>
      <c r="AH17" s="178"/>
      <c r="AI17" s="179">
        <v>0.91690000000000005</v>
      </c>
      <c r="AJ17" s="179"/>
      <c r="AK17" s="180"/>
      <c r="AL17" s="160">
        <v>3.5000000000000003E-2</v>
      </c>
      <c r="AM17" s="161"/>
      <c r="AN17" s="181">
        <v>0.2185</v>
      </c>
      <c r="AO17" s="170">
        <v>8.77E-2</v>
      </c>
      <c r="AP17" s="302">
        <v>0.28239999999999998</v>
      </c>
      <c r="AQ17" s="183">
        <v>5.5300000000000002E-2</v>
      </c>
      <c r="AR17" s="356">
        <v>7.2800000000000004E-2</v>
      </c>
      <c r="AS17" s="357"/>
      <c r="AT17" s="161"/>
      <c r="AU17" s="169">
        <v>0.14430000000000001</v>
      </c>
      <c r="AV17" s="170">
        <v>0.12429999999999999</v>
      </c>
      <c r="AW17" s="169">
        <v>0.19789999999999999</v>
      </c>
      <c r="AX17" s="171">
        <v>0.1103</v>
      </c>
      <c r="AY17" s="169"/>
      <c r="AZ17" s="170"/>
      <c r="BA17" s="170"/>
      <c r="BB17" s="171"/>
      <c r="BC17" s="184">
        <v>8.2000000000000003E-2</v>
      </c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>
        <v>0.11805555555555557</v>
      </c>
      <c r="AD18" s="174">
        <v>0.87019999999999997</v>
      </c>
      <c r="AE18" s="175">
        <v>0.85499999999999998</v>
      </c>
      <c r="AF18" s="176">
        <v>0.1246</v>
      </c>
      <c r="AG18" s="177"/>
      <c r="AH18" s="178"/>
      <c r="AI18" s="179">
        <v>0.90469999999999995</v>
      </c>
      <c r="AJ18" s="179"/>
      <c r="AK18" s="180"/>
      <c r="AL18" s="160">
        <v>0.04</v>
      </c>
      <c r="AM18" s="161"/>
      <c r="AN18" s="181">
        <v>0.1784</v>
      </c>
      <c r="AO18" s="170">
        <v>0.1162</v>
      </c>
      <c r="AP18" s="302">
        <v>0.19869999999999999</v>
      </c>
      <c r="AQ18" s="183">
        <v>9.2499999999999999E-2</v>
      </c>
      <c r="AR18" s="356">
        <v>5.67E-2</v>
      </c>
      <c r="AS18" s="357"/>
      <c r="AT18" s="161"/>
      <c r="AU18" s="169">
        <v>0.182</v>
      </c>
      <c r="AV18" s="170">
        <v>0.1174</v>
      </c>
      <c r="AW18" s="169">
        <v>0.15129999999999999</v>
      </c>
      <c r="AX18" s="171">
        <v>0.1532</v>
      </c>
      <c r="AY18" s="169"/>
      <c r="AZ18" s="170"/>
      <c r="BA18" s="170"/>
      <c r="BB18" s="171" t="s">
        <v>119</v>
      </c>
      <c r="BC18" s="184">
        <v>0.04</v>
      </c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0.92933333333333346</v>
      </c>
      <c r="C23" s="198">
        <f t="shared" ref="C23:J23" si="0">IFERROR(AVERAGE(C15:C22),0)</f>
        <v>0.88</v>
      </c>
      <c r="D23" s="198">
        <f t="shared" si="0"/>
        <v>6.7666666666666667E-2</v>
      </c>
      <c r="E23" s="198">
        <f t="shared" si="0"/>
        <v>0</v>
      </c>
      <c r="F23" s="198">
        <f t="shared" si="0"/>
        <v>0</v>
      </c>
      <c r="G23" s="198">
        <f t="shared" si="0"/>
        <v>0.92079999999999995</v>
      </c>
      <c r="H23" s="198">
        <f t="shared" si="0"/>
        <v>0</v>
      </c>
      <c r="I23" s="198">
        <f t="shared" si="0"/>
        <v>0</v>
      </c>
      <c r="J23" s="198">
        <f t="shared" si="0"/>
        <v>3.5000000000000003E-2</v>
      </c>
      <c r="K23" s="161"/>
      <c r="L23" s="199">
        <f>IFERROR(AVERAGE(L15:L22),0)</f>
        <v>0.19683333333333333</v>
      </c>
      <c r="M23" s="198">
        <f>IFERROR(AVERAGE(M15:M22),0)</f>
        <v>0.11906666666666665</v>
      </c>
      <c r="N23" s="200">
        <f>IFERROR(AVERAGE(N15:N22),0)</f>
        <v>0.1963</v>
      </c>
      <c r="O23" s="201">
        <f>IFERROR(AVERAGE(O15:O22),0)</f>
        <v>0.10503333333333333</v>
      </c>
      <c r="P23" s="443">
        <f>IFERROR(AVERAGE(Q15:Q22),0)</f>
        <v>0</v>
      </c>
      <c r="Q23" s="444"/>
      <c r="R23" s="202"/>
      <c r="S23" s="199">
        <f>IFERROR(AVERAGE(S15:S22),0)</f>
        <v>0.1358</v>
      </c>
      <c r="T23" s="198">
        <f>IFERROR(AVERAGE(T15:T22),0)</f>
        <v>0.13819999999999999</v>
      </c>
      <c r="U23" s="198">
        <f>IFERROR(AVERAGE(U15:U22),0)</f>
        <v>0.18354999999999999</v>
      </c>
      <c r="V23" s="198">
        <f>IFERROR(AVERAGE(V15:V22),0)</f>
        <v>9.5049999999999996E-2</v>
      </c>
      <c r="W23" s="198">
        <f t="shared" ref="W23:AA23" si="1">IFERROR(AVERAGE(W15:W22),0)</f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6.4500000000000002E-2</v>
      </c>
      <c r="AB23" s="173"/>
      <c r="AC23" s="197" t="s">
        <v>58</v>
      </c>
      <c r="AD23" s="198">
        <f>IFERROR(AVERAGE(AD15:AD22),0)</f>
        <v>0.92812250000000007</v>
      </c>
      <c r="AE23" s="198">
        <f t="shared" ref="AE23:AL23" si="2">IFERROR(AVERAGE(AE15:AE22),0)</f>
        <v>0.81727499999999997</v>
      </c>
      <c r="AF23" s="198">
        <f t="shared" si="2"/>
        <v>6.905E-2</v>
      </c>
      <c r="AG23" s="198">
        <f t="shared" si="2"/>
        <v>0</v>
      </c>
      <c r="AH23" s="198">
        <f t="shared" si="2"/>
        <v>0</v>
      </c>
      <c r="AI23" s="198">
        <f t="shared" si="2"/>
        <v>0.9173</v>
      </c>
      <c r="AJ23" s="198">
        <f t="shared" si="2"/>
        <v>0</v>
      </c>
      <c r="AK23" s="198">
        <f t="shared" si="2"/>
        <v>0</v>
      </c>
      <c r="AL23" s="198">
        <f t="shared" si="2"/>
        <v>3.8249999999999999E-2</v>
      </c>
      <c r="AM23" s="161"/>
      <c r="AN23" s="199">
        <f>IFERROR(AVERAGE(AN15:AN22),0)</f>
        <v>0.206925</v>
      </c>
      <c r="AO23" s="198">
        <f>IFERROR(AVERAGE(AO15:AO22),0)</f>
        <v>0.102825</v>
      </c>
      <c r="AP23" s="200">
        <f>IFERROR(AVERAGE(AP15:AP22),0)</f>
        <v>0.228325</v>
      </c>
      <c r="AQ23" s="201">
        <f>IFERROR(AVERAGE(AQ15:AQ22),0)</f>
        <v>7.6624999999999999E-2</v>
      </c>
      <c r="AR23" s="396">
        <f>IFERROR(AVERAGE(AR15:AS22),0)</f>
        <v>6.0375000000000005E-2</v>
      </c>
      <c r="AS23" s="397"/>
      <c r="AT23" s="202"/>
      <c r="AU23" s="199">
        <f t="shared" ref="AU23:BC23" si="3">IFERROR(AVERAGE(AU15:AU22),0)</f>
        <v>0.15847499999999998</v>
      </c>
      <c r="AV23" s="198">
        <f t="shared" si="3"/>
        <v>0.12027500000000001</v>
      </c>
      <c r="AW23" s="198">
        <f t="shared" si="3"/>
        <v>0.18329999999999999</v>
      </c>
      <c r="AX23" s="198">
        <f t="shared" si="3"/>
        <v>0.1014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6.6250000000000003E-2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>
        <v>2</v>
      </c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>
        <v>2</v>
      </c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 t="s">
        <v>114</v>
      </c>
      <c r="N26" s="404" t="s">
        <v>63</v>
      </c>
      <c r="O26" s="405"/>
      <c r="P26" s="423"/>
      <c r="Q26" s="424"/>
      <c r="R26" s="231"/>
      <c r="S26" s="228" t="s">
        <v>62</v>
      </c>
      <c r="T26" s="229" t="s">
        <v>105</v>
      </c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 t="s">
        <v>114</v>
      </c>
      <c r="AP26" s="404" t="s">
        <v>63</v>
      </c>
      <c r="AQ26" s="405"/>
      <c r="AR26" s="316"/>
      <c r="AS26" s="230"/>
      <c r="AT26" s="231"/>
      <c r="AU26" s="228" t="s">
        <v>62</v>
      </c>
      <c r="AV26" s="229" t="s">
        <v>105</v>
      </c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398.4873151539818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2257</v>
      </c>
      <c r="D43" s="267"/>
      <c r="E43" s="276" t="s">
        <v>84</v>
      </c>
      <c r="F43" s="273">
        <f>AG9+AQ9+AV9</f>
        <v>382.41666666666663</v>
      </c>
      <c r="K43" s="266"/>
      <c r="R43" s="266"/>
    </row>
    <row r="44" spans="1:55" ht="16.2" thickBot="1" x14ac:dyDescent="0.35">
      <c r="A44" s="274" t="s">
        <v>3</v>
      </c>
      <c r="B44" s="275">
        <f>L8+AN8</f>
        <v>8295</v>
      </c>
      <c r="C44" s="277"/>
      <c r="D44" s="267"/>
      <c r="E44" s="276" t="s">
        <v>85</v>
      </c>
      <c r="F44" s="273">
        <f>B9+X9</f>
        <v>94.333333333333329</v>
      </c>
      <c r="K44" s="266"/>
      <c r="R44" s="266"/>
    </row>
    <row r="45" spans="1:55" ht="16.2" thickBot="1" x14ac:dyDescent="0.35">
      <c r="A45" s="274" t="s">
        <v>4</v>
      </c>
      <c r="B45" s="278">
        <f>S8+AU8</f>
        <v>2699</v>
      </c>
      <c r="C45" s="279">
        <f>W8+AY8</f>
        <v>0</v>
      </c>
      <c r="D45" s="267"/>
      <c r="E45" s="280" t="s">
        <v>86</v>
      </c>
      <c r="F45" s="281">
        <f>AD9+AZ9</f>
        <v>93.75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10994</v>
      </c>
      <c r="C46" s="284">
        <f>SUM(C43:C45)</f>
        <v>2257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1805.6000000000001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7299.6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2469.585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9769.1850000000013</v>
      </c>
      <c r="C52" s="291">
        <f>SUM(C49:C51)</f>
        <v>1805.6000000000001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1400-000000000000}">
      <formula1>$A$137:$A$148</formula1>
    </dataValidation>
    <dataValidation type="list" allowBlank="1" showInputMessage="1" showErrorMessage="1" sqref="AX11 BB11:BC11 V11 Z11:AA11" xr:uid="{00000000-0002-0000-1400-000001000000}">
      <formula1>"Silo 6, Silo 7, Silo 8, Silo 9"</formula1>
    </dataValidation>
    <dataValidation type="list" allowBlank="1" showInputMessage="1" showErrorMessage="1" sqref="AD11 AO11 AZ11 AV11 B11 M11 X11 T11" xr:uid="{00000000-0002-0000-1400-000002000000}">
      <formula1>"100#, 40/70"</formula1>
    </dataValidation>
    <dataValidation type="list" allowBlank="1" showInputMessage="1" showErrorMessage="1" sqref="AJ11:AM11 AQ11:AT11 H11:K11 O11:R11" xr:uid="{00000000-0002-0000-1400-000003000000}">
      <formula1>"Silo 1, Silo 2, Silo 6, Silo 7"</formula1>
    </dataValidation>
    <dataValidation type="list" allowBlank="1" showInputMessage="1" showErrorMessage="1" sqref="AV25 AD25 AO25 T25 B25 M25" xr:uid="{00000000-0002-0000-1400-000004000000}">
      <formula1>"1, 2, 3, 4, 5, 6, 7, 8, 9, 10, 11, 12, 13, 14, 15, 16"</formula1>
    </dataValidation>
    <dataValidation type="list" allowBlank="1" showInputMessage="1" showErrorMessage="1" sqref="C29:C31 AE29:AE31" xr:uid="{00000000-0002-0000-1400-000005000000}">
      <formula1>"Carrier 100, Carrier 200, Rotary"</formula1>
    </dataValidation>
    <dataValidation type="list" allowBlank="1" showInputMessage="1" showErrorMessage="1" sqref="B26 M26 T26 AD26 AO26 AV26" xr:uid="{00000000-0002-0000-1400-000006000000}">
      <formula1>"SP1, SP2, SP3, OWP SP"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48"/>
  <sheetViews>
    <sheetView workbookViewId="0">
      <selection sqref="A1:XFD1048576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/>
      <c r="C4" s="5"/>
      <c r="D4" s="6" t="s">
        <v>6</v>
      </c>
      <c r="E4" s="380"/>
      <c r="F4" s="381"/>
      <c r="G4" s="312"/>
      <c r="H4" s="312"/>
      <c r="I4" s="8"/>
      <c r="J4" s="9"/>
      <c r="K4" s="10"/>
      <c r="L4" s="6" t="s">
        <v>5</v>
      </c>
      <c r="M4" s="4">
        <f>B4</f>
        <v>0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0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0</v>
      </c>
      <c r="AE4" s="5"/>
      <c r="AF4" s="6" t="s">
        <v>6</v>
      </c>
      <c r="AG4" s="380"/>
      <c r="AH4" s="381"/>
      <c r="AI4" s="312"/>
      <c r="AJ4" s="312"/>
      <c r="AK4" s="8"/>
      <c r="AL4" s="9"/>
      <c r="AM4" s="10"/>
      <c r="AN4" s="6" t="s">
        <v>5</v>
      </c>
      <c r="AO4" s="4">
        <f>B4</f>
        <v>0</v>
      </c>
      <c r="AP4" s="5"/>
      <c r="AQ4" s="370" t="s">
        <v>6</v>
      </c>
      <c r="AR4" s="371"/>
      <c r="AS4" s="11"/>
      <c r="AT4" s="12"/>
      <c r="AU4" s="6" t="s">
        <v>5</v>
      </c>
      <c r="AV4" s="4">
        <f>B4</f>
        <v>0</v>
      </c>
      <c r="AW4" s="5"/>
      <c r="AX4" s="6" t="s">
        <v>6</v>
      </c>
      <c r="AY4" s="382"/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/>
      <c r="F5" s="20" t="s">
        <v>10</v>
      </c>
      <c r="G5" s="21">
        <f>SUM((B5+E5)/12, 0)</f>
        <v>0</v>
      </c>
      <c r="H5" s="22"/>
      <c r="I5" s="23"/>
      <c r="J5" s="24"/>
      <c r="K5" s="25"/>
      <c r="L5" s="26" t="s">
        <v>11</v>
      </c>
      <c r="M5" s="27"/>
      <c r="N5" s="5"/>
      <c r="O5" s="28" t="s">
        <v>12</v>
      </c>
      <c r="P5" s="298">
        <f>SUM(M5/12)</f>
        <v>0</v>
      </c>
      <c r="Q5" s="317"/>
      <c r="R5" s="29"/>
      <c r="S5" s="20" t="s">
        <v>13</v>
      </c>
      <c r="T5" s="17"/>
      <c r="U5" s="5"/>
      <c r="V5" s="18" t="s">
        <v>14</v>
      </c>
      <c r="W5" s="19"/>
      <c r="X5" s="18" t="s">
        <v>10</v>
      </c>
      <c r="Y5" s="30">
        <f>SUM(T5+W5)/12</f>
        <v>0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/>
      <c r="AH5" s="20" t="s">
        <v>10</v>
      </c>
      <c r="AI5" s="21">
        <f>SUM(AD5+AG5)/12</f>
        <v>0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/>
      <c r="AW5" s="5"/>
      <c r="AX5" s="18" t="s">
        <v>14</v>
      </c>
      <c r="AY5" s="19"/>
      <c r="AZ5" s="18" t="s">
        <v>10</v>
      </c>
      <c r="BA5" s="30">
        <f>(AV5+AY5)/12</f>
        <v>0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/>
      <c r="M8" s="68"/>
      <c r="N8" s="64">
        <f>L8*(1-M10)</f>
        <v>0</v>
      </c>
      <c r="O8" s="69"/>
      <c r="P8" s="296"/>
      <c r="Q8" s="60">
        <f>IFERROR((O8+P8)/L8,0)</f>
        <v>0</v>
      </c>
      <c r="R8" s="70"/>
      <c r="S8" s="71"/>
      <c r="T8" s="72"/>
      <c r="U8" s="62">
        <f>S8*(1-T10)</f>
        <v>0</v>
      </c>
      <c r="V8" s="60">
        <f>IFERROR(T8/S8,0)</f>
        <v>0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/>
      <c r="AO8" s="68"/>
      <c r="AP8" s="64">
        <f>AN8*(1-AO10)</f>
        <v>0</v>
      </c>
      <c r="AQ8" s="69"/>
      <c r="AR8" s="296"/>
      <c r="AS8" s="60" t="e">
        <f>SUM((AQ8+AR8)/AP8,0)</f>
        <v>#DIV/0!</v>
      </c>
      <c r="AT8" s="70"/>
      <c r="AU8" s="71"/>
      <c r="AV8" s="72"/>
      <c r="AW8" s="62">
        <f>AU8*(1-AV10)</f>
        <v>0</v>
      </c>
      <c r="AX8" s="60">
        <f>IFERROR(AV8/AU8,0)</f>
        <v>0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0</v>
      </c>
      <c r="M9" s="86">
        <f>IFERROR(M8/M5,0)</f>
        <v>0</v>
      </c>
      <c r="N9" s="86">
        <f>IFERROR(N8/M5,0)</f>
        <v>0</v>
      </c>
      <c r="O9" s="86">
        <f>IFERROR(O8/M5,0)</f>
        <v>0</v>
      </c>
      <c r="P9" s="297" t="e">
        <f>SUM(P8/M5,0)</f>
        <v>#DIV/0!</v>
      </c>
      <c r="Q9" s="87">
        <f>IFERROR(Q8/M5,0)</f>
        <v>0</v>
      </c>
      <c r="R9" s="88"/>
      <c r="S9" s="89">
        <f>IFERROR(S8/T5,0)</f>
        <v>0</v>
      </c>
      <c r="T9" s="90">
        <f>IFERROR(SUM(T8/T5),0)</f>
        <v>0</v>
      </c>
      <c r="U9" s="91">
        <f>IFERROR(U8/T5,0)</f>
        <v>0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0</v>
      </c>
      <c r="AO9" s="86">
        <f>IFERROR(AO8/AO5,0)</f>
        <v>0</v>
      </c>
      <c r="AP9" s="86">
        <f>IFERROR(AP8/AO5,0)</f>
        <v>0</v>
      </c>
      <c r="AQ9" s="86">
        <f>IFERROR(AQ8/AO5,0)</f>
        <v>0</v>
      </c>
      <c r="AR9" s="297">
        <f>SUM(AR8/AO5,0)</f>
        <v>0</v>
      </c>
      <c r="AS9" s="87">
        <f>IFERROR(AS8/AO5,0)</f>
        <v>0</v>
      </c>
      <c r="AT9" s="88"/>
      <c r="AU9" s="89">
        <f>IFERROR(AU8/AV5,0)</f>
        <v>0</v>
      </c>
      <c r="AV9" s="90">
        <f>IFERROR(SUM(AV8/AV5),0)</f>
        <v>0</v>
      </c>
      <c r="AW9" s="91">
        <f>IFERROR(AW8/AV5,0)</f>
        <v>0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0</v>
      </c>
      <c r="C10" s="99"/>
      <c r="D10" s="100"/>
      <c r="E10" s="101" t="s">
        <v>39</v>
      </c>
      <c r="F10" s="102">
        <f>J23</f>
        <v>0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0</v>
      </c>
      <c r="U10" s="112"/>
      <c r="V10" s="100"/>
      <c r="W10" s="101" t="s">
        <v>39</v>
      </c>
      <c r="X10" s="113">
        <f>AA23</f>
        <v>0</v>
      </c>
      <c r="Y10" s="5"/>
      <c r="Z10" s="5"/>
      <c r="AA10" s="114"/>
      <c r="AB10" s="15"/>
      <c r="AC10" s="97" t="s">
        <v>39</v>
      </c>
      <c r="AD10" s="98">
        <f>AL23</f>
        <v>0</v>
      </c>
      <c r="AE10" s="99"/>
      <c r="AF10" s="100"/>
      <c r="AG10" s="101" t="s">
        <v>39</v>
      </c>
      <c r="AH10" s="102">
        <f>AL23</f>
        <v>0</v>
      </c>
      <c r="AI10" s="103"/>
      <c r="AJ10" s="99"/>
      <c r="AK10" s="104"/>
      <c r="AL10" s="105"/>
      <c r="AM10" s="106"/>
      <c r="AN10" s="107" t="s">
        <v>39</v>
      </c>
      <c r="AO10" s="108">
        <f>AR23</f>
        <v>0</v>
      </c>
      <c r="AP10" s="109"/>
      <c r="AQ10" s="109"/>
      <c r="AR10" s="109"/>
      <c r="AS10" s="110"/>
      <c r="AT10" s="111"/>
      <c r="AU10" s="107" t="s">
        <v>39</v>
      </c>
      <c r="AV10" s="108">
        <f>BC23</f>
        <v>0</v>
      </c>
      <c r="AW10" s="112"/>
      <c r="AX10" s="100"/>
      <c r="AY10" s="101" t="s">
        <v>39</v>
      </c>
      <c r="AZ10" s="113">
        <f>BC23</f>
        <v>0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/>
      <c r="F15" s="157"/>
      <c r="G15" s="158"/>
      <c r="H15" s="158"/>
      <c r="I15" s="159"/>
      <c r="J15" s="160"/>
      <c r="K15" s="161"/>
      <c r="L15" s="162"/>
      <c r="M15" s="163"/>
      <c r="N15" s="164"/>
      <c r="O15" s="299"/>
      <c r="P15" s="446"/>
      <c r="Q15" s="447"/>
      <c r="R15" s="161"/>
      <c r="S15" s="166"/>
      <c r="T15" s="163"/>
      <c r="U15" s="167"/>
      <c r="V15" s="168"/>
      <c r="W15" s="169"/>
      <c r="X15" s="170"/>
      <c r="Y15" s="170"/>
      <c r="Z15" s="171"/>
      <c r="AA15" s="172"/>
      <c r="AB15" s="173"/>
      <c r="AC15" s="152"/>
      <c r="AD15" s="153"/>
      <c r="AE15" s="154"/>
      <c r="AF15" s="155"/>
      <c r="AG15" s="156"/>
      <c r="AH15" s="157"/>
      <c r="AI15" s="158"/>
      <c r="AJ15" s="158"/>
      <c r="AK15" s="159"/>
      <c r="AL15" s="160"/>
      <c r="AM15" s="161"/>
      <c r="AN15" s="162"/>
      <c r="AO15" s="163"/>
      <c r="AP15" s="164"/>
      <c r="AQ15" s="165"/>
      <c r="AR15" s="356"/>
      <c r="AS15" s="357"/>
      <c r="AT15" s="161"/>
      <c r="AU15" s="166"/>
      <c r="AV15" s="163"/>
      <c r="AW15" s="167"/>
      <c r="AX15" s="168"/>
      <c r="AY15" s="169"/>
      <c r="AZ15" s="170"/>
      <c r="BA15" s="170"/>
      <c r="BB15" s="171"/>
      <c r="BC15" s="172"/>
    </row>
    <row r="16" spans="1:55" x14ac:dyDescent="0.3">
      <c r="A16" s="152"/>
      <c r="B16" s="174"/>
      <c r="C16" s="175"/>
      <c r="D16" s="176"/>
      <c r="E16" s="177"/>
      <c r="F16" s="178"/>
      <c r="G16" s="179"/>
      <c r="H16" s="179"/>
      <c r="I16" s="180"/>
      <c r="J16" s="160"/>
      <c r="K16" s="161"/>
      <c r="L16" s="181"/>
      <c r="M16" s="170"/>
      <c r="N16" s="302"/>
      <c r="O16" s="300"/>
      <c r="P16" s="440"/>
      <c r="Q16" s="357"/>
      <c r="R16" s="161"/>
      <c r="S16" s="169"/>
      <c r="T16" s="170"/>
      <c r="U16" s="169"/>
      <c r="V16" s="171"/>
      <c r="W16" s="169"/>
      <c r="X16" s="170"/>
      <c r="Y16" s="170"/>
      <c r="Z16" s="171"/>
      <c r="AA16" s="184"/>
      <c r="AB16" s="173"/>
      <c r="AC16" s="185"/>
      <c r="AD16" s="174"/>
      <c r="AE16" s="175"/>
      <c r="AF16" s="176"/>
      <c r="AG16" s="177"/>
      <c r="AH16" s="178"/>
      <c r="AI16" s="179"/>
      <c r="AJ16" s="179"/>
      <c r="AK16" s="180"/>
      <c r="AL16" s="160"/>
      <c r="AM16" s="161"/>
      <c r="AN16" s="181"/>
      <c r="AO16" s="170"/>
      <c r="AP16" s="302"/>
      <c r="AQ16" s="183"/>
      <c r="AR16" s="356"/>
      <c r="AS16" s="357"/>
      <c r="AT16" s="161"/>
      <c r="AU16" s="169"/>
      <c r="AV16" s="170"/>
      <c r="AW16" s="169"/>
      <c r="AX16" s="171"/>
      <c r="AY16" s="169"/>
      <c r="AZ16" s="170"/>
      <c r="BA16" s="170"/>
      <c r="BB16" s="171"/>
      <c r="BC16" s="184"/>
    </row>
    <row r="17" spans="1:55" x14ac:dyDescent="0.3">
      <c r="A17" s="152"/>
      <c r="B17" s="174"/>
      <c r="C17" s="175"/>
      <c r="D17" s="176"/>
      <c r="E17" s="177"/>
      <c r="F17" s="178"/>
      <c r="G17" s="179"/>
      <c r="H17" s="179"/>
      <c r="I17" s="180"/>
      <c r="J17" s="160"/>
      <c r="K17" s="161"/>
      <c r="L17" s="181"/>
      <c r="M17" s="170"/>
      <c r="N17" s="302"/>
      <c r="O17" s="300"/>
      <c r="P17" s="440"/>
      <c r="Q17" s="357"/>
      <c r="R17" s="161"/>
      <c r="S17" s="169"/>
      <c r="T17" s="170"/>
      <c r="U17" s="169"/>
      <c r="V17" s="171"/>
      <c r="W17" s="169"/>
      <c r="X17" s="170"/>
      <c r="Y17" s="170"/>
      <c r="Z17" s="171"/>
      <c r="AA17" s="184"/>
      <c r="AB17" s="173"/>
      <c r="AC17" s="185"/>
      <c r="AD17" s="174"/>
      <c r="AE17" s="175"/>
      <c r="AF17" s="176"/>
      <c r="AG17" s="177"/>
      <c r="AH17" s="178"/>
      <c r="AI17" s="179"/>
      <c r="AJ17" s="179"/>
      <c r="AK17" s="180"/>
      <c r="AL17" s="160"/>
      <c r="AM17" s="161"/>
      <c r="AN17" s="181"/>
      <c r="AO17" s="170"/>
      <c r="AP17" s="302"/>
      <c r="AQ17" s="183"/>
      <c r="AR17" s="356"/>
      <c r="AS17" s="357"/>
      <c r="AT17" s="161"/>
      <c r="AU17" s="169"/>
      <c r="AV17" s="170"/>
      <c r="AW17" s="169"/>
      <c r="AX17" s="171"/>
      <c r="AY17" s="169"/>
      <c r="AZ17" s="170"/>
      <c r="BA17" s="170"/>
      <c r="BB17" s="171"/>
      <c r="BC17" s="184"/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/>
      <c r="AH18" s="178"/>
      <c r="AI18" s="179"/>
      <c r="AJ18" s="179"/>
      <c r="AK18" s="180"/>
      <c r="AL18" s="160"/>
      <c r="AM18" s="161"/>
      <c r="AN18" s="181"/>
      <c r="AO18" s="170"/>
      <c r="AP18" s="302"/>
      <c r="AQ18" s="183"/>
      <c r="AR18" s="356"/>
      <c r="AS18" s="357"/>
      <c r="AT18" s="161"/>
      <c r="AU18" s="169"/>
      <c r="AV18" s="170"/>
      <c r="AW18" s="169"/>
      <c r="AX18" s="171"/>
      <c r="AY18" s="169"/>
      <c r="AZ18" s="170"/>
      <c r="BA18" s="170"/>
      <c r="BB18" s="171"/>
      <c r="BC18" s="184"/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</v>
      </c>
      <c r="F23" s="198">
        <f t="shared" si="0"/>
        <v>0</v>
      </c>
      <c r="G23" s="198">
        <f t="shared" si="0"/>
        <v>0</v>
      </c>
      <c r="H23" s="198">
        <f t="shared" si="0"/>
        <v>0</v>
      </c>
      <c r="I23" s="198">
        <f t="shared" si="0"/>
        <v>0</v>
      </c>
      <c r="J23" s="198">
        <f t="shared" si="0"/>
        <v>0</v>
      </c>
      <c r="K23" s="161"/>
      <c r="L23" s="199">
        <f>IFERROR(AVERAGE(L15:L22),0)</f>
        <v>0</v>
      </c>
      <c r="M23" s="198">
        <f>IFERROR(AVERAGE(M15:M22),0)</f>
        <v>0</v>
      </c>
      <c r="N23" s="200">
        <f>IFERROR(AVERAGE(N15:N22),0)</f>
        <v>0</v>
      </c>
      <c r="O23" s="201">
        <f>IFERROR(AVERAGE(O15:O22),0)</f>
        <v>0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</v>
      </c>
      <c r="T23" s="198">
        <f t="shared" si="1"/>
        <v>0</v>
      </c>
      <c r="U23" s="198">
        <f t="shared" si="1"/>
        <v>0</v>
      </c>
      <c r="V23" s="198">
        <f t="shared" si="1"/>
        <v>0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0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</v>
      </c>
      <c r="AH23" s="198">
        <f t="shared" si="2"/>
        <v>0</v>
      </c>
      <c r="AI23" s="198">
        <f t="shared" si="2"/>
        <v>0</v>
      </c>
      <c r="AJ23" s="198">
        <f t="shared" si="2"/>
        <v>0</v>
      </c>
      <c r="AK23" s="198">
        <f t="shared" si="2"/>
        <v>0</v>
      </c>
      <c r="AL23" s="198">
        <f t="shared" si="2"/>
        <v>0</v>
      </c>
      <c r="AM23" s="161"/>
      <c r="AN23" s="199">
        <f>IFERROR(AVERAGE(AN15:AN22),0)</f>
        <v>0</v>
      </c>
      <c r="AO23" s="198">
        <f>IFERROR(AVERAGE(AO15:AO22),0)</f>
        <v>0</v>
      </c>
      <c r="AP23" s="200">
        <f>IFERROR(AVERAGE(AP15:AP22),0)</f>
        <v>0</v>
      </c>
      <c r="AQ23" s="201">
        <f>IFERROR(AVERAGE(AQ15:AQ22),0)</f>
        <v>0</v>
      </c>
      <c r="AR23" s="396">
        <f>IFERROR(AVERAGE(AR15:AS22),0)</f>
        <v>0</v>
      </c>
      <c r="AS23" s="397"/>
      <c r="AT23" s="202"/>
      <c r="AU23" s="199">
        <f t="shared" ref="AU23:BC23" si="3">IFERROR(AVERAGE(AU15:AU22),0)</f>
        <v>0</v>
      </c>
      <c r="AV23" s="198">
        <f t="shared" si="3"/>
        <v>0</v>
      </c>
      <c r="AW23" s="198">
        <f t="shared" si="3"/>
        <v>0</v>
      </c>
      <c r="AX23" s="198">
        <f t="shared" si="3"/>
        <v>0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0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0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0</v>
      </c>
      <c r="D43" s="267"/>
      <c r="E43" s="276" t="s">
        <v>84</v>
      </c>
      <c r="F43" s="273">
        <f>AG9+AQ9+AV9</f>
        <v>0</v>
      </c>
      <c r="K43" s="266"/>
      <c r="R43" s="266"/>
    </row>
    <row r="44" spans="1:55" ht="16.2" thickBot="1" x14ac:dyDescent="0.35">
      <c r="A44" s="274" t="s">
        <v>3</v>
      </c>
      <c r="B44" s="275">
        <f>L8+AN8</f>
        <v>0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0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0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0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0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0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1500-000000000000}">
      <formula1>$A$137:$A$148</formula1>
    </dataValidation>
    <dataValidation type="list" allowBlank="1" showInputMessage="1" showErrorMessage="1" sqref="AX11 BB11:BC11 V11 Z11:AA11" xr:uid="{00000000-0002-0000-1500-000001000000}">
      <formula1>"Silo 6, Silo 7, Silo 8, Silo 9"</formula1>
    </dataValidation>
    <dataValidation type="list" allowBlank="1" showInputMessage="1" showErrorMessage="1" sqref="AD11 AO11 AZ11 AV11 B11 M11 X11 T11" xr:uid="{00000000-0002-0000-1500-000002000000}">
      <formula1>"100#, 40/70"</formula1>
    </dataValidation>
    <dataValidation type="list" allowBlank="1" showInputMessage="1" showErrorMessage="1" sqref="AJ11:AM11 AQ11:AT11 H11:K11 O11:R11" xr:uid="{00000000-0002-0000-1500-000003000000}">
      <formula1>"Silo 1, Silo 2, Silo 6, Silo 7"</formula1>
    </dataValidation>
    <dataValidation type="list" allowBlank="1" showInputMessage="1" showErrorMessage="1" sqref="AV25 AD25 AO25 T25 B25 M25" xr:uid="{00000000-0002-0000-1500-000004000000}">
      <formula1>"1, 2, 3, 4, 5, 6, 7, 8, 9, 10, 11, 12, 13, 14, 15, 16"</formula1>
    </dataValidation>
    <dataValidation type="list" allowBlank="1" showInputMessage="1" showErrorMessage="1" sqref="C29:C31 AE29:AE31" xr:uid="{00000000-0002-0000-1500-000005000000}">
      <formula1>"Carrier 100, Carrier 200, Rotary"</formula1>
    </dataValidation>
    <dataValidation type="list" allowBlank="1" showInputMessage="1" showErrorMessage="1" sqref="B26 M26 T26 AD26 AO26 AV26" xr:uid="{00000000-0002-0000-1500-000006000000}">
      <formula1>"SP1, SP2, SP3, OWP SP"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C148"/>
  <sheetViews>
    <sheetView workbookViewId="0">
      <selection sqref="A1:XFD1048576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/>
      <c r="C4" s="5"/>
      <c r="D4" s="6" t="s">
        <v>6</v>
      </c>
      <c r="E4" s="380"/>
      <c r="F4" s="381"/>
      <c r="G4" s="312"/>
      <c r="H4" s="312"/>
      <c r="I4" s="8"/>
      <c r="J4" s="9"/>
      <c r="K4" s="10"/>
      <c r="L4" s="6" t="s">
        <v>5</v>
      </c>
      <c r="M4" s="4">
        <f>B4</f>
        <v>0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0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0</v>
      </c>
      <c r="AE4" s="5"/>
      <c r="AF4" s="6" t="s">
        <v>6</v>
      </c>
      <c r="AG4" s="380"/>
      <c r="AH4" s="381"/>
      <c r="AI4" s="312"/>
      <c r="AJ4" s="312"/>
      <c r="AK4" s="8"/>
      <c r="AL4" s="9"/>
      <c r="AM4" s="10"/>
      <c r="AN4" s="6" t="s">
        <v>5</v>
      </c>
      <c r="AO4" s="4">
        <f>B4</f>
        <v>0</v>
      </c>
      <c r="AP4" s="5"/>
      <c r="AQ4" s="370" t="s">
        <v>6</v>
      </c>
      <c r="AR4" s="371"/>
      <c r="AS4" s="11"/>
      <c r="AT4" s="12"/>
      <c r="AU4" s="6" t="s">
        <v>5</v>
      </c>
      <c r="AV4" s="4">
        <f>B4</f>
        <v>0</v>
      </c>
      <c r="AW4" s="5"/>
      <c r="AX4" s="6" t="s">
        <v>6</v>
      </c>
      <c r="AY4" s="382"/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/>
      <c r="F5" s="20" t="s">
        <v>10</v>
      </c>
      <c r="G5" s="21">
        <f>SUM((B5+E5)/12, 0)</f>
        <v>0</v>
      </c>
      <c r="H5" s="22"/>
      <c r="I5" s="23"/>
      <c r="J5" s="24"/>
      <c r="K5" s="25"/>
      <c r="L5" s="26" t="s">
        <v>11</v>
      </c>
      <c r="M5" s="27"/>
      <c r="N5" s="5"/>
      <c r="O5" s="28" t="s">
        <v>12</v>
      </c>
      <c r="P5" s="298">
        <f>SUM(M5/12)</f>
        <v>0</v>
      </c>
      <c r="Q5" s="317"/>
      <c r="R5" s="29"/>
      <c r="S5" s="20" t="s">
        <v>13</v>
      </c>
      <c r="T5" s="17"/>
      <c r="U5" s="5"/>
      <c r="V5" s="18" t="s">
        <v>14</v>
      </c>
      <c r="W5" s="19"/>
      <c r="X5" s="18" t="s">
        <v>10</v>
      </c>
      <c r="Y5" s="30">
        <f>SUM(T5+W5)/12</f>
        <v>0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/>
      <c r="AH5" s="20" t="s">
        <v>10</v>
      </c>
      <c r="AI5" s="21">
        <f>SUM(AD5+AG5)/12</f>
        <v>0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/>
      <c r="AW5" s="5"/>
      <c r="AX5" s="18" t="s">
        <v>14</v>
      </c>
      <c r="AY5" s="19"/>
      <c r="AZ5" s="18" t="s">
        <v>10</v>
      </c>
      <c r="BA5" s="30">
        <f>(AV5+AY5)/12</f>
        <v>0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/>
      <c r="M8" s="68"/>
      <c r="N8" s="64">
        <f>L8*(1-M10)</f>
        <v>0</v>
      </c>
      <c r="O8" s="69"/>
      <c r="P8" s="296"/>
      <c r="Q8" s="60">
        <f>IFERROR((O8+P8)/L8,0)</f>
        <v>0</v>
      </c>
      <c r="R8" s="70"/>
      <c r="S8" s="71"/>
      <c r="T8" s="72"/>
      <c r="U8" s="62">
        <f>S8*(1-T10)</f>
        <v>0</v>
      </c>
      <c r="V8" s="60">
        <f>IFERROR(T8/S8,0)</f>
        <v>0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/>
      <c r="AO8" s="68"/>
      <c r="AP8" s="64">
        <f>AN8*(1-AO10)</f>
        <v>0</v>
      </c>
      <c r="AQ8" s="69"/>
      <c r="AR8" s="296"/>
      <c r="AS8" s="60" t="e">
        <f>SUM((AQ8+AR8)/AP8,0)</f>
        <v>#DIV/0!</v>
      </c>
      <c r="AT8" s="70"/>
      <c r="AU8" s="71"/>
      <c r="AV8" s="72"/>
      <c r="AW8" s="62">
        <f>AU8*(1-AV10)</f>
        <v>0</v>
      </c>
      <c r="AX8" s="60">
        <f>IFERROR(AV8/AU8,0)</f>
        <v>0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0</v>
      </c>
      <c r="M9" s="86">
        <f>IFERROR(M8/M5,0)</f>
        <v>0</v>
      </c>
      <c r="N9" s="86">
        <f>IFERROR(N8/M5,0)</f>
        <v>0</v>
      </c>
      <c r="O9" s="86">
        <f>IFERROR(O8/M5,0)</f>
        <v>0</v>
      </c>
      <c r="P9" s="297" t="e">
        <f>SUM(P8/M5,0)</f>
        <v>#DIV/0!</v>
      </c>
      <c r="Q9" s="87">
        <f>IFERROR(Q8/M5,0)</f>
        <v>0</v>
      </c>
      <c r="R9" s="88"/>
      <c r="S9" s="89">
        <f>IFERROR(S8/T5,0)</f>
        <v>0</v>
      </c>
      <c r="T9" s="90">
        <f>IFERROR(SUM(T8/T5),0)</f>
        <v>0</v>
      </c>
      <c r="U9" s="91">
        <f>IFERROR(U8/T5,0)</f>
        <v>0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0</v>
      </c>
      <c r="AO9" s="86">
        <f>IFERROR(AO8/AO5,0)</f>
        <v>0</v>
      </c>
      <c r="AP9" s="86">
        <f>IFERROR(AP8/AO5,0)</f>
        <v>0</v>
      </c>
      <c r="AQ9" s="86">
        <f>IFERROR(AQ8/AO5,0)</f>
        <v>0</v>
      </c>
      <c r="AR9" s="297">
        <f>SUM(AR8/AO5,0)</f>
        <v>0</v>
      </c>
      <c r="AS9" s="87">
        <f>IFERROR(AS8/AO5,0)</f>
        <v>0</v>
      </c>
      <c r="AT9" s="88"/>
      <c r="AU9" s="89">
        <f>IFERROR(AU8/AV5,0)</f>
        <v>0</v>
      </c>
      <c r="AV9" s="90">
        <f>IFERROR(SUM(AV8/AV5),0)</f>
        <v>0</v>
      </c>
      <c r="AW9" s="91">
        <f>IFERROR(AW8/AV5,0)</f>
        <v>0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0</v>
      </c>
      <c r="C10" s="99"/>
      <c r="D10" s="100"/>
      <c r="E10" s="101" t="s">
        <v>39</v>
      </c>
      <c r="F10" s="102">
        <f>J23</f>
        <v>0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0</v>
      </c>
      <c r="U10" s="112"/>
      <c r="V10" s="100"/>
      <c r="W10" s="101" t="s">
        <v>39</v>
      </c>
      <c r="X10" s="113">
        <f>AA23</f>
        <v>0</v>
      </c>
      <c r="Y10" s="5"/>
      <c r="Z10" s="5"/>
      <c r="AA10" s="114"/>
      <c r="AB10" s="15"/>
      <c r="AC10" s="97" t="s">
        <v>39</v>
      </c>
      <c r="AD10" s="98">
        <f>AL23</f>
        <v>0</v>
      </c>
      <c r="AE10" s="99"/>
      <c r="AF10" s="100"/>
      <c r="AG10" s="101" t="s">
        <v>39</v>
      </c>
      <c r="AH10" s="102">
        <f>AL23</f>
        <v>0</v>
      </c>
      <c r="AI10" s="103"/>
      <c r="AJ10" s="99"/>
      <c r="AK10" s="104"/>
      <c r="AL10" s="105"/>
      <c r="AM10" s="106"/>
      <c r="AN10" s="107" t="s">
        <v>39</v>
      </c>
      <c r="AO10" s="108">
        <f>AR23</f>
        <v>0</v>
      </c>
      <c r="AP10" s="109"/>
      <c r="AQ10" s="109"/>
      <c r="AR10" s="109"/>
      <c r="AS10" s="110"/>
      <c r="AT10" s="111"/>
      <c r="AU10" s="107" t="s">
        <v>39</v>
      </c>
      <c r="AV10" s="108">
        <f>BC23</f>
        <v>0</v>
      </c>
      <c r="AW10" s="112"/>
      <c r="AX10" s="100"/>
      <c r="AY10" s="101" t="s">
        <v>39</v>
      </c>
      <c r="AZ10" s="113">
        <f>BC23</f>
        <v>0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/>
      <c r="F15" s="157"/>
      <c r="G15" s="158"/>
      <c r="H15" s="158"/>
      <c r="I15" s="159"/>
      <c r="J15" s="160"/>
      <c r="K15" s="161"/>
      <c r="L15" s="162"/>
      <c r="M15" s="163"/>
      <c r="N15" s="164"/>
      <c r="O15" s="299"/>
      <c r="P15" s="446"/>
      <c r="Q15" s="447"/>
      <c r="R15" s="161"/>
      <c r="S15" s="166"/>
      <c r="T15" s="163"/>
      <c r="U15" s="167"/>
      <c r="V15" s="168"/>
      <c r="W15" s="169"/>
      <c r="X15" s="170"/>
      <c r="Y15" s="170"/>
      <c r="Z15" s="171"/>
      <c r="AA15" s="172"/>
      <c r="AB15" s="173"/>
      <c r="AC15" s="152"/>
      <c r="AD15" s="153"/>
      <c r="AE15" s="154"/>
      <c r="AF15" s="155"/>
      <c r="AG15" s="156"/>
      <c r="AH15" s="157"/>
      <c r="AI15" s="158"/>
      <c r="AJ15" s="158"/>
      <c r="AK15" s="159"/>
      <c r="AL15" s="160"/>
      <c r="AM15" s="161"/>
      <c r="AN15" s="162"/>
      <c r="AO15" s="163"/>
      <c r="AP15" s="164"/>
      <c r="AQ15" s="165"/>
      <c r="AR15" s="356"/>
      <c r="AS15" s="357"/>
      <c r="AT15" s="161"/>
      <c r="AU15" s="166"/>
      <c r="AV15" s="163"/>
      <c r="AW15" s="167"/>
      <c r="AX15" s="168"/>
      <c r="AY15" s="169"/>
      <c r="AZ15" s="170"/>
      <c r="BA15" s="170"/>
      <c r="BB15" s="171"/>
      <c r="BC15" s="172"/>
    </row>
    <row r="16" spans="1:55" x14ac:dyDescent="0.3">
      <c r="A16" s="152"/>
      <c r="B16" s="174"/>
      <c r="C16" s="175"/>
      <c r="D16" s="176"/>
      <c r="E16" s="177"/>
      <c r="F16" s="178"/>
      <c r="G16" s="179"/>
      <c r="H16" s="179"/>
      <c r="I16" s="180"/>
      <c r="J16" s="160"/>
      <c r="K16" s="161"/>
      <c r="L16" s="181"/>
      <c r="M16" s="170"/>
      <c r="N16" s="302"/>
      <c r="O16" s="300"/>
      <c r="P16" s="440"/>
      <c r="Q16" s="357"/>
      <c r="R16" s="161"/>
      <c r="S16" s="169"/>
      <c r="T16" s="170"/>
      <c r="U16" s="169"/>
      <c r="V16" s="171"/>
      <c r="W16" s="169"/>
      <c r="X16" s="170"/>
      <c r="Y16" s="170"/>
      <c r="Z16" s="171"/>
      <c r="AA16" s="184"/>
      <c r="AB16" s="173"/>
      <c r="AC16" s="185"/>
      <c r="AD16" s="174"/>
      <c r="AE16" s="175"/>
      <c r="AF16" s="176"/>
      <c r="AG16" s="177"/>
      <c r="AH16" s="178"/>
      <c r="AI16" s="179"/>
      <c r="AJ16" s="179"/>
      <c r="AK16" s="180"/>
      <c r="AL16" s="160"/>
      <c r="AM16" s="161"/>
      <c r="AN16" s="181"/>
      <c r="AO16" s="170"/>
      <c r="AP16" s="302"/>
      <c r="AQ16" s="183"/>
      <c r="AR16" s="356"/>
      <c r="AS16" s="357"/>
      <c r="AT16" s="161"/>
      <c r="AU16" s="169"/>
      <c r="AV16" s="170"/>
      <c r="AW16" s="169"/>
      <c r="AX16" s="171"/>
      <c r="AY16" s="169"/>
      <c r="AZ16" s="170"/>
      <c r="BA16" s="170"/>
      <c r="BB16" s="171"/>
      <c r="BC16" s="184"/>
    </row>
    <row r="17" spans="1:55" x14ac:dyDescent="0.3">
      <c r="A17" s="152"/>
      <c r="B17" s="174"/>
      <c r="C17" s="175"/>
      <c r="D17" s="176"/>
      <c r="E17" s="177"/>
      <c r="F17" s="178"/>
      <c r="G17" s="179"/>
      <c r="H17" s="179"/>
      <c r="I17" s="180"/>
      <c r="J17" s="160"/>
      <c r="K17" s="161"/>
      <c r="L17" s="181"/>
      <c r="M17" s="170"/>
      <c r="N17" s="302"/>
      <c r="O17" s="300"/>
      <c r="P17" s="440"/>
      <c r="Q17" s="357"/>
      <c r="R17" s="161"/>
      <c r="S17" s="169"/>
      <c r="T17" s="170"/>
      <c r="U17" s="169"/>
      <c r="V17" s="171"/>
      <c r="W17" s="169"/>
      <c r="X17" s="170"/>
      <c r="Y17" s="170"/>
      <c r="Z17" s="171"/>
      <c r="AA17" s="184"/>
      <c r="AB17" s="173"/>
      <c r="AC17" s="185"/>
      <c r="AD17" s="174"/>
      <c r="AE17" s="175"/>
      <c r="AF17" s="176"/>
      <c r="AG17" s="177"/>
      <c r="AH17" s="178"/>
      <c r="AI17" s="179"/>
      <c r="AJ17" s="179"/>
      <c r="AK17" s="180"/>
      <c r="AL17" s="160"/>
      <c r="AM17" s="161"/>
      <c r="AN17" s="181"/>
      <c r="AO17" s="170"/>
      <c r="AP17" s="302"/>
      <c r="AQ17" s="183"/>
      <c r="AR17" s="356"/>
      <c r="AS17" s="357"/>
      <c r="AT17" s="161"/>
      <c r="AU17" s="169"/>
      <c r="AV17" s="170"/>
      <c r="AW17" s="169"/>
      <c r="AX17" s="171"/>
      <c r="AY17" s="169"/>
      <c r="AZ17" s="170"/>
      <c r="BA17" s="170"/>
      <c r="BB17" s="171"/>
      <c r="BC17" s="184"/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/>
      <c r="AH18" s="178"/>
      <c r="AI18" s="179"/>
      <c r="AJ18" s="179"/>
      <c r="AK18" s="180"/>
      <c r="AL18" s="160"/>
      <c r="AM18" s="161"/>
      <c r="AN18" s="181"/>
      <c r="AO18" s="170"/>
      <c r="AP18" s="302"/>
      <c r="AQ18" s="183"/>
      <c r="AR18" s="356"/>
      <c r="AS18" s="357"/>
      <c r="AT18" s="161"/>
      <c r="AU18" s="169"/>
      <c r="AV18" s="170"/>
      <c r="AW18" s="169"/>
      <c r="AX18" s="171"/>
      <c r="AY18" s="169"/>
      <c r="AZ18" s="170"/>
      <c r="BA18" s="170"/>
      <c r="BB18" s="171"/>
      <c r="BC18" s="184"/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</v>
      </c>
      <c r="F23" s="198">
        <f t="shared" si="0"/>
        <v>0</v>
      </c>
      <c r="G23" s="198">
        <f t="shared" si="0"/>
        <v>0</v>
      </c>
      <c r="H23" s="198">
        <f t="shared" si="0"/>
        <v>0</v>
      </c>
      <c r="I23" s="198">
        <f t="shared" si="0"/>
        <v>0</v>
      </c>
      <c r="J23" s="198">
        <f t="shared" si="0"/>
        <v>0</v>
      </c>
      <c r="K23" s="161"/>
      <c r="L23" s="199">
        <f>IFERROR(AVERAGE(L15:L22),0)</f>
        <v>0</v>
      </c>
      <c r="M23" s="198">
        <f>IFERROR(AVERAGE(M15:M22),0)</f>
        <v>0</v>
      </c>
      <c r="N23" s="200">
        <f>IFERROR(AVERAGE(N15:N22),0)</f>
        <v>0</v>
      </c>
      <c r="O23" s="201">
        <f>IFERROR(AVERAGE(O15:O22),0)</f>
        <v>0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</v>
      </c>
      <c r="T23" s="198">
        <f t="shared" si="1"/>
        <v>0</v>
      </c>
      <c r="U23" s="198">
        <f t="shared" si="1"/>
        <v>0</v>
      </c>
      <c r="V23" s="198">
        <f t="shared" si="1"/>
        <v>0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0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</v>
      </c>
      <c r="AH23" s="198">
        <f t="shared" si="2"/>
        <v>0</v>
      </c>
      <c r="AI23" s="198">
        <f t="shared" si="2"/>
        <v>0</v>
      </c>
      <c r="AJ23" s="198">
        <f t="shared" si="2"/>
        <v>0</v>
      </c>
      <c r="AK23" s="198">
        <f t="shared" si="2"/>
        <v>0</v>
      </c>
      <c r="AL23" s="198">
        <f t="shared" si="2"/>
        <v>0</v>
      </c>
      <c r="AM23" s="161"/>
      <c r="AN23" s="199">
        <f>IFERROR(AVERAGE(AN15:AN22),0)</f>
        <v>0</v>
      </c>
      <c r="AO23" s="198">
        <f>IFERROR(AVERAGE(AO15:AO22),0)</f>
        <v>0</v>
      </c>
      <c r="AP23" s="200">
        <f>IFERROR(AVERAGE(AP15:AP22),0)</f>
        <v>0</v>
      </c>
      <c r="AQ23" s="201">
        <f>IFERROR(AVERAGE(AQ15:AQ22),0)</f>
        <v>0</v>
      </c>
      <c r="AR23" s="396">
        <f>IFERROR(AVERAGE(AR15:AS22),0)</f>
        <v>0</v>
      </c>
      <c r="AS23" s="397"/>
      <c r="AT23" s="202"/>
      <c r="AU23" s="199">
        <f t="shared" ref="AU23:BC23" si="3">IFERROR(AVERAGE(AU15:AU22),0)</f>
        <v>0</v>
      </c>
      <c r="AV23" s="198">
        <f t="shared" si="3"/>
        <v>0</v>
      </c>
      <c r="AW23" s="198">
        <f t="shared" si="3"/>
        <v>0</v>
      </c>
      <c r="AX23" s="198">
        <f t="shared" si="3"/>
        <v>0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0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0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0</v>
      </c>
      <c r="D43" s="267"/>
      <c r="E43" s="276" t="s">
        <v>84</v>
      </c>
      <c r="F43" s="273">
        <f>AG9+AQ9+AV9</f>
        <v>0</v>
      </c>
      <c r="K43" s="266"/>
      <c r="R43" s="266"/>
    </row>
    <row r="44" spans="1:55" ht="16.2" thickBot="1" x14ac:dyDescent="0.35">
      <c r="A44" s="274" t="s">
        <v>3</v>
      </c>
      <c r="B44" s="275">
        <f>L8+AN8</f>
        <v>0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0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0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0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0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0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1600-000000000000}">
      <formula1>$A$137:$A$148</formula1>
    </dataValidation>
    <dataValidation type="list" allowBlank="1" showInputMessage="1" showErrorMessage="1" sqref="AX11 BB11:BC11 V11 Z11:AA11" xr:uid="{00000000-0002-0000-1600-000001000000}">
      <formula1>"Silo 6, Silo 7, Silo 8, Silo 9"</formula1>
    </dataValidation>
    <dataValidation type="list" allowBlank="1" showInputMessage="1" showErrorMessage="1" sqref="AD11 AO11 AZ11 AV11 B11 M11 X11 T11" xr:uid="{00000000-0002-0000-1600-000002000000}">
      <formula1>"100#, 40/70"</formula1>
    </dataValidation>
    <dataValidation type="list" allowBlank="1" showInputMessage="1" showErrorMessage="1" sqref="AJ11:AM11 AQ11:AT11 H11:K11 O11:R11" xr:uid="{00000000-0002-0000-1600-000003000000}">
      <formula1>"Silo 1, Silo 2, Silo 6, Silo 7"</formula1>
    </dataValidation>
    <dataValidation type="list" allowBlank="1" showInputMessage="1" showErrorMessage="1" sqref="AV25 AD25 AO25 T25 B25 M25" xr:uid="{00000000-0002-0000-1600-000004000000}">
      <formula1>"1, 2, 3, 4, 5, 6, 7, 8, 9, 10, 11, 12, 13, 14, 15, 16"</formula1>
    </dataValidation>
    <dataValidation type="list" allowBlank="1" showInputMessage="1" showErrorMessage="1" sqref="C29:C31 AE29:AE31" xr:uid="{00000000-0002-0000-1600-000005000000}">
      <formula1>"Carrier 100, Carrier 200, Rotary"</formula1>
    </dataValidation>
    <dataValidation type="list" allowBlank="1" showInputMessage="1" showErrorMessage="1" sqref="B26 M26 T26 AD26 AO26 AV26" xr:uid="{00000000-0002-0000-1600-000006000000}">
      <formula1>"SP1, SP2, SP3, OWP SP"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C148"/>
  <sheetViews>
    <sheetView workbookViewId="0">
      <selection sqref="A1:XFD1048576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/>
      <c r="C4" s="5"/>
      <c r="D4" s="6" t="s">
        <v>6</v>
      </c>
      <c r="E4" s="380"/>
      <c r="F4" s="381"/>
      <c r="G4" s="312"/>
      <c r="H4" s="312"/>
      <c r="I4" s="8"/>
      <c r="J4" s="9"/>
      <c r="K4" s="10"/>
      <c r="L4" s="6" t="s">
        <v>5</v>
      </c>
      <c r="M4" s="4">
        <f>B4</f>
        <v>0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0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0</v>
      </c>
      <c r="AE4" s="5"/>
      <c r="AF4" s="6" t="s">
        <v>6</v>
      </c>
      <c r="AG4" s="380"/>
      <c r="AH4" s="381"/>
      <c r="AI4" s="312"/>
      <c r="AJ4" s="312"/>
      <c r="AK4" s="8"/>
      <c r="AL4" s="9"/>
      <c r="AM4" s="10"/>
      <c r="AN4" s="6" t="s">
        <v>5</v>
      </c>
      <c r="AO4" s="4">
        <f>B4</f>
        <v>0</v>
      </c>
      <c r="AP4" s="5"/>
      <c r="AQ4" s="370" t="s">
        <v>6</v>
      </c>
      <c r="AR4" s="371"/>
      <c r="AS4" s="11"/>
      <c r="AT4" s="12"/>
      <c r="AU4" s="6" t="s">
        <v>5</v>
      </c>
      <c r="AV4" s="4">
        <f>B4</f>
        <v>0</v>
      </c>
      <c r="AW4" s="5"/>
      <c r="AX4" s="6" t="s">
        <v>6</v>
      </c>
      <c r="AY4" s="382"/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/>
      <c r="F5" s="20" t="s">
        <v>10</v>
      </c>
      <c r="G5" s="21">
        <f>SUM((B5+E5)/12, 0)</f>
        <v>0</v>
      </c>
      <c r="H5" s="22"/>
      <c r="I5" s="23"/>
      <c r="J5" s="24"/>
      <c r="K5" s="25"/>
      <c r="L5" s="26" t="s">
        <v>11</v>
      </c>
      <c r="M5" s="27"/>
      <c r="N5" s="5"/>
      <c r="O5" s="28" t="s">
        <v>12</v>
      </c>
      <c r="P5" s="298">
        <f>SUM(M5/12)</f>
        <v>0</v>
      </c>
      <c r="Q5" s="317"/>
      <c r="R5" s="29"/>
      <c r="S5" s="20" t="s">
        <v>13</v>
      </c>
      <c r="T5" s="17"/>
      <c r="U5" s="5"/>
      <c r="V5" s="18" t="s">
        <v>14</v>
      </c>
      <c r="W5" s="19"/>
      <c r="X5" s="18" t="s">
        <v>10</v>
      </c>
      <c r="Y5" s="30">
        <f>SUM(T5+W5)/12</f>
        <v>0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/>
      <c r="AH5" s="20" t="s">
        <v>10</v>
      </c>
      <c r="AI5" s="21">
        <f>SUM(AD5+AG5)/12</f>
        <v>0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/>
      <c r="AW5" s="5"/>
      <c r="AX5" s="18" t="s">
        <v>14</v>
      </c>
      <c r="AY5" s="19"/>
      <c r="AZ5" s="18" t="s">
        <v>10</v>
      </c>
      <c r="BA5" s="30">
        <f>(AV5+AY5)/12</f>
        <v>0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/>
      <c r="M8" s="68"/>
      <c r="N8" s="64">
        <f>L8*(1-M10)</f>
        <v>0</v>
      </c>
      <c r="O8" s="69"/>
      <c r="P8" s="296"/>
      <c r="Q8" s="60">
        <f>IFERROR((O8+P8)/L8,0)</f>
        <v>0</v>
      </c>
      <c r="R8" s="70"/>
      <c r="S8" s="71"/>
      <c r="T8" s="72"/>
      <c r="U8" s="62">
        <f>S8*(1-T10)</f>
        <v>0</v>
      </c>
      <c r="V8" s="60">
        <f>IFERROR(T8/S8,0)</f>
        <v>0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/>
      <c r="AO8" s="68"/>
      <c r="AP8" s="64">
        <f>AN8*(1-AO10)</f>
        <v>0</v>
      </c>
      <c r="AQ8" s="69"/>
      <c r="AR8" s="296"/>
      <c r="AS8" s="60" t="e">
        <f>SUM((AQ8+AR8)/AP8,0)</f>
        <v>#DIV/0!</v>
      </c>
      <c r="AT8" s="70"/>
      <c r="AU8" s="71"/>
      <c r="AV8" s="72"/>
      <c r="AW8" s="62">
        <f>AU8*(1-AV10)</f>
        <v>0</v>
      </c>
      <c r="AX8" s="60">
        <f>IFERROR(AV8/AU8,0)</f>
        <v>0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0</v>
      </c>
      <c r="M9" s="86">
        <f>IFERROR(M8/M5,0)</f>
        <v>0</v>
      </c>
      <c r="N9" s="86">
        <f>IFERROR(N8/M5,0)</f>
        <v>0</v>
      </c>
      <c r="O9" s="86">
        <f>IFERROR(O8/M5,0)</f>
        <v>0</v>
      </c>
      <c r="P9" s="297" t="e">
        <f>SUM(P8/M5,0)</f>
        <v>#DIV/0!</v>
      </c>
      <c r="Q9" s="87">
        <f>IFERROR(Q8/M5,0)</f>
        <v>0</v>
      </c>
      <c r="R9" s="88"/>
      <c r="S9" s="89">
        <f>IFERROR(S8/T5,0)</f>
        <v>0</v>
      </c>
      <c r="T9" s="90">
        <f>IFERROR(SUM(T8/T5),0)</f>
        <v>0</v>
      </c>
      <c r="U9" s="91">
        <f>IFERROR(U8/T5,0)</f>
        <v>0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0</v>
      </c>
      <c r="AO9" s="86">
        <f>IFERROR(AO8/AO5,0)</f>
        <v>0</v>
      </c>
      <c r="AP9" s="86">
        <f>IFERROR(AP8/AO5,0)</f>
        <v>0</v>
      </c>
      <c r="AQ9" s="86">
        <f>IFERROR(AQ8/AO5,0)</f>
        <v>0</v>
      </c>
      <c r="AR9" s="297">
        <f>SUM(AR8/AO5,0)</f>
        <v>0</v>
      </c>
      <c r="AS9" s="87">
        <f>IFERROR(AS8/AO5,0)</f>
        <v>0</v>
      </c>
      <c r="AT9" s="88"/>
      <c r="AU9" s="89">
        <f>IFERROR(AU8/AV5,0)</f>
        <v>0</v>
      </c>
      <c r="AV9" s="90">
        <f>IFERROR(SUM(AV8/AV5),0)</f>
        <v>0</v>
      </c>
      <c r="AW9" s="91">
        <f>IFERROR(AW8/AV5,0)</f>
        <v>0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0</v>
      </c>
      <c r="C10" s="99"/>
      <c r="D10" s="100"/>
      <c r="E10" s="101" t="s">
        <v>39</v>
      </c>
      <c r="F10" s="102">
        <f>J23</f>
        <v>0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0</v>
      </c>
      <c r="U10" s="112"/>
      <c r="V10" s="100"/>
      <c r="W10" s="101" t="s">
        <v>39</v>
      </c>
      <c r="X10" s="113">
        <f>AA23</f>
        <v>0</v>
      </c>
      <c r="Y10" s="5"/>
      <c r="Z10" s="5"/>
      <c r="AA10" s="114"/>
      <c r="AB10" s="15"/>
      <c r="AC10" s="97" t="s">
        <v>39</v>
      </c>
      <c r="AD10" s="98">
        <f>AL23</f>
        <v>0</v>
      </c>
      <c r="AE10" s="99"/>
      <c r="AF10" s="100"/>
      <c r="AG10" s="101" t="s">
        <v>39</v>
      </c>
      <c r="AH10" s="102">
        <f>AL23</f>
        <v>0</v>
      </c>
      <c r="AI10" s="103"/>
      <c r="AJ10" s="99"/>
      <c r="AK10" s="104"/>
      <c r="AL10" s="105"/>
      <c r="AM10" s="106"/>
      <c r="AN10" s="107" t="s">
        <v>39</v>
      </c>
      <c r="AO10" s="108">
        <f>AR23</f>
        <v>0</v>
      </c>
      <c r="AP10" s="109"/>
      <c r="AQ10" s="109"/>
      <c r="AR10" s="109"/>
      <c r="AS10" s="110"/>
      <c r="AT10" s="111"/>
      <c r="AU10" s="107" t="s">
        <v>39</v>
      </c>
      <c r="AV10" s="108">
        <f>BC23</f>
        <v>0</v>
      </c>
      <c r="AW10" s="112"/>
      <c r="AX10" s="100"/>
      <c r="AY10" s="101" t="s">
        <v>39</v>
      </c>
      <c r="AZ10" s="113">
        <f>BC23</f>
        <v>0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/>
      <c r="F15" s="157"/>
      <c r="G15" s="158"/>
      <c r="H15" s="158"/>
      <c r="I15" s="159"/>
      <c r="J15" s="160"/>
      <c r="K15" s="161"/>
      <c r="L15" s="162"/>
      <c r="M15" s="163"/>
      <c r="N15" s="164"/>
      <c r="O15" s="299"/>
      <c r="P15" s="446"/>
      <c r="Q15" s="447"/>
      <c r="R15" s="161"/>
      <c r="S15" s="166"/>
      <c r="T15" s="163"/>
      <c r="U15" s="167"/>
      <c r="V15" s="168"/>
      <c r="W15" s="169"/>
      <c r="X15" s="170"/>
      <c r="Y15" s="170"/>
      <c r="Z15" s="171"/>
      <c r="AA15" s="172"/>
      <c r="AB15" s="173"/>
      <c r="AC15" s="152"/>
      <c r="AD15" s="153"/>
      <c r="AE15" s="154"/>
      <c r="AF15" s="155"/>
      <c r="AG15" s="156"/>
      <c r="AH15" s="157"/>
      <c r="AI15" s="158"/>
      <c r="AJ15" s="158"/>
      <c r="AK15" s="159"/>
      <c r="AL15" s="160"/>
      <c r="AM15" s="161"/>
      <c r="AN15" s="162"/>
      <c r="AO15" s="163"/>
      <c r="AP15" s="164"/>
      <c r="AQ15" s="165"/>
      <c r="AR15" s="356"/>
      <c r="AS15" s="357"/>
      <c r="AT15" s="161"/>
      <c r="AU15" s="166"/>
      <c r="AV15" s="163"/>
      <c r="AW15" s="167"/>
      <c r="AX15" s="168"/>
      <c r="AY15" s="169"/>
      <c r="AZ15" s="170"/>
      <c r="BA15" s="170"/>
      <c r="BB15" s="171"/>
      <c r="BC15" s="172"/>
    </row>
    <row r="16" spans="1:55" x14ac:dyDescent="0.3">
      <c r="A16" s="152"/>
      <c r="B16" s="174"/>
      <c r="C16" s="175"/>
      <c r="D16" s="176"/>
      <c r="E16" s="177"/>
      <c r="F16" s="178"/>
      <c r="G16" s="179"/>
      <c r="H16" s="179"/>
      <c r="I16" s="180"/>
      <c r="J16" s="160"/>
      <c r="K16" s="161"/>
      <c r="L16" s="181"/>
      <c r="M16" s="170"/>
      <c r="N16" s="302"/>
      <c r="O16" s="300"/>
      <c r="P16" s="440"/>
      <c r="Q16" s="357"/>
      <c r="R16" s="161"/>
      <c r="S16" s="169"/>
      <c r="T16" s="170"/>
      <c r="U16" s="169"/>
      <c r="V16" s="171"/>
      <c r="W16" s="169"/>
      <c r="X16" s="170"/>
      <c r="Y16" s="170"/>
      <c r="Z16" s="171"/>
      <c r="AA16" s="184"/>
      <c r="AB16" s="173"/>
      <c r="AC16" s="185"/>
      <c r="AD16" s="174"/>
      <c r="AE16" s="175"/>
      <c r="AF16" s="176"/>
      <c r="AG16" s="177"/>
      <c r="AH16" s="178"/>
      <c r="AI16" s="179"/>
      <c r="AJ16" s="179"/>
      <c r="AK16" s="180"/>
      <c r="AL16" s="160"/>
      <c r="AM16" s="161"/>
      <c r="AN16" s="181"/>
      <c r="AO16" s="170"/>
      <c r="AP16" s="302"/>
      <c r="AQ16" s="183"/>
      <c r="AR16" s="356"/>
      <c r="AS16" s="357"/>
      <c r="AT16" s="161"/>
      <c r="AU16" s="169"/>
      <c r="AV16" s="170"/>
      <c r="AW16" s="169"/>
      <c r="AX16" s="171"/>
      <c r="AY16" s="169"/>
      <c r="AZ16" s="170"/>
      <c r="BA16" s="170"/>
      <c r="BB16" s="171"/>
      <c r="BC16" s="184"/>
    </row>
    <row r="17" spans="1:55" x14ac:dyDescent="0.3">
      <c r="A17" s="152"/>
      <c r="B17" s="174"/>
      <c r="C17" s="175"/>
      <c r="D17" s="176"/>
      <c r="E17" s="177"/>
      <c r="F17" s="178"/>
      <c r="G17" s="179"/>
      <c r="H17" s="179"/>
      <c r="I17" s="180"/>
      <c r="J17" s="160"/>
      <c r="K17" s="161"/>
      <c r="L17" s="181"/>
      <c r="M17" s="170"/>
      <c r="N17" s="302"/>
      <c r="O17" s="300"/>
      <c r="P17" s="440"/>
      <c r="Q17" s="357"/>
      <c r="R17" s="161"/>
      <c r="S17" s="169"/>
      <c r="T17" s="170"/>
      <c r="U17" s="169"/>
      <c r="V17" s="171"/>
      <c r="W17" s="169"/>
      <c r="X17" s="170"/>
      <c r="Y17" s="170"/>
      <c r="Z17" s="171"/>
      <c r="AA17" s="184"/>
      <c r="AB17" s="173"/>
      <c r="AC17" s="185"/>
      <c r="AD17" s="174"/>
      <c r="AE17" s="175"/>
      <c r="AF17" s="176"/>
      <c r="AG17" s="177"/>
      <c r="AH17" s="178"/>
      <c r="AI17" s="179"/>
      <c r="AJ17" s="179"/>
      <c r="AK17" s="180"/>
      <c r="AL17" s="160"/>
      <c r="AM17" s="161"/>
      <c r="AN17" s="181"/>
      <c r="AO17" s="170"/>
      <c r="AP17" s="302"/>
      <c r="AQ17" s="183"/>
      <c r="AR17" s="356"/>
      <c r="AS17" s="357"/>
      <c r="AT17" s="161"/>
      <c r="AU17" s="169"/>
      <c r="AV17" s="170"/>
      <c r="AW17" s="169"/>
      <c r="AX17" s="171"/>
      <c r="AY17" s="169"/>
      <c r="AZ17" s="170"/>
      <c r="BA17" s="170"/>
      <c r="BB17" s="171"/>
      <c r="BC17" s="184"/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/>
      <c r="AH18" s="178"/>
      <c r="AI18" s="179"/>
      <c r="AJ18" s="179"/>
      <c r="AK18" s="180"/>
      <c r="AL18" s="160"/>
      <c r="AM18" s="161"/>
      <c r="AN18" s="181"/>
      <c r="AO18" s="170"/>
      <c r="AP18" s="302"/>
      <c r="AQ18" s="183"/>
      <c r="AR18" s="356"/>
      <c r="AS18" s="357"/>
      <c r="AT18" s="161"/>
      <c r="AU18" s="169"/>
      <c r="AV18" s="170"/>
      <c r="AW18" s="169"/>
      <c r="AX18" s="171"/>
      <c r="AY18" s="169"/>
      <c r="AZ18" s="170"/>
      <c r="BA18" s="170"/>
      <c r="BB18" s="171"/>
      <c r="BC18" s="184"/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</v>
      </c>
      <c r="F23" s="198">
        <f t="shared" si="0"/>
        <v>0</v>
      </c>
      <c r="G23" s="198">
        <f t="shared" si="0"/>
        <v>0</v>
      </c>
      <c r="H23" s="198">
        <f t="shared" si="0"/>
        <v>0</v>
      </c>
      <c r="I23" s="198">
        <f t="shared" si="0"/>
        <v>0</v>
      </c>
      <c r="J23" s="198">
        <f t="shared" si="0"/>
        <v>0</v>
      </c>
      <c r="K23" s="161"/>
      <c r="L23" s="199">
        <f>IFERROR(AVERAGE(L15:L22),0)</f>
        <v>0</v>
      </c>
      <c r="M23" s="198">
        <f>IFERROR(AVERAGE(M15:M22),0)</f>
        <v>0</v>
      </c>
      <c r="N23" s="200">
        <f>IFERROR(AVERAGE(N15:N22),0)</f>
        <v>0</v>
      </c>
      <c r="O23" s="201">
        <f>IFERROR(AVERAGE(O15:O22),0)</f>
        <v>0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</v>
      </c>
      <c r="T23" s="198">
        <f t="shared" si="1"/>
        <v>0</v>
      </c>
      <c r="U23" s="198">
        <f t="shared" si="1"/>
        <v>0</v>
      </c>
      <c r="V23" s="198">
        <f t="shared" si="1"/>
        <v>0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0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</v>
      </c>
      <c r="AH23" s="198">
        <f t="shared" si="2"/>
        <v>0</v>
      </c>
      <c r="AI23" s="198">
        <f t="shared" si="2"/>
        <v>0</v>
      </c>
      <c r="AJ23" s="198">
        <f t="shared" si="2"/>
        <v>0</v>
      </c>
      <c r="AK23" s="198">
        <f t="shared" si="2"/>
        <v>0</v>
      </c>
      <c r="AL23" s="198">
        <f t="shared" si="2"/>
        <v>0</v>
      </c>
      <c r="AM23" s="161"/>
      <c r="AN23" s="199">
        <f>IFERROR(AVERAGE(AN15:AN22),0)</f>
        <v>0</v>
      </c>
      <c r="AO23" s="198">
        <f>IFERROR(AVERAGE(AO15:AO22),0)</f>
        <v>0</v>
      </c>
      <c r="AP23" s="200">
        <f>IFERROR(AVERAGE(AP15:AP22),0)</f>
        <v>0</v>
      </c>
      <c r="AQ23" s="201">
        <f>IFERROR(AVERAGE(AQ15:AQ22),0)</f>
        <v>0</v>
      </c>
      <c r="AR23" s="396">
        <f>IFERROR(AVERAGE(AR15:AS22),0)</f>
        <v>0</v>
      </c>
      <c r="AS23" s="397"/>
      <c r="AT23" s="202"/>
      <c r="AU23" s="199">
        <f t="shared" ref="AU23:BC23" si="3">IFERROR(AVERAGE(AU15:AU22),0)</f>
        <v>0</v>
      </c>
      <c r="AV23" s="198">
        <f t="shared" si="3"/>
        <v>0</v>
      </c>
      <c r="AW23" s="198">
        <f t="shared" si="3"/>
        <v>0</v>
      </c>
      <c r="AX23" s="198">
        <f t="shared" si="3"/>
        <v>0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0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0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0</v>
      </c>
      <c r="D43" s="267"/>
      <c r="E43" s="276" t="s">
        <v>84</v>
      </c>
      <c r="F43" s="273">
        <f>AG9+AQ9+AV9</f>
        <v>0</v>
      </c>
      <c r="K43" s="266"/>
      <c r="R43" s="266"/>
    </row>
    <row r="44" spans="1:55" ht="16.2" thickBot="1" x14ac:dyDescent="0.35">
      <c r="A44" s="274" t="s">
        <v>3</v>
      </c>
      <c r="B44" s="275">
        <f>L8+AN8</f>
        <v>0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0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0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0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0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0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1700-000000000000}">
      <formula1>$A$137:$A$148</formula1>
    </dataValidation>
    <dataValidation type="list" allowBlank="1" showInputMessage="1" showErrorMessage="1" sqref="AX11 BB11:BC11 V11 Z11:AA11" xr:uid="{00000000-0002-0000-1700-000001000000}">
      <formula1>"Silo 6, Silo 7, Silo 8, Silo 9"</formula1>
    </dataValidation>
    <dataValidation type="list" allowBlank="1" showInputMessage="1" showErrorMessage="1" sqref="AD11 AO11 AZ11 AV11 B11 M11 X11 T11" xr:uid="{00000000-0002-0000-1700-000002000000}">
      <formula1>"100#, 40/70"</formula1>
    </dataValidation>
    <dataValidation type="list" allowBlank="1" showInputMessage="1" showErrorMessage="1" sqref="AJ11:AM11 AQ11:AT11 H11:K11 O11:R11" xr:uid="{00000000-0002-0000-1700-000003000000}">
      <formula1>"Silo 1, Silo 2, Silo 6, Silo 7"</formula1>
    </dataValidation>
    <dataValidation type="list" allowBlank="1" showInputMessage="1" showErrorMessage="1" sqref="AV25 AD25 AO25 T25 B25 M25" xr:uid="{00000000-0002-0000-1700-000004000000}">
      <formula1>"1, 2, 3, 4, 5, 6, 7, 8, 9, 10, 11, 12, 13, 14, 15, 16"</formula1>
    </dataValidation>
    <dataValidation type="list" allowBlank="1" showInputMessage="1" showErrorMessage="1" sqref="C29:C31 AE29:AE31" xr:uid="{00000000-0002-0000-1700-000005000000}">
      <formula1>"Carrier 100, Carrier 200, Rotary"</formula1>
    </dataValidation>
    <dataValidation type="list" allowBlank="1" showInputMessage="1" showErrorMessage="1" sqref="B26 M26 T26 AD26 AO26 AV26" xr:uid="{00000000-0002-0000-1700-000006000000}">
      <formula1>"SP1, SP2, SP3, OWP SP"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C148"/>
  <sheetViews>
    <sheetView workbookViewId="0">
      <selection sqref="A1:XFD1048576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/>
      <c r="C4" s="5"/>
      <c r="D4" s="6" t="s">
        <v>6</v>
      </c>
      <c r="E4" s="380"/>
      <c r="F4" s="381"/>
      <c r="G4" s="312"/>
      <c r="H4" s="312"/>
      <c r="I4" s="8"/>
      <c r="J4" s="9"/>
      <c r="K4" s="10"/>
      <c r="L4" s="6" t="s">
        <v>5</v>
      </c>
      <c r="M4" s="4">
        <f>B4</f>
        <v>0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0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0</v>
      </c>
      <c r="AE4" s="5"/>
      <c r="AF4" s="6" t="s">
        <v>6</v>
      </c>
      <c r="AG4" s="380"/>
      <c r="AH4" s="381"/>
      <c r="AI4" s="312"/>
      <c r="AJ4" s="312"/>
      <c r="AK4" s="8"/>
      <c r="AL4" s="9"/>
      <c r="AM4" s="10"/>
      <c r="AN4" s="6" t="s">
        <v>5</v>
      </c>
      <c r="AO4" s="4">
        <f>B4</f>
        <v>0</v>
      </c>
      <c r="AP4" s="5"/>
      <c r="AQ4" s="370" t="s">
        <v>6</v>
      </c>
      <c r="AR4" s="371"/>
      <c r="AS4" s="11"/>
      <c r="AT4" s="12"/>
      <c r="AU4" s="6" t="s">
        <v>5</v>
      </c>
      <c r="AV4" s="4">
        <f>B4</f>
        <v>0</v>
      </c>
      <c r="AW4" s="5"/>
      <c r="AX4" s="6" t="s">
        <v>6</v>
      </c>
      <c r="AY4" s="382"/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/>
      <c r="F5" s="20" t="s">
        <v>10</v>
      </c>
      <c r="G5" s="21">
        <f>SUM((B5+E5)/12, 0)</f>
        <v>0</v>
      </c>
      <c r="H5" s="22"/>
      <c r="I5" s="23"/>
      <c r="J5" s="24"/>
      <c r="K5" s="25"/>
      <c r="L5" s="26" t="s">
        <v>11</v>
      </c>
      <c r="M5" s="27"/>
      <c r="N5" s="5"/>
      <c r="O5" s="28" t="s">
        <v>12</v>
      </c>
      <c r="P5" s="298">
        <f>SUM(M5/12)</f>
        <v>0</v>
      </c>
      <c r="Q5" s="317"/>
      <c r="R5" s="29"/>
      <c r="S5" s="20" t="s">
        <v>13</v>
      </c>
      <c r="T5" s="17"/>
      <c r="U5" s="5"/>
      <c r="V5" s="18" t="s">
        <v>14</v>
      </c>
      <c r="W5" s="19"/>
      <c r="X5" s="18" t="s">
        <v>10</v>
      </c>
      <c r="Y5" s="30">
        <f>SUM(T5+W5)/12</f>
        <v>0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/>
      <c r="AH5" s="20" t="s">
        <v>10</v>
      </c>
      <c r="AI5" s="21">
        <f>SUM(AD5+AG5)/12</f>
        <v>0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/>
      <c r="AW5" s="5"/>
      <c r="AX5" s="18" t="s">
        <v>14</v>
      </c>
      <c r="AY5" s="19"/>
      <c r="AZ5" s="18" t="s">
        <v>10</v>
      </c>
      <c r="BA5" s="30">
        <f>(AV5+AY5)/12</f>
        <v>0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/>
      <c r="M8" s="68"/>
      <c r="N8" s="64">
        <f>L8*(1-M10)</f>
        <v>0</v>
      </c>
      <c r="O8" s="69"/>
      <c r="P8" s="296"/>
      <c r="Q8" s="60">
        <f>IFERROR((O8+P8)/L8,0)</f>
        <v>0</v>
      </c>
      <c r="R8" s="70"/>
      <c r="S8" s="71"/>
      <c r="T8" s="72"/>
      <c r="U8" s="62">
        <f>S8*(1-T10)</f>
        <v>0</v>
      </c>
      <c r="V8" s="60">
        <f>IFERROR(T8/S8,0)</f>
        <v>0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/>
      <c r="AO8" s="68"/>
      <c r="AP8" s="64">
        <f>AN8*(1-AO10)</f>
        <v>0</v>
      </c>
      <c r="AQ8" s="69"/>
      <c r="AR8" s="296"/>
      <c r="AS8" s="60" t="e">
        <f>SUM((AQ8+AR8)/AP8,0)</f>
        <v>#DIV/0!</v>
      </c>
      <c r="AT8" s="70"/>
      <c r="AU8" s="71"/>
      <c r="AV8" s="72"/>
      <c r="AW8" s="62">
        <f>AU8*(1-AV10)</f>
        <v>0</v>
      </c>
      <c r="AX8" s="60">
        <f>IFERROR(AV8/AU8,0)</f>
        <v>0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0</v>
      </c>
      <c r="M9" s="86">
        <f>IFERROR(M8/M5,0)</f>
        <v>0</v>
      </c>
      <c r="N9" s="86">
        <f>IFERROR(N8/M5,0)</f>
        <v>0</v>
      </c>
      <c r="O9" s="86">
        <f>IFERROR(O8/M5,0)</f>
        <v>0</v>
      </c>
      <c r="P9" s="297" t="e">
        <f>SUM(P8/M5,0)</f>
        <v>#DIV/0!</v>
      </c>
      <c r="Q9" s="87">
        <f>IFERROR(Q8/M5,0)</f>
        <v>0</v>
      </c>
      <c r="R9" s="88"/>
      <c r="S9" s="89">
        <f>IFERROR(S8/T5,0)</f>
        <v>0</v>
      </c>
      <c r="T9" s="90">
        <f>IFERROR(SUM(T8/T5),0)</f>
        <v>0</v>
      </c>
      <c r="U9" s="91">
        <f>IFERROR(U8/T5,0)</f>
        <v>0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0</v>
      </c>
      <c r="AO9" s="86">
        <f>IFERROR(AO8/AO5,0)</f>
        <v>0</v>
      </c>
      <c r="AP9" s="86">
        <f>IFERROR(AP8/AO5,0)</f>
        <v>0</v>
      </c>
      <c r="AQ9" s="86">
        <f>IFERROR(AQ8/AO5,0)</f>
        <v>0</v>
      </c>
      <c r="AR9" s="297">
        <f>SUM(AR8/AO5,0)</f>
        <v>0</v>
      </c>
      <c r="AS9" s="87">
        <f>IFERROR(AS8/AO5,0)</f>
        <v>0</v>
      </c>
      <c r="AT9" s="88"/>
      <c r="AU9" s="89">
        <f>IFERROR(AU8/AV5,0)</f>
        <v>0</v>
      </c>
      <c r="AV9" s="90">
        <f>IFERROR(SUM(AV8/AV5),0)</f>
        <v>0</v>
      </c>
      <c r="AW9" s="91">
        <f>IFERROR(AW8/AV5,0)</f>
        <v>0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0</v>
      </c>
      <c r="C10" s="99"/>
      <c r="D10" s="100"/>
      <c r="E10" s="101" t="s">
        <v>39</v>
      </c>
      <c r="F10" s="102">
        <f>J23</f>
        <v>0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0</v>
      </c>
      <c r="U10" s="112"/>
      <c r="V10" s="100"/>
      <c r="W10" s="101" t="s">
        <v>39</v>
      </c>
      <c r="X10" s="113">
        <f>AA23</f>
        <v>0</v>
      </c>
      <c r="Y10" s="5"/>
      <c r="Z10" s="5"/>
      <c r="AA10" s="114"/>
      <c r="AB10" s="15"/>
      <c r="AC10" s="97" t="s">
        <v>39</v>
      </c>
      <c r="AD10" s="98">
        <f>AL23</f>
        <v>0</v>
      </c>
      <c r="AE10" s="99"/>
      <c r="AF10" s="100"/>
      <c r="AG10" s="101" t="s">
        <v>39</v>
      </c>
      <c r="AH10" s="102">
        <f>AL23</f>
        <v>0</v>
      </c>
      <c r="AI10" s="103"/>
      <c r="AJ10" s="99"/>
      <c r="AK10" s="104"/>
      <c r="AL10" s="105"/>
      <c r="AM10" s="106"/>
      <c r="AN10" s="107" t="s">
        <v>39</v>
      </c>
      <c r="AO10" s="108">
        <f>AR23</f>
        <v>0</v>
      </c>
      <c r="AP10" s="109"/>
      <c r="AQ10" s="109"/>
      <c r="AR10" s="109"/>
      <c r="AS10" s="110"/>
      <c r="AT10" s="111"/>
      <c r="AU10" s="107" t="s">
        <v>39</v>
      </c>
      <c r="AV10" s="108">
        <f>BC23</f>
        <v>0</v>
      </c>
      <c r="AW10" s="112"/>
      <c r="AX10" s="100"/>
      <c r="AY10" s="101" t="s">
        <v>39</v>
      </c>
      <c r="AZ10" s="113">
        <f>BC23</f>
        <v>0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/>
      <c r="F15" s="157"/>
      <c r="G15" s="158"/>
      <c r="H15" s="158"/>
      <c r="I15" s="159"/>
      <c r="J15" s="160"/>
      <c r="K15" s="161"/>
      <c r="L15" s="162"/>
      <c r="M15" s="163"/>
      <c r="N15" s="164"/>
      <c r="O15" s="299"/>
      <c r="P15" s="446"/>
      <c r="Q15" s="447"/>
      <c r="R15" s="161"/>
      <c r="S15" s="166"/>
      <c r="T15" s="163"/>
      <c r="U15" s="167"/>
      <c r="V15" s="168"/>
      <c r="W15" s="169"/>
      <c r="X15" s="170"/>
      <c r="Y15" s="170"/>
      <c r="Z15" s="171"/>
      <c r="AA15" s="172"/>
      <c r="AB15" s="173"/>
      <c r="AC15" s="152"/>
      <c r="AD15" s="153"/>
      <c r="AE15" s="154"/>
      <c r="AF15" s="155"/>
      <c r="AG15" s="156"/>
      <c r="AH15" s="157"/>
      <c r="AI15" s="158"/>
      <c r="AJ15" s="158"/>
      <c r="AK15" s="159"/>
      <c r="AL15" s="160"/>
      <c r="AM15" s="161"/>
      <c r="AN15" s="162"/>
      <c r="AO15" s="163"/>
      <c r="AP15" s="164"/>
      <c r="AQ15" s="165"/>
      <c r="AR15" s="356"/>
      <c r="AS15" s="357"/>
      <c r="AT15" s="161"/>
      <c r="AU15" s="166"/>
      <c r="AV15" s="163"/>
      <c r="AW15" s="167"/>
      <c r="AX15" s="168"/>
      <c r="AY15" s="169"/>
      <c r="AZ15" s="170"/>
      <c r="BA15" s="170"/>
      <c r="BB15" s="171"/>
      <c r="BC15" s="172"/>
    </row>
    <row r="16" spans="1:55" x14ac:dyDescent="0.3">
      <c r="A16" s="152"/>
      <c r="B16" s="174"/>
      <c r="C16" s="175"/>
      <c r="D16" s="176"/>
      <c r="E16" s="177"/>
      <c r="F16" s="178"/>
      <c r="G16" s="179"/>
      <c r="H16" s="179"/>
      <c r="I16" s="180"/>
      <c r="J16" s="160"/>
      <c r="K16" s="161"/>
      <c r="L16" s="181"/>
      <c r="M16" s="170"/>
      <c r="N16" s="302"/>
      <c r="O16" s="300"/>
      <c r="P16" s="440"/>
      <c r="Q16" s="357"/>
      <c r="R16" s="161"/>
      <c r="S16" s="169"/>
      <c r="T16" s="170"/>
      <c r="U16" s="169"/>
      <c r="V16" s="171"/>
      <c r="W16" s="169"/>
      <c r="X16" s="170"/>
      <c r="Y16" s="170"/>
      <c r="Z16" s="171"/>
      <c r="AA16" s="184"/>
      <c r="AB16" s="173"/>
      <c r="AC16" s="185"/>
      <c r="AD16" s="174"/>
      <c r="AE16" s="175"/>
      <c r="AF16" s="176"/>
      <c r="AG16" s="177"/>
      <c r="AH16" s="178"/>
      <c r="AI16" s="179"/>
      <c r="AJ16" s="179"/>
      <c r="AK16" s="180"/>
      <c r="AL16" s="160"/>
      <c r="AM16" s="161"/>
      <c r="AN16" s="181"/>
      <c r="AO16" s="170"/>
      <c r="AP16" s="302"/>
      <c r="AQ16" s="183"/>
      <c r="AR16" s="356"/>
      <c r="AS16" s="357"/>
      <c r="AT16" s="161"/>
      <c r="AU16" s="169"/>
      <c r="AV16" s="170"/>
      <c r="AW16" s="169"/>
      <c r="AX16" s="171"/>
      <c r="AY16" s="169"/>
      <c r="AZ16" s="170"/>
      <c r="BA16" s="170"/>
      <c r="BB16" s="171"/>
      <c r="BC16" s="184"/>
    </row>
    <row r="17" spans="1:55" x14ac:dyDescent="0.3">
      <c r="A17" s="152"/>
      <c r="B17" s="174"/>
      <c r="C17" s="175"/>
      <c r="D17" s="176"/>
      <c r="E17" s="177"/>
      <c r="F17" s="178"/>
      <c r="G17" s="179"/>
      <c r="H17" s="179"/>
      <c r="I17" s="180"/>
      <c r="J17" s="160"/>
      <c r="K17" s="161"/>
      <c r="L17" s="181"/>
      <c r="M17" s="170"/>
      <c r="N17" s="302"/>
      <c r="O17" s="300"/>
      <c r="P17" s="440"/>
      <c r="Q17" s="357"/>
      <c r="R17" s="161"/>
      <c r="S17" s="169"/>
      <c r="T17" s="170"/>
      <c r="U17" s="169"/>
      <c r="V17" s="171"/>
      <c r="W17" s="169"/>
      <c r="X17" s="170"/>
      <c r="Y17" s="170"/>
      <c r="Z17" s="171"/>
      <c r="AA17" s="184"/>
      <c r="AB17" s="173"/>
      <c r="AC17" s="185"/>
      <c r="AD17" s="174"/>
      <c r="AE17" s="175"/>
      <c r="AF17" s="176"/>
      <c r="AG17" s="177"/>
      <c r="AH17" s="178"/>
      <c r="AI17" s="179"/>
      <c r="AJ17" s="179"/>
      <c r="AK17" s="180"/>
      <c r="AL17" s="160"/>
      <c r="AM17" s="161"/>
      <c r="AN17" s="181"/>
      <c r="AO17" s="170"/>
      <c r="AP17" s="302"/>
      <c r="AQ17" s="183"/>
      <c r="AR17" s="356"/>
      <c r="AS17" s="357"/>
      <c r="AT17" s="161"/>
      <c r="AU17" s="169"/>
      <c r="AV17" s="170"/>
      <c r="AW17" s="169"/>
      <c r="AX17" s="171"/>
      <c r="AY17" s="169"/>
      <c r="AZ17" s="170"/>
      <c r="BA17" s="170"/>
      <c r="BB17" s="171"/>
      <c r="BC17" s="184"/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/>
      <c r="AH18" s="178"/>
      <c r="AI18" s="179"/>
      <c r="AJ18" s="179"/>
      <c r="AK18" s="180"/>
      <c r="AL18" s="160"/>
      <c r="AM18" s="161"/>
      <c r="AN18" s="181"/>
      <c r="AO18" s="170"/>
      <c r="AP18" s="302"/>
      <c r="AQ18" s="183"/>
      <c r="AR18" s="356"/>
      <c r="AS18" s="357"/>
      <c r="AT18" s="161"/>
      <c r="AU18" s="169"/>
      <c r="AV18" s="170"/>
      <c r="AW18" s="169"/>
      <c r="AX18" s="171"/>
      <c r="AY18" s="169"/>
      <c r="AZ18" s="170"/>
      <c r="BA18" s="170"/>
      <c r="BB18" s="171"/>
      <c r="BC18" s="184"/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</v>
      </c>
      <c r="F23" s="198">
        <f t="shared" si="0"/>
        <v>0</v>
      </c>
      <c r="G23" s="198">
        <f t="shared" si="0"/>
        <v>0</v>
      </c>
      <c r="H23" s="198">
        <f t="shared" si="0"/>
        <v>0</v>
      </c>
      <c r="I23" s="198">
        <f t="shared" si="0"/>
        <v>0</v>
      </c>
      <c r="J23" s="198">
        <f t="shared" si="0"/>
        <v>0</v>
      </c>
      <c r="K23" s="161"/>
      <c r="L23" s="199">
        <f>IFERROR(AVERAGE(L15:L22),0)</f>
        <v>0</v>
      </c>
      <c r="M23" s="198">
        <f>IFERROR(AVERAGE(M15:M22),0)</f>
        <v>0</v>
      </c>
      <c r="N23" s="200">
        <f>IFERROR(AVERAGE(N15:N22),0)</f>
        <v>0</v>
      </c>
      <c r="O23" s="201">
        <f>IFERROR(AVERAGE(O15:O22),0)</f>
        <v>0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</v>
      </c>
      <c r="T23" s="198">
        <f t="shared" si="1"/>
        <v>0</v>
      </c>
      <c r="U23" s="198">
        <f t="shared" si="1"/>
        <v>0</v>
      </c>
      <c r="V23" s="198">
        <f t="shared" si="1"/>
        <v>0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0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</v>
      </c>
      <c r="AH23" s="198">
        <f t="shared" si="2"/>
        <v>0</v>
      </c>
      <c r="AI23" s="198">
        <f t="shared" si="2"/>
        <v>0</v>
      </c>
      <c r="AJ23" s="198">
        <f t="shared" si="2"/>
        <v>0</v>
      </c>
      <c r="AK23" s="198">
        <f t="shared" si="2"/>
        <v>0</v>
      </c>
      <c r="AL23" s="198">
        <f t="shared" si="2"/>
        <v>0</v>
      </c>
      <c r="AM23" s="161"/>
      <c r="AN23" s="199">
        <f>IFERROR(AVERAGE(AN15:AN22),0)</f>
        <v>0</v>
      </c>
      <c r="AO23" s="198">
        <f>IFERROR(AVERAGE(AO15:AO22),0)</f>
        <v>0</v>
      </c>
      <c r="AP23" s="200">
        <f>IFERROR(AVERAGE(AP15:AP22),0)</f>
        <v>0</v>
      </c>
      <c r="AQ23" s="201">
        <f>IFERROR(AVERAGE(AQ15:AQ22),0)</f>
        <v>0</v>
      </c>
      <c r="AR23" s="396">
        <f>IFERROR(AVERAGE(AR15:AS22),0)</f>
        <v>0</v>
      </c>
      <c r="AS23" s="397"/>
      <c r="AT23" s="202"/>
      <c r="AU23" s="199">
        <f t="shared" ref="AU23:BC23" si="3">IFERROR(AVERAGE(AU15:AU22),0)</f>
        <v>0</v>
      </c>
      <c r="AV23" s="198">
        <f t="shared" si="3"/>
        <v>0</v>
      </c>
      <c r="AW23" s="198">
        <f t="shared" si="3"/>
        <v>0</v>
      </c>
      <c r="AX23" s="198">
        <f t="shared" si="3"/>
        <v>0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0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0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0</v>
      </c>
      <c r="D43" s="267"/>
      <c r="E43" s="276" t="s">
        <v>84</v>
      </c>
      <c r="F43" s="273">
        <f>AG9+AQ9+AV9</f>
        <v>0</v>
      </c>
      <c r="K43" s="266"/>
      <c r="R43" s="266"/>
    </row>
    <row r="44" spans="1:55" ht="16.2" thickBot="1" x14ac:dyDescent="0.35">
      <c r="A44" s="274" t="s">
        <v>3</v>
      </c>
      <c r="B44" s="275">
        <f>L8+AN8</f>
        <v>0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0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0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0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0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0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1800-000000000000}">
      <formula1>$A$137:$A$148</formula1>
    </dataValidation>
    <dataValidation type="list" allowBlank="1" showInputMessage="1" showErrorMessage="1" sqref="AX11 BB11:BC11 V11 Z11:AA11" xr:uid="{00000000-0002-0000-1800-000001000000}">
      <formula1>"Silo 6, Silo 7, Silo 8, Silo 9"</formula1>
    </dataValidation>
    <dataValidation type="list" allowBlank="1" showInputMessage="1" showErrorMessage="1" sqref="AD11 AO11 AZ11 AV11 B11 M11 X11 T11" xr:uid="{00000000-0002-0000-1800-000002000000}">
      <formula1>"100#, 40/70"</formula1>
    </dataValidation>
    <dataValidation type="list" allowBlank="1" showInputMessage="1" showErrorMessage="1" sqref="AJ11:AM11 AQ11:AT11 H11:K11 O11:R11" xr:uid="{00000000-0002-0000-1800-000003000000}">
      <formula1>"Silo 1, Silo 2, Silo 6, Silo 7"</formula1>
    </dataValidation>
    <dataValidation type="list" allowBlank="1" showInputMessage="1" showErrorMessage="1" sqref="AV25 AD25 AO25 T25 B25 M25" xr:uid="{00000000-0002-0000-1800-000004000000}">
      <formula1>"1, 2, 3, 4, 5, 6, 7, 8, 9, 10, 11, 12, 13, 14, 15, 16"</formula1>
    </dataValidation>
    <dataValidation type="list" allowBlank="1" showInputMessage="1" showErrorMessage="1" sqref="C29:C31 AE29:AE31" xr:uid="{00000000-0002-0000-1800-000005000000}">
      <formula1>"Carrier 100, Carrier 200, Rotary"</formula1>
    </dataValidation>
    <dataValidation type="list" allowBlank="1" showInputMessage="1" showErrorMessage="1" sqref="B26 M26 T26 AD26 AO26 AV26" xr:uid="{00000000-0002-0000-1800-000006000000}">
      <formula1>"SP1, SP2, SP3, OWP SP"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C148"/>
  <sheetViews>
    <sheetView workbookViewId="0">
      <selection sqref="A1:XFD1048576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/>
      <c r="C4" s="5"/>
      <c r="D4" s="6" t="s">
        <v>6</v>
      </c>
      <c r="E4" s="380"/>
      <c r="F4" s="381"/>
      <c r="G4" s="312"/>
      <c r="H4" s="312"/>
      <c r="I4" s="8"/>
      <c r="J4" s="9"/>
      <c r="K4" s="10"/>
      <c r="L4" s="6" t="s">
        <v>5</v>
      </c>
      <c r="M4" s="4">
        <f>B4</f>
        <v>0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0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0</v>
      </c>
      <c r="AE4" s="5"/>
      <c r="AF4" s="6" t="s">
        <v>6</v>
      </c>
      <c r="AG4" s="380"/>
      <c r="AH4" s="381"/>
      <c r="AI4" s="312"/>
      <c r="AJ4" s="312"/>
      <c r="AK4" s="8"/>
      <c r="AL4" s="9"/>
      <c r="AM4" s="10"/>
      <c r="AN4" s="6" t="s">
        <v>5</v>
      </c>
      <c r="AO4" s="4">
        <f>B4</f>
        <v>0</v>
      </c>
      <c r="AP4" s="5"/>
      <c r="AQ4" s="370" t="s">
        <v>6</v>
      </c>
      <c r="AR4" s="371"/>
      <c r="AS4" s="11"/>
      <c r="AT4" s="12"/>
      <c r="AU4" s="6" t="s">
        <v>5</v>
      </c>
      <c r="AV4" s="4">
        <f>B4</f>
        <v>0</v>
      </c>
      <c r="AW4" s="5"/>
      <c r="AX4" s="6" t="s">
        <v>6</v>
      </c>
      <c r="AY4" s="382"/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/>
      <c r="F5" s="20" t="s">
        <v>10</v>
      </c>
      <c r="G5" s="21">
        <f>SUM((B5+E5)/12, 0)</f>
        <v>0</v>
      </c>
      <c r="H5" s="22"/>
      <c r="I5" s="23"/>
      <c r="J5" s="24"/>
      <c r="K5" s="25"/>
      <c r="L5" s="26" t="s">
        <v>11</v>
      </c>
      <c r="M5" s="27"/>
      <c r="N5" s="5"/>
      <c r="O5" s="28" t="s">
        <v>12</v>
      </c>
      <c r="P5" s="298">
        <f>SUM(M5/12)</f>
        <v>0</v>
      </c>
      <c r="Q5" s="317"/>
      <c r="R5" s="29"/>
      <c r="S5" s="20" t="s">
        <v>13</v>
      </c>
      <c r="T5" s="17"/>
      <c r="U5" s="5"/>
      <c r="V5" s="18" t="s">
        <v>14</v>
      </c>
      <c r="W5" s="19"/>
      <c r="X5" s="18" t="s">
        <v>10</v>
      </c>
      <c r="Y5" s="30">
        <f>SUM(T5+W5)/12</f>
        <v>0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/>
      <c r="AH5" s="20" t="s">
        <v>10</v>
      </c>
      <c r="AI5" s="21">
        <f>SUM(AD5+AG5)/12</f>
        <v>0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/>
      <c r="AW5" s="5"/>
      <c r="AX5" s="18" t="s">
        <v>14</v>
      </c>
      <c r="AY5" s="19"/>
      <c r="AZ5" s="18" t="s">
        <v>10</v>
      </c>
      <c r="BA5" s="30">
        <f>(AV5+AY5)/12</f>
        <v>0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/>
      <c r="M8" s="68"/>
      <c r="N8" s="64">
        <f>L8*(1-M10)</f>
        <v>0</v>
      </c>
      <c r="O8" s="69"/>
      <c r="P8" s="296"/>
      <c r="Q8" s="60">
        <f>IFERROR((O8+P8)/L8,0)</f>
        <v>0</v>
      </c>
      <c r="R8" s="70"/>
      <c r="S8" s="71"/>
      <c r="T8" s="72"/>
      <c r="U8" s="62">
        <f>S8*(1-T10)</f>
        <v>0</v>
      </c>
      <c r="V8" s="60">
        <f>IFERROR(T8/S8,0)</f>
        <v>0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/>
      <c r="AO8" s="68"/>
      <c r="AP8" s="64">
        <f>AN8*(1-AO10)</f>
        <v>0</v>
      </c>
      <c r="AQ8" s="69"/>
      <c r="AR8" s="296"/>
      <c r="AS8" s="60" t="e">
        <f>SUM((AQ8+AR8)/AP8,0)</f>
        <v>#DIV/0!</v>
      </c>
      <c r="AT8" s="70"/>
      <c r="AU8" s="71"/>
      <c r="AV8" s="72"/>
      <c r="AW8" s="62">
        <f>AU8*(1-AV10)</f>
        <v>0</v>
      </c>
      <c r="AX8" s="60">
        <f>IFERROR(AV8/AU8,0)</f>
        <v>0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0</v>
      </c>
      <c r="M9" s="86">
        <f>IFERROR(M8/M5,0)</f>
        <v>0</v>
      </c>
      <c r="N9" s="86">
        <f>IFERROR(N8/M5,0)</f>
        <v>0</v>
      </c>
      <c r="O9" s="86">
        <f>IFERROR(O8/M5,0)</f>
        <v>0</v>
      </c>
      <c r="P9" s="297" t="e">
        <f>SUM(P8/M5,0)</f>
        <v>#DIV/0!</v>
      </c>
      <c r="Q9" s="87">
        <f>IFERROR(Q8/M5,0)</f>
        <v>0</v>
      </c>
      <c r="R9" s="88"/>
      <c r="S9" s="89">
        <f>IFERROR(S8/T5,0)</f>
        <v>0</v>
      </c>
      <c r="T9" s="90">
        <f>IFERROR(SUM(T8/T5),0)</f>
        <v>0</v>
      </c>
      <c r="U9" s="91">
        <f>IFERROR(U8/T5,0)</f>
        <v>0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0</v>
      </c>
      <c r="AO9" s="86">
        <f>IFERROR(AO8/AO5,0)</f>
        <v>0</v>
      </c>
      <c r="AP9" s="86">
        <f>IFERROR(AP8/AO5,0)</f>
        <v>0</v>
      </c>
      <c r="AQ9" s="86">
        <f>IFERROR(AQ8/AO5,0)</f>
        <v>0</v>
      </c>
      <c r="AR9" s="297">
        <f>SUM(AR8/AO5,0)</f>
        <v>0</v>
      </c>
      <c r="AS9" s="87">
        <f>IFERROR(AS8/AO5,0)</f>
        <v>0</v>
      </c>
      <c r="AT9" s="88"/>
      <c r="AU9" s="89">
        <f>IFERROR(AU8/AV5,0)</f>
        <v>0</v>
      </c>
      <c r="AV9" s="90">
        <f>IFERROR(SUM(AV8/AV5),0)</f>
        <v>0</v>
      </c>
      <c r="AW9" s="91">
        <f>IFERROR(AW8/AV5,0)</f>
        <v>0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0</v>
      </c>
      <c r="C10" s="99"/>
      <c r="D10" s="100"/>
      <c r="E10" s="101" t="s">
        <v>39</v>
      </c>
      <c r="F10" s="102">
        <f>J23</f>
        <v>0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0</v>
      </c>
      <c r="U10" s="112"/>
      <c r="V10" s="100"/>
      <c r="W10" s="101" t="s">
        <v>39</v>
      </c>
      <c r="X10" s="113">
        <f>AA23</f>
        <v>0</v>
      </c>
      <c r="Y10" s="5"/>
      <c r="Z10" s="5"/>
      <c r="AA10" s="114"/>
      <c r="AB10" s="15"/>
      <c r="AC10" s="97" t="s">
        <v>39</v>
      </c>
      <c r="AD10" s="98">
        <f>AL23</f>
        <v>0</v>
      </c>
      <c r="AE10" s="99"/>
      <c r="AF10" s="100"/>
      <c r="AG10" s="101" t="s">
        <v>39</v>
      </c>
      <c r="AH10" s="102">
        <f>AL23</f>
        <v>0</v>
      </c>
      <c r="AI10" s="103"/>
      <c r="AJ10" s="99"/>
      <c r="AK10" s="104"/>
      <c r="AL10" s="105"/>
      <c r="AM10" s="106"/>
      <c r="AN10" s="107" t="s">
        <v>39</v>
      </c>
      <c r="AO10" s="108">
        <f>AR23</f>
        <v>0</v>
      </c>
      <c r="AP10" s="109"/>
      <c r="AQ10" s="109"/>
      <c r="AR10" s="109"/>
      <c r="AS10" s="110"/>
      <c r="AT10" s="111"/>
      <c r="AU10" s="107" t="s">
        <v>39</v>
      </c>
      <c r="AV10" s="108">
        <f>BC23</f>
        <v>0</v>
      </c>
      <c r="AW10" s="112"/>
      <c r="AX10" s="100"/>
      <c r="AY10" s="101" t="s">
        <v>39</v>
      </c>
      <c r="AZ10" s="113">
        <f>BC23</f>
        <v>0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/>
      <c r="F15" s="157"/>
      <c r="G15" s="158"/>
      <c r="H15" s="158"/>
      <c r="I15" s="159"/>
      <c r="J15" s="160"/>
      <c r="K15" s="161"/>
      <c r="L15" s="162"/>
      <c r="M15" s="163"/>
      <c r="N15" s="164"/>
      <c r="O15" s="299"/>
      <c r="P15" s="446"/>
      <c r="Q15" s="447"/>
      <c r="R15" s="161"/>
      <c r="S15" s="166"/>
      <c r="T15" s="163"/>
      <c r="U15" s="167"/>
      <c r="V15" s="168"/>
      <c r="W15" s="169"/>
      <c r="X15" s="170"/>
      <c r="Y15" s="170"/>
      <c r="Z15" s="171"/>
      <c r="AA15" s="172"/>
      <c r="AB15" s="173"/>
      <c r="AC15" s="152"/>
      <c r="AD15" s="153"/>
      <c r="AE15" s="154"/>
      <c r="AF15" s="155"/>
      <c r="AG15" s="156"/>
      <c r="AH15" s="157"/>
      <c r="AI15" s="158"/>
      <c r="AJ15" s="158"/>
      <c r="AK15" s="159"/>
      <c r="AL15" s="160"/>
      <c r="AM15" s="161"/>
      <c r="AN15" s="162"/>
      <c r="AO15" s="163"/>
      <c r="AP15" s="164"/>
      <c r="AQ15" s="165"/>
      <c r="AR15" s="356"/>
      <c r="AS15" s="357"/>
      <c r="AT15" s="161"/>
      <c r="AU15" s="166"/>
      <c r="AV15" s="163"/>
      <c r="AW15" s="167"/>
      <c r="AX15" s="168"/>
      <c r="AY15" s="169"/>
      <c r="AZ15" s="170"/>
      <c r="BA15" s="170"/>
      <c r="BB15" s="171"/>
      <c r="BC15" s="172"/>
    </row>
    <row r="16" spans="1:55" x14ac:dyDescent="0.3">
      <c r="A16" s="152"/>
      <c r="B16" s="174"/>
      <c r="C16" s="175"/>
      <c r="D16" s="176"/>
      <c r="E16" s="177"/>
      <c r="F16" s="178"/>
      <c r="G16" s="179"/>
      <c r="H16" s="179"/>
      <c r="I16" s="180"/>
      <c r="J16" s="160"/>
      <c r="K16" s="161"/>
      <c r="L16" s="181"/>
      <c r="M16" s="170"/>
      <c r="N16" s="302"/>
      <c r="O16" s="300"/>
      <c r="P16" s="440"/>
      <c r="Q16" s="357"/>
      <c r="R16" s="161"/>
      <c r="S16" s="169"/>
      <c r="T16" s="170"/>
      <c r="U16" s="169"/>
      <c r="V16" s="171"/>
      <c r="W16" s="169"/>
      <c r="X16" s="170"/>
      <c r="Y16" s="170"/>
      <c r="Z16" s="171"/>
      <c r="AA16" s="184"/>
      <c r="AB16" s="173"/>
      <c r="AC16" s="185"/>
      <c r="AD16" s="174"/>
      <c r="AE16" s="175"/>
      <c r="AF16" s="176"/>
      <c r="AG16" s="177"/>
      <c r="AH16" s="178"/>
      <c r="AI16" s="179"/>
      <c r="AJ16" s="179"/>
      <c r="AK16" s="180"/>
      <c r="AL16" s="160"/>
      <c r="AM16" s="161"/>
      <c r="AN16" s="181"/>
      <c r="AO16" s="170"/>
      <c r="AP16" s="302"/>
      <c r="AQ16" s="183"/>
      <c r="AR16" s="356"/>
      <c r="AS16" s="357"/>
      <c r="AT16" s="161"/>
      <c r="AU16" s="169"/>
      <c r="AV16" s="170"/>
      <c r="AW16" s="169"/>
      <c r="AX16" s="171"/>
      <c r="AY16" s="169"/>
      <c r="AZ16" s="170"/>
      <c r="BA16" s="170"/>
      <c r="BB16" s="171"/>
      <c r="BC16" s="184"/>
    </row>
    <row r="17" spans="1:55" x14ac:dyDescent="0.3">
      <c r="A17" s="152"/>
      <c r="B17" s="174"/>
      <c r="C17" s="175"/>
      <c r="D17" s="176"/>
      <c r="E17" s="177"/>
      <c r="F17" s="178"/>
      <c r="G17" s="179"/>
      <c r="H17" s="179"/>
      <c r="I17" s="180"/>
      <c r="J17" s="160"/>
      <c r="K17" s="161"/>
      <c r="L17" s="181"/>
      <c r="M17" s="170"/>
      <c r="N17" s="302"/>
      <c r="O17" s="300"/>
      <c r="P17" s="440"/>
      <c r="Q17" s="357"/>
      <c r="R17" s="161"/>
      <c r="S17" s="169"/>
      <c r="T17" s="170"/>
      <c r="U17" s="169"/>
      <c r="V17" s="171"/>
      <c r="W17" s="169"/>
      <c r="X17" s="170"/>
      <c r="Y17" s="170"/>
      <c r="Z17" s="171"/>
      <c r="AA17" s="184"/>
      <c r="AB17" s="173"/>
      <c r="AC17" s="185"/>
      <c r="AD17" s="174"/>
      <c r="AE17" s="175"/>
      <c r="AF17" s="176"/>
      <c r="AG17" s="177"/>
      <c r="AH17" s="178"/>
      <c r="AI17" s="179"/>
      <c r="AJ17" s="179"/>
      <c r="AK17" s="180"/>
      <c r="AL17" s="160"/>
      <c r="AM17" s="161"/>
      <c r="AN17" s="181"/>
      <c r="AO17" s="170"/>
      <c r="AP17" s="302"/>
      <c r="AQ17" s="183"/>
      <c r="AR17" s="356"/>
      <c r="AS17" s="357"/>
      <c r="AT17" s="161"/>
      <c r="AU17" s="169"/>
      <c r="AV17" s="170"/>
      <c r="AW17" s="169"/>
      <c r="AX17" s="171"/>
      <c r="AY17" s="169"/>
      <c r="AZ17" s="170"/>
      <c r="BA17" s="170"/>
      <c r="BB17" s="171"/>
      <c r="BC17" s="184"/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/>
      <c r="AH18" s="178"/>
      <c r="AI18" s="179"/>
      <c r="AJ18" s="179"/>
      <c r="AK18" s="180"/>
      <c r="AL18" s="160"/>
      <c r="AM18" s="161"/>
      <c r="AN18" s="181"/>
      <c r="AO18" s="170"/>
      <c r="AP18" s="302"/>
      <c r="AQ18" s="183"/>
      <c r="AR18" s="356"/>
      <c r="AS18" s="357"/>
      <c r="AT18" s="161"/>
      <c r="AU18" s="169"/>
      <c r="AV18" s="170"/>
      <c r="AW18" s="169"/>
      <c r="AX18" s="171"/>
      <c r="AY18" s="169"/>
      <c r="AZ18" s="170"/>
      <c r="BA18" s="170"/>
      <c r="BB18" s="171"/>
      <c r="BC18" s="184"/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</v>
      </c>
      <c r="F23" s="198">
        <f t="shared" si="0"/>
        <v>0</v>
      </c>
      <c r="G23" s="198">
        <f t="shared" si="0"/>
        <v>0</v>
      </c>
      <c r="H23" s="198">
        <f t="shared" si="0"/>
        <v>0</v>
      </c>
      <c r="I23" s="198">
        <f t="shared" si="0"/>
        <v>0</v>
      </c>
      <c r="J23" s="198">
        <f t="shared" si="0"/>
        <v>0</v>
      </c>
      <c r="K23" s="161"/>
      <c r="L23" s="199">
        <f>IFERROR(AVERAGE(L15:L22),0)</f>
        <v>0</v>
      </c>
      <c r="M23" s="198">
        <f>IFERROR(AVERAGE(M15:M22),0)</f>
        <v>0</v>
      </c>
      <c r="N23" s="200">
        <f>IFERROR(AVERAGE(N15:N22),0)</f>
        <v>0</v>
      </c>
      <c r="O23" s="201">
        <f>IFERROR(AVERAGE(O15:O22),0)</f>
        <v>0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</v>
      </c>
      <c r="T23" s="198">
        <f t="shared" si="1"/>
        <v>0</v>
      </c>
      <c r="U23" s="198">
        <f t="shared" si="1"/>
        <v>0</v>
      </c>
      <c r="V23" s="198">
        <f t="shared" si="1"/>
        <v>0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0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</v>
      </c>
      <c r="AH23" s="198">
        <f t="shared" si="2"/>
        <v>0</v>
      </c>
      <c r="AI23" s="198">
        <f t="shared" si="2"/>
        <v>0</v>
      </c>
      <c r="AJ23" s="198">
        <f t="shared" si="2"/>
        <v>0</v>
      </c>
      <c r="AK23" s="198">
        <f t="shared" si="2"/>
        <v>0</v>
      </c>
      <c r="AL23" s="198">
        <f t="shared" si="2"/>
        <v>0</v>
      </c>
      <c r="AM23" s="161"/>
      <c r="AN23" s="199">
        <f>IFERROR(AVERAGE(AN15:AN22),0)</f>
        <v>0</v>
      </c>
      <c r="AO23" s="198">
        <f>IFERROR(AVERAGE(AO15:AO22),0)</f>
        <v>0</v>
      </c>
      <c r="AP23" s="200">
        <f>IFERROR(AVERAGE(AP15:AP22),0)</f>
        <v>0</v>
      </c>
      <c r="AQ23" s="201">
        <f>IFERROR(AVERAGE(AQ15:AQ22),0)</f>
        <v>0</v>
      </c>
      <c r="AR23" s="396">
        <f>IFERROR(AVERAGE(AR15:AS22),0)</f>
        <v>0</v>
      </c>
      <c r="AS23" s="397"/>
      <c r="AT23" s="202"/>
      <c r="AU23" s="199">
        <f t="shared" ref="AU23:BC23" si="3">IFERROR(AVERAGE(AU15:AU22),0)</f>
        <v>0</v>
      </c>
      <c r="AV23" s="198">
        <f t="shared" si="3"/>
        <v>0</v>
      </c>
      <c r="AW23" s="198">
        <f t="shared" si="3"/>
        <v>0</v>
      </c>
      <c r="AX23" s="198">
        <f t="shared" si="3"/>
        <v>0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0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0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0</v>
      </c>
      <c r="D43" s="267"/>
      <c r="E43" s="276" t="s">
        <v>84</v>
      </c>
      <c r="F43" s="273">
        <f>AG9+AQ9+AV9</f>
        <v>0</v>
      </c>
      <c r="K43" s="266"/>
      <c r="R43" s="266"/>
    </row>
    <row r="44" spans="1:55" ht="16.2" thickBot="1" x14ac:dyDescent="0.35">
      <c r="A44" s="274" t="s">
        <v>3</v>
      </c>
      <c r="B44" s="275">
        <f>L8+AN8</f>
        <v>0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0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0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0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0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0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1900-000000000000}">
      <formula1>$A$137:$A$148</formula1>
    </dataValidation>
    <dataValidation type="list" allowBlank="1" showInputMessage="1" showErrorMessage="1" sqref="AX11 BB11:BC11 V11 Z11:AA11" xr:uid="{00000000-0002-0000-1900-000001000000}">
      <formula1>"Silo 6, Silo 7, Silo 8, Silo 9"</formula1>
    </dataValidation>
    <dataValidation type="list" allowBlank="1" showInputMessage="1" showErrorMessage="1" sqref="AD11 AO11 AZ11 AV11 B11 M11 X11 T11" xr:uid="{00000000-0002-0000-1900-000002000000}">
      <formula1>"100#, 40/70"</formula1>
    </dataValidation>
    <dataValidation type="list" allowBlank="1" showInputMessage="1" showErrorMessage="1" sqref="AJ11:AM11 AQ11:AT11 H11:K11 O11:R11" xr:uid="{00000000-0002-0000-1900-000003000000}">
      <formula1>"Silo 1, Silo 2, Silo 6, Silo 7"</formula1>
    </dataValidation>
    <dataValidation type="list" allowBlank="1" showInputMessage="1" showErrorMessage="1" sqref="AV25 AD25 AO25 T25 B25 M25" xr:uid="{00000000-0002-0000-1900-000004000000}">
      <formula1>"1, 2, 3, 4, 5, 6, 7, 8, 9, 10, 11, 12, 13, 14, 15, 16"</formula1>
    </dataValidation>
    <dataValidation type="list" allowBlank="1" showInputMessage="1" showErrorMessage="1" sqref="C29:C31 AE29:AE31" xr:uid="{00000000-0002-0000-1900-000005000000}">
      <formula1>"Carrier 100, Carrier 200, Rotary"</formula1>
    </dataValidation>
    <dataValidation type="list" allowBlank="1" showInputMessage="1" showErrorMessage="1" sqref="B26 M26 T26 AD26 AO26 AV26" xr:uid="{00000000-0002-0000-1900-000006000000}">
      <formula1>"SP1, SP2, SP3, OWP SP"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C148"/>
  <sheetViews>
    <sheetView workbookViewId="0">
      <selection sqref="A1:XFD1048576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/>
      <c r="C4" s="5"/>
      <c r="D4" s="6" t="s">
        <v>6</v>
      </c>
      <c r="E4" s="380"/>
      <c r="F4" s="381"/>
      <c r="G4" s="312"/>
      <c r="H4" s="312"/>
      <c r="I4" s="8"/>
      <c r="J4" s="9"/>
      <c r="K4" s="10"/>
      <c r="L4" s="6" t="s">
        <v>5</v>
      </c>
      <c r="M4" s="4">
        <f>B4</f>
        <v>0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0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0</v>
      </c>
      <c r="AE4" s="5"/>
      <c r="AF4" s="6" t="s">
        <v>6</v>
      </c>
      <c r="AG4" s="380"/>
      <c r="AH4" s="381"/>
      <c r="AI4" s="312"/>
      <c r="AJ4" s="312"/>
      <c r="AK4" s="8"/>
      <c r="AL4" s="9"/>
      <c r="AM4" s="10"/>
      <c r="AN4" s="6" t="s">
        <v>5</v>
      </c>
      <c r="AO4" s="4">
        <f>B4</f>
        <v>0</v>
      </c>
      <c r="AP4" s="5"/>
      <c r="AQ4" s="370" t="s">
        <v>6</v>
      </c>
      <c r="AR4" s="371"/>
      <c r="AS4" s="11"/>
      <c r="AT4" s="12"/>
      <c r="AU4" s="6" t="s">
        <v>5</v>
      </c>
      <c r="AV4" s="4">
        <f>B4</f>
        <v>0</v>
      </c>
      <c r="AW4" s="5"/>
      <c r="AX4" s="6" t="s">
        <v>6</v>
      </c>
      <c r="AY4" s="382"/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/>
      <c r="F5" s="20" t="s">
        <v>10</v>
      </c>
      <c r="G5" s="21">
        <f>SUM((B5+E5)/12, 0)</f>
        <v>0</v>
      </c>
      <c r="H5" s="22"/>
      <c r="I5" s="23"/>
      <c r="J5" s="24"/>
      <c r="K5" s="25"/>
      <c r="L5" s="26" t="s">
        <v>11</v>
      </c>
      <c r="M5" s="27"/>
      <c r="N5" s="5"/>
      <c r="O5" s="28" t="s">
        <v>12</v>
      </c>
      <c r="P5" s="298">
        <f>SUM(M5/12)</f>
        <v>0</v>
      </c>
      <c r="Q5" s="317"/>
      <c r="R5" s="29"/>
      <c r="S5" s="20" t="s">
        <v>13</v>
      </c>
      <c r="T5" s="17"/>
      <c r="U5" s="5"/>
      <c r="V5" s="18" t="s">
        <v>14</v>
      </c>
      <c r="W5" s="19"/>
      <c r="X5" s="18" t="s">
        <v>10</v>
      </c>
      <c r="Y5" s="30">
        <f>SUM(T5+W5)/12</f>
        <v>0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/>
      <c r="AH5" s="20" t="s">
        <v>10</v>
      </c>
      <c r="AI5" s="21">
        <f>SUM(AD5+AG5)/12</f>
        <v>0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/>
      <c r="AW5" s="5"/>
      <c r="AX5" s="18" t="s">
        <v>14</v>
      </c>
      <c r="AY5" s="19"/>
      <c r="AZ5" s="18" t="s">
        <v>10</v>
      </c>
      <c r="BA5" s="30">
        <f>(AV5+AY5)/12</f>
        <v>0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/>
      <c r="M8" s="68"/>
      <c r="N8" s="64">
        <f>L8*(1-M10)</f>
        <v>0</v>
      </c>
      <c r="O8" s="69"/>
      <c r="P8" s="296"/>
      <c r="Q8" s="60">
        <f>IFERROR((O8+P8)/L8,0)</f>
        <v>0</v>
      </c>
      <c r="R8" s="70"/>
      <c r="S8" s="71"/>
      <c r="T8" s="72"/>
      <c r="U8" s="62">
        <f>S8*(1-T10)</f>
        <v>0</v>
      </c>
      <c r="V8" s="60">
        <f>IFERROR(T8/S8,0)</f>
        <v>0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/>
      <c r="AO8" s="68"/>
      <c r="AP8" s="64">
        <f>AN8*(1-AO10)</f>
        <v>0</v>
      </c>
      <c r="AQ8" s="69"/>
      <c r="AR8" s="296"/>
      <c r="AS8" s="60" t="e">
        <f>SUM((AQ8+AR8)/AP8,0)</f>
        <v>#DIV/0!</v>
      </c>
      <c r="AT8" s="70"/>
      <c r="AU8" s="71"/>
      <c r="AV8" s="72"/>
      <c r="AW8" s="62">
        <f>AU8*(1-AV10)</f>
        <v>0</v>
      </c>
      <c r="AX8" s="60">
        <f>IFERROR(AV8/AU8,0)</f>
        <v>0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0</v>
      </c>
      <c r="M9" s="86">
        <f>IFERROR(M8/M5,0)</f>
        <v>0</v>
      </c>
      <c r="N9" s="86">
        <f>IFERROR(N8/M5,0)</f>
        <v>0</v>
      </c>
      <c r="O9" s="86">
        <f>IFERROR(O8/M5,0)</f>
        <v>0</v>
      </c>
      <c r="P9" s="297" t="e">
        <f>SUM(P8/M5,0)</f>
        <v>#DIV/0!</v>
      </c>
      <c r="Q9" s="87">
        <f>IFERROR(Q8/M5,0)</f>
        <v>0</v>
      </c>
      <c r="R9" s="88"/>
      <c r="S9" s="89">
        <f>IFERROR(S8/T5,0)</f>
        <v>0</v>
      </c>
      <c r="T9" s="90">
        <f>IFERROR(SUM(T8/T5),0)</f>
        <v>0</v>
      </c>
      <c r="U9" s="91">
        <f>IFERROR(U8/T5,0)</f>
        <v>0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0</v>
      </c>
      <c r="AO9" s="86">
        <f>IFERROR(AO8/AO5,0)</f>
        <v>0</v>
      </c>
      <c r="AP9" s="86">
        <f>IFERROR(AP8/AO5,0)</f>
        <v>0</v>
      </c>
      <c r="AQ9" s="86">
        <f>IFERROR(AQ8/AO5,0)</f>
        <v>0</v>
      </c>
      <c r="AR9" s="297">
        <f>SUM(AR8/AO5,0)</f>
        <v>0</v>
      </c>
      <c r="AS9" s="87">
        <f>IFERROR(AS8/AO5,0)</f>
        <v>0</v>
      </c>
      <c r="AT9" s="88"/>
      <c r="AU9" s="89">
        <f>IFERROR(AU8/AV5,0)</f>
        <v>0</v>
      </c>
      <c r="AV9" s="90">
        <f>IFERROR(SUM(AV8/AV5),0)</f>
        <v>0</v>
      </c>
      <c r="AW9" s="91">
        <f>IFERROR(AW8/AV5,0)</f>
        <v>0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0</v>
      </c>
      <c r="C10" s="99"/>
      <c r="D10" s="100"/>
      <c r="E10" s="101" t="s">
        <v>39</v>
      </c>
      <c r="F10" s="102">
        <f>J23</f>
        <v>0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0</v>
      </c>
      <c r="U10" s="112"/>
      <c r="V10" s="100"/>
      <c r="W10" s="101" t="s">
        <v>39</v>
      </c>
      <c r="X10" s="113">
        <f>AA23</f>
        <v>0</v>
      </c>
      <c r="Y10" s="5"/>
      <c r="Z10" s="5"/>
      <c r="AA10" s="114"/>
      <c r="AB10" s="15"/>
      <c r="AC10" s="97" t="s">
        <v>39</v>
      </c>
      <c r="AD10" s="98">
        <f>AL23</f>
        <v>0</v>
      </c>
      <c r="AE10" s="99"/>
      <c r="AF10" s="100"/>
      <c r="AG10" s="101" t="s">
        <v>39</v>
      </c>
      <c r="AH10" s="102">
        <f>AL23</f>
        <v>0</v>
      </c>
      <c r="AI10" s="103"/>
      <c r="AJ10" s="99"/>
      <c r="AK10" s="104"/>
      <c r="AL10" s="105"/>
      <c r="AM10" s="106"/>
      <c r="AN10" s="107" t="s">
        <v>39</v>
      </c>
      <c r="AO10" s="108">
        <f>AR23</f>
        <v>0</v>
      </c>
      <c r="AP10" s="109"/>
      <c r="AQ10" s="109"/>
      <c r="AR10" s="109"/>
      <c r="AS10" s="110"/>
      <c r="AT10" s="111"/>
      <c r="AU10" s="107" t="s">
        <v>39</v>
      </c>
      <c r="AV10" s="108">
        <f>BC23</f>
        <v>0</v>
      </c>
      <c r="AW10" s="112"/>
      <c r="AX10" s="100"/>
      <c r="AY10" s="101" t="s">
        <v>39</v>
      </c>
      <c r="AZ10" s="113">
        <f>BC23</f>
        <v>0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/>
      <c r="F15" s="157"/>
      <c r="G15" s="158"/>
      <c r="H15" s="158"/>
      <c r="I15" s="159"/>
      <c r="J15" s="160"/>
      <c r="K15" s="161"/>
      <c r="L15" s="162"/>
      <c r="M15" s="163"/>
      <c r="N15" s="164"/>
      <c r="O15" s="299"/>
      <c r="P15" s="446"/>
      <c r="Q15" s="447"/>
      <c r="R15" s="161"/>
      <c r="S15" s="166"/>
      <c r="T15" s="163"/>
      <c r="U15" s="167"/>
      <c r="V15" s="168"/>
      <c r="W15" s="169"/>
      <c r="X15" s="170"/>
      <c r="Y15" s="170"/>
      <c r="Z15" s="171"/>
      <c r="AA15" s="172"/>
      <c r="AB15" s="173"/>
      <c r="AC15" s="152"/>
      <c r="AD15" s="153"/>
      <c r="AE15" s="154"/>
      <c r="AF15" s="155"/>
      <c r="AG15" s="156"/>
      <c r="AH15" s="157"/>
      <c r="AI15" s="158"/>
      <c r="AJ15" s="158"/>
      <c r="AK15" s="159"/>
      <c r="AL15" s="160"/>
      <c r="AM15" s="161"/>
      <c r="AN15" s="162"/>
      <c r="AO15" s="163"/>
      <c r="AP15" s="164"/>
      <c r="AQ15" s="165"/>
      <c r="AR15" s="356"/>
      <c r="AS15" s="357"/>
      <c r="AT15" s="161"/>
      <c r="AU15" s="166"/>
      <c r="AV15" s="163"/>
      <c r="AW15" s="167"/>
      <c r="AX15" s="168"/>
      <c r="AY15" s="169"/>
      <c r="AZ15" s="170"/>
      <c r="BA15" s="170"/>
      <c r="BB15" s="171"/>
      <c r="BC15" s="172"/>
    </row>
    <row r="16" spans="1:55" x14ac:dyDescent="0.3">
      <c r="A16" s="152"/>
      <c r="B16" s="174"/>
      <c r="C16" s="175"/>
      <c r="D16" s="176"/>
      <c r="E16" s="177"/>
      <c r="F16" s="178"/>
      <c r="G16" s="179"/>
      <c r="H16" s="179"/>
      <c r="I16" s="180"/>
      <c r="J16" s="160"/>
      <c r="K16" s="161"/>
      <c r="L16" s="181"/>
      <c r="M16" s="170"/>
      <c r="N16" s="302"/>
      <c r="O16" s="300"/>
      <c r="P16" s="440"/>
      <c r="Q16" s="357"/>
      <c r="R16" s="161"/>
      <c r="S16" s="169"/>
      <c r="T16" s="170"/>
      <c r="U16" s="169"/>
      <c r="V16" s="171"/>
      <c r="W16" s="169"/>
      <c r="X16" s="170"/>
      <c r="Y16" s="170"/>
      <c r="Z16" s="171"/>
      <c r="AA16" s="184"/>
      <c r="AB16" s="173"/>
      <c r="AC16" s="185"/>
      <c r="AD16" s="174"/>
      <c r="AE16" s="175"/>
      <c r="AF16" s="176"/>
      <c r="AG16" s="177"/>
      <c r="AH16" s="178"/>
      <c r="AI16" s="179"/>
      <c r="AJ16" s="179"/>
      <c r="AK16" s="180"/>
      <c r="AL16" s="160"/>
      <c r="AM16" s="161"/>
      <c r="AN16" s="181"/>
      <c r="AO16" s="170"/>
      <c r="AP16" s="302"/>
      <c r="AQ16" s="183"/>
      <c r="AR16" s="356"/>
      <c r="AS16" s="357"/>
      <c r="AT16" s="161"/>
      <c r="AU16" s="169"/>
      <c r="AV16" s="170"/>
      <c r="AW16" s="169"/>
      <c r="AX16" s="171"/>
      <c r="AY16" s="169"/>
      <c r="AZ16" s="170"/>
      <c r="BA16" s="170"/>
      <c r="BB16" s="171"/>
      <c r="BC16" s="184"/>
    </row>
    <row r="17" spans="1:55" x14ac:dyDescent="0.3">
      <c r="A17" s="152"/>
      <c r="B17" s="174"/>
      <c r="C17" s="175"/>
      <c r="D17" s="176"/>
      <c r="E17" s="177"/>
      <c r="F17" s="178"/>
      <c r="G17" s="179"/>
      <c r="H17" s="179"/>
      <c r="I17" s="180"/>
      <c r="J17" s="160"/>
      <c r="K17" s="161"/>
      <c r="L17" s="181"/>
      <c r="M17" s="170"/>
      <c r="N17" s="302"/>
      <c r="O17" s="300"/>
      <c r="P17" s="440"/>
      <c r="Q17" s="357"/>
      <c r="R17" s="161"/>
      <c r="S17" s="169"/>
      <c r="T17" s="170"/>
      <c r="U17" s="169"/>
      <c r="V17" s="171"/>
      <c r="W17" s="169"/>
      <c r="X17" s="170"/>
      <c r="Y17" s="170"/>
      <c r="Z17" s="171"/>
      <c r="AA17" s="184"/>
      <c r="AB17" s="173"/>
      <c r="AC17" s="185"/>
      <c r="AD17" s="174"/>
      <c r="AE17" s="175"/>
      <c r="AF17" s="176"/>
      <c r="AG17" s="177"/>
      <c r="AH17" s="178"/>
      <c r="AI17" s="179"/>
      <c r="AJ17" s="179"/>
      <c r="AK17" s="180"/>
      <c r="AL17" s="160"/>
      <c r="AM17" s="161"/>
      <c r="AN17" s="181"/>
      <c r="AO17" s="170"/>
      <c r="AP17" s="302"/>
      <c r="AQ17" s="183"/>
      <c r="AR17" s="356"/>
      <c r="AS17" s="357"/>
      <c r="AT17" s="161"/>
      <c r="AU17" s="169"/>
      <c r="AV17" s="170"/>
      <c r="AW17" s="169"/>
      <c r="AX17" s="171"/>
      <c r="AY17" s="169"/>
      <c r="AZ17" s="170"/>
      <c r="BA17" s="170"/>
      <c r="BB17" s="171"/>
      <c r="BC17" s="184"/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/>
      <c r="AH18" s="178"/>
      <c r="AI18" s="179"/>
      <c r="AJ18" s="179"/>
      <c r="AK18" s="180"/>
      <c r="AL18" s="160"/>
      <c r="AM18" s="161"/>
      <c r="AN18" s="181"/>
      <c r="AO18" s="170"/>
      <c r="AP18" s="302"/>
      <c r="AQ18" s="183"/>
      <c r="AR18" s="356"/>
      <c r="AS18" s="357"/>
      <c r="AT18" s="161"/>
      <c r="AU18" s="169"/>
      <c r="AV18" s="170"/>
      <c r="AW18" s="169"/>
      <c r="AX18" s="171"/>
      <c r="AY18" s="169"/>
      <c r="AZ18" s="170"/>
      <c r="BA18" s="170"/>
      <c r="BB18" s="171"/>
      <c r="BC18" s="184"/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</v>
      </c>
      <c r="F23" s="198">
        <f t="shared" si="0"/>
        <v>0</v>
      </c>
      <c r="G23" s="198">
        <f t="shared" si="0"/>
        <v>0</v>
      </c>
      <c r="H23" s="198">
        <f t="shared" si="0"/>
        <v>0</v>
      </c>
      <c r="I23" s="198">
        <f t="shared" si="0"/>
        <v>0</v>
      </c>
      <c r="J23" s="198">
        <f t="shared" si="0"/>
        <v>0</v>
      </c>
      <c r="K23" s="161"/>
      <c r="L23" s="199">
        <f>IFERROR(AVERAGE(L15:L22),0)</f>
        <v>0</v>
      </c>
      <c r="M23" s="198">
        <f>IFERROR(AVERAGE(M15:M22),0)</f>
        <v>0</v>
      </c>
      <c r="N23" s="200">
        <f>IFERROR(AVERAGE(N15:N22),0)</f>
        <v>0</v>
      </c>
      <c r="O23" s="201">
        <f>IFERROR(AVERAGE(O15:O22),0)</f>
        <v>0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</v>
      </c>
      <c r="T23" s="198">
        <f t="shared" si="1"/>
        <v>0</v>
      </c>
      <c r="U23" s="198">
        <f t="shared" si="1"/>
        <v>0</v>
      </c>
      <c r="V23" s="198">
        <f t="shared" si="1"/>
        <v>0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0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</v>
      </c>
      <c r="AH23" s="198">
        <f t="shared" si="2"/>
        <v>0</v>
      </c>
      <c r="AI23" s="198">
        <f t="shared" si="2"/>
        <v>0</v>
      </c>
      <c r="AJ23" s="198">
        <f t="shared" si="2"/>
        <v>0</v>
      </c>
      <c r="AK23" s="198">
        <f t="shared" si="2"/>
        <v>0</v>
      </c>
      <c r="AL23" s="198">
        <f t="shared" si="2"/>
        <v>0</v>
      </c>
      <c r="AM23" s="161"/>
      <c r="AN23" s="199">
        <f>IFERROR(AVERAGE(AN15:AN22),0)</f>
        <v>0</v>
      </c>
      <c r="AO23" s="198">
        <f>IFERROR(AVERAGE(AO15:AO22),0)</f>
        <v>0</v>
      </c>
      <c r="AP23" s="200">
        <f>IFERROR(AVERAGE(AP15:AP22),0)</f>
        <v>0</v>
      </c>
      <c r="AQ23" s="201">
        <f>IFERROR(AVERAGE(AQ15:AQ22),0)</f>
        <v>0</v>
      </c>
      <c r="AR23" s="396">
        <f>IFERROR(AVERAGE(AR15:AS22),0)</f>
        <v>0</v>
      </c>
      <c r="AS23" s="397"/>
      <c r="AT23" s="202"/>
      <c r="AU23" s="199">
        <f t="shared" ref="AU23:BC23" si="3">IFERROR(AVERAGE(AU15:AU22),0)</f>
        <v>0</v>
      </c>
      <c r="AV23" s="198">
        <f t="shared" si="3"/>
        <v>0</v>
      </c>
      <c r="AW23" s="198">
        <f t="shared" si="3"/>
        <v>0</v>
      </c>
      <c r="AX23" s="198">
        <f t="shared" si="3"/>
        <v>0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0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0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0</v>
      </c>
      <c r="D43" s="267"/>
      <c r="E43" s="276" t="s">
        <v>84</v>
      </c>
      <c r="F43" s="273">
        <f>AG9+AQ9+AV9</f>
        <v>0</v>
      </c>
      <c r="K43" s="266"/>
      <c r="R43" s="266"/>
    </row>
    <row r="44" spans="1:55" ht="16.2" thickBot="1" x14ac:dyDescent="0.35">
      <c r="A44" s="274" t="s">
        <v>3</v>
      </c>
      <c r="B44" s="275">
        <f>L8+AN8</f>
        <v>0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0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0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0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0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0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1A00-000000000000}">
      <formula1>$A$137:$A$148</formula1>
    </dataValidation>
    <dataValidation type="list" allowBlank="1" showInputMessage="1" showErrorMessage="1" sqref="AX11 BB11:BC11 V11 Z11:AA11" xr:uid="{00000000-0002-0000-1A00-000001000000}">
      <formula1>"Silo 6, Silo 7, Silo 8, Silo 9"</formula1>
    </dataValidation>
    <dataValidation type="list" allowBlank="1" showInputMessage="1" showErrorMessage="1" sqref="AD11 AO11 AZ11 AV11 B11 M11 X11 T11" xr:uid="{00000000-0002-0000-1A00-000002000000}">
      <formula1>"100#, 40/70"</formula1>
    </dataValidation>
    <dataValidation type="list" allowBlank="1" showInputMessage="1" showErrorMessage="1" sqref="AJ11:AM11 AQ11:AT11 H11:K11 O11:R11" xr:uid="{00000000-0002-0000-1A00-000003000000}">
      <formula1>"Silo 1, Silo 2, Silo 6, Silo 7"</formula1>
    </dataValidation>
    <dataValidation type="list" allowBlank="1" showInputMessage="1" showErrorMessage="1" sqref="AV25 AD25 AO25 T25 B25 M25" xr:uid="{00000000-0002-0000-1A00-000004000000}">
      <formula1>"1, 2, 3, 4, 5, 6, 7, 8, 9, 10, 11, 12, 13, 14, 15, 16"</formula1>
    </dataValidation>
    <dataValidation type="list" allowBlank="1" showInputMessage="1" showErrorMessage="1" sqref="C29:C31 AE29:AE31" xr:uid="{00000000-0002-0000-1A00-000005000000}">
      <formula1>"Carrier 100, Carrier 200, Rotary"</formula1>
    </dataValidation>
    <dataValidation type="list" allowBlank="1" showInputMessage="1" showErrorMessage="1" sqref="B26 M26 T26 AD26 AO26 AV26" xr:uid="{00000000-0002-0000-1A00-000006000000}">
      <formula1>"SP1, SP2, SP3, OWP SP"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C148"/>
  <sheetViews>
    <sheetView workbookViewId="0">
      <selection sqref="A1:XFD1048576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/>
      <c r="C4" s="5"/>
      <c r="D4" s="6" t="s">
        <v>6</v>
      </c>
      <c r="E4" s="380"/>
      <c r="F4" s="381"/>
      <c r="G4" s="312"/>
      <c r="H4" s="312"/>
      <c r="I4" s="8"/>
      <c r="J4" s="9"/>
      <c r="K4" s="10"/>
      <c r="L4" s="6" t="s">
        <v>5</v>
      </c>
      <c r="M4" s="4">
        <f>B4</f>
        <v>0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0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0</v>
      </c>
      <c r="AE4" s="5"/>
      <c r="AF4" s="6" t="s">
        <v>6</v>
      </c>
      <c r="AG4" s="380"/>
      <c r="AH4" s="381"/>
      <c r="AI4" s="312"/>
      <c r="AJ4" s="312"/>
      <c r="AK4" s="8"/>
      <c r="AL4" s="9"/>
      <c r="AM4" s="10"/>
      <c r="AN4" s="6" t="s">
        <v>5</v>
      </c>
      <c r="AO4" s="4">
        <f>B4</f>
        <v>0</v>
      </c>
      <c r="AP4" s="5"/>
      <c r="AQ4" s="370" t="s">
        <v>6</v>
      </c>
      <c r="AR4" s="371"/>
      <c r="AS4" s="11"/>
      <c r="AT4" s="12"/>
      <c r="AU4" s="6" t="s">
        <v>5</v>
      </c>
      <c r="AV4" s="4">
        <f>B4</f>
        <v>0</v>
      </c>
      <c r="AW4" s="5"/>
      <c r="AX4" s="6" t="s">
        <v>6</v>
      </c>
      <c r="AY4" s="382"/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/>
      <c r="F5" s="20" t="s">
        <v>10</v>
      </c>
      <c r="G5" s="21">
        <f>SUM((B5+E5)/12, 0)</f>
        <v>0</v>
      </c>
      <c r="H5" s="22"/>
      <c r="I5" s="23"/>
      <c r="J5" s="24"/>
      <c r="K5" s="25"/>
      <c r="L5" s="26" t="s">
        <v>11</v>
      </c>
      <c r="M5" s="27"/>
      <c r="N5" s="5"/>
      <c r="O5" s="28" t="s">
        <v>12</v>
      </c>
      <c r="P5" s="298">
        <f>SUM(M5/12)</f>
        <v>0</v>
      </c>
      <c r="Q5" s="317"/>
      <c r="R5" s="29"/>
      <c r="S5" s="20" t="s">
        <v>13</v>
      </c>
      <c r="T5" s="17"/>
      <c r="U5" s="5"/>
      <c r="V5" s="18" t="s">
        <v>14</v>
      </c>
      <c r="W5" s="19"/>
      <c r="X5" s="18" t="s">
        <v>10</v>
      </c>
      <c r="Y5" s="30">
        <f>SUM(T5+W5)/12</f>
        <v>0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/>
      <c r="AH5" s="20" t="s">
        <v>10</v>
      </c>
      <c r="AI5" s="21">
        <f>SUM(AD5+AG5)/12</f>
        <v>0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/>
      <c r="AW5" s="5"/>
      <c r="AX5" s="18" t="s">
        <v>14</v>
      </c>
      <c r="AY5" s="19"/>
      <c r="AZ5" s="18" t="s">
        <v>10</v>
      </c>
      <c r="BA5" s="30">
        <f>(AV5+AY5)/12</f>
        <v>0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/>
      <c r="M8" s="68"/>
      <c r="N8" s="64">
        <f>L8*(1-M10)</f>
        <v>0</v>
      </c>
      <c r="O8" s="69"/>
      <c r="P8" s="296"/>
      <c r="Q8" s="60">
        <f>IFERROR((O8+P8)/L8,0)</f>
        <v>0</v>
      </c>
      <c r="R8" s="70"/>
      <c r="S8" s="71"/>
      <c r="T8" s="72"/>
      <c r="U8" s="62">
        <f>S8*(1-T10)</f>
        <v>0</v>
      </c>
      <c r="V8" s="60">
        <f>IFERROR(T8/S8,0)</f>
        <v>0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/>
      <c r="AO8" s="68"/>
      <c r="AP8" s="64">
        <f>AN8*(1-AO10)</f>
        <v>0</v>
      </c>
      <c r="AQ8" s="69"/>
      <c r="AR8" s="296"/>
      <c r="AS8" s="60" t="e">
        <f>SUM((AQ8+AR8)/AP8,0)</f>
        <v>#DIV/0!</v>
      </c>
      <c r="AT8" s="70"/>
      <c r="AU8" s="71"/>
      <c r="AV8" s="72"/>
      <c r="AW8" s="62">
        <f>AU8*(1-AV10)</f>
        <v>0</v>
      </c>
      <c r="AX8" s="60">
        <f>IFERROR(AV8/AU8,0)</f>
        <v>0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0</v>
      </c>
      <c r="M9" s="86">
        <f>IFERROR(M8/M5,0)</f>
        <v>0</v>
      </c>
      <c r="N9" s="86">
        <f>IFERROR(N8/M5,0)</f>
        <v>0</v>
      </c>
      <c r="O9" s="86">
        <f>IFERROR(O8/M5,0)</f>
        <v>0</v>
      </c>
      <c r="P9" s="297" t="e">
        <f>SUM(P8/M5,0)</f>
        <v>#DIV/0!</v>
      </c>
      <c r="Q9" s="87">
        <f>IFERROR(Q8/M5,0)</f>
        <v>0</v>
      </c>
      <c r="R9" s="88"/>
      <c r="S9" s="89">
        <f>IFERROR(S8/T5,0)</f>
        <v>0</v>
      </c>
      <c r="T9" s="90">
        <f>IFERROR(SUM(T8/T5),0)</f>
        <v>0</v>
      </c>
      <c r="U9" s="91">
        <f>IFERROR(U8/T5,0)</f>
        <v>0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0</v>
      </c>
      <c r="AO9" s="86">
        <f>IFERROR(AO8/AO5,0)</f>
        <v>0</v>
      </c>
      <c r="AP9" s="86">
        <f>IFERROR(AP8/AO5,0)</f>
        <v>0</v>
      </c>
      <c r="AQ9" s="86">
        <f>IFERROR(AQ8/AO5,0)</f>
        <v>0</v>
      </c>
      <c r="AR9" s="297">
        <f>SUM(AR8/AO5,0)</f>
        <v>0</v>
      </c>
      <c r="AS9" s="87">
        <f>IFERROR(AS8/AO5,0)</f>
        <v>0</v>
      </c>
      <c r="AT9" s="88"/>
      <c r="AU9" s="89">
        <f>IFERROR(AU8/AV5,0)</f>
        <v>0</v>
      </c>
      <c r="AV9" s="90">
        <f>IFERROR(SUM(AV8/AV5),0)</f>
        <v>0</v>
      </c>
      <c r="AW9" s="91">
        <f>IFERROR(AW8/AV5,0)</f>
        <v>0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0</v>
      </c>
      <c r="C10" s="99"/>
      <c r="D10" s="100"/>
      <c r="E10" s="101" t="s">
        <v>39</v>
      </c>
      <c r="F10" s="102">
        <f>J23</f>
        <v>0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0</v>
      </c>
      <c r="U10" s="112"/>
      <c r="V10" s="100"/>
      <c r="W10" s="101" t="s">
        <v>39</v>
      </c>
      <c r="X10" s="113">
        <f>AA23</f>
        <v>0</v>
      </c>
      <c r="Y10" s="5"/>
      <c r="Z10" s="5"/>
      <c r="AA10" s="114"/>
      <c r="AB10" s="15"/>
      <c r="AC10" s="97" t="s">
        <v>39</v>
      </c>
      <c r="AD10" s="98">
        <f>AL23</f>
        <v>0</v>
      </c>
      <c r="AE10" s="99"/>
      <c r="AF10" s="100"/>
      <c r="AG10" s="101" t="s">
        <v>39</v>
      </c>
      <c r="AH10" s="102">
        <f>AL23</f>
        <v>0</v>
      </c>
      <c r="AI10" s="103"/>
      <c r="AJ10" s="99"/>
      <c r="AK10" s="104"/>
      <c r="AL10" s="105"/>
      <c r="AM10" s="106"/>
      <c r="AN10" s="107" t="s">
        <v>39</v>
      </c>
      <c r="AO10" s="108">
        <f>AR23</f>
        <v>0</v>
      </c>
      <c r="AP10" s="109"/>
      <c r="AQ10" s="109"/>
      <c r="AR10" s="109"/>
      <c r="AS10" s="110"/>
      <c r="AT10" s="111"/>
      <c r="AU10" s="107" t="s">
        <v>39</v>
      </c>
      <c r="AV10" s="108">
        <f>BC23</f>
        <v>0</v>
      </c>
      <c r="AW10" s="112"/>
      <c r="AX10" s="100"/>
      <c r="AY10" s="101" t="s">
        <v>39</v>
      </c>
      <c r="AZ10" s="113">
        <f>BC23</f>
        <v>0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/>
      <c r="F15" s="157"/>
      <c r="G15" s="158"/>
      <c r="H15" s="158"/>
      <c r="I15" s="159"/>
      <c r="J15" s="160"/>
      <c r="K15" s="161"/>
      <c r="L15" s="162"/>
      <c r="M15" s="163"/>
      <c r="N15" s="164"/>
      <c r="O15" s="299"/>
      <c r="P15" s="446"/>
      <c r="Q15" s="447"/>
      <c r="R15" s="161"/>
      <c r="S15" s="166"/>
      <c r="T15" s="163"/>
      <c r="U15" s="167"/>
      <c r="V15" s="168"/>
      <c r="W15" s="169"/>
      <c r="X15" s="170"/>
      <c r="Y15" s="170"/>
      <c r="Z15" s="171"/>
      <c r="AA15" s="172"/>
      <c r="AB15" s="173"/>
      <c r="AC15" s="152"/>
      <c r="AD15" s="153"/>
      <c r="AE15" s="154"/>
      <c r="AF15" s="155"/>
      <c r="AG15" s="156"/>
      <c r="AH15" s="157"/>
      <c r="AI15" s="158"/>
      <c r="AJ15" s="158"/>
      <c r="AK15" s="159"/>
      <c r="AL15" s="160"/>
      <c r="AM15" s="161"/>
      <c r="AN15" s="162"/>
      <c r="AO15" s="163"/>
      <c r="AP15" s="164"/>
      <c r="AQ15" s="165"/>
      <c r="AR15" s="356"/>
      <c r="AS15" s="357"/>
      <c r="AT15" s="161"/>
      <c r="AU15" s="166"/>
      <c r="AV15" s="163"/>
      <c r="AW15" s="167"/>
      <c r="AX15" s="168"/>
      <c r="AY15" s="169"/>
      <c r="AZ15" s="170"/>
      <c r="BA15" s="170"/>
      <c r="BB15" s="171"/>
      <c r="BC15" s="172"/>
    </row>
    <row r="16" spans="1:55" x14ac:dyDescent="0.3">
      <c r="A16" s="152"/>
      <c r="B16" s="174"/>
      <c r="C16" s="175"/>
      <c r="D16" s="176"/>
      <c r="E16" s="177"/>
      <c r="F16" s="178"/>
      <c r="G16" s="179"/>
      <c r="H16" s="179"/>
      <c r="I16" s="180"/>
      <c r="J16" s="160"/>
      <c r="K16" s="161"/>
      <c r="L16" s="181"/>
      <c r="M16" s="170"/>
      <c r="N16" s="302"/>
      <c r="O16" s="300"/>
      <c r="P16" s="440"/>
      <c r="Q16" s="357"/>
      <c r="R16" s="161"/>
      <c r="S16" s="169"/>
      <c r="T16" s="170"/>
      <c r="U16" s="169"/>
      <c r="V16" s="171"/>
      <c r="W16" s="169"/>
      <c r="X16" s="170"/>
      <c r="Y16" s="170"/>
      <c r="Z16" s="171"/>
      <c r="AA16" s="184"/>
      <c r="AB16" s="173"/>
      <c r="AC16" s="185"/>
      <c r="AD16" s="174"/>
      <c r="AE16" s="175"/>
      <c r="AF16" s="176"/>
      <c r="AG16" s="177"/>
      <c r="AH16" s="178"/>
      <c r="AI16" s="179"/>
      <c r="AJ16" s="179"/>
      <c r="AK16" s="180"/>
      <c r="AL16" s="160"/>
      <c r="AM16" s="161"/>
      <c r="AN16" s="181"/>
      <c r="AO16" s="170"/>
      <c r="AP16" s="302"/>
      <c r="AQ16" s="183"/>
      <c r="AR16" s="356"/>
      <c r="AS16" s="357"/>
      <c r="AT16" s="161"/>
      <c r="AU16" s="169"/>
      <c r="AV16" s="170"/>
      <c r="AW16" s="169"/>
      <c r="AX16" s="171"/>
      <c r="AY16" s="169"/>
      <c r="AZ16" s="170"/>
      <c r="BA16" s="170"/>
      <c r="BB16" s="171"/>
      <c r="BC16" s="184"/>
    </row>
    <row r="17" spans="1:55" x14ac:dyDescent="0.3">
      <c r="A17" s="152"/>
      <c r="B17" s="174"/>
      <c r="C17" s="175"/>
      <c r="D17" s="176"/>
      <c r="E17" s="177"/>
      <c r="F17" s="178"/>
      <c r="G17" s="179"/>
      <c r="H17" s="179"/>
      <c r="I17" s="180"/>
      <c r="J17" s="160"/>
      <c r="K17" s="161"/>
      <c r="L17" s="181"/>
      <c r="M17" s="170"/>
      <c r="N17" s="302"/>
      <c r="O17" s="300"/>
      <c r="P17" s="440"/>
      <c r="Q17" s="357"/>
      <c r="R17" s="161"/>
      <c r="S17" s="169"/>
      <c r="T17" s="170"/>
      <c r="U17" s="169"/>
      <c r="V17" s="171"/>
      <c r="W17" s="169"/>
      <c r="X17" s="170"/>
      <c r="Y17" s="170"/>
      <c r="Z17" s="171"/>
      <c r="AA17" s="184"/>
      <c r="AB17" s="173"/>
      <c r="AC17" s="185"/>
      <c r="AD17" s="174"/>
      <c r="AE17" s="175"/>
      <c r="AF17" s="176"/>
      <c r="AG17" s="177"/>
      <c r="AH17" s="178"/>
      <c r="AI17" s="179"/>
      <c r="AJ17" s="179"/>
      <c r="AK17" s="180"/>
      <c r="AL17" s="160"/>
      <c r="AM17" s="161"/>
      <c r="AN17" s="181"/>
      <c r="AO17" s="170"/>
      <c r="AP17" s="302"/>
      <c r="AQ17" s="183"/>
      <c r="AR17" s="356"/>
      <c r="AS17" s="357"/>
      <c r="AT17" s="161"/>
      <c r="AU17" s="169"/>
      <c r="AV17" s="170"/>
      <c r="AW17" s="169"/>
      <c r="AX17" s="171"/>
      <c r="AY17" s="169"/>
      <c r="AZ17" s="170"/>
      <c r="BA17" s="170"/>
      <c r="BB17" s="171"/>
      <c r="BC17" s="184"/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/>
      <c r="AH18" s="178"/>
      <c r="AI18" s="179"/>
      <c r="AJ18" s="179"/>
      <c r="AK18" s="180"/>
      <c r="AL18" s="160"/>
      <c r="AM18" s="161"/>
      <c r="AN18" s="181"/>
      <c r="AO18" s="170"/>
      <c r="AP18" s="302"/>
      <c r="AQ18" s="183"/>
      <c r="AR18" s="356"/>
      <c r="AS18" s="357"/>
      <c r="AT18" s="161"/>
      <c r="AU18" s="169"/>
      <c r="AV18" s="170"/>
      <c r="AW18" s="169"/>
      <c r="AX18" s="171"/>
      <c r="AY18" s="169"/>
      <c r="AZ18" s="170"/>
      <c r="BA18" s="170"/>
      <c r="BB18" s="171"/>
      <c r="BC18" s="184"/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</v>
      </c>
      <c r="F23" s="198">
        <f t="shared" si="0"/>
        <v>0</v>
      </c>
      <c r="G23" s="198">
        <f t="shared" si="0"/>
        <v>0</v>
      </c>
      <c r="H23" s="198">
        <f t="shared" si="0"/>
        <v>0</v>
      </c>
      <c r="I23" s="198">
        <f t="shared" si="0"/>
        <v>0</v>
      </c>
      <c r="J23" s="198">
        <f t="shared" si="0"/>
        <v>0</v>
      </c>
      <c r="K23" s="161"/>
      <c r="L23" s="199">
        <f>IFERROR(AVERAGE(L15:L22),0)</f>
        <v>0</v>
      </c>
      <c r="M23" s="198">
        <f>IFERROR(AVERAGE(M15:M22),0)</f>
        <v>0</v>
      </c>
      <c r="N23" s="200">
        <f>IFERROR(AVERAGE(N15:N22),0)</f>
        <v>0</v>
      </c>
      <c r="O23" s="201">
        <f>IFERROR(AVERAGE(O15:O22),0)</f>
        <v>0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</v>
      </c>
      <c r="T23" s="198">
        <f t="shared" si="1"/>
        <v>0</v>
      </c>
      <c r="U23" s="198">
        <f t="shared" si="1"/>
        <v>0</v>
      </c>
      <c r="V23" s="198">
        <f t="shared" si="1"/>
        <v>0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0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</v>
      </c>
      <c r="AH23" s="198">
        <f t="shared" si="2"/>
        <v>0</v>
      </c>
      <c r="AI23" s="198">
        <f t="shared" si="2"/>
        <v>0</v>
      </c>
      <c r="AJ23" s="198">
        <f t="shared" si="2"/>
        <v>0</v>
      </c>
      <c r="AK23" s="198">
        <f t="shared" si="2"/>
        <v>0</v>
      </c>
      <c r="AL23" s="198">
        <f t="shared" si="2"/>
        <v>0</v>
      </c>
      <c r="AM23" s="161"/>
      <c r="AN23" s="199">
        <f>IFERROR(AVERAGE(AN15:AN22),0)</f>
        <v>0</v>
      </c>
      <c r="AO23" s="198">
        <f>IFERROR(AVERAGE(AO15:AO22),0)</f>
        <v>0</v>
      </c>
      <c r="AP23" s="200">
        <f>IFERROR(AVERAGE(AP15:AP22),0)</f>
        <v>0</v>
      </c>
      <c r="AQ23" s="201">
        <f>IFERROR(AVERAGE(AQ15:AQ22),0)</f>
        <v>0</v>
      </c>
      <c r="AR23" s="396">
        <f>IFERROR(AVERAGE(AR15:AS22),0)</f>
        <v>0</v>
      </c>
      <c r="AS23" s="397"/>
      <c r="AT23" s="202"/>
      <c r="AU23" s="199">
        <f t="shared" ref="AU23:BC23" si="3">IFERROR(AVERAGE(AU15:AU22),0)</f>
        <v>0</v>
      </c>
      <c r="AV23" s="198">
        <f t="shared" si="3"/>
        <v>0</v>
      </c>
      <c r="AW23" s="198">
        <f t="shared" si="3"/>
        <v>0</v>
      </c>
      <c r="AX23" s="198">
        <f t="shared" si="3"/>
        <v>0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0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0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0</v>
      </c>
      <c r="D43" s="267"/>
      <c r="E43" s="276" t="s">
        <v>84</v>
      </c>
      <c r="F43" s="273">
        <f>AG9+AQ9+AV9</f>
        <v>0</v>
      </c>
      <c r="K43" s="266"/>
      <c r="R43" s="266"/>
    </row>
    <row r="44" spans="1:55" ht="16.2" thickBot="1" x14ac:dyDescent="0.35">
      <c r="A44" s="274" t="s">
        <v>3</v>
      </c>
      <c r="B44" s="275">
        <f>L8+AN8</f>
        <v>0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0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0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0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0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0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1B00-000000000000}">
      <formula1>$A$137:$A$148</formula1>
    </dataValidation>
    <dataValidation type="list" allowBlank="1" showInputMessage="1" showErrorMessage="1" sqref="AX11 BB11:BC11 V11 Z11:AA11" xr:uid="{00000000-0002-0000-1B00-000001000000}">
      <formula1>"Silo 6, Silo 7, Silo 8, Silo 9"</formula1>
    </dataValidation>
    <dataValidation type="list" allowBlank="1" showInputMessage="1" showErrorMessage="1" sqref="AD11 AO11 AZ11 AV11 B11 M11 X11 T11" xr:uid="{00000000-0002-0000-1B00-000002000000}">
      <formula1>"100#, 40/70"</formula1>
    </dataValidation>
    <dataValidation type="list" allowBlank="1" showInputMessage="1" showErrorMessage="1" sqref="AJ11:AM11 AQ11:AT11 H11:K11 O11:R11" xr:uid="{00000000-0002-0000-1B00-000003000000}">
      <formula1>"Silo 1, Silo 2, Silo 6, Silo 7"</formula1>
    </dataValidation>
    <dataValidation type="list" allowBlank="1" showInputMessage="1" showErrorMessage="1" sqref="AV25 AD25 AO25 T25 B25 M25" xr:uid="{00000000-0002-0000-1B00-000004000000}">
      <formula1>"1, 2, 3, 4, 5, 6, 7, 8, 9, 10, 11, 12, 13, 14, 15, 16"</formula1>
    </dataValidation>
    <dataValidation type="list" allowBlank="1" showInputMessage="1" showErrorMessage="1" sqref="C29:C31 AE29:AE31" xr:uid="{00000000-0002-0000-1B00-000005000000}">
      <formula1>"Carrier 100, Carrier 200, Rotary"</formula1>
    </dataValidation>
    <dataValidation type="list" allowBlank="1" showInputMessage="1" showErrorMessage="1" sqref="B26 M26 T26 AD26 AO26 AV26" xr:uid="{00000000-0002-0000-1B00-000006000000}">
      <formula1>"SP1, SP2, SP3, OWP SP"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C148"/>
  <sheetViews>
    <sheetView workbookViewId="0">
      <selection sqref="A1:XFD1048576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/>
      <c r="C4" s="5"/>
      <c r="D4" s="6" t="s">
        <v>6</v>
      </c>
      <c r="E4" s="380"/>
      <c r="F4" s="381"/>
      <c r="G4" s="312"/>
      <c r="H4" s="312"/>
      <c r="I4" s="8"/>
      <c r="J4" s="9"/>
      <c r="K4" s="10"/>
      <c r="L4" s="6" t="s">
        <v>5</v>
      </c>
      <c r="M4" s="4">
        <f>B4</f>
        <v>0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0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0</v>
      </c>
      <c r="AE4" s="5"/>
      <c r="AF4" s="6" t="s">
        <v>6</v>
      </c>
      <c r="AG4" s="380"/>
      <c r="AH4" s="381"/>
      <c r="AI4" s="312"/>
      <c r="AJ4" s="312"/>
      <c r="AK4" s="8"/>
      <c r="AL4" s="9"/>
      <c r="AM4" s="10"/>
      <c r="AN4" s="6" t="s">
        <v>5</v>
      </c>
      <c r="AO4" s="4">
        <f>B4</f>
        <v>0</v>
      </c>
      <c r="AP4" s="5"/>
      <c r="AQ4" s="370" t="s">
        <v>6</v>
      </c>
      <c r="AR4" s="371"/>
      <c r="AS4" s="11"/>
      <c r="AT4" s="12"/>
      <c r="AU4" s="6" t="s">
        <v>5</v>
      </c>
      <c r="AV4" s="4">
        <f>B4</f>
        <v>0</v>
      </c>
      <c r="AW4" s="5"/>
      <c r="AX4" s="6" t="s">
        <v>6</v>
      </c>
      <c r="AY4" s="382"/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/>
      <c r="F5" s="20" t="s">
        <v>10</v>
      </c>
      <c r="G5" s="21">
        <f>SUM((B5+E5)/12, 0)</f>
        <v>0</v>
      </c>
      <c r="H5" s="22"/>
      <c r="I5" s="23"/>
      <c r="J5" s="24"/>
      <c r="K5" s="25"/>
      <c r="L5" s="26" t="s">
        <v>11</v>
      </c>
      <c r="M5" s="27"/>
      <c r="N5" s="5"/>
      <c r="O5" s="28" t="s">
        <v>12</v>
      </c>
      <c r="P5" s="298">
        <f>SUM(M5/12)</f>
        <v>0</v>
      </c>
      <c r="Q5" s="317"/>
      <c r="R5" s="29"/>
      <c r="S5" s="20" t="s">
        <v>13</v>
      </c>
      <c r="T5" s="17"/>
      <c r="U5" s="5"/>
      <c r="V5" s="18" t="s">
        <v>14</v>
      </c>
      <c r="W5" s="19"/>
      <c r="X5" s="18" t="s">
        <v>10</v>
      </c>
      <c r="Y5" s="30">
        <f>SUM(T5+W5)/12</f>
        <v>0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/>
      <c r="AH5" s="20" t="s">
        <v>10</v>
      </c>
      <c r="AI5" s="21">
        <f>SUM(AD5+AG5)/12</f>
        <v>0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/>
      <c r="AW5" s="5"/>
      <c r="AX5" s="18" t="s">
        <v>14</v>
      </c>
      <c r="AY5" s="19"/>
      <c r="AZ5" s="18" t="s">
        <v>10</v>
      </c>
      <c r="BA5" s="30">
        <f>(AV5+AY5)/12</f>
        <v>0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/>
      <c r="M8" s="68"/>
      <c r="N8" s="64">
        <f>L8*(1-M10)</f>
        <v>0</v>
      </c>
      <c r="O8" s="69"/>
      <c r="P8" s="296"/>
      <c r="Q8" s="60">
        <f>IFERROR((O8+P8)/L8,0)</f>
        <v>0</v>
      </c>
      <c r="R8" s="70"/>
      <c r="S8" s="71"/>
      <c r="T8" s="72"/>
      <c r="U8" s="62">
        <f>S8*(1-T10)</f>
        <v>0</v>
      </c>
      <c r="V8" s="60">
        <f>IFERROR(T8/S8,0)</f>
        <v>0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/>
      <c r="AO8" s="68"/>
      <c r="AP8" s="64">
        <f>AN8*(1-AO10)</f>
        <v>0</v>
      </c>
      <c r="AQ8" s="69"/>
      <c r="AR8" s="296"/>
      <c r="AS8" s="60" t="e">
        <f>SUM((AQ8+AR8)/AP8,0)</f>
        <v>#DIV/0!</v>
      </c>
      <c r="AT8" s="70"/>
      <c r="AU8" s="71"/>
      <c r="AV8" s="72"/>
      <c r="AW8" s="62">
        <f>AU8*(1-AV10)</f>
        <v>0</v>
      </c>
      <c r="AX8" s="60">
        <f>IFERROR(AV8/AU8,0)</f>
        <v>0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0</v>
      </c>
      <c r="M9" s="86">
        <f>IFERROR(M8/M5,0)</f>
        <v>0</v>
      </c>
      <c r="N9" s="86">
        <f>IFERROR(N8/M5,0)</f>
        <v>0</v>
      </c>
      <c r="O9" s="86">
        <f>IFERROR(O8/M5,0)</f>
        <v>0</v>
      </c>
      <c r="P9" s="297" t="e">
        <f>SUM(P8/M5,0)</f>
        <v>#DIV/0!</v>
      </c>
      <c r="Q9" s="87">
        <f>IFERROR(Q8/M5,0)</f>
        <v>0</v>
      </c>
      <c r="R9" s="88"/>
      <c r="S9" s="89">
        <f>IFERROR(S8/T5,0)</f>
        <v>0</v>
      </c>
      <c r="T9" s="90">
        <f>IFERROR(SUM(T8/T5),0)</f>
        <v>0</v>
      </c>
      <c r="U9" s="91">
        <f>IFERROR(U8/T5,0)</f>
        <v>0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0</v>
      </c>
      <c r="AO9" s="86">
        <f>IFERROR(AO8/AO5,0)</f>
        <v>0</v>
      </c>
      <c r="AP9" s="86">
        <f>IFERROR(AP8/AO5,0)</f>
        <v>0</v>
      </c>
      <c r="AQ9" s="86">
        <f>IFERROR(AQ8/AO5,0)</f>
        <v>0</v>
      </c>
      <c r="AR9" s="297">
        <f>SUM(AR8/AO5,0)</f>
        <v>0</v>
      </c>
      <c r="AS9" s="87">
        <f>IFERROR(AS8/AO5,0)</f>
        <v>0</v>
      </c>
      <c r="AT9" s="88"/>
      <c r="AU9" s="89">
        <f>IFERROR(AU8/AV5,0)</f>
        <v>0</v>
      </c>
      <c r="AV9" s="90">
        <f>IFERROR(SUM(AV8/AV5),0)</f>
        <v>0</v>
      </c>
      <c r="AW9" s="91">
        <f>IFERROR(AW8/AV5,0)</f>
        <v>0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0</v>
      </c>
      <c r="C10" s="99"/>
      <c r="D10" s="100"/>
      <c r="E10" s="101" t="s">
        <v>39</v>
      </c>
      <c r="F10" s="102">
        <f>J23</f>
        <v>0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0</v>
      </c>
      <c r="U10" s="112"/>
      <c r="V10" s="100"/>
      <c r="W10" s="101" t="s">
        <v>39</v>
      </c>
      <c r="X10" s="113">
        <f>AA23</f>
        <v>0</v>
      </c>
      <c r="Y10" s="5"/>
      <c r="Z10" s="5"/>
      <c r="AA10" s="114"/>
      <c r="AB10" s="15"/>
      <c r="AC10" s="97" t="s">
        <v>39</v>
      </c>
      <c r="AD10" s="98">
        <f>AL23</f>
        <v>0</v>
      </c>
      <c r="AE10" s="99"/>
      <c r="AF10" s="100"/>
      <c r="AG10" s="101" t="s">
        <v>39</v>
      </c>
      <c r="AH10" s="102">
        <f>AL23</f>
        <v>0</v>
      </c>
      <c r="AI10" s="103"/>
      <c r="AJ10" s="99"/>
      <c r="AK10" s="104"/>
      <c r="AL10" s="105"/>
      <c r="AM10" s="106"/>
      <c r="AN10" s="107" t="s">
        <v>39</v>
      </c>
      <c r="AO10" s="108">
        <f>AR23</f>
        <v>0</v>
      </c>
      <c r="AP10" s="109"/>
      <c r="AQ10" s="109"/>
      <c r="AR10" s="109"/>
      <c r="AS10" s="110"/>
      <c r="AT10" s="111"/>
      <c r="AU10" s="107" t="s">
        <v>39</v>
      </c>
      <c r="AV10" s="108">
        <f>BC23</f>
        <v>0</v>
      </c>
      <c r="AW10" s="112"/>
      <c r="AX10" s="100"/>
      <c r="AY10" s="101" t="s">
        <v>39</v>
      </c>
      <c r="AZ10" s="113">
        <f>BC23</f>
        <v>0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/>
      <c r="F15" s="157"/>
      <c r="G15" s="158"/>
      <c r="H15" s="158"/>
      <c r="I15" s="159"/>
      <c r="J15" s="160"/>
      <c r="K15" s="161"/>
      <c r="L15" s="162"/>
      <c r="M15" s="163"/>
      <c r="N15" s="164"/>
      <c r="O15" s="299"/>
      <c r="P15" s="446"/>
      <c r="Q15" s="447"/>
      <c r="R15" s="161"/>
      <c r="S15" s="166"/>
      <c r="T15" s="163"/>
      <c r="U15" s="167"/>
      <c r="V15" s="168"/>
      <c r="W15" s="169"/>
      <c r="X15" s="170"/>
      <c r="Y15" s="170"/>
      <c r="Z15" s="171"/>
      <c r="AA15" s="172"/>
      <c r="AB15" s="173"/>
      <c r="AC15" s="152"/>
      <c r="AD15" s="153"/>
      <c r="AE15" s="154"/>
      <c r="AF15" s="155"/>
      <c r="AG15" s="156"/>
      <c r="AH15" s="157"/>
      <c r="AI15" s="158"/>
      <c r="AJ15" s="158"/>
      <c r="AK15" s="159"/>
      <c r="AL15" s="160"/>
      <c r="AM15" s="161"/>
      <c r="AN15" s="162"/>
      <c r="AO15" s="163"/>
      <c r="AP15" s="164"/>
      <c r="AQ15" s="165"/>
      <c r="AR15" s="356"/>
      <c r="AS15" s="357"/>
      <c r="AT15" s="161"/>
      <c r="AU15" s="166"/>
      <c r="AV15" s="163"/>
      <c r="AW15" s="167"/>
      <c r="AX15" s="168"/>
      <c r="AY15" s="169"/>
      <c r="AZ15" s="170"/>
      <c r="BA15" s="170"/>
      <c r="BB15" s="171"/>
      <c r="BC15" s="172"/>
    </row>
    <row r="16" spans="1:55" x14ac:dyDescent="0.3">
      <c r="A16" s="152"/>
      <c r="B16" s="174"/>
      <c r="C16" s="175"/>
      <c r="D16" s="176"/>
      <c r="E16" s="177"/>
      <c r="F16" s="178"/>
      <c r="G16" s="179"/>
      <c r="H16" s="179"/>
      <c r="I16" s="180"/>
      <c r="J16" s="160"/>
      <c r="K16" s="161"/>
      <c r="L16" s="181"/>
      <c r="M16" s="170"/>
      <c r="N16" s="302"/>
      <c r="O16" s="300"/>
      <c r="P16" s="440"/>
      <c r="Q16" s="357"/>
      <c r="R16" s="161"/>
      <c r="S16" s="169"/>
      <c r="T16" s="170"/>
      <c r="U16" s="169"/>
      <c r="V16" s="171"/>
      <c r="W16" s="169"/>
      <c r="X16" s="170"/>
      <c r="Y16" s="170"/>
      <c r="Z16" s="171"/>
      <c r="AA16" s="184"/>
      <c r="AB16" s="173"/>
      <c r="AC16" s="185"/>
      <c r="AD16" s="174"/>
      <c r="AE16" s="175"/>
      <c r="AF16" s="176"/>
      <c r="AG16" s="177"/>
      <c r="AH16" s="178"/>
      <c r="AI16" s="179"/>
      <c r="AJ16" s="179"/>
      <c r="AK16" s="180"/>
      <c r="AL16" s="160"/>
      <c r="AM16" s="161"/>
      <c r="AN16" s="181"/>
      <c r="AO16" s="170"/>
      <c r="AP16" s="302"/>
      <c r="AQ16" s="183"/>
      <c r="AR16" s="356"/>
      <c r="AS16" s="357"/>
      <c r="AT16" s="161"/>
      <c r="AU16" s="169"/>
      <c r="AV16" s="170"/>
      <c r="AW16" s="169"/>
      <c r="AX16" s="171"/>
      <c r="AY16" s="169"/>
      <c r="AZ16" s="170"/>
      <c r="BA16" s="170"/>
      <c r="BB16" s="171"/>
      <c r="BC16" s="184"/>
    </row>
    <row r="17" spans="1:55" x14ac:dyDescent="0.3">
      <c r="A17" s="152"/>
      <c r="B17" s="174"/>
      <c r="C17" s="175"/>
      <c r="D17" s="176"/>
      <c r="E17" s="177"/>
      <c r="F17" s="178"/>
      <c r="G17" s="179"/>
      <c r="H17" s="179"/>
      <c r="I17" s="180"/>
      <c r="J17" s="160"/>
      <c r="K17" s="161"/>
      <c r="L17" s="181"/>
      <c r="M17" s="170"/>
      <c r="N17" s="302"/>
      <c r="O17" s="300"/>
      <c r="P17" s="440"/>
      <c r="Q17" s="357"/>
      <c r="R17" s="161"/>
      <c r="S17" s="169"/>
      <c r="T17" s="170"/>
      <c r="U17" s="169"/>
      <c r="V17" s="171"/>
      <c r="W17" s="169"/>
      <c r="X17" s="170"/>
      <c r="Y17" s="170"/>
      <c r="Z17" s="171"/>
      <c r="AA17" s="184"/>
      <c r="AB17" s="173"/>
      <c r="AC17" s="185"/>
      <c r="AD17" s="174"/>
      <c r="AE17" s="175"/>
      <c r="AF17" s="176"/>
      <c r="AG17" s="177"/>
      <c r="AH17" s="178"/>
      <c r="AI17" s="179"/>
      <c r="AJ17" s="179"/>
      <c r="AK17" s="180"/>
      <c r="AL17" s="160"/>
      <c r="AM17" s="161"/>
      <c r="AN17" s="181"/>
      <c r="AO17" s="170"/>
      <c r="AP17" s="302"/>
      <c r="AQ17" s="183"/>
      <c r="AR17" s="356"/>
      <c r="AS17" s="357"/>
      <c r="AT17" s="161"/>
      <c r="AU17" s="169"/>
      <c r="AV17" s="170"/>
      <c r="AW17" s="169"/>
      <c r="AX17" s="171"/>
      <c r="AY17" s="169"/>
      <c r="AZ17" s="170"/>
      <c r="BA17" s="170"/>
      <c r="BB17" s="171"/>
      <c r="BC17" s="184"/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/>
      <c r="AH18" s="178"/>
      <c r="AI18" s="179"/>
      <c r="AJ18" s="179"/>
      <c r="AK18" s="180"/>
      <c r="AL18" s="160"/>
      <c r="AM18" s="161"/>
      <c r="AN18" s="181"/>
      <c r="AO18" s="170"/>
      <c r="AP18" s="302"/>
      <c r="AQ18" s="183"/>
      <c r="AR18" s="356"/>
      <c r="AS18" s="357"/>
      <c r="AT18" s="161"/>
      <c r="AU18" s="169"/>
      <c r="AV18" s="170"/>
      <c r="AW18" s="169"/>
      <c r="AX18" s="171"/>
      <c r="AY18" s="169"/>
      <c r="AZ18" s="170"/>
      <c r="BA18" s="170"/>
      <c r="BB18" s="171"/>
      <c r="BC18" s="184"/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</v>
      </c>
      <c r="F23" s="198">
        <f t="shared" si="0"/>
        <v>0</v>
      </c>
      <c r="G23" s="198">
        <f t="shared" si="0"/>
        <v>0</v>
      </c>
      <c r="H23" s="198">
        <f t="shared" si="0"/>
        <v>0</v>
      </c>
      <c r="I23" s="198">
        <f t="shared" si="0"/>
        <v>0</v>
      </c>
      <c r="J23" s="198">
        <f t="shared" si="0"/>
        <v>0</v>
      </c>
      <c r="K23" s="161"/>
      <c r="L23" s="199">
        <f>IFERROR(AVERAGE(L15:L22),0)</f>
        <v>0</v>
      </c>
      <c r="M23" s="198">
        <f>IFERROR(AVERAGE(M15:M22),0)</f>
        <v>0</v>
      </c>
      <c r="N23" s="200">
        <f>IFERROR(AVERAGE(N15:N22),0)</f>
        <v>0</v>
      </c>
      <c r="O23" s="201">
        <f>IFERROR(AVERAGE(O15:O22),0)</f>
        <v>0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</v>
      </c>
      <c r="T23" s="198">
        <f t="shared" si="1"/>
        <v>0</v>
      </c>
      <c r="U23" s="198">
        <f t="shared" si="1"/>
        <v>0</v>
      </c>
      <c r="V23" s="198">
        <f t="shared" si="1"/>
        <v>0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0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</v>
      </c>
      <c r="AH23" s="198">
        <f t="shared" si="2"/>
        <v>0</v>
      </c>
      <c r="AI23" s="198">
        <f t="shared" si="2"/>
        <v>0</v>
      </c>
      <c r="AJ23" s="198">
        <f t="shared" si="2"/>
        <v>0</v>
      </c>
      <c r="AK23" s="198">
        <f t="shared" si="2"/>
        <v>0</v>
      </c>
      <c r="AL23" s="198">
        <f t="shared" si="2"/>
        <v>0</v>
      </c>
      <c r="AM23" s="161"/>
      <c r="AN23" s="199">
        <f>IFERROR(AVERAGE(AN15:AN22),0)</f>
        <v>0</v>
      </c>
      <c r="AO23" s="198">
        <f>IFERROR(AVERAGE(AO15:AO22),0)</f>
        <v>0</v>
      </c>
      <c r="AP23" s="200">
        <f>IFERROR(AVERAGE(AP15:AP22),0)</f>
        <v>0</v>
      </c>
      <c r="AQ23" s="201">
        <f>IFERROR(AVERAGE(AQ15:AQ22),0)</f>
        <v>0</v>
      </c>
      <c r="AR23" s="396">
        <f>IFERROR(AVERAGE(AR15:AS22),0)</f>
        <v>0</v>
      </c>
      <c r="AS23" s="397"/>
      <c r="AT23" s="202"/>
      <c r="AU23" s="199">
        <f t="shared" ref="AU23:BC23" si="3">IFERROR(AVERAGE(AU15:AU22),0)</f>
        <v>0</v>
      </c>
      <c r="AV23" s="198">
        <f t="shared" si="3"/>
        <v>0</v>
      </c>
      <c r="AW23" s="198">
        <f t="shared" si="3"/>
        <v>0</v>
      </c>
      <c r="AX23" s="198">
        <f t="shared" si="3"/>
        <v>0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0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0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0</v>
      </c>
      <c r="D43" s="267"/>
      <c r="E43" s="276" t="s">
        <v>84</v>
      </c>
      <c r="F43" s="273">
        <f>AG9+AQ9+AV9</f>
        <v>0</v>
      </c>
      <c r="K43" s="266"/>
      <c r="R43" s="266"/>
    </row>
    <row r="44" spans="1:55" ht="16.2" thickBot="1" x14ac:dyDescent="0.35">
      <c r="A44" s="274" t="s">
        <v>3</v>
      </c>
      <c r="B44" s="275">
        <f>L8+AN8</f>
        <v>0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0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0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0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0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0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1C00-000000000000}">
      <formula1>$A$137:$A$148</formula1>
    </dataValidation>
    <dataValidation type="list" allowBlank="1" showInputMessage="1" showErrorMessage="1" sqref="AX11 BB11:BC11 V11 Z11:AA11" xr:uid="{00000000-0002-0000-1C00-000001000000}">
      <formula1>"Silo 6, Silo 7, Silo 8, Silo 9"</formula1>
    </dataValidation>
    <dataValidation type="list" allowBlank="1" showInputMessage="1" showErrorMessage="1" sqref="AD11 AO11 AZ11 AV11 B11 M11 X11 T11" xr:uid="{00000000-0002-0000-1C00-000002000000}">
      <formula1>"100#, 40/70"</formula1>
    </dataValidation>
    <dataValidation type="list" allowBlank="1" showInputMessage="1" showErrorMessage="1" sqref="AJ11:AM11 AQ11:AT11 H11:K11 O11:R11" xr:uid="{00000000-0002-0000-1C00-000003000000}">
      <formula1>"Silo 1, Silo 2, Silo 6, Silo 7"</formula1>
    </dataValidation>
    <dataValidation type="list" allowBlank="1" showInputMessage="1" showErrorMessage="1" sqref="AV25 AD25 AO25 T25 B25 M25" xr:uid="{00000000-0002-0000-1C00-000004000000}">
      <formula1>"1, 2, 3, 4, 5, 6, 7, 8, 9, 10, 11, 12, 13, 14, 15, 16"</formula1>
    </dataValidation>
    <dataValidation type="list" allowBlank="1" showInputMessage="1" showErrorMessage="1" sqref="C29:C31 AE29:AE31" xr:uid="{00000000-0002-0000-1C00-000005000000}">
      <formula1>"Carrier 100, Carrier 200, Rotary"</formula1>
    </dataValidation>
    <dataValidation type="list" allowBlank="1" showInputMessage="1" showErrorMessage="1" sqref="B26 M26 T26 AD26 AO26 AV26" xr:uid="{00000000-0002-0000-1C00-000006000000}">
      <formula1>"SP1, SP2, SP3, OWP SP"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C148"/>
  <sheetViews>
    <sheetView workbookViewId="0">
      <selection sqref="A1:XFD1048576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/>
      <c r="C4" s="5"/>
      <c r="D4" s="6" t="s">
        <v>6</v>
      </c>
      <c r="E4" s="380"/>
      <c r="F4" s="381"/>
      <c r="G4" s="312"/>
      <c r="H4" s="312"/>
      <c r="I4" s="8"/>
      <c r="J4" s="9"/>
      <c r="K4" s="10"/>
      <c r="L4" s="6" t="s">
        <v>5</v>
      </c>
      <c r="M4" s="4">
        <f>B4</f>
        <v>0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0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0</v>
      </c>
      <c r="AE4" s="5"/>
      <c r="AF4" s="6" t="s">
        <v>6</v>
      </c>
      <c r="AG4" s="380"/>
      <c r="AH4" s="381"/>
      <c r="AI4" s="312"/>
      <c r="AJ4" s="312"/>
      <c r="AK4" s="8"/>
      <c r="AL4" s="9"/>
      <c r="AM4" s="10"/>
      <c r="AN4" s="6" t="s">
        <v>5</v>
      </c>
      <c r="AO4" s="4">
        <f>B4</f>
        <v>0</v>
      </c>
      <c r="AP4" s="5"/>
      <c r="AQ4" s="370" t="s">
        <v>6</v>
      </c>
      <c r="AR4" s="371"/>
      <c r="AS4" s="11"/>
      <c r="AT4" s="12"/>
      <c r="AU4" s="6" t="s">
        <v>5</v>
      </c>
      <c r="AV4" s="4">
        <f>B4</f>
        <v>0</v>
      </c>
      <c r="AW4" s="5"/>
      <c r="AX4" s="6" t="s">
        <v>6</v>
      </c>
      <c r="AY4" s="382"/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/>
      <c r="F5" s="20" t="s">
        <v>10</v>
      </c>
      <c r="G5" s="21">
        <f>SUM((B5+E5)/12, 0)</f>
        <v>0</v>
      </c>
      <c r="H5" s="22"/>
      <c r="I5" s="23"/>
      <c r="J5" s="24"/>
      <c r="K5" s="25"/>
      <c r="L5" s="26" t="s">
        <v>11</v>
      </c>
      <c r="M5" s="27"/>
      <c r="N5" s="5"/>
      <c r="O5" s="28" t="s">
        <v>12</v>
      </c>
      <c r="P5" s="298">
        <f>SUM(M5/12)</f>
        <v>0</v>
      </c>
      <c r="Q5" s="317"/>
      <c r="R5" s="29"/>
      <c r="S5" s="20" t="s">
        <v>13</v>
      </c>
      <c r="T5" s="17"/>
      <c r="U5" s="5"/>
      <c r="V5" s="18" t="s">
        <v>14</v>
      </c>
      <c r="W5" s="19"/>
      <c r="X5" s="18" t="s">
        <v>10</v>
      </c>
      <c r="Y5" s="30">
        <f>SUM(T5+W5)/12</f>
        <v>0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/>
      <c r="AH5" s="20" t="s">
        <v>10</v>
      </c>
      <c r="AI5" s="21">
        <f>SUM(AD5+AG5)/12</f>
        <v>0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/>
      <c r="AW5" s="5"/>
      <c r="AX5" s="18" t="s">
        <v>14</v>
      </c>
      <c r="AY5" s="19"/>
      <c r="AZ5" s="18" t="s">
        <v>10</v>
      </c>
      <c r="BA5" s="30">
        <f>(AV5+AY5)/12</f>
        <v>0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/>
      <c r="M8" s="68"/>
      <c r="N8" s="64">
        <f>L8*(1-M10)</f>
        <v>0</v>
      </c>
      <c r="O8" s="69"/>
      <c r="P8" s="296"/>
      <c r="Q8" s="60">
        <f>IFERROR((O8+P8)/L8,0)</f>
        <v>0</v>
      </c>
      <c r="R8" s="70"/>
      <c r="S8" s="71"/>
      <c r="T8" s="72"/>
      <c r="U8" s="62">
        <f>S8*(1-T10)</f>
        <v>0</v>
      </c>
      <c r="V8" s="60">
        <f>IFERROR(T8/S8,0)</f>
        <v>0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/>
      <c r="AO8" s="68"/>
      <c r="AP8" s="64">
        <f>AN8*(1-AO10)</f>
        <v>0</v>
      </c>
      <c r="AQ8" s="69"/>
      <c r="AR8" s="296"/>
      <c r="AS8" s="60" t="e">
        <f>SUM((AQ8+AR8)/AP8,0)</f>
        <v>#DIV/0!</v>
      </c>
      <c r="AT8" s="70"/>
      <c r="AU8" s="71"/>
      <c r="AV8" s="72"/>
      <c r="AW8" s="62">
        <f>AU8*(1-AV10)</f>
        <v>0</v>
      </c>
      <c r="AX8" s="60">
        <f>IFERROR(AV8/AU8,0)</f>
        <v>0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0</v>
      </c>
      <c r="M9" s="86">
        <f>IFERROR(M8/M5,0)</f>
        <v>0</v>
      </c>
      <c r="N9" s="86">
        <f>IFERROR(N8/M5,0)</f>
        <v>0</v>
      </c>
      <c r="O9" s="86">
        <f>IFERROR(O8/M5,0)</f>
        <v>0</v>
      </c>
      <c r="P9" s="297" t="e">
        <f>SUM(P8/M5,0)</f>
        <v>#DIV/0!</v>
      </c>
      <c r="Q9" s="87">
        <f>IFERROR(Q8/M5,0)</f>
        <v>0</v>
      </c>
      <c r="R9" s="88"/>
      <c r="S9" s="89">
        <f>IFERROR(S8/T5,0)</f>
        <v>0</v>
      </c>
      <c r="T9" s="90">
        <f>IFERROR(SUM(T8/T5),0)</f>
        <v>0</v>
      </c>
      <c r="U9" s="91">
        <f>IFERROR(U8/T5,0)</f>
        <v>0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0</v>
      </c>
      <c r="AO9" s="86">
        <f>IFERROR(AO8/AO5,0)</f>
        <v>0</v>
      </c>
      <c r="AP9" s="86">
        <f>IFERROR(AP8/AO5,0)</f>
        <v>0</v>
      </c>
      <c r="AQ9" s="86">
        <f>IFERROR(AQ8/AO5,0)</f>
        <v>0</v>
      </c>
      <c r="AR9" s="297">
        <f>SUM(AR8/AO5,0)</f>
        <v>0</v>
      </c>
      <c r="AS9" s="87">
        <f>IFERROR(AS8/AO5,0)</f>
        <v>0</v>
      </c>
      <c r="AT9" s="88"/>
      <c r="AU9" s="89">
        <f>IFERROR(AU8/AV5,0)</f>
        <v>0</v>
      </c>
      <c r="AV9" s="90">
        <f>IFERROR(SUM(AV8/AV5),0)</f>
        <v>0</v>
      </c>
      <c r="AW9" s="91">
        <f>IFERROR(AW8/AV5,0)</f>
        <v>0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0</v>
      </c>
      <c r="C10" s="99"/>
      <c r="D10" s="100"/>
      <c r="E10" s="101" t="s">
        <v>39</v>
      </c>
      <c r="F10" s="102">
        <f>J23</f>
        <v>0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0</v>
      </c>
      <c r="U10" s="112"/>
      <c r="V10" s="100"/>
      <c r="W10" s="101" t="s">
        <v>39</v>
      </c>
      <c r="X10" s="113">
        <f>AA23</f>
        <v>0</v>
      </c>
      <c r="Y10" s="5"/>
      <c r="Z10" s="5"/>
      <c r="AA10" s="114"/>
      <c r="AB10" s="15"/>
      <c r="AC10" s="97" t="s">
        <v>39</v>
      </c>
      <c r="AD10" s="98">
        <f>AL23</f>
        <v>0</v>
      </c>
      <c r="AE10" s="99"/>
      <c r="AF10" s="100"/>
      <c r="AG10" s="101" t="s">
        <v>39</v>
      </c>
      <c r="AH10" s="102">
        <f>AL23</f>
        <v>0</v>
      </c>
      <c r="AI10" s="103"/>
      <c r="AJ10" s="99"/>
      <c r="AK10" s="104"/>
      <c r="AL10" s="105"/>
      <c r="AM10" s="106"/>
      <c r="AN10" s="107" t="s">
        <v>39</v>
      </c>
      <c r="AO10" s="108">
        <f>AR23</f>
        <v>0</v>
      </c>
      <c r="AP10" s="109"/>
      <c r="AQ10" s="109"/>
      <c r="AR10" s="109"/>
      <c r="AS10" s="110"/>
      <c r="AT10" s="111"/>
      <c r="AU10" s="107" t="s">
        <v>39</v>
      </c>
      <c r="AV10" s="108">
        <f>BC23</f>
        <v>0</v>
      </c>
      <c r="AW10" s="112"/>
      <c r="AX10" s="100"/>
      <c r="AY10" s="101" t="s">
        <v>39</v>
      </c>
      <c r="AZ10" s="113">
        <f>BC23</f>
        <v>0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/>
      <c r="F15" s="157"/>
      <c r="G15" s="158"/>
      <c r="H15" s="158"/>
      <c r="I15" s="159"/>
      <c r="J15" s="160"/>
      <c r="K15" s="161"/>
      <c r="L15" s="162"/>
      <c r="M15" s="163"/>
      <c r="N15" s="164"/>
      <c r="O15" s="299"/>
      <c r="P15" s="446"/>
      <c r="Q15" s="447"/>
      <c r="R15" s="161"/>
      <c r="S15" s="166"/>
      <c r="T15" s="163"/>
      <c r="U15" s="167"/>
      <c r="V15" s="168"/>
      <c r="W15" s="169"/>
      <c r="X15" s="170"/>
      <c r="Y15" s="170"/>
      <c r="Z15" s="171"/>
      <c r="AA15" s="172"/>
      <c r="AB15" s="173"/>
      <c r="AC15" s="152"/>
      <c r="AD15" s="153"/>
      <c r="AE15" s="154"/>
      <c r="AF15" s="155"/>
      <c r="AG15" s="156"/>
      <c r="AH15" s="157"/>
      <c r="AI15" s="158"/>
      <c r="AJ15" s="158"/>
      <c r="AK15" s="159"/>
      <c r="AL15" s="160"/>
      <c r="AM15" s="161"/>
      <c r="AN15" s="162"/>
      <c r="AO15" s="163"/>
      <c r="AP15" s="164"/>
      <c r="AQ15" s="165"/>
      <c r="AR15" s="356"/>
      <c r="AS15" s="357"/>
      <c r="AT15" s="161"/>
      <c r="AU15" s="166"/>
      <c r="AV15" s="163"/>
      <c r="AW15" s="167"/>
      <c r="AX15" s="168"/>
      <c r="AY15" s="169"/>
      <c r="AZ15" s="170"/>
      <c r="BA15" s="170"/>
      <c r="BB15" s="171"/>
      <c r="BC15" s="172"/>
    </row>
    <row r="16" spans="1:55" x14ac:dyDescent="0.3">
      <c r="A16" s="152"/>
      <c r="B16" s="174"/>
      <c r="C16" s="175"/>
      <c r="D16" s="176"/>
      <c r="E16" s="177"/>
      <c r="F16" s="178"/>
      <c r="G16" s="179"/>
      <c r="H16" s="179"/>
      <c r="I16" s="180"/>
      <c r="J16" s="160"/>
      <c r="K16" s="161"/>
      <c r="L16" s="181"/>
      <c r="M16" s="170"/>
      <c r="N16" s="302"/>
      <c r="O16" s="300"/>
      <c r="P16" s="440"/>
      <c r="Q16" s="357"/>
      <c r="R16" s="161"/>
      <c r="S16" s="169"/>
      <c r="T16" s="170"/>
      <c r="U16" s="169"/>
      <c r="V16" s="171"/>
      <c r="W16" s="169"/>
      <c r="X16" s="170"/>
      <c r="Y16" s="170"/>
      <c r="Z16" s="171"/>
      <c r="AA16" s="184"/>
      <c r="AB16" s="173"/>
      <c r="AC16" s="185"/>
      <c r="AD16" s="174"/>
      <c r="AE16" s="175"/>
      <c r="AF16" s="176"/>
      <c r="AG16" s="177"/>
      <c r="AH16" s="178"/>
      <c r="AI16" s="179"/>
      <c r="AJ16" s="179"/>
      <c r="AK16" s="180"/>
      <c r="AL16" s="160"/>
      <c r="AM16" s="161"/>
      <c r="AN16" s="181"/>
      <c r="AO16" s="170"/>
      <c r="AP16" s="302"/>
      <c r="AQ16" s="183"/>
      <c r="AR16" s="356"/>
      <c r="AS16" s="357"/>
      <c r="AT16" s="161"/>
      <c r="AU16" s="169"/>
      <c r="AV16" s="170"/>
      <c r="AW16" s="169"/>
      <c r="AX16" s="171"/>
      <c r="AY16" s="169"/>
      <c r="AZ16" s="170"/>
      <c r="BA16" s="170"/>
      <c r="BB16" s="171"/>
      <c r="BC16" s="184"/>
    </row>
    <row r="17" spans="1:55" x14ac:dyDescent="0.3">
      <c r="A17" s="152"/>
      <c r="B17" s="174"/>
      <c r="C17" s="175"/>
      <c r="D17" s="176"/>
      <c r="E17" s="177"/>
      <c r="F17" s="178"/>
      <c r="G17" s="179"/>
      <c r="H17" s="179"/>
      <c r="I17" s="180"/>
      <c r="J17" s="160"/>
      <c r="K17" s="161"/>
      <c r="L17" s="181"/>
      <c r="M17" s="170"/>
      <c r="N17" s="302"/>
      <c r="O17" s="300"/>
      <c r="P17" s="440"/>
      <c r="Q17" s="357"/>
      <c r="R17" s="161"/>
      <c r="S17" s="169"/>
      <c r="T17" s="170"/>
      <c r="U17" s="169"/>
      <c r="V17" s="171"/>
      <c r="W17" s="169"/>
      <c r="X17" s="170"/>
      <c r="Y17" s="170"/>
      <c r="Z17" s="171"/>
      <c r="AA17" s="184"/>
      <c r="AB17" s="173"/>
      <c r="AC17" s="185"/>
      <c r="AD17" s="174"/>
      <c r="AE17" s="175"/>
      <c r="AF17" s="176"/>
      <c r="AG17" s="177"/>
      <c r="AH17" s="178"/>
      <c r="AI17" s="179"/>
      <c r="AJ17" s="179"/>
      <c r="AK17" s="180"/>
      <c r="AL17" s="160"/>
      <c r="AM17" s="161"/>
      <c r="AN17" s="181"/>
      <c r="AO17" s="170"/>
      <c r="AP17" s="302"/>
      <c r="AQ17" s="183"/>
      <c r="AR17" s="356"/>
      <c r="AS17" s="357"/>
      <c r="AT17" s="161"/>
      <c r="AU17" s="169"/>
      <c r="AV17" s="170"/>
      <c r="AW17" s="169"/>
      <c r="AX17" s="171"/>
      <c r="AY17" s="169"/>
      <c r="AZ17" s="170"/>
      <c r="BA17" s="170"/>
      <c r="BB17" s="171"/>
      <c r="BC17" s="184"/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/>
      <c r="AH18" s="178"/>
      <c r="AI18" s="179"/>
      <c r="AJ18" s="179"/>
      <c r="AK18" s="180"/>
      <c r="AL18" s="160"/>
      <c r="AM18" s="161"/>
      <c r="AN18" s="181"/>
      <c r="AO18" s="170"/>
      <c r="AP18" s="302"/>
      <c r="AQ18" s="183"/>
      <c r="AR18" s="356"/>
      <c r="AS18" s="357"/>
      <c r="AT18" s="161"/>
      <c r="AU18" s="169"/>
      <c r="AV18" s="170"/>
      <c r="AW18" s="169"/>
      <c r="AX18" s="171"/>
      <c r="AY18" s="169"/>
      <c r="AZ18" s="170"/>
      <c r="BA18" s="170"/>
      <c r="BB18" s="171"/>
      <c r="BC18" s="184"/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</v>
      </c>
      <c r="F23" s="198">
        <f t="shared" si="0"/>
        <v>0</v>
      </c>
      <c r="G23" s="198">
        <f t="shared" si="0"/>
        <v>0</v>
      </c>
      <c r="H23" s="198">
        <f t="shared" si="0"/>
        <v>0</v>
      </c>
      <c r="I23" s="198">
        <f t="shared" si="0"/>
        <v>0</v>
      </c>
      <c r="J23" s="198">
        <f t="shared" si="0"/>
        <v>0</v>
      </c>
      <c r="K23" s="161"/>
      <c r="L23" s="199">
        <f>IFERROR(AVERAGE(L15:L22),0)</f>
        <v>0</v>
      </c>
      <c r="M23" s="198">
        <f>IFERROR(AVERAGE(M15:M22),0)</f>
        <v>0</v>
      </c>
      <c r="N23" s="200">
        <f>IFERROR(AVERAGE(N15:N22),0)</f>
        <v>0</v>
      </c>
      <c r="O23" s="201">
        <f>IFERROR(AVERAGE(O15:O22),0)</f>
        <v>0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</v>
      </c>
      <c r="T23" s="198">
        <f t="shared" si="1"/>
        <v>0</v>
      </c>
      <c r="U23" s="198">
        <f t="shared" si="1"/>
        <v>0</v>
      </c>
      <c r="V23" s="198">
        <f t="shared" si="1"/>
        <v>0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0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</v>
      </c>
      <c r="AH23" s="198">
        <f t="shared" si="2"/>
        <v>0</v>
      </c>
      <c r="AI23" s="198">
        <f t="shared" si="2"/>
        <v>0</v>
      </c>
      <c r="AJ23" s="198">
        <f t="shared" si="2"/>
        <v>0</v>
      </c>
      <c r="AK23" s="198">
        <f t="shared" si="2"/>
        <v>0</v>
      </c>
      <c r="AL23" s="198">
        <f t="shared" si="2"/>
        <v>0</v>
      </c>
      <c r="AM23" s="161"/>
      <c r="AN23" s="199">
        <f>IFERROR(AVERAGE(AN15:AN22),0)</f>
        <v>0</v>
      </c>
      <c r="AO23" s="198">
        <f>IFERROR(AVERAGE(AO15:AO22),0)</f>
        <v>0</v>
      </c>
      <c r="AP23" s="200">
        <f>IFERROR(AVERAGE(AP15:AP22),0)</f>
        <v>0</v>
      </c>
      <c r="AQ23" s="201">
        <f>IFERROR(AVERAGE(AQ15:AQ22),0)</f>
        <v>0</v>
      </c>
      <c r="AR23" s="396">
        <f>IFERROR(AVERAGE(AR15:AS22),0)</f>
        <v>0</v>
      </c>
      <c r="AS23" s="397"/>
      <c r="AT23" s="202"/>
      <c r="AU23" s="199">
        <f t="shared" ref="AU23:BC23" si="3">IFERROR(AVERAGE(AU15:AU22),0)</f>
        <v>0</v>
      </c>
      <c r="AV23" s="198">
        <f t="shared" si="3"/>
        <v>0</v>
      </c>
      <c r="AW23" s="198">
        <f t="shared" si="3"/>
        <v>0</v>
      </c>
      <c r="AX23" s="198">
        <f t="shared" si="3"/>
        <v>0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0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0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0</v>
      </c>
      <c r="D43" s="267"/>
      <c r="E43" s="276" t="s">
        <v>84</v>
      </c>
      <c r="F43" s="273">
        <f>AG9+AQ9+AV9</f>
        <v>0</v>
      </c>
      <c r="K43" s="266"/>
      <c r="R43" s="266"/>
    </row>
    <row r="44" spans="1:55" ht="16.2" thickBot="1" x14ac:dyDescent="0.35">
      <c r="A44" s="274" t="s">
        <v>3</v>
      </c>
      <c r="B44" s="275">
        <f>L8+AN8</f>
        <v>0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0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0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0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0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0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1D00-000000000000}">
      <formula1>$A$137:$A$148</formula1>
    </dataValidation>
    <dataValidation type="list" allowBlank="1" showInputMessage="1" showErrorMessage="1" sqref="AX11 BB11:BC11 V11 Z11:AA11" xr:uid="{00000000-0002-0000-1D00-000001000000}">
      <formula1>"Silo 6, Silo 7, Silo 8, Silo 9"</formula1>
    </dataValidation>
    <dataValidation type="list" allowBlank="1" showInputMessage="1" showErrorMessage="1" sqref="AD11 AO11 AZ11 AV11 B11 M11 X11 T11" xr:uid="{00000000-0002-0000-1D00-000002000000}">
      <formula1>"100#, 40/70"</formula1>
    </dataValidation>
    <dataValidation type="list" allowBlank="1" showInputMessage="1" showErrorMessage="1" sqref="AJ11:AM11 AQ11:AT11 H11:K11 O11:R11" xr:uid="{00000000-0002-0000-1D00-000003000000}">
      <formula1>"Silo 1, Silo 2, Silo 6, Silo 7"</formula1>
    </dataValidation>
    <dataValidation type="list" allowBlank="1" showInputMessage="1" showErrorMessage="1" sqref="AV25 AD25 AO25 T25 B25 M25" xr:uid="{00000000-0002-0000-1D00-000004000000}">
      <formula1>"1, 2, 3, 4, 5, 6, 7, 8, 9, 10, 11, 12, 13, 14, 15, 16"</formula1>
    </dataValidation>
    <dataValidation type="list" allowBlank="1" showInputMessage="1" showErrorMessage="1" sqref="C29:C31 AE29:AE31" xr:uid="{00000000-0002-0000-1D00-000005000000}">
      <formula1>"Carrier 100, Carrier 200, Rotary"</formula1>
    </dataValidation>
    <dataValidation type="list" allowBlank="1" showInputMessage="1" showErrorMessage="1" sqref="B26 M26 T26 AD26 AO26 AV26" xr:uid="{00000000-0002-0000-1D00-000006000000}">
      <formula1>"SP1, SP2, SP3, OWP SP"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C148"/>
  <sheetViews>
    <sheetView workbookViewId="0">
      <selection sqref="A1:XFD1048576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/>
      <c r="C4" s="5"/>
      <c r="D4" s="6" t="s">
        <v>6</v>
      </c>
      <c r="E4" s="380"/>
      <c r="F4" s="381"/>
      <c r="G4" s="312"/>
      <c r="H4" s="312"/>
      <c r="I4" s="8"/>
      <c r="J4" s="9"/>
      <c r="K4" s="10"/>
      <c r="L4" s="6" t="s">
        <v>5</v>
      </c>
      <c r="M4" s="4">
        <f>B4</f>
        <v>0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0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0</v>
      </c>
      <c r="AE4" s="5"/>
      <c r="AF4" s="6" t="s">
        <v>6</v>
      </c>
      <c r="AG4" s="380"/>
      <c r="AH4" s="381"/>
      <c r="AI4" s="312"/>
      <c r="AJ4" s="312"/>
      <c r="AK4" s="8"/>
      <c r="AL4" s="9"/>
      <c r="AM4" s="10"/>
      <c r="AN4" s="6" t="s">
        <v>5</v>
      </c>
      <c r="AO4" s="4">
        <f>B4</f>
        <v>0</v>
      </c>
      <c r="AP4" s="5"/>
      <c r="AQ4" s="370" t="s">
        <v>6</v>
      </c>
      <c r="AR4" s="371"/>
      <c r="AS4" s="11"/>
      <c r="AT4" s="12"/>
      <c r="AU4" s="6" t="s">
        <v>5</v>
      </c>
      <c r="AV4" s="4">
        <f>B4</f>
        <v>0</v>
      </c>
      <c r="AW4" s="5"/>
      <c r="AX4" s="6" t="s">
        <v>6</v>
      </c>
      <c r="AY4" s="382"/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/>
      <c r="F5" s="20" t="s">
        <v>10</v>
      </c>
      <c r="G5" s="21">
        <f>SUM((B5+E5)/12, 0)</f>
        <v>0</v>
      </c>
      <c r="H5" s="22"/>
      <c r="I5" s="23"/>
      <c r="J5" s="24"/>
      <c r="K5" s="25"/>
      <c r="L5" s="26" t="s">
        <v>11</v>
      </c>
      <c r="M5" s="27"/>
      <c r="N5" s="5"/>
      <c r="O5" s="28" t="s">
        <v>12</v>
      </c>
      <c r="P5" s="298">
        <f>SUM(M5/12)</f>
        <v>0</v>
      </c>
      <c r="Q5" s="317"/>
      <c r="R5" s="29"/>
      <c r="S5" s="20" t="s">
        <v>13</v>
      </c>
      <c r="T5" s="17"/>
      <c r="U5" s="5"/>
      <c r="V5" s="18" t="s">
        <v>14</v>
      </c>
      <c r="W5" s="19"/>
      <c r="X5" s="18" t="s">
        <v>10</v>
      </c>
      <c r="Y5" s="30">
        <f>SUM(T5+W5)/12</f>
        <v>0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/>
      <c r="AH5" s="20" t="s">
        <v>10</v>
      </c>
      <c r="AI5" s="21">
        <f>SUM(AD5+AG5)/12</f>
        <v>0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/>
      <c r="AW5" s="5"/>
      <c r="AX5" s="18" t="s">
        <v>14</v>
      </c>
      <c r="AY5" s="19"/>
      <c r="AZ5" s="18" t="s">
        <v>10</v>
      </c>
      <c r="BA5" s="30">
        <f>(AV5+AY5)/12</f>
        <v>0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/>
      <c r="M8" s="68"/>
      <c r="N8" s="64">
        <f>L8*(1-M10)</f>
        <v>0</v>
      </c>
      <c r="O8" s="69"/>
      <c r="P8" s="296"/>
      <c r="Q8" s="60">
        <f>IFERROR((O8+P8)/L8,0)</f>
        <v>0</v>
      </c>
      <c r="R8" s="70"/>
      <c r="S8" s="71"/>
      <c r="T8" s="72"/>
      <c r="U8" s="62">
        <f>S8*(1-T10)</f>
        <v>0</v>
      </c>
      <c r="V8" s="60">
        <f>IFERROR(T8/S8,0)</f>
        <v>0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/>
      <c r="AO8" s="68"/>
      <c r="AP8" s="64">
        <f>AN8*(1-AO10)</f>
        <v>0</v>
      </c>
      <c r="AQ8" s="69"/>
      <c r="AR8" s="296"/>
      <c r="AS8" s="60" t="e">
        <f>SUM((AQ8+AR8)/AP8,0)</f>
        <v>#DIV/0!</v>
      </c>
      <c r="AT8" s="70"/>
      <c r="AU8" s="71"/>
      <c r="AV8" s="72"/>
      <c r="AW8" s="62">
        <f>AU8*(1-AV10)</f>
        <v>0</v>
      </c>
      <c r="AX8" s="60">
        <f>IFERROR(AV8/AU8,0)</f>
        <v>0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0</v>
      </c>
      <c r="M9" s="86">
        <f>IFERROR(M8/M5,0)</f>
        <v>0</v>
      </c>
      <c r="N9" s="86">
        <f>IFERROR(N8/M5,0)</f>
        <v>0</v>
      </c>
      <c r="O9" s="86">
        <f>IFERROR(O8/M5,0)</f>
        <v>0</v>
      </c>
      <c r="P9" s="297" t="e">
        <f>SUM(P8/M5,0)</f>
        <v>#DIV/0!</v>
      </c>
      <c r="Q9" s="87">
        <f>IFERROR(Q8/M5,0)</f>
        <v>0</v>
      </c>
      <c r="R9" s="88"/>
      <c r="S9" s="89">
        <f>IFERROR(S8/T5,0)</f>
        <v>0</v>
      </c>
      <c r="T9" s="90">
        <f>IFERROR(SUM(T8/T5),0)</f>
        <v>0</v>
      </c>
      <c r="U9" s="91">
        <f>IFERROR(U8/T5,0)</f>
        <v>0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0</v>
      </c>
      <c r="AO9" s="86">
        <f>IFERROR(AO8/AO5,0)</f>
        <v>0</v>
      </c>
      <c r="AP9" s="86">
        <f>IFERROR(AP8/AO5,0)</f>
        <v>0</v>
      </c>
      <c r="AQ9" s="86">
        <f>IFERROR(AQ8/AO5,0)</f>
        <v>0</v>
      </c>
      <c r="AR9" s="297">
        <f>SUM(AR8/AO5,0)</f>
        <v>0</v>
      </c>
      <c r="AS9" s="87">
        <f>IFERROR(AS8/AO5,0)</f>
        <v>0</v>
      </c>
      <c r="AT9" s="88"/>
      <c r="AU9" s="89">
        <f>IFERROR(AU8/AV5,0)</f>
        <v>0</v>
      </c>
      <c r="AV9" s="90">
        <f>IFERROR(SUM(AV8/AV5),0)</f>
        <v>0</v>
      </c>
      <c r="AW9" s="91">
        <f>IFERROR(AW8/AV5,0)</f>
        <v>0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0</v>
      </c>
      <c r="C10" s="99"/>
      <c r="D10" s="100"/>
      <c r="E10" s="101" t="s">
        <v>39</v>
      </c>
      <c r="F10" s="102">
        <f>J23</f>
        <v>0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0</v>
      </c>
      <c r="U10" s="112"/>
      <c r="V10" s="100"/>
      <c r="W10" s="101" t="s">
        <v>39</v>
      </c>
      <c r="X10" s="113">
        <f>AA23</f>
        <v>0</v>
      </c>
      <c r="Y10" s="5"/>
      <c r="Z10" s="5"/>
      <c r="AA10" s="114"/>
      <c r="AB10" s="15"/>
      <c r="AC10" s="97" t="s">
        <v>39</v>
      </c>
      <c r="AD10" s="98">
        <f>AL23</f>
        <v>0</v>
      </c>
      <c r="AE10" s="99"/>
      <c r="AF10" s="100"/>
      <c r="AG10" s="101" t="s">
        <v>39</v>
      </c>
      <c r="AH10" s="102">
        <f>AL23</f>
        <v>0</v>
      </c>
      <c r="AI10" s="103"/>
      <c r="AJ10" s="99"/>
      <c r="AK10" s="104"/>
      <c r="AL10" s="105"/>
      <c r="AM10" s="106"/>
      <c r="AN10" s="107" t="s">
        <v>39</v>
      </c>
      <c r="AO10" s="108">
        <f>AR23</f>
        <v>0</v>
      </c>
      <c r="AP10" s="109"/>
      <c r="AQ10" s="109"/>
      <c r="AR10" s="109"/>
      <c r="AS10" s="110"/>
      <c r="AT10" s="111"/>
      <c r="AU10" s="107" t="s">
        <v>39</v>
      </c>
      <c r="AV10" s="108">
        <f>BC23</f>
        <v>0</v>
      </c>
      <c r="AW10" s="112"/>
      <c r="AX10" s="100"/>
      <c r="AY10" s="101" t="s">
        <v>39</v>
      </c>
      <c r="AZ10" s="113">
        <f>BC23</f>
        <v>0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/>
      <c r="F15" s="157"/>
      <c r="G15" s="158"/>
      <c r="H15" s="158"/>
      <c r="I15" s="159"/>
      <c r="J15" s="160"/>
      <c r="K15" s="161"/>
      <c r="L15" s="162"/>
      <c r="M15" s="163"/>
      <c r="N15" s="164"/>
      <c r="O15" s="299"/>
      <c r="P15" s="446"/>
      <c r="Q15" s="447"/>
      <c r="R15" s="161"/>
      <c r="S15" s="166"/>
      <c r="T15" s="163"/>
      <c r="U15" s="167"/>
      <c r="V15" s="168"/>
      <c r="W15" s="169"/>
      <c r="X15" s="170"/>
      <c r="Y15" s="170"/>
      <c r="Z15" s="171"/>
      <c r="AA15" s="172"/>
      <c r="AB15" s="173"/>
      <c r="AC15" s="152"/>
      <c r="AD15" s="153"/>
      <c r="AE15" s="154"/>
      <c r="AF15" s="155"/>
      <c r="AG15" s="156"/>
      <c r="AH15" s="157"/>
      <c r="AI15" s="158"/>
      <c r="AJ15" s="158"/>
      <c r="AK15" s="159"/>
      <c r="AL15" s="160"/>
      <c r="AM15" s="161"/>
      <c r="AN15" s="162"/>
      <c r="AO15" s="163"/>
      <c r="AP15" s="164"/>
      <c r="AQ15" s="165"/>
      <c r="AR15" s="356"/>
      <c r="AS15" s="357"/>
      <c r="AT15" s="161"/>
      <c r="AU15" s="166"/>
      <c r="AV15" s="163"/>
      <c r="AW15" s="167"/>
      <c r="AX15" s="168"/>
      <c r="AY15" s="169"/>
      <c r="AZ15" s="170"/>
      <c r="BA15" s="170"/>
      <c r="BB15" s="171"/>
      <c r="BC15" s="172"/>
    </row>
    <row r="16" spans="1:55" x14ac:dyDescent="0.3">
      <c r="A16" s="152"/>
      <c r="B16" s="174"/>
      <c r="C16" s="175"/>
      <c r="D16" s="176"/>
      <c r="E16" s="177"/>
      <c r="F16" s="178"/>
      <c r="G16" s="179"/>
      <c r="H16" s="179"/>
      <c r="I16" s="180"/>
      <c r="J16" s="160"/>
      <c r="K16" s="161"/>
      <c r="L16" s="181"/>
      <c r="M16" s="170"/>
      <c r="N16" s="302"/>
      <c r="O16" s="300"/>
      <c r="P16" s="440"/>
      <c r="Q16" s="357"/>
      <c r="R16" s="161"/>
      <c r="S16" s="169"/>
      <c r="T16" s="170"/>
      <c r="U16" s="169"/>
      <c r="V16" s="171"/>
      <c r="W16" s="169"/>
      <c r="X16" s="170"/>
      <c r="Y16" s="170"/>
      <c r="Z16" s="171"/>
      <c r="AA16" s="184"/>
      <c r="AB16" s="173"/>
      <c r="AC16" s="185"/>
      <c r="AD16" s="174"/>
      <c r="AE16" s="175"/>
      <c r="AF16" s="176"/>
      <c r="AG16" s="177"/>
      <c r="AH16" s="178"/>
      <c r="AI16" s="179"/>
      <c r="AJ16" s="179"/>
      <c r="AK16" s="180"/>
      <c r="AL16" s="160"/>
      <c r="AM16" s="161"/>
      <c r="AN16" s="181"/>
      <c r="AO16" s="170"/>
      <c r="AP16" s="302"/>
      <c r="AQ16" s="183"/>
      <c r="AR16" s="356"/>
      <c r="AS16" s="357"/>
      <c r="AT16" s="161"/>
      <c r="AU16" s="169"/>
      <c r="AV16" s="170"/>
      <c r="AW16" s="169"/>
      <c r="AX16" s="171"/>
      <c r="AY16" s="169"/>
      <c r="AZ16" s="170"/>
      <c r="BA16" s="170"/>
      <c r="BB16" s="171"/>
      <c r="BC16" s="184"/>
    </row>
    <row r="17" spans="1:55" x14ac:dyDescent="0.3">
      <c r="A17" s="152"/>
      <c r="B17" s="174"/>
      <c r="C17" s="175"/>
      <c r="D17" s="176"/>
      <c r="E17" s="177"/>
      <c r="F17" s="178"/>
      <c r="G17" s="179"/>
      <c r="H17" s="179"/>
      <c r="I17" s="180"/>
      <c r="J17" s="160"/>
      <c r="K17" s="161"/>
      <c r="L17" s="181"/>
      <c r="M17" s="170"/>
      <c r="N17" s="302"/>
      <c r="O17" s="300"/>
      <c r="P17" s="440"/>
      <c r="Q17" s="357"/>
      <c r="R17" s="161"/>
      <c r="S17" s="169"/>
      <c r="T17" s="170"/>
      <c r="U17" s="169"/>
      <c r="V17" s="171"/>
      <c r="W17" s="169"/>
      <c r="X17" s="170"/>
      <c r="Y17" s="170"/>
      <c r="Z17" s="171"/>
      <c r="AA17" s="184"/>
      <c r="AB17" s="173"/>
      <c r="AC17" s="185"/>
      <c r="AD17" s="174"/>
      <c r="AE17" s="175"/>
      <c r="AF17" s="176"/>
      <c r="AG17" s="177"/>
      <c r="AH17" s="178"/>
      <c r="AI17" s="179"/>
      <c r="AJ17" s="179"/>
      <c r="AK17" s="180"/>
      <c r="AL17" s="160"/>
      <c r="AM17" s="161"/>
      <c r="AN17" s="181"/>
      <c r="AO17" s="170"/>
      <c r="AP17" s="302"/>
      <c r="AQ17" s="183"/>
      <c r="AR17" s="356"/>
      <c r="AS17" s="357"/>
      <c r="AT17" s="161"/>
      <c r="AU17" s="169"/>
      <c r="AV17" s="170"/>
      <c r="AW17" s="169"/>
      <c r="AX17" s="171"/>
      <c r="AY17" s="169"/>
      <c r="AZ17" s="170"/>
      <c r="BA17" s="170"/>
      <c r="BB17" s="171"/>
      <c r="BC17" s="184"/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/>
      <c r="AH18" s="178"/>
      <c r="AI18" s="179"/>
      <c r="AJ18" s="179"/>
      <c r="AK18" s="180"/>
      <c r="AL18" s="160"/>
      <c r="AM18" s="161"/>
      <c r="AN18" s="181"/>
      <c r="AO18" s="170"/>
      <c r="AP18" s="302"/>
      <c r="AQ18" s="183"/>
      <c r="AR18" s="356"/>
      <c r="AS18" s="357"/>
      <c r="AT18" s="161"/>
      <c r="AU18" s="169"/>
      <c r="AV18" s="170"/>
      <c r="AW18" s="169"/>
      <c r="AX18" s="171"/>
      <c r="AY18" s="169"/>
      <c r="AZ18" s="170"/>
      <c r="BA18" s="170"/>
      <c r="BB18" s="171"/>
      <c r="BC18" s="184"/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</v>
      </c>
      <c r="F23" s="198">
        <f t="shared" si="0"/>
        <v>0</v>
      </c>
      <c r="G23" s="198">
        <f t="shared" si="0"/>
        <v>0</v>
      </c>
      <c r="H23" s="198">
        <f t="shared" si="0"/>
        <v>0</v>
      </c>
      <c r="I23" s="198">
        <f t="shared" si="0"/>
        <v>0</v>
      </c>
      <c r="J23" s="198">
        <f t="shared" si="0"/>
        <v>0</v>
      </c>
      <c r="K23" s="161"/>
      <c r="L23" s="199">
        <f>IFERROR(AVERAGE(L15:L22),0)</f>
        <v>0</v>
      </c>
      <c r="M23" s="198">
        <f>IFERROR(AVERAGE(M15:M22),0)</f>
        <v>0</v>
      </c>
      <c r="N23" s="200">
        <f>IFERROR(AVERAGE(N15:N22),0)</f>
        <v>0</v>
      </c>
      <c r="O23" s="201">
        <f>IFERROR(AVERAGE(O15:O22),0)</f>
        <v>0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</v>
      </c>
      <c r="T23" s="198">
        <f t="shared" si="1"/>
        <v>0</v>
      </c>
      <c r="U23" s="198">
        <f t="shared" si="1"/>
        <v>0</v>
      </c>
      <c r="V23" s="198">
        <f t="shared" si="1"/>
        <v>0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0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</v>
      </c>
      <c r="AH23" s="198">
        <f t="shared" si="2"/>
        <v>0</v>
      </c>
      <c r="AI23" s="198">
        <f t="shared" si="2"/>
        <v>0</v>
      </c>
      <c r="AJ23" s="198">
        <f t="shared" si="2"/>
        <v>0</v>
      </c>
      <c r="AK23" s="198">
        <f t="shared" si="2"/>
        <v>0</v>
      </c>
      <c r="AL23" s="198">
        <f t="shared" si="2"/>
        <v>0</v>
      </c>
      <c r="AM23" s="161"/>
      <c r="AN23" s="199">
        <f>IFERROR(AVERAGE(AN15:AN22),0)</f>
        <v>0</v>
      </c>
      <c r="AO23" s="198">
        <f>IFERROR(AVERAGE(AO15:AO22),0)</f>
        <v>0</v>
      </c>
      <c r="AP23" s="200">
        <f>IFERROR(AVERAGE(AP15:AP22),0)</f>
        <v>0</v>
      </c>
      <c r="AQ23" s="201">
        <f>IFERROR(AVERAGE(AQ15:AQ22),0)</f>
        <v>0</v>
      </c>
      <c r="AR23" s="396">
        <f>IFERROR(AVERAGE(AR15:AS22),0)</f>
        <v>0</v>
      </c>
      <c r="AS23" s="397"/>
      <c r="AT23" s="202"/>
      <c r="AU23" s="199">
        <f t="shared" ref="AU23:BC23" si="3">IFERROR(AVERAGE(AU15:AU22),0)</f>
        <v>0</v>
      </c>
      <c r="AV23" s="198">
        <f t="shared" si="3"/>
        <v>0</v>
      </c>
      <c r="AW23" s="198">
        <f t="shared" si="3"/>
        <v>0</v>
      </c>
      <c r="AX23" s="198">
        <f t="shared" si="3"/>
        <v>0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0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0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0</v>
      </c>
      <c r="D43" s="267"/>
      <c r="E43" s="276" t="s">
        <v>84</v>
      </c>
      <c r="F43" s="273">
        <f>AG9+AQ9+AV9</f>
        <v>0</v>
      </c>
      <c r="K43" s="266"/>
      <c r="R43" s="266"/>
    </row>
    <row r="44" spans="1:55" ht="16.2" thickBot="1" x14ac:dyDescent="0.35">
      <c r="A44" s="274" t="s">
        <v>3</v>
      </c>
      <c r="B44" s="275">
        <f>L8+AN8</f>
        <v>0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0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0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0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0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0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1E00-000000000000}">
      <formula1>$A$137:$A$148</formula1>
    </dataValidation>
    <dataValidation type="list" allowBlank="1" showInputMessage="1" showErrorMessage="1" sqref="AX11 BB11:BC11 V11 Z11:AA11" xr:uid="{00000000-0002-0000-1E00-000001000000}">
      <formula1>"Silo 6, Silo 7, Silo 8, Silo 9"</formula1>
    </dataValidation>
    <dataValidation type="list" allowBlank="1" showInputMessage="1" showErrorMessage="1" sqref="AD11 AO11 AZ11 AV11 B11 M11 X11 T11" xr:uid="{00000000-0002-0000-1E00-000002000000}">
      <formula1>"100#, 40/70"</formula1>
    </dataValidation>
    <dataValidation type="list" allowBlank="1" showInputMessage="1" showErrorMessage="1" sqref="AJ11:AM11 AQ11:AT11 H11:K11 O11:R11" xr:uid="{00000000-0002-0000-1E00-000003000000}">
      <formula1>"Silo 1, Silo 2, Silo 6, Silo 7"</formula1>
    </dataValidation>
    <dataValidation type="list" allowBlank="1" showInputMessage="1" showErrorMessage="1" sqref="AV25 AD25 AO25 T25 B25 M25" xr:uid="{00000000-0002-0000-1E00-000004000000}">
      <formula1>"1, 2, 3, 4, 5, 6, 7, 8, 9, 10, 11, 12, 13, 14, 15, 16"</formula1>
    </dataValidation>
    <dataValidation type="list" allowBlank="1" showInputMessage="1" showErrorMessage="1" sqref="C29:C31 AE29:AE31" xr:uid="{00000000-0002-0000-1E00-000005000000}">
      <formula1>"Carrier 100, Carrier 200, Rotary"</formula1>
    </dataValidation>
    <dataValidation type="list" allowBlank="1" showInputMessage="1" showErrorMessage="1" sqref="B26 M26 T26 AD26 AO26 AV26" xr:uid="{00000000-0002-0000-1E00-000006000000}">
      <formula1>"SP1, SP2, SP3, OWP SP"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C148"/>
  <sheetViews>
    <sheetView workbookViewId="0">
      <selection sqref="A1:XFD1048576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/>
      <c r="C4" s="5"/>
      <c r="D4" s="6" t="s">
        <v>6</v>
      </c>
      <c r="E4" s="380"/>
      <c r="F4" s="381"/>
      <c r="G4" s="312"/>
      <c r="H4" s="312"/>
      <c r="I4" s="8"/>
      <c r="J4" s="9"/>
      <c r="K4" s="10"/>
      <c r="L4" s="6" t="s">
        <v>5</v>
      </c>
      <c r="M4" s="4">
        <f>B4</f>
        <v>0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0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0</v>
      </c>
      <c r="AE4" s="5"/>
      <c r="AF4" s="6" t="s">
        <v>6</v>
      </c>
      <c r="AG4" s="380"/>
      <c r="AH4" s="381"/>
      <c r="AI4" s="312"/>
      <c r="AJ4" s="312"/>
      <c r="AK4" s="8"/>
      <c r="AL4" s="9"/>
      <c r="AM4" s="10"/>
      <c r="AN4" s="6" t="s">
        <v>5</v>
      </c>
      <c r="AO4" s="4">
        <f>B4</f>
        <v>0</v>
      </c>
      <c r="AP4" s="5"/>
      <c r="AQ4" s="370" t="s">
        <v>6</v>
      </c>
      <c r="AR4" s="371"/>
      <c r="AS4" s="11"/>
      <c r="AT4" s="12"/>
      <c r="AU4" s="6" t="s">
        <v>5</v>
      </c>
      <c r="AV4" s="4">
        <f>B4</f>
        <v>0</v>
      </c>
      <c r="AW4" s="5"/>
      <c r="AX4" s="6" t="s">
        <v>6</v>
      </c>
      <c r="AY4" s="382"/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/>
      <c r="F5" s="20" t="s">
        <v>10</v>
      </c>
      <c r="G5" s="21">
        <f>SUM((B5+E5)/12, 0)</f>
        <v>0</v>
      </c>
      <c r="H5" s="22"/>
      <c r="I5" s="23"/>
      <c r="J5" s="24"/>
      <c r="K5" s="25"/>
      <c r="L5" s="26" t="s">
        <v>11</v>
      </c>
      <c r="M5" s="27"/>
      <c r="N5" s="5"/>
      <c r="O5" s="28" t="s">
        <v>12</v>
      </c>
      <c r="P5" s="298">
        <f>SUM(M5/12)</f>
        <v>0</v>
      </c>
      <c r="Q5" s="317"/>
      <c r="R5" s="29"/>
      <c r="S5" s="20" t="s">
        <v>13</v>
      </c>
      <c r="T5" s="17"/>
      <c r="U5" s="5"/>
      <c r="V5" s="18" t="s">
        <v>14</v>
      </c>
      <c r="W5" s="19"/>
      <c r="X5" s="18" t="s">
        <v>10</v>
      </c>
      <c r="Y5" s="30">
        <f>SUM(T5+W5)/12</f>
        <v>0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/>
      <c r="AH5" s="20" t="s">
        <v>10</v>
      </c>
      <c r="AI5" s="21">
        <f>SUM(AD5+AG5)/12</f>
        <v>0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/>
      <c r="AW5" s="5"/>
      <c r="AX5" s="18" t="s">
        <v>14</v>
      </c>
      <c r="AY5" s="19"/>
      <c r="AZ5" s="18" t="s">
        <v>10</v>
      </c>
      <c r="BA5" s="30">
        <f>(AV5+AY5)/12</f>
        <v>0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/>
      <c r="M8" s="68"/>
      <c r="N8" s="64">
        <f>L8*(1-M10)</f>
        <v>0</v>
      </c>
      <c r="O8" s="69"/>
      <c r="P8" s="296"/>
      <c r="Q8" s="60">
        <f>IFERROR((O8+P8)/L8,0)</f>
        <v>0</v>
      </c>
      <c r="R8" s="70"/>
      <c r="S8" s="71"/>
      <c r="T8" s="72"/>
      <c r="U8" s="62">
        <f>S8*(1-T10)</f>
        <v>0</v>
      </c>
      <c r="V8" s="60">
        <f>IFERROR(T8/S8,0)</f>
        <v>0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/>
      <c r="AO8" s="68"/>
      <c r="AP8" s="64">
        <f>AN8*(1-AO10)</f>
        <v>0</v>
      </c>
      <c r="AQ8" s="69"/>
      <c r="AR8" s="296"/>
      <c r="AS8" s="60" t="e">
        <f>SUM((AQ8+AR8)/AP8,0)</f>
        <v>#DIV/0!</v>
      </c>
      <c r="AT8" s="70"/>
      <c r="AU8" s="71"/>
      <c r="AV8" s="72"/>
      <c r="AW8" s="62">
        <f>AU8*(1-AV10)</f>
        <v>0</v>
      </c>
      <c r="AX8" s="60">
        <f>IFERROR(AV8/AU8,0)</f>
        <v>0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0</v>
      </c>
      <c r="M9" s="86">
        <f>IFERROR(M8/M5,0)</f>
        <v>0</v>
      </c>
      <c r="N9" s="86">
        <f>IFERROR(N8/M5,0)</f>
        <v>0</v>
      </c>
      <c r="O9" s="86">
        <f>IFERROR(O8/M5,0)</f>
        <v>0</v>
      </c>
      <c r="P9" s="297" t="e">
        <f>SUM(P8/M5,0)</f>
        <v>#DIV/0!</v>
      </c>
      <c r="Q9" s="87">
        <f>IFERROR(Q8/M5,0)</f>
        <v>0</v>
      </c>
      <c r="R9" s="88"/>
      <c r="S9" s="89">
        <f>IFERROR(S8/T5,0)</f>
        <v>0</v>
      </c>
      <c r="T9" s="90">
        <f>IFERROR(SUM(T8/T5),0)</f>
        <v>0</v>
      </c>
      <c r="U9" s="91">
        <f>IFERROR(U8/T5,0)</f>
        <v>0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0</v>
      </c>
      <c r="AO9" s="86">
        <f>IFERROR(AO8/AO5,0)</f>
        <v>0</v>
      </c>
      <c r="AP9" s="86">
        <f>IFERROR(AP8/AO5,0)</f>
        <v>0</v>
      </c>
      <c r="AQ9" s="86">
        <f>IFERROR(AQ8/AO5,0)</f>
        <v>0</v>
      </c>
      <c r="AR9" s="297">
        <f>SUM(AR8/AO5,0)</f>
        <v>0</v>
      </c>
      <c r="AS9" s="87">
        <f>IFERROR(AS8/AO5,0)</f>
        <v>0</v>
      </c>
      <c r="AT9" s="88"/>
      <c r="AU9" s="89">
        <f>IFERROR(AU8/AV5,0)</f>
        <v>0</v>
      </c>
      <c r="AV9" s="90">
        <f>IFERROR(SUM(AV8/AV5),0)</f>
        <v>0</v>
      </c>
      <c r="AW9" s="91">
        <f>IFERROR(AW8/AV5,0)</f>
        <v>0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0</v>
      </c>
      <c r="C10" s="99"/>
      <c r="D10" s="100"/>
      <c r="E10" s="101" t="s">
        <v>39</v>
      </c>
      <c r="F10" s="102">
        <f>J23</f>
        <v>0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0</v>
      </c>
      <c r="U10" s="112"/>
      <c r="V10" s="100"/>
      <c r="W10" s="101" t="s">
        <v>39</v>
      </c>
      <c r="X10" s="113">
        <f>AA23</f>
        <v>0</v>
      </c>
      <c r="Y10" s="5"/>
      <c r="Z10" s="5"/>
      <c r="AA10" s="114"/>
      <c r="AB10" s="15"/>
      <c r="AC10" s="97" t="s">
        <v>39</v>
      </c>
      <c r="AD10" s="98">
        <f>AL23</f>
        <v>0</v>
      </c>
      <c r="AE10" s="99"/>
      <c r="AF10" s="100"/>
      <c r="AG10" s="101" t="s">
        <v>39</v>
      </c>
      <c r="AH10" s="102">
        <f>AL23</f>
        <v>0</v>
      </c>
      <c r="AI10" s="103"/>
      <c r="AJ10" s="99"/>
      <c r="AK10" s="104"/>
      <c r="AL10" s="105"/>
      <c r="AM10" s="106"/>
      <c r="AN10" s="107" t="s">
        <v>39</v>
      </c>
      <c r="AO10" s="108">
        <f>AR23</f>
        <v>0</v>
      </c>
      <c r="AP10" s="109"/>
      <c r="AQ10" s="109"/>
      <c r="AR10" s="109"/>
      <c r="AS10" s="110"/>
      <c r="AT10" s="111"/>
      <c r="AU10" s="107" t="s">
        <v>39</v>
      </c>
      <c r="AV10" s="108">
        <f>BC23</f>
        <v>0</v>
      </c>
      <c r="AW10" s="112"/>
      <c r="AX10" s="100"/>
      <c r="AY10" s="101" t="s">
        <v>39</v>
      </c>
      <c r="AZ10" s="113">
        <f>BC23</f>
        <v>0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/>
      <c r="F15" s="157"/>
      <c r="G15" s="158"/>
      <c r="H15" s="158"/>
      <c r="I15" s="159"/>
      <c r="J15" s="160"/>
      <c r="K15" s="161"/>
      <c r="L15" s="162"/>
      <c r="M15" s="163"/>
      <c r="N15" s="164"/>
      <c r="O15" s="299"/>
      <c r="P15" s="446"/>
      <c r="Q15" s="447"/>
      <c r="R15" s="161"/>
      <c r="S15" s="166"/>
      <c r="T15" s="163"/>
      <c r="U15" s="167"/>
      <c r="V15" s="168"/>
      <c r="W15" s="169"/>
      <c r="X15" s="170"/>
      <c r="Y15" s="170"/>
      <c r="Z15" s="171"/>
      <c r="AA15" s="172"/>
      <c r="AB15" s="173"/>
      <c r="AC15" s="152"/>
      <c r="AD15" s="153"/>
      <c r="AE15" s="154"/>
      <c r="AF15" s="155"/>
      <c r="AG15" s="156"/>
      <c r="AH15" s="157"/>
      <c r="AI15" s="158"/>
      <c r="AJ15" s="158"/>
      <c r="AK15" s="159"/>
      <c r="AL15" s="160"/>
      <c r="AM15" s="161"/>
      <c r="AN15" s="162"/>
      <c r="AO15" s="163"/>
      <c r="AP15" s="164"/>
      <c r="AQ15" s="165"/>
      <c r="AR15" s="356"/>
      <c r="AS15" s="357"/>
      <c r="AT15" s="161"/>
      <c r="AU15" s="166"/>
      <c r="AV15" s="163"/>
      <c r="AW15" s="167"/>
      <c r="AX15" s="168"/>
      <c r="AY15" s="169"/>
      <c r="AZ15" s="170"/>
      <c r="BA15" s="170"/>
      <c r="BB15" s="171"/>
      <c r="BC15" s="172"/>
    </row>
    <row r="16" spans="1:55" x14ac:dyDescent="0.3">
      <c r="A16" s="152"/>
      <c r="B16" s="174"/>
      <c r="C16" s="175"/>
      <c r="D16" s="176"/>
      <c r="E16" s="177"/>
      <c r="F16" s="178"/>
      <c r="G16" s="179"/>
      <c r="H16" s="179"/>
      <c r="I16" s="180"/>
      <c r="J16" s="160"/>
      <c r="K16" s="161"/>
      <c r="L16" s="181"/>
      <c r="M16" s="170"/>
      <c r="N16" s="302"/>
      <c r="O16" s="300"/>
      <c r="P16" s="440"/>
      <c r="Q16" s="357"/>
      <c r="R16" s="161"/>
      <c r="S16" s="169"/>
      <c r="T16" s="170"/>
      <c r="U16" s="169"/>
      <c r="V16" s="171"/>
      <c r="W16" s="169"/>
      <c r="X16" s="170"/>
      <c r="Y16" s="170"/>
      <c r="Z16" s="171"/>
      <c r="AA16" s="184"/>
      <c r="AB16" s="173"/>
      <c r="AC16" s="185"/>
      <c r="AD16" s="174"/>
      <c r="AE16" s="175"/>
      <c r="AF16" s="176"/>
      <c r="AG16" s="177"/>
      <c r="AH16" s="178"/>
      <c r="AI16" s="179"/>
      <c r="AJ16" s="179"/>
      <c r="AK16" s="180"/>
      <c r="AL16" s="160"/>
      <c r="AM16" s="161"/>
      <c r="AN16" s="181"/>
      <c r="AO16" s="170"/>
      <c r="AP16" s="302"/>
      <c r="AQ16" s="183"/>
      <c r="AR16" s="356"/>
      <c r="AS16" s="357"/>
      <c r="AT16" s="161"/>
      <c r="AU16" s="169"/>
      <c r="AV16" s="170"/>
      <c r="AW16" s="169"/>
      <c r="AX16" s="171"/>
      <c r="AY16" s="169"/>
      <c r="AZ16" s="170"/>
      <c r="BA16" s="170"/>
      <c r="BB16" s="171"/>
      <c r="BC16" s="184"/>
    </row>
    <row r="17" spans="1:55" x14ac:dyDescent="0.3">
      <c r="A17" s="152"/>
      <c r="B17" s="174"/>
      <c r="C17" s="175"/>
      <c r="D17" s="176"/>
      <c r="E17" s="177"/>
      <c r="F17" s="178"/>
      <c r="G17" s="179"/>
      <c r="H17" s="179"/>
      <c r="I17" s="180"/>
      <c r="J17" s="160"/>
      <c r="K17" s="161"/>
      <c r="L17" s="181"/>
      <c r="M17" s="170"/>
      <c r="N17" s="302"/>
      <c r="O17" s="300"/>
      <c r="P17" s="440"/>
      <c r="Q17" s="357"/>
      <c r="R17" s="161"/>
      <c r="S17" s="169"/>
      <c r="T17" s="170"/>
      <c r="U17" s="169"/>
      <c r="V17" s="171"/>
      <c r="W17" s="169"/>
      <c r="X17" s="170"/>
      <c r="Y17" s="170"/>
      <c r="Z17" s="171"/>
      <c r="AA17" s="184"/>
      <c r="AB17" s="173"/>
      <c r="AC17" s="185"/>
      <c r="AD17" s="174"/>
      <c r="AE17" s="175"/>
      <c r="AF17" s="176"/>
      <c r="AG17" s="177"/>
      <c r="AH17" s="178"/>
      <c r="AI17" s="179"/>
      <c r="AJ17" s="179"/>
      <c r="AK17" s="180"/>
      <c r="AL17" s="160"/>
      <c r="AM17" s="161"/>
      <c r="AN17" s="181"/>
      <c r="AO17" s="170"/>
      <c r="AP17" s="302"/>
      <c r="AQ17" s="183"/>
      <c r="AR17" s="356"/>
      <c r="AS17" s="357"/>
      <c r="AT17" s="161"/>
      <c r="AU17" s="169"/>
      <c r="AV17" s="170"/>
      <c r="AW17" s="169"/>
      <c r="AX17" s="171"/>
      <c r="AY17" s="169"/>
      <c r="AZ17" s="170"/>
      <c r="BA17" s="170"/>
      <c r="BB17" s="171"/>
      <c r="BC17" s="184"/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/>
      <c r="AH18" s="178"/>
      <c r="AI18" s="179"/>
      <c r="AJ18" s="179"/>
      <c r="AK18" s="180"/>
      <c r="AL18" s="160"/>
      <c r="AM18" s="161"/>
      <c r="AN18" s="181"/>
      <c r="AO18" s="170"/>
      <c r="AP18" s="302"/>
      <c r="AQ18" s="183"/>
      <c r="AR18" s="356"/>
      <c r="AS18" s="357"/>
      <c r="AT18" s="161"/>
      <c r="AU18" s="169"/>
      <c r="AV18" s="170"/>
      <c r="AW18" s="169"/>
      <c r="AX18" s="171"/>
      <c r="AY18" s="169"/>
      <c r="AZ18" s="170"/>
      <c r="BA18" s="170"/>
      <c r="BB18" s="171"/>
      <c r="BC18" s="184"/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</v>
      </c>
      <c r="F23" s="198">
        <f t="shared" si="0"/>
        <v>0</v>
      </c>
      <c r="G23" s="198">
        <f t="shared" si="0"/>
        <v>0</v>
      </c>
      <c r="H23" s="198">
        <f t="shared" si="0"/>
        <v>0</v>
      </c>
      <c r="I23" s="198">
        <f t="shared" si="0"/>
        <v>0</v>
      </c>
      <c r="J23" s="198">
        <f t="shared" si="0"/>
        <v>0</v>
      </c>
      <c r="K23" s="161"/>
      <c r="L23" s="199">
        <f>IFERROR(AVERAGE(L15:L22),0)</f>
        <v>0</v>
      </c>
      <c r="M23" s="198">
        <f>IFERROR(AVERAGE(M15:M22),0)</f>
        <v>0</v>
      </c>
      <c r="N23" s="200">
        <f>IFERROR(AVERAGE(N15:N22),0)</f>
        <v>0</v>
      </c>
      <c r="O23" s="201">
        <f>IFERROR(AVERAGE(O15:O22),0)</f>
        <v>0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</v>
      </c>
      <c r="T23" s="198">
        <f t="shared" si="1"/>
        <v>0</v>
      </c>
      <c r="U23" s="198">
        <f t="shared" si="1"/>
        <v>0</v>
      </c>
      <c r="V23" s="198">
        <f t="shared" si="1"/>
        <v>0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0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</v>
      </c>
      <c r="AH23" s="198">
        <f t="shared" si="2"/>
        <v>0</v>
      </c>
      <c r="AI23" s="198">
        <f t="shared" si="2"/>
        <v>0</v>
      </c>
      <c r="AJ23" s="198">
        <f t="shared" si="2"/>
        <v>0</v>
      </c>
      <c r="AK23" s="198">
        <f t="shared" si="2"/>
        <v>0</v>
      </c>
      <c r="AL23" s="198">
        <f t="shared" si="2"/>
        <v>0</v>
      </c>
      <c r="AM23" s="161"/>
      <c r="AN23" s="199">
        <f>IFERROR(AVERAGE(AN15:AN22),0)</f>
        <v>0</v>
      </c>
      <c r="AO23" s="198">
        <f>IFERROR(AVERAGE(AO15:AO22),0)</f>
        <v>0</v>
      </c>
      <c r="AP23" s="200">
        <f>IFERROR(AVERAGE(AP15:AP22),0)</f>
        <v>0</v>
      </c>
      <c r="AQ23" s="201">
        <f>IFERROR(AVERAGE(AQ15:AQ22),0)</f>
        <v>0</v>
      </c>
      <c r="AR23" s="396">
        <f>IFERROR(AVERAGE(AR15:AS22),0)</f>
        <v>0</v>
      </c>
      <c r="AS23" s="397"/>
      <c r="AT23" s="202"/>
      <c r="AU23" s="199">
        <f t="shared" ref="AU23:BC23" si="3">IFERROR(AVERAGE(AU15:AU22),0)</f>
        <v>0</v>
      </c>
      <c r="AV23" s="198">
        <f t="shared" si="3"/>
        <v>0</v>
      </c>
      <c r="AW23" s="198">
        <f t="shared" si="3"/>
        <v>0</v>
      </c>
      <c r="AX23" s="198">
        <f t="shared" si="3"/>
        <v>0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0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0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0</v>
      </c>
      <c r="D43" s="267"/>
      <c r="E43" s="276" t="s">
        <v>84</v>
      </c>
      <c r="F43" s="273">
        <f>AG9+AQ9+AV9</f>
        <v>0</v>
      </c>
      <c r="K43" s="266"/>
      <c r="R43" s="266"/>
    </row>
    <row r="44" spans="1:55" ht="16.2" thickBot="1" x14ac:dyDescent="0.35">
      <c r="A44" s="274" t="s">
        <v>3</v>
      </c>
      <c r="B44" s="275">
        <f>L8+AN8</f>
        <v>0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0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0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0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0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0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1F00-000000000000}">
      <formula1>$A$137:$A$148</formula1>
    </dataValidation>
    <dataValidation type="list" allowBlank="1" showInputMessage="1" showErrorMessage="1" sqref="AX11 BB11:BC11 V11 Z11:AA11" xr:uid="{00000000-0002-0000-1F00-000001000000}">
      <formula1>"Silo 6, Silo 7, Silo 8, Silo 9"</formula1>
    </dataValidation>
    <dataValidation type="list" allowBlank="1" showInputMessage="1" showErrorMessage="1" sqref="AD11 AO11 AZ11 AV11 B11 M11 X11 T11" xr:uid="{00000000-0002-0000-1F00-000002000000}">
      <formula1>"100#, 40/70"</formula1>
    </dataValidation>
    <dataValidation type="list" allowBlank="1" showInputMessage="1" showErrorMessage="1" sqref="AJ11:AM11 AQ11:AT11 H11:K11 O11:R11" xr:uid="{00000000-0002-0000-1F00-000003000000}">
      <formula1>"Silo 1, Silo 2, Silo 6, Silo 7"</formula1>
    </dataValidation>
    <dataValidation type="list" allowBlank="1" showInputMessage="1" showErrorMessage="1" sqref="AV25 AD25 AO25 T25 B25 M25" xr:uid="{00000000-0002-0000-1F00-000004000000}">
      <formula1>"1, 2, 3, 4, 5, 6, 7, 8, 9, 10, 11, 12, 13, 14, 15, 16"</formula1>
    </dataValidation>
    <dataValidation type="list" allowBlank="1" showInputMessage="1" showErrorMessage="1" sqref="C29:C31 AE29:AE31" xr:uid="{00000000-0002-0000-1F00-000005000000}">
      <formula1>"Carrier 100, Carrier 200, Rotary"</formula1>
    </dataValidation>
    <dataValidation type="list" allowBlank="1" showInputMessage="1" showErrorMessage="1" sqref="B26 M26 T26 AD26 AO26 AV26" xr:uid="{00000000-0002-0000-1F00-000006000000}">
      <formula1>"SP1, SP2, SP3, OWP SP"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C148"/>
  <sheetViews>
    <sheetView workbookViewId="0">
      <selection sqref="A1:XFD1048576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/>
      <c r="C4" s="5"/>
      <c r="D4" s="6" t="s">
        <v>6</v>
      </c>
      <c r="E4" s="380"/>
      <c r="F4" s="381"/>
      <c r="G4" s="312"/>
      <c r="H4" s="312"/>
      <c r="I4" s="8"/>
      <c r="J4" s="9"/>
      <c r="K4" s="10"/>
      <c r="L4" s="6" t="s">
        <v>5</v>
      </c>
      <c r="M4" s="4">
        <f>B4</f>
        <v>0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0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0</v>
      </c>
      <c r="AE4" s="5"/>
      <c r="AF4" s="6" t="s">
        <v>6</v>
      </c>
      <c r="AG4" s="380"/>
      <c r="AH4" s="381"/>
      <c r="AI4" s="312"/>
      <c r="AJ4" s="312"/>
      <c r="AK4" s="8"/>
      <c r="AL4" s="9"/>
      <c r="AM4" s="10"/>
      <c r="AN4" s="6" t="s">
        <v>5</v>
      </c>
      <c r="AO4" s="4">
        <f>B4</f>
        <v>0</v>
      </c>
      <c r="AP4" s="5"/>
      <c r="AQ4" s="370" t="s">
        <v>6</v>
      </c>
      <c r="AR4" s="371"/>
      <c r="AS4" s="11"/>
      <c r="AT4" s="12"/>
      <c r="AU4" s="6" t="s">
        <v>5</v>
      </c>
      <c r="AV4" s="4">
        <f>B4</f>
        <v>0</v>
      </c>
      <c r="AW4" s="5"/>
      <c r="AX4" s="6" t="s">
        <v>6</v>
      </c>
      <c r="AY4" s="382"/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/>
      <c r="F5" s="20" t="s">
        <v>10</v>
      </c>
      <c r="G5" s="21">
        <f>SUM((B5+E5)/12, 0)</f>
        <v>0</v>
      </c>
      <c r="H5" s="22"/>
      <c r="I5" s="23"/>
      <c r="J5" s="24"/>
      <c r="K5" s="25"/>
      <c r="L5" s="26" t="s">
        <v>11</v>
      </c>
      <c r="M5" s="27"/>
      <c r="N5" s="5"/>
      <c r="O5" s="28" t="s">
        <v>12</v>
      </c>
      <c r="P5" s="298">
        <f>SUM(M5/12)</f>
        <v>0</v>
      </c>
      <c r="Q5" s="317"/>
      <c r="R5" s="29"/>
      <c r="S5" s="20" t="s">
        <v>13</v>
      </c>
      <c r="T5" s="17"/>
      <c r="U5" s="5"/>
      <c r="V5" s="18" t="s">
        <v>14</v>
      </c>
      <c r="W5" s="19"/>
      <c r="X5" s="18" t="s">
        <v>10</v>
      </c>
      <c r="Y5" s="30">
        <f>SUM(T5+W5)/12</f>
        <v>0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/>
      <c r="AH5" s="20" t="s">
        <v>10</v>
      </c>
      <c r="AI5" s="21">
        <f>SUM(AD5+AG5)/12</f>
        <v>0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/>
      <c r="AW5" s="5"/>
      <c r="AX5" s="18" t="s">
        <v>14</v>
      </c>
      <c r="AY5" s="19"/>
      <c r="AZ5" s="18" t="s">
        <v>10</v>
      </c>
      <c r="BA5" s="30">
        <f>(AV5+AY5)/12</f>
        <v>0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/>
      <c r="M8" s="68"/>
      <c r="N8" s="64">
        <f>L8*(1-M10)</f>
        <v>0</v>
      </c>
      <c r="O8" s="69"/>
      <c r="P8" s="296"/>
      <c r="Q8" s="60">
        <f>IFERROR((O8+P8)/L8,0)</f>
        <v>0</v>
      </c>
      <c r="R8" s="70"/>
      <c r="S8" s="71"/>
      <c r="T8" s="72"/>
      <c r="U8" s="62">
        <f>S8*(1-T10)</f>
        <v>0</v>
      </c>
      <c r="V8" s="60">
        <f>IFERROR(T8/S8,0)</f>
        <v>0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/>
      <c r="AO8" s="68"/>
      <c r="AP8" s="64">
        <f>AN8*(1-AO10)</f>
        <v>0</v>
      </c>
      <c r="AQ8" s="69"/>
      <c r="AR8" s="296"/>
      <c r="AS8" s="60" t="e">
        <f>SUM((AQ8+AR8)/AP8,0)</f>
        <v>#DIV/0!</v>
      </c>
      <c r="AT8" s="70"/>
      <c r="AU8" s="71"/>
      <c r="AV8" s="72"/>
      <c r="AW8" s="62">
        <f>AU8*(1-AV10)</f>
        <v>0</v>
      </c>
      <c r="AX8" s="60">
        <f>IFERROR(AV8/AU8,0)</f>
        <v>0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0</v>
      </c>
      <c r="M9" s="86">
        <f>IFERROR(M8/M5,0)</f>
        <v>0</v>
      </c>
      <c r="N9" s="86">
        <f>IFERROR(N8/M5,0)</f>
        <v>0</v>
      </c>
      <c r="O9" s="86">
        <f>IFERROR(O8/M5,0)</f>
        <v>0</v>
      </c>
      <c r="P9" s="297" t="e">
        <f>SUM(P8/M5,0)</f>
        <v>#DIV/0!</v>
      </c>
      <c r="Q9" s="87">
        <f>IFERROR(Q8/M5,0)</f>
        <v>0</v>
      </c>
      <c r="R9" s="88"/>
      <c r="S9" s="89">
        <f>IFERROR(S8/T5,0)</f>
        <v>0</v>
      </c>
      <c r="T9" s="90">
        <f>IFERROR(SUM(T8/T5),0)</f>
        <v>0</v>
      </c>
      <c r="U9" s="91">
        <f>IFERROR(U8/T5,0)</f>
        <v>0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0</v>
      </c>
      <c r="AO9" s="86">
        <f>IFERROR(AO8/AO5,0)</f>
        <v>0</v>
      </c>
      <c r="AP9" s="86">
        <f>IFERROR(AP8/AO5,0)</f>
        <v>0</v>
      </c>
      <c r="AQ9" s="86">
        <f>IFERROR(AQ8/AO5,0)</f>
        <v>0</v>
      </c>
      <c r="AR9" s="297">
        <f>SUM(AR8/AO5,0)</f>
        <v>0</v>
      </c>
      <c r="AS9" s="87">
        <f>IFERROR(AS8/AO5,0)</f>
        <v>0</v>
      </c>
      <c r="AT9" s="88"/>
      <c r="AU9" s="89">
        <f>IFERROR(AU8/AV5,0)</f>
        <v>0</v>
      </c>
      <c r="AV9" s="90">
        <f>IFERROR(SUM(AV8/AV5),0)</f>
        <v>0</v>
      </c>
      <c r="AW9" s="91">
        <f>IFERROR(AW8/AV5,0)</f>
        <v>0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0</v>
      </c>
      <c r="C10" s="99"/>
      <c r="D10" s="100"/>
      <c r="E10" s="101" t="s">
        <v>39</v>
      </c>
      <c r="F10" s="102">
        <f>J23</f>
        <v>0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0</v>
      </c>
      <c r="U10" s="112"/>
      <c r="V10" s="100"/>
      <c r="W10" s="101" t="s">
        <v>39</v>
      </c>
      <c r="X10" s="113">
        <f>AA23</f>
        <v>0</v>
      </c>
      <c r="Y10" s="5"/>
      <c r="Z10" s="5"/>
      <c r="AA10" s="114"/>
      <c r="AB10" s="15"/>
      <c r="AC10" s="97" t="s">
        <v>39</v>
      </c>
      <c r="AD10" s="98">
        <f>AL23</f>
        <v>0</v>
      </c>
      <c r="AE10" s="99"/>
      <c r="AF10" s="100"/>
      <c r="AG10" s="101" t="s">
        <v>39</v>
      </c>
      <c r="AH10" s="102">
        <f>AL23</f>
        <v>0</v>
      </c>
      <c r="AI10" s="103"/>
      <c r="AJ10" s="99"/>
      <c r="AK10" s="104"/>
      <c r="AL10" s="105"/>
      <c r="AM10" s="106"/>
      <c r="AN10" s="107" t="s">
        <v>39</v>
      </c>
      <c r="AO10" s="108">
        <f>AR23</f>
        <v>0</v>
      </c>
      <c r="AP10" s="109"/>
      <c r="AQ10" s="109"/>
      <c r="AR10" s="109"/>
      <c r="AS10" s="110"/>
      <c r="AT10" s="111"/>
      <c r="AU10" s="107" t="s">
        <v>39</v>
      </c>
      <c r="AV10" s="108">
        <f>BC23</f>
        <v>0</v>
      </c>
      <c r="AW10" s="112"/>
      <c r="AX10" s="100"/>
      <c r="AY10" s="101" t="s">
        <v>39</v>
      </c>
      <c r="AZ10" s="113">
        <f>BC23</f>
        <v>0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/>
      <c r="F15" s="157"/>
      <c r="G15" s="158"/>
      <c r="H15" s="158"/>
      <c r="I15" s="159"/>
      <c r="J15" s="160"/>
      <c r="K15" s="161"/>
      <c r="L15" s="162"/>
      <c r="M15" s="163"/>
      <c r="N15" s="164"/>
      <c r="O15" s="299"/>
      <c r="P15" s="446"/>
      <c r="Q15" s="447"/>
      <c r="R15" s="161"/>
      <c r="S15" s="166"/>
      <c r="T15" s="163"/>
      <c r="U15" s="167"/>
      <c r="V15" s="168"/>
      <c r="W15" s="169"/>
      <c r="X15" s="170"/>
      <c r="Y15" s="170"/>
      <c r="Z15" s="171"/>
      <c r="AA15" s="172"/>
      <c r="AB15" s="173"/>
      <c r="AC15" s="152"/>
      <c r="AD15" s="153"/>
      <c r="AE15" s="154"/>
      <c r="AF15" s="155"/>
      <c r="AG15" s="156"/>
      <c r="AH15" s="157"/>
      <c r="AI15" s="158"/>
      <c r="AJ15" s="158"/>
      <c r="AK15" s="159"/>
      <c r="AL15" s="160"/>
      <c r="AM15" s="161"/>
      <c r="AN15" s="162"/>
      <c r="AO15" s="163"/>
      <c r="AP15" s="164"/>
      <c r="AQ15" s="165"/>
      <c r="AR15" s="356"/>
      <c r="AS15" s="357"/>
      <c r="AT15" s="161"/>
      <c r="AU15" s="166"/>
      <c r="AV15" s="163"/>
      <c r="AW15" s="167"/>
      <c r="AX15" s="168"/>
      <c r="AY15" s="169"/>
      <c r="AZ15" s="170"/>
      <c r="BA15" s="170"/>
      <c r="BB15" s="171"/>
      <c r="BC15" s="172"/>
    </row>
    <row r="16" spans="1:55" x14ac:dyDescent="0.3">
      <c r="A16" s="152"/>
      <c r="B16" s="174"/>
      <c r="C16" s="175"/>
      <c r="D16" s="176"/>
      <c r="E16" s="177"/>
      <c r="F16" s="178"/>
      <c r="G16" s="179"/>
      <c r="H16" s="179"/>
      <c r="I16" s="180"/>
      <c r="J16" s="160"/>
      <c r="K16" s="161"/>
      <c r="L16" s="181"/>
      <c r="M16" s="170"/>
      <c r="N16" s="302"/>
      <c r="O16" s="300"/>
      <c r="P16" s="440"/>
      <c r="Q16" s="357"/>
      <c r="R16" s="161"/>
      <c r="S16" s="169"/>
      <c r="T16" s="170"/>
      <c r="U16" s="169"/>
      <c r="V16" s="171"/>
      <c r="W16" s="169"/>
      <c r="X16" s="170"/>
      <c r="Y16" s="170"/>
      <c r="Z16" s="171"/>
      <c r="AA16" s="184"/>
      <c r="AB16" s="173"/>
      <c r="AC16" s="185"/>
      <c r="AD16" s="174"/>
      <c r="AE16" s="175"/>
      <c r="AF16" s="176"/>
      <c r="AG16" s="177"/>
      <c r="AH16" s="178"/>
      <c r="AI16" s="179"/>
      <c r="AJ16" s="179"/>
      <c r="AK16" s="180"/>
      <c r="AL16" s="160"/>
      <c r="AM16" s="161"/>
      <c r="AN16" s="181"/>
      <c r="AO16" s="170"/>
      <c r="AP16" s="302"/>
      <c r="AQ16" s="183"/>
      <c r="AR16" s="356"/>
      <c r="AS16" s="357"/>
      <c r="AT16" s="161"/>
      <c r="AU16" s="169"/>
      <c r="AV16" s="170"/>
      <c r="AW16" s="169"/>
      <c r="AX16" s="171"/>
      <c r="AY16" s="169"/>
      <c r="AZ16" s="170"/>
      <c r="BA16" s="170"/>
      <c r="BB16" s="171"/>
      <c r="BC16" s="184"/>
    </row>
    <row r="17" spans="1:55" x14ac:dyDescent="0.3">
      <c r="A17" s="152"/>
      <c r="B17" s="174"/>
      <c r="C17" s="175"/>
      <c r="D17" s="176"/>
      <c r="E17" s="177"/>
      <c r="F17" s="178"/>
      <c r="G17" s="179"/>
      <c r="H17" s="179"/>
      <c r="I17" s="180"/>
      <c r="J17" s="160"/>
      <c r="K17" s="161"/>
      <c r="L17" s="181"/>
      <c r="M17" s="170"/>
      <c r="N17" s="302"/>
      <c r="O17" s="300"/>
      <c r="P17" s="440"/>
      <c r="Q17" s="357"/>
      <c r="R17" s="161"/>
      <c r="S17" s="169"/>
      <c r="T17" s="170"/>
      <c r="U17" s="169"/>
      <c r="V17" s="171"/>
      <c r="W17" s="169"/>
      <c r="X17" s="170"/>
      <c r="Y17" s="170"/>
      <c r="Z17" s="171"/>
      <c r="AA17" s="184"/>
      <c r="AB17" s="173"/>
      <c r="AC17" s="185"/>
      <c r="AD17" s="174"/>
      <c r="AE17" s="175"/>
      <c r="AF17" s="176"/>
      <c r="AG17" s="177"/>
      <c r="AH17" s="178"/>
      <c r="AI17" s="179"/>
      <c r="AJ17" s="179"/>
      <c r="AK17" s="180"/>
      <c r="AL17" s="160"/>
      <c r="AM17" s="161"/>
      <c r="AN17" s="181"/>
      <c r="AO17" s="170"/>
      <c r="AP17" s="302"/>
      <c r="AQ17" s="183"/>
      <c r="AR17" s="356"/>
      <c r="AS17" s="357"/>
      <c r="AT17" s="161"/>
      <c r="AU17" s="169"/>
      <c r="AV17" s="170"/>
      <c r="AW17" s="169"/>
      <c r="AX17" s="171"/>
      <c r="AY17" s="169"/>
      <c r="AZ17" s="170"/>
      <c r="BA17" s="170"/>
      <c r="BB17" s="171"/>
      <c r="BC17" s="184"/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/>
      <c r="AH18" s="178"/>
      <c r="AI18" s="179"/>
      <c r="AJ18" s="179"/>
      <c r="AK18" s="180"/>
      <c r="AL18" s="160"/>
      <c r="AM18" s="161"/>
      <c r="AN18" s="181"/>
      <c r="AO18" s="170"/>
      <c r="AP18" s="302"/>
      <c r="AQ18" s="183"/>
      <c r="AR18" s="356"/>
      <c r="AS18" s="357"/>
      <c r="AT18" s="161"/>
      <c r="AU18" s="169"/>
      <c r="AV18" s="170"/>
      <c r="AW18" s="169"/>
      <c r="AX18" s="171"/>
      <c r="AY18" s="169"/>
      <c r="AZ18" s="170"/>
      <c r="BA18" s="170"/>
      <c r="BB18" s="171"/>
      <c r="BC18" s="184"/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</v>
      </c>
      <c r="F23" s="198">
        <f t="shared" si="0"/>
        <v>0</v>
      </c>
      <c r="G23" s="198">
        <f t="shared" si="0"/>
        <v>0</v>
      </c>
      <c r="H23" s="198">
        <f t="shared" si="0"/>
        <v>0</v>
      </c>
      <c r="I23" s="198">
        <f t="shared" si="0"/>
        <v>0</v>
      </c>
      <c r="J23" s="198">
        <f t="shared" si="0"/>
        <v>0</v>
      </c>
      <c r="K23" s="161"/>
      <c r="L23" s="199">
        <f>IFERROR(AVERAGE(L15:L22),0)</f>
        <v>0</v>
      </c>
      <c r="M23" s="198">
        <f>IFERROR(AVERAGE(M15:M22),0)</f>
        <v>0</v>
      </c>
      <c r="N23" s="200">
        <f>IFERROR(AVERAGE(N15:N22),0)</f>
        <v>0</v>
      </c>
      <c r="O23" s="201">
        <f>IFERROR(AVERAGE(O15:O22),0)</f>
        <v>0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</v>
      </c>
      <c r="T23" s="198">
        <f t="shared" si="1"/>
        <v>0</v>
      </c>
      <c r="U23" s="198">
        <f t="shared" si="1"/>
        <v>0</v>
      </c>
      <c r="V23" s="198">
        <f t="shared" si="1"/>
        <v>0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0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</v>
      </c>
      <c r="AH23" s="198">
        <f t="shared" si="2"/>
        <v>0</v>
      </c>
      <c r="AI23" s="198">
        <f t="shared" si="2"/>
        <v>0</v>
      </c>
      <c r="AJ23" s="198">
        <f t="shared" si="2"/>
        <v>0</v>
      </c>
      <c r="AK23" s="198">
        <f t="shared" si="2"/>
        <v>0</v>
      </c>
      <c r="AL23" s="198">
        <f t="shared" si="2"/>
        <v>0</v>
      </c>
      <c r="AM23" s="161"/>
      <c r="AN23" s="199">
        <f>IFERROR(AVERAGE(AN15:AN22),0)</f>
        <v>0</v>
      </c>
      <c r="AO23" s="198">
        <f>IFERROR(AVERAGE(AO15:AO22),0)</f>
        <v>0</v>
      </c>
      <c r="AP23" s="200">
        <f>IFERROR(AVERAGE(AP15:AP22),0)</f>
        <v>0</v>
      </c>
      <c r="AQ23" s="201">
        <f>IFERROR(AVERAGE(AQ15:AQ22),0)</f>
        <v>0</v>
      </c>
      <c r="AR23" s="396">
        <f>IFERROR(AVERAGE(AR15:AS22),0)</f>
        <v>0</v>
      </c>
      <c r="AS23" s="397"/>
      <c r="AT23" s="202"/>
      <c r="AU23" s="199">
        <f t="shared" ref="AU23:BC23" si="3">IFERROR(AVERAGE(AU15:AU22),0)</f>
        <v>0</v>
      </c>
      <c r="AV23" s="198">
        <f t="shared" si="3"/>
        <v>0</v>
      </c>
      <c r="AW23" s="198">
        <f t="shared" si="3"/>
        <v>0</v>
      </c>
      <c r="AX23" s="198">
        <f t="shared" si="3"/>
        <v>0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0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0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0</v>
      </c>
      <c r="D43" s="267"/>
      <c r="E43" s="276" t="s">
        <v>84</v>
      </c>
      <c r="F43" s="273">
        <f>AG9+AQ9+AV9</f>
        <v>0</v>
      </c>
      <c r="K43" s="266"/>
      <c r="R43" s="266"/>
    </row>
    <row r="44" spans="1:55" ht="16.2" thickBot="1" x14ac:dyDescent="0.35">
      <c r="A44" s="274" t="s">
        <v>3</v>
      </c>
      <c r="B44" s="275">
        <f>L8+AN8</f>
        <v>0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0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0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0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0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0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2000-000000000000}">
      <formula1>$A$137:$A$148</formula1>
    </dataValidation>
    <dataValidation type="list" allowBlank="1" showInputMessage="1" showErrorMessage="1" sqref="AX11 BB11:BC11 V11 Z11:AA11" xr:uid="{00000000-0002-0000-2000-000001000000}">
      <formula1>"Silo 6, Silo 7, Silo 8, Silo 9"</formula1>
    </dataValidation>
    <dataValidation type="list" allowBlank="1" showInputMessage="1" showErrorMessage="1" sqref="AD11 AO11 AZ11 AV11 B11 M11 X11 T11" xr:uid="{00000000-0002-0000-2000-000002000000}">
      <formula1>"100#, 40/70"</formula1>
    </dataValidation>
    <dataValidation type="list" allowBlank="1" showInputMessage="1" showErrorMessage="1" sqref="AJ11:AM11 AQ11:AT11 H11:K11 O11:R11" xr:uid="{00000000-0002-0000-2000-000003000000}">
      <formula1>"Silo 1, Silo 2, Silo 6, Silo 7"</formula1>
    </dataValidation>
    <dataValidation type="list" allowBlank="1" showInputMessage="1" showErrorMessage="1" sqref="AV25 AD25 AO25 T25 B25 M25" xr:uid="{00000000-0002-0000-2000-000004000000}">
      <formula1>"1, 2, 3, 4, 5, 6, 7, 8, 9, 10, 11, 12, 13, 14, 15, 16"</formula1>
    </dataValidation>
    <dataValidation type="list" allowBlank="1" showInputMessage="1" showErrorMessage="1" sqref="C29:C31 AE29:AE31" xr:uid="{00000000-0002-0000-2000-000005000000}">
      <formula1>"Carrier 100, Carrier 200, Rotary"</formula1>
    </dataValidation>
    <dataValidation type="list" allowBlank="1" showInputMessage="1" showErrorMessage="1" sqref="B26 M26 T26 AD26 AO26 AV26" xr:uid="{00000000-0002-0000-2000-000006000000}">
      <formula1>"SP1, SP2, SP3, OWP SP"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C148"/>
  <sheetViews>
    <sheetView workbookViewId="0">
      <selection sqref="A1:XFD1048576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/>
      <c r="C4" s="5"/>
      <c r="D4" s="6" t="s">
        <v>6</v>
      </c>
      <c r="E4" s="380"/>
      <c r="F4" s="381"/>
      <c r="G4" s="312"/>
      <c r="H4" s="312"/>
      <c r="I4" s="8"/>
      <c r="J4" s="9"/>
      <c r="K4" s="10"/>
      <c r="L4" s="6" t="s">
        <v>5</v>
      </c>
      <c r="M4" s="4">
        <f>B4</f>
        <v>0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0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0</v>
      </c>
      <c r="AE4" s="5"/>
      <c r="AF4" s="6" t="s">
        <v>6</v>
      </c>
      <c r="AG4" s="380"/>
      <c r="AH4" s="381"/>
      <c r="AI4" s="312"/>
      <c r="AJ4" s="312"/>
      <c r="AK4" s="8"/>
      <c r="AL4" s="9"/>
      <c r="AM4" s="10"/>
      <c r="AN4" s="6" t="s">
        <v>5</v>
      </c>
      <c r="AO4" s="4">
        <f>B4</f>
        <v>0</v>
      </c>
      <c r="AP4" s="5"/>
      <c r="AQ4" s="370" t="s">
        <v>6</v>
      </c>
      <c r="AR4" s="371"/>
      <c r="AS4" s="11"/>
      <c r="AT4" s="12"/>
      <c r="AU4" s="6" t="s">
        <v>5</v>
      </c>
      <c r="AV4" s="4">
        <f>B4</f>
        <v>0</v>
      </c>
      <c r="AW4" s="5"/>
      <c r="AX4" s="6" t="s">
        <v>6</v>
      </c>
      <c r="AY4" s="382"/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/>
      <c r="F5" s="20" t="s">
        <v>10</v>
      </c>
      <c r="G5" s="21">
        <f>SUM((B5+E5)/12, 0)</f>
        <v>0</v>
      </c>
      <c r="H5" s="22"/>
      <c r="I5" s="23"/>
      <c r="J5" s="24"/>
      <c r="K5" s="25"/>
      <c r="L5" s="26" t="s">
        <v>11</v>
      </c>
      <c r="M5" s="27"/>
      <c r="N5" s="5"/>
      <c r="O5" s="28" t="s">
        <v>12</v>
      </c>
      <c r="P5" s="298">
        <f>SUM(M5/12)</f>
        <v>0</v>
      </c>
      <c r="Q5" s="317"/>
      <c r="R5" s="29"/>
      <c r="S5" s="20" t="s">
        <v>13</v>
      </c>
      <c r="T5" s="17"/>
      <c r="U5" s="5"/>
      <c r="V5" s="18" t="s">
        <v>14</v>
      </c>
      <c r="W5" s="19"/>
      <c r="X5" s="18" t="s">
        <v>10</v>
      </c>
      <c r="Y5" s="30">
        <f>SUM(T5+W5)/12</f>
        <v>0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/>
      <c r="AH5" s="20" t="s">
        <v>10</v>
      </c>
      <c r="AI5" s="21">
        <f>SUM(AD5+AG5)/12</f>
        <v>0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/>
      <c r="AW5" s="5"/>
      <c r="AX5" s="18" t="s">
        <v>14</v>
      </c>
      <c r="AY5" s="19"/>
      <c r="AZ5" s="18" t="s">
        <v>10</v>
      </c>
      <c r="BA5" s="30">
        <f>(AV5+AY5)/12</f>
        <v>0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/>
      <c r="M8" s="68"/>
      <c r="N8" s="64">
        <f>L8*(1-M10)</f>
        <v>0</v>
      </c>
      <c r="O8" s="69"/>
      <c r="P8" s="296"/>
      <c r="Q8" s="60">
        <f>IFERROR((O8+P8)/L8,0)</f>
        <v>0</v>
      </c>
      <c r="R8" s="70"/>
      <c r="S8" s="71"/>
      <c r="T8" s="72"/>
      <c r="U8" s="62">
        <f>S8*(1-T10)</f>
        <v>0</v>
      </c>
      <c r="V8" s="60">
        <f>IFERROR(T8/S8,0)</f>
        <v>0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/>
      <c r="AO8" s="68"/>
      <c r="AP8" s="64">
        <f>AN8*(1-AO10)</f>
        <v>0</v>
      </c>
      <c r="AQ8" s="69"/>
      <c r="AR8" s="296"/>
      <c r="AS8" s="60" t="e">
        <f>SUM((AQ8+AR8)/AP8,0)</f>
        <v>#DIV/0!</v>
      </c>
      <c r="AT8" s="70"/>
      <c r="AU8" s="71"/>
      <c r="AV8" s="72"/>
      <c r="AW8" s="62">
        <f>AU8*(1-AV10)</f>
        <v>0</v>
      </c>
      <c r="AX8" s="60">
        <f>IFERROR(AV8/AU8,0)</f>
        <v>0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0</v>
      </c>
      <c r="M9" s="86">
        <f>IFERROR(M8/M5,0)</f>
        <v>0</v>
      </c>
      <c r="N9" s="86">
        <f>IFERROR(N8/M5,0)</f>
        <v>0</v>
      </c>
      <c r="O9" s="86">
        <f>IFERROR(O8/M5,0)</f>
        <v>0</v>
      </c>
      <c r="P9" s="297" t="e">
        <f>SUM(P8/M5,0)</f>
        <v>#DIV/0!</v>
      </c>
      <c r="Q9" s="87">
        <f>IFERROR(Q8/M5,0)</f>
        <v>0</v>
      </c>
      <c r="R9" s="88"/>
      <c r="S9" s="89">
        <f>IFERROR(S8/T5,0)</f>
        <v>0</v>
      </c>
      <c r="T9" s="90">
        <f>IFERROR(SUM(T8/T5),0)</f>
        <v>0</v>
      </c>
      <c r="U9" s="91">
        <f>IFERROR(U8/T5,0)</f>
        <v>0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0</v>
      </c>
      <c r="AO9" s="86">
        <f>IFERROR(AO8/AO5,0)</f>
        <v>0</v>
      </c>
      <c r="AP9" s="86">
        <f>IFERROR(AP8/AO5,0)</f>
        <v>0</v>
      </c>
      <c r="AQ9" s="86">
        <f>IFERROR(AQ8/AO5,0)</f>
        <v>0</v>
      </c>
      <c r="AR9" s="297">
        <f>SUM(AR8/AO5,0)</f>
        <v>0</v>
      </c>
      <c r="AS9" s="87">
        <f>IFERROR(AS8/AO5,0)</f>
        <v>0</v>
      </c>
      <c r="AT9" s="88"/>
      <c r="AU9" s="89">
        <f>IFERROR(AU8/AV5,0)</f>
        <v>0</v>
      </c>
      <c r="AV9" s="90">
        <f>IFERROR(SUM(AV8/AV5),0)</f>
        <v>0</v>
      </c>
      <c r="AW9" s="91">
        <f>IFERROR(AW8/AV5,0)</f>
        <v>0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0</v>
      </c>
      <c r="C10" s="99"/>
      <c r="D10" s="100"/>
      <c r="E10" s="101" t="s">
        <v>39</v>
      </c>
      <c r="F10" s="102">
        <f>J23</f>
        <v>0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0</v>
      </c>
      <c r="U10" s="112"/>
      <c r="V10" s="100"/>
      <c r="W10" s="101" t="s">
        <v>39</v>
      </c>
      <c r="X10" s="113">
        <f>AA23</f>
        <v>0</v>
      </c>
      <c r="Y10" s="5"/>
      <c r="Z10" s="5"/>
      <c r="AA10" s="114"/>
      <c r="AB10" s="15"/>
      <c r="AC10" s="97" t="s">
        <v>39</v>
      </c>
      <c r="AD10" s="98">
        <f>AL23</f>
        <v>0</v>
      </c>
      <c r="AE10" s="99"/>
      <c r="AF10" s="100"/>
      <c r="AG10" s="101" t="s">
        <v>39</v>
      </c>
      <c r="AH10" s="102">
        <f>AL23</f>
        <v>0</v>
      </c>
      <c r="AI10" s="103"/>
      <c r="AJ10" s="99"/>
      <c r="AK10" s="104"/>
      <c r="AL10" s="105"/>
      <c r="AM10" s="106"/>
      <c r="AN10" s="107" t="s">
        <v>39</v>
      </c>
      <c r="AO10" s="108">
        <f>AR23</f>
        <v>0</v>
      </c>
      <c r="AP10" s="109"/>
      <c r="AQ10" s="109"/>
      <c r="AR10" s="109"/>
      <c r="AS10" s="110"/>
      <c r="AT10" s="111"/>
      <c r="AU10" s="107" t="s">
        <v>39</v>
      </c>
      <c r="AV10" s="108">
        <f>BC23</f>
        <v>0</v>
      </c>
      <c r="AW10" s="112"/>
      <c r="AX10" s="100"/>
      <c r="AY10" s="101" t="s">
        <v>39</v>
      </c>
      <c r="AZ10" s="113">
        <f>BC23</f>
        <v>0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/>
      <c r="F15" s="157"/>
      <c r="G15" s="158"/>
      <c r="H15" s="158"/>
      <c r="I15" s="159"/>
      <c r="J15" s="160"/>
      <c r="K15" s="161"/>
      <c r="L15" s="162"/>
      <c r="M15" s="163"/>
      <c r="N15" s="164"/>
      <c r="O15" s="299"/>
      <c r="P15" s="446"/>
      <c r="Q15" s="447"/>
      <c r="R15" s="161"/>
      <c r="S15" s="166"/>
      <c r="T15" s="163"/>
      <c r="U15" s="167"/>
      <c r="V15" s="168"/>
      <c r="W15" s="169"/>
      <c r="X15" s="170"/>
      <c r="Y15" s="170"/>
      <c r="Z15" s="171"/>
      <c r="AA15" s="172"/>
      <c r="AB15" s="173"/>
      <c r="AC15" s="152"/>
      <c r="AD15" s="153"/>
      <c r="AE15" s="154"/>
      <c r="AF15" s="155"/>
      <c r="AG15" s="156"/>
      <c r="AH15" s="157"/>
      <c r="AI15" s="158"/>
      <c r="AJ15" s="158"/>
      <c r="AK15" s="159"/>
      <c r="AL15" s="160"/>
      <c r="AM15" s="161"/>
      <c r="AN15" s="162"/>
      <c r="AO15" s="163"/>
      <c r="AP15" s="164"/>
      <c r="AQ15" s="165"/>
      <c r="AR15" s="356"/>
      <c r="AS15" s="357"/>
      <c r="AT15" s="161"/>
      <c r="AU15" s="166"/>
      <c r="AV15" s="163"/>
      <c r="AW15" s="167"/>
      <c r="AX15" s="168"/>
      <c r="AY15" s="169"/>
      <c r="AZ15" s="170"/>
      <c r="BA15" s="170"/>
      <c r="BB15" s="171"/>
      <c r="BC15" s="172"/>
    </row>
    <row r="16" spans="1:55" x14ac:dyDescent="0.3">
      <c r="A16" s="152"/>
      <c r="B16" s="174"/>
      <c r="C16" s="175"/>
      <c r="D16" s="176"/>
      <c r="E16" s="177"/>
      <c r="F16" s="178"/>
      <c r="G16" s="179"/>
      <c r="H16" s="179"/>
      <c r="I16" s="180"/>
      <c r="J16" s="160"/>
      <c r="K16" s="161"/>
      <c r="L16" s="181"/>
      <c r="M16" s="170"/>
      <c r="N16" s="302"/>
      <c r="O16" s="300"/>
      <c r="P16" s="440"/>
      <c r="Q16" s="357"/>
      <c r="R16" s="161"/>
      <c r="S16" s="169"/>
      <c r="T16" s="170"/>
      <c r="U16" s="169"/>
      <c r="V16" s="171"/>
      <c r="W16" s="169"/>
      <c r="X16" s="170"/>
      <c r="Y16" s="170"/>
      <c r="Z16" s="171"/>
      <c r="AA16" s="184"/>
      <c r="AB16" s="173"/>
      <c r="AC16" s="185"/>
      <c r="AD16" s="174"/>
      <c r="AE16" s="175"/>
      <c r="AF16" s="176"/>
      <c r="AG16" s="177"/>
      <c r="AH16" s="178"/>
      <c r="AI16" s="179"/>
      <c r="AJ16" s="179"/>
      <c r="AK16" s="180"/>
      <c r="AL16" s="160"/>
      <c r="AM16" s="161"/>
      <c r="AN16" s="181"/>
      <c r="AO16" s="170"/>
      <c r="AP16" s="302"/>
      <c r="AQ16" s="183"/>
      <c r="AR16" s="356"/>
      <c r="AS16" s="357"/>
      <c r="AT16" s="161"/>
      <c r="AU16" s="169"/>
      <c r="AV16" s="170"/>
      <c r="AW16" s="169"/>
      <c r="AX16" s="171"/>
      <c r="AY16" s="169"/>
      <c r="AZ16" s="170"/>
      <c r="BA16" s="170"/>
      <c r="BB16" s="171"/>
      <c r="BC16" s="184"/>
    </row>
    <row r="17" spans="1:55" x14ac:dyDescent="0.3">
      <c r="A17" s="152"/>
      <c r="B17" s="174"/>
      <c r="C17" s="175"/>
      <c r="D17" s="176"/>
      <c r="E17" s="177"/>
      <c r="F17" s="178"/>
      <c r="G17" s="179"/>
      <c r="H17" s="179"/>
      <c r="I17" s="180"/>
      <c r="J17" s="160"/>
      <c r="K17" s="161"/>
      <c r="L17" s="181"/>
      <c r="M17" s="170"/>
      <c r="N17" s="302"/>
      <c r="O17" s="300"/>
      <c r="P17" s="440"/>
      <c r="Q17" s="357"/>
      <c r="R17" s="161"/>
      <c r="S17" s="169"/>
      <c r="T17" s="170"/>
      <c r="U17" s="169"/>
      <c r="V17" s="171"/>
      <c r="W17" s="169"/>
      <c r="X17" s="170"/>
      <c r="Y17" s="170"/>
      <c r="Z17" s="171"/>
      <c r="AA17" s="184"/>
      <c r="AB17" s="173"/>
      <c r="AC17" s="185"/>
      <c r="AD17" s="174"/>
      <c r="AE17" s="175"/>
      <c r="AF17" s="176"/>
      <c r="AG17" s="177"/>
      <c r="AH17" s="178"/>
      <c r="AI17" s="179"/>
      <c r="AJ17" s="179"/>
      <c r="AK17" s="180"/>
      <c r="AL17" s="160"/>
      <c r="AM17" s="161"/>
      <c r="AN17" s="181"/>
      <c r="AO17" s="170"/>
      <c r="AP17" s="302"/>
      <c r="AQ17" s="183"/>
      <c r="AR17" s="356"/>
      <c r="AS17" s="357"/>
      <c r="AT17" s="161"/>
      <c r="AU17" s="169"/>
      <c r="AV17" s="170"/>
      <c r="AW17" s="169"/>
      <c r="AX17" s="171"/>
      <c r="AY17" s="169"/>
      <c r="AZ17" s="170"/>
      <c r="BA17" s="170"/>
      <c r="BB17" s="171"/>
      <c r="BC17" s="184"/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/>
      <c r="AH18" s="178"/>
      <c r="AI18" s="179"/>
      <c r="AJ18" s="179"/>
      <c r="AK18" s="180"/>
      <c r="AL18" s="160"/>
      <c r="AM18" s="161"/>
      <c r="AN18" s="181"/>
      <c r="AO18" s="170"/>
      <c r="AP18" s="302"/>
      <c r="AQ18" s="183"/>
      <c r="AR18" s="356"/>
      <c r="AS18" s="357"/>
      <c r="AT18" s="161"/>
      <c r="AU18" s="169"/>
      <c r="AV18" s="170"/>
      <c r="AW18" s="169"/>
      <c r="AX18" s="171"/>
      <c r="AY18" s="169"/>
      <c r="AZ18" s="170"/>
      <c r="BA18" s="170"/>
      <c r="BB18" s="171"/>
      <c r="BC18" s="184"/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</v>
      </c>
      <c r="F23" s="198">
        <f t="shared" si="0"/>
        <v>0</v>
      </c>
      <c r="G23" s="198">
        <f t="shared" si="0"/>
        <v>0</v>
      </c>
      <c r="H23" s="198">
        <f t="shared" si="0"/>
        <v>0</v>
      </c>
      <c r="I23" s="198">
        <f t="shared" si="0"/>
        <v>0</v>
      </c>
      <c r="J23" s="198">
        <f t="shared" si="0"/>
        <v>0</v>
      </c>
      <c r="K23" s="161"/>
      <c r="L23" s="199">
        <f>IFERROR(AVERAGE(L15:L22),0)</f>
        <v>0</v>
      </c>
      <c r="M23" s="198">
        <f>IFERROR(AVERAGE(M15:M22),0)</f>
        <v>0</v>
      </c>
      <c r="N23" s="200">
        <f>IFERROR(AVERAGE(N15:N22),0)</f>
        <v>0</v>
      </c>
      <c r="O23" s="201">
        <f>IFERROR(AVERAGE(O15:O22),0)</f>
        <v>0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</v>
      </c>
      <c r="T23" s="198">
        <f t="shared" si="1"/>
        <v>0</v>
      </c>
      <c r="U23" s="198">
        <f t="shared" si="1"/>
        <v>0</v>
      </c>
      <c r="V23" s="198">
        <f t="shared" si="1"/>
        <v>0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0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</v>
      </c>
      <c r="AH23" s="198">
        <f t="shared" si="2"/>
        <v>0</v>
      </c>
      <c r="AI23" s="198">
        <f t="shared" si="2"/>
        <v>0</v>
      </c>
      <c r="AJ23" s="198">
        <f t="shared" si="2"/>
        <v>0</v>
      </c>
      <c r="AK23" s="198">
        <f t="shared" si="2"/>
        <v>0</v>
      </c>
      <c r="AL23" s="198">
        <f t="shared" si="2"/>
        <v>0</v>
      </c>
      <c r="AM23" s="161"/>
      <c r="AN23" s="199">
        <f>IFERROR(AVERAGE(AN15:AN22),0)</f>
        <v>0</v>
      </c>
      <c r="AO23" s="198">
        <f>IFERROR(AVERAGE(AO15:AO22),0)</f>
        <v>0</v>
      </c>
      <c r="AP23" s="200">
        <f>IFERROR(AVERAGE(AP15:AP22),0)</f>
        <v>0</v>
      </c>
      <c r="AQ23" s="201">
        <f>IFERROR(AVERAGE(AQ15:AQ22),0)</f>
        <v>0</v>
      </c>
      <c r="AR23" s="396">
        <f>IFERROR(AVERAGE(AR15:AS22),0)</f>
        <v>0</v>
      </c>
      <c r="AS23" s="397"/>
      <c r="AT23" s="202"/>
      <c r="AU23" s="199">
        <f t="shared" ref="AU23:BC23" si="3">IFERROR(AVERAGE(AU15:AU22),0)</f>
        <v>0</v>
      </c>
      <c r="AV23" s="198">
        <f t="shared" si="3"/>
        <v>0</v>
      </c>
      <c r="AW23" s="198">
        <f t="shared" si="3"/>
        <v>0</v>
      </c>
      <c r="AX23" s="198">
        <f t="shared" si="3"/>
        <v>0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0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0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0</v>
      </c>
      <c r="D43" s="267"/>
      <c r="E43" s="276" t="s">
        <v>84</v>
      </c>
      <c r="F43" s="273">
        <f>AG9+AQ9+AV9</f>
        <v>0</v>
      </c>
      <c r="K43" s="266"/>
      <c r="R43" s="266"/>
    </row>
    <row r="44" spans="1:55" ht="16.2" thickBot="1" x14ac:dyDescent="0.35">
      <c r="A44" s="274" t="s">
        <v>3</v>
      </c>
      <c r="B44" s="275">
        <f>L8+AN8</f>
        <v>0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0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0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0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0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0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2100-000000000000}">
      <formula1>$A$137:$A$148</formula1>
    </dataValidation>
    <dataValidation type="list" allowBlank="1" showInputMessage="1" showErrorMessage="1" sqref="AX11 BB11:BC11 V11 Z11:AA11" xr:uid="{00000000-0002-0000-2100-000001000000}">
      <formula1>"Silo 6, Silo 7, Silo 8, Silo 9"</formula1>
    </dataValidation>
    <dataValidation type="list" allowBlank="1" showInputMessage="1" showErrorMessage="1" sqref="AD11 AO11 AZ11 AV11 B11 M11 X11 T11" xr:uid="{00000000-0002-0000-2100-000002000000}">
      <formula1>"100#, 40/70"</formula1>
    </dataValidation>
    <dataValidation type="list" allowBlank="1" showInputMessage="1" showErrorMessage="1" sqref="AJ11:AM11 AQ11:AT11 H11:K11 O11:R11" xr:uid="{00000000-0002-0000-2100-000003000000}">
      <formula1>"Silo 1, Silo 2, Silo 6, Silo 7"</formula1>
    </dataValidation>
    <dataValidation type="list" allowBlank="1" showInputMessage="1" showErrorMessage="1" sqref="AV25 AD25 AO25 T25 B25 M25" xr:uid="{00000000-0002-0000-2100-000004000000}">
      <formula1>"1, 2, 3, 4, 5, 6, 7, 8, 9, 10, 11, 12, 13, 14, 15, 16"</formula1>
    </dataValidation>
    <dataValidation type="list" allowBlank="1" showInputMessage="1" showErrorMessage="1" sqref="C29:C31 AE29:AE31" xr:uid="{00000000-0002-0000-2100-000005000000}">
      <formula1>"Carrier 100, Carrier 200, Rotary"</formula1>
    </dataValidation>
    <dataValidation type="list" allowBlank="1" showInputMessage="1" showErrorMessage="1" sqref="B26 M26 T26 AD26 AO26 AV26" xr:uid="{00000000-0002-0000-2100-000006000000}">
      <formula1>"SP1, SP2, SP3, OWP SP"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C148"/>
  <sheetViews>
    <sheetView workbookViewId="0">
      <selection sqref="A1:XFD1048576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/>
      <c r="C4" s="5"/>
      <c r="D4" s="6" t="s">
        <v>6</v>
      </c>
      <c r="E4" s="380"/>
      <c r="F4" s="381"/>
      <c r="G4" s="312"/>
      <c r="H4" s="312"/>
      <c r="I4" s="8"/>
      <c r="J4" s="9"/>
      <c r="K4" s="10"/>
      <c r="L4" s="6" t="s">
        <v>5</v>
      </c>
      <c r="M4" s="4">
        <f>B4</f>
        <v>0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0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0</v>
      </c>
      <c r="AE4" s="5"/>
      <c r="AF4" s="6" t="s">
        <v>6</v>
      </c>
      <c r="AG4" s="380"/>
      <c r="AH4" s="381"/>
      <c r="AI4" s="312"/>
      <c r="AJ4" s="312"/>
      <c r="AK4" s="8"/>
      <c r="AL4" s="9"/>
      <c r="AM4" s="10"/>
      <c r="AN4" s="6" t="s">
        <v>5</v>
      </c>
      <c r="AO4" s="4">
        <f>B4</f>
        <v>0</v>
      </c>
      <c r="AP4" s="5"/>
      <c r="AQ4" s="370" t="s">
        <v>6</v>
      </c>
      <c r="AR4" s="371"/>
      <c r="AS4" s="11"/>
      <c r="AT4" s="12"/>
      <c r="AU4" s="6" t="s">
        <v>5</v>
      </c>
      <c r="AV4" s="4">
        <f>B4</f>
        <v>0</v>
      </c>
      <c r="AW4" s="5"/>
      <c r="AX4" s="6" t="s">
        <v>6</v>
      </c>
      <c r="AY4" s="382"/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/>
      <c r="F5" s="20" t="s">
        <v>10</v>
      </c>
      <c r="G5" s="21">
        <f>SUM((B5+E5)/12, 0)</f>
        <v>0</v>
      </c>
      <c r="H5" s="22"/>
      <c r="I5" s="23"/>
      <c r="J5" s="24"/>
      <c r="K5" s="25"/>
      <c r="L5" s="26" t="s">
        <v>11</v>
      </c>
      <c r="M5" s="27"/>
      <c r="N5" s="5"/>
      <c r="O5" s="28" t="s">
        <v>12</v>
      </c>
      <c r="P5" s="298">
        <f>SUM(M5/12)</f>
        <v>0</v>
      </c>
      <c r="Q5" s="317"/>
      <c r="R5" s="29"/>
      <c r="S5" s="20" t="s">
        <v>13</v>
      </c>
      <c r="T5" s="17"/>
      <c r="U5" s="5"/>
      <c r="V5" s="18" t="s">
        <v>14</v>
      </c>
      <c r="W5" s="19"/>
      <c r="X5" s="18" t="s">
        <v>10</v>
      </c>
      <c r="Y5" s="30">
        <f>SUM(T5+W5)/12</f>
        <v>0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/>
      <c r="AH5" s="20" t="s">
        <v>10</v>
      </c>
      <c r="AI5" s="21">
        <f>SUM(AD5+AG5)/12</f>
        <v>0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/>
      <c r="AW5" s="5"/>
      <c r="AX5" s="18" t="s">
        <v>14</v>
      </c>
      <c r="AY5" s="19"/>
      <c r="AZ5" s="18" t="s">
        <v>10</v>
      </c>
      <c r="BA5" s="30">
        <f>(AV5+AY5)/12</f>
        <v>0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/>
      <c r="M8" s="68"/>
      <c r="N8" s="64">
        <f>L8*(1-M10)</f>
        <v>0</v>
      </c>
      <c r="O8" s="69"/>
      <c r="P8" s="296"/>
      <c r="Q8" s="60">
        <f>IFERROR((O8+P8)/L8,0)</f>
        <v>0</v>
      </c>
      <c r="R8" s="70"/>
      <c r="S8" s="71"/>
      <c r="T8" s="72"/>
      <c r="U8" s="62">
        <f>S8*(1-T10)</f>
        <v>0</v>
      </c>
      <c r="V8" s="60">
        <f>IFERROR(T8/S8,0)</f>
        <v>0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/>
      <c r="AO8" s="68"/>
      <c r="AP8" s="64">
        <f>AN8*(1-AO10)</f>
        <v>0</v>
      </c>
      <c r="AQ8" s="69"/>
      <c r="AR8" s="296"/>
      <c r="AS8" s="60" t="e">
        <f>SUM((AQ8+AR8)/AP8,0)</f>
        <v>#DIV/0!</v>
      </c>
      <c r="AT8" s="70"/>
      <c r="AU8" s="71"/>
      <c r="AV8" s="72"/>
      <c r="AW8" s="62">
        <f>AU8*(1-AV10)</f>
        <v>0</v>
      </c>
      <c r="AX8" s="60">
        <f>IFERROR(AV8/AU8,0)</f>
        <v>0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0</v>
      </c>
      <c r="M9" s="86">
        <f>IFERROR(M8/M5,0)</f>
        <v>0</v>
      </c>
      <c r="N9" s="86">
        <f>IFERROR(N8/M5,0)</f>
        <v>0</v>
      </c>
      <c r="O9" s="86">
        <f>IFERROR(O8/M5,0)</f>
        <v>0</v>
      </c>
      <c r="P9" s="297" t="e">
        <f>SUM(P8/M5,0)</f>
        <v>#DIV/0!</v>
      </c>
      <c r="Q9" s="87">
        <f>IFERROR(Q8/M5,0)</f>
        <v>0</v>
      </c>
      <c r="R9" s="88"/>
      <c r="S9" s="89">
        <f>IFERROR(S8/T5,0)</f>
        <v>0</v>
      </c>
      <c r="T9" s="90">
        <f>IFERROR(SUM(T8/T5),0)</f>
        <v>0</v>
      </c>
      <c r="U9" s="91">
        <f>IFERROR(U8/T5,0)</f>
        <v>0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0</v>
      </c>
      <c r="AO9" s="86">
        <f>IFERROR(AO8/AO5,0)</f>
        <v>0</v>
      </c>
      <c r="AP9" s="86">
        <f>IFERROR(AP8/AO5,0)</f>
        <v>0</v>
      </c>
      <c r="AQ9" s="86">
        <f>IFERROR(AQ8/AO5,0)</f>
        <v>0</v>
      </c>
      <c r="AR9" s="297">
        <f>SUM(AR8/AO5,0)</f>
        <v>0</v>
      </c>
      <c r="AS9" s="87">
        <f>IFERROR(AS8/AO5,0)</f>
        <v>0</v>
      </c>
      <c r="AT9" s="88"/>
      <c r="AU9" s="89">
        <f>IFERROR(AU8/AV5,0)</f>
        <v>0</v>
      </c>
      <c r="AV9" s="90">
        <f>IFERROR(SUM(AV8/AV5),0)</f>
        <v>0</v>
      </c>
      <c r="AW9" s="91">
        <f>IFERROR(AW8/AV5,0)</f>
        <v>0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0</v>
      </c>
      <c r="C10" s="99"/>
      <c r="D10" s="100"/>
      <c r="E10" s="101" t="s">
        <v>39</v>
      </c>
      <c r="F10" s="102">
        <f>J23</f>
        <v>0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0</v>
      </c>
      <c r="U10" s="112"/>
      <c r="V10" s="100"/>
      <c r="W10" s="101" t="s">
        <v>39</v>
      </c>
      <c r="X10" s="113">
        <f>AA23</f>
        <v>0</v>
      </c>
      <c r="Y10" s="5"/>
      <c r="Z10" s="5"/>
      <c r="AA10" s="114"/>
      <c r="AB10" s="15"/>
      <c r="AC10" s="97" t="s">
        <v>39</v>
      </c>
      <c r="AD10" s="98">
        <f>AL23</f>
        <v>0</v>
      </c>
      <c r="AE10" s="99"/>
      <c r="AF10" s="100"/>
      <c r="AG10" s="101" t="s">
        <v>39</v>
      </c>
      <c r="AH10" s="102">
        <f>AL23</f>
        <v>0</v>
      </c>
      <c r="AI10" s="103"/>
      <c r="AJ10" s="99"/>
      <c r="AK10" s="104"/>
      <c r="AL10" s="105"/>
      <c r="AM10" s="106"/>
      <c r="AN10" s="107" t="s">
        <v>39</v>
      </c>
      <c r="AO10" s="108">
        <f>AR23</f>
        <v>0</v>
      </c>
      <c r="AP10" s="109"/>
      <c r="AQ10" s="109"/>
      <c r="AR10" s="109"/>
      <c r="AS10" s="110"/>
      <c r="AT10" s="111"/>
      <c r="AU10" s="107" t="s">
        <v>39</v>
      </c>
      <c r="AV10" s="108">
        <f>BC23</f>
        <v>0</v>
      </c>
      <c r="AW10" s="112"/>
      <c r="AX10" s="100"/>
      <c r="AY10" s="101" t="s">
        <v>39</v>
      </c>
      <c r="AZ10" s="113">
        <f>BC23</f>
        <v>0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/>
      <c r="F15" s="157"/>
      <c r="G15" s="158"/>
      <c r="H15" s="158"/>
      <c r="I15" s="159"/>
      <c r="J15" s="160"/>
      <c r="K15" s="161"/>
      <c r="L15" s="162"/>
      <c r="M15" s="163"/>
      <c r="N15" s="164"/>
      <c r="O15" s="299"/>
      <c r="P15" s="446"/>
      <c r="Q15" s="447"/>
      <c r="R15" s="161"/>
      <c r="S15" s="166"/>
      <c r="T15" s="163"/>
      <c r="U15" s="167"/>
      <c r="V15" s="168"/>
      <c r="W15" s="169"/>
      <c r="X15" s="170"/>
      <c r="Y15" s="170"/>
      <c r="Z15" s="171"/>
      <c r="AA15" s="172"/>
      <c r="AB15" s="173"/>
      <c r="AC15" s="152"/>
      <c r="AD15" s="153"/>
      <c r="AE15" s="154"/>
      <c r="AF15" s="155"/>
      <c r="AG15" s="156"/>
      <c r="AH15" s="157"/>
      <c r="AI15" s="158"/>
      <c r="AJ15" s="158"/>
      <c r="AK15" s="159"/>
      <c r="AL15" s="160"/>
      <c r="AM15" s="161"/>
      <c r="AN15" s="162"/>
      <c r="AO15" s="163"/>
      <c r="AP15" s="164"/>
      <c r="AQ15" s="165"/>
      <c r="AR15" s="356"/>
      <c r="AS15" s="357"/>
      <c r="AT15" s="161"/>
      <c r="AU15" s="166"/>
      <c r="AV15" s="163"/>
      <c r="AW15" s="167"/>
      <c r="AX15" s="168"/>
      <c r="AY15" s="169"/>
      <c r="AZ15" s="170"/>
      <c r="BA15" s="170"/>
      <c r="BB15" s="171"/>
      <c r="BC15" s="172"/>
    </row>
    <row r="16" spans="1:55" x14ac:dyDescent="0.3">
      <c r="A16" s="152"/>
      <c r="B16" s="174"/>
      <c r="C16" s="175"/>
      <c r="D16" s="176"/>
      <c r="E16" s="177"/>
      <c r="F16" s="178"/>
      <c r="G16" s="179"/>
      <c r="H16" s="179"/>
      <c r="I16" s="180"/>
      <c r="J16" s="160"/>
      <c r="K16" s="161"/>
      <c r="L16" s="181"/>
      <c r="M16" s="170"/>
      <c r="N16" s="302"/>
      <c r="O16" s="300"/>
      <c r="P16" s="440"/>
      <c r="Q16" s="357"/>
      <c r="R16" s="161"/>
      <c r="S16" s="169"/>
      <c r="T16" s="170"/>
      <c r="U16" s="169"/>
      <c r="V16" s="171"/>
      <c r="W16" s="169"/>
      <c r="X16" s="170"/>
      <c r="Y16" s="170"/>
      <c r="Z16" s="171"/>
      <c r="AA16" s="184"/>
      <c r="AB16" s="173"/>
      <c r="AC16" s="185"/>
      <c r="AD16" s="174"/>
      <c r="AE16" s="175"/>
      <c r="AF16" s="176"/>
      <c r="AG16" s="177"/>
      <c r="AH16" s="178"/>
      <c r="AI16" s="179"/>
      <c r="AJ16" s="179"/>
      <c r="AK16" s="180"/>
      <c r="AL16" s="160"/>
      <c r="AM16" s="161"/>
      <c r="AN16" s="181"/>
      <c r="AO16" s="170"/>
      <c r="AP16" s="302"/>
      <c r="AQ16" s="183"/>
      <c r="AR16" s="356"/>
      <c r="AS16" s="357"/>
      <c r="AT16" s="161"/>
      <c r="AU16" s="169"/>
      <c r="AV16" s="170"/>
      <c r="AW16" s="169"/>
      <c r="AX16" s="171"/>
      <c r="AY16" s="169"/>
      <c r="AZ16" s="170"/>
      <c r="BA16" s="170"/>
      <c r="BB16" s="171"/>
      <c r="BC16" s="184"/>
    </row>
    <row r="17" spans="1:55" x14ac:dyDescent="0.3">
      <c r="A17" s="152"/>
      <c r="B17" s="174"/>
      <c r="C17" s="175"/>
      <c r="D17" s="176"/>
      <c r="E17" s="177"/>
      <c r="F17" s="178"/>
      <c r="G17" s="179"/>
      <c r="H17" s="179"/>
      <c r="I17" s="180"/>
      <c r="J17" s="160"/>
      <c r="K17" s="161"/>
      <c r="L17" s="181"/>
      <c r="M17" s="170"/>
      <c r="N17" s="302"/>
      <c r="O17" s="300"/>
      <c r="P17" s="440"/>
      <c r="Q17" s="357"/>
      <c r="R17" s="161"/>
      <c r="S17" s="169"/>
      <c r="T17" s="170"/>
      <c r="U17" s="169"/>
      <c r="V17" s="171"/>
      <c r="W17" s="169"/>
      <c r="X17" s="170"/>
      <c r="Y17" s="170"/>
      <c r="Z17" s="171"/>
      <c r="AA17" s="184"/>
      <c r="AB17" s="173"/>
      <c r="AC17" s="185"/>
      <c r="AD17" s="174"/>
      <c r="AE17" s="175"/>
      <c r="AF17" s="176"/>
      <c r="AG17" s="177"/>
      <c r="AH17" s="178"/>
      <c r="AI17" s="179"/>
      <c r="AJ17" s="179"/>
      <c r="AK17" s="180"/>
      <c r="AL17" s="160"/>
      <c r="AM17" s="161"/>
      <c r="AN17" s="181"/>
      <c r="AO17" s="170"/>
      <c r="AP17" s="302"/>
      <c r="AQ17" s="183"/>
      <c r="AR17" s="356"/>
      <c r="AS17" s="357"/>
      <c r="AT17" s="161"/>
      <c r="AU17" s="169"/>
      <c r="AV17" s="170"/>
      <c r="AW17" s="169"/>
      <c r="AX17" s="171"/>
      <c r="AY17" s="169"/>
      <c r="AZ17" s="170"/>
      <c r="BA17" s="170"/>
      <c r="BB17" s="171"/>
      <c r="BC17" s="184"/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/>
      <c r="AH18" s="178"/>
      <c r="AI18" s="179"/>
      <c r="AJ18" s="179"/>
      <c r="AK18" s="180"/>
      <c r="AL18" s="160"/>
      <c r="AM18" s="161"/>
      <c r="AN18" s="181"/>
      <c r="AO18" s="170"/>
      <c r="AP18" s="302"/>
      <c r="AQ18" s="183"/>
      <c r="AR18" s="356"/>
      <c r="AS18" s="357"/>
      <c r="AT18" s="161"/>
      <c r="AU18" s="169"/>
      <c r="AV18" s="170"/>
      <c r="AW18" s="169"/>
      <c r="AX18" s="171"/>
      <c r="AY18" s="169"/>
      <c r="AZ18" s="170"/>
      <c r="BA18" s="170"/>
      <c r="BB18" s="171"/>
      <c r="BC18" s="184"/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</v>
      </c>
      <c r="F23" s="198">
        <f t="shared" si="0"/>
        <v>0</v>
      </c>
      <c r="G23" s="198">
        <f t="shared" si="0"/>
        <v>0</v>
      </c>
      <c r="H23" s="198">
        <f t="shared" si="0"/>
        <v>0</v>
      </c>
      <c r="I23" s="198">
        <f t="shared" si="0"/>
        <v>0</v>
      </c>
      <c r="J23" s="198">
        <f t="shared" si="0"/>
        <v>0</v>
      </c>
      <c r="K23" s="161"/>
      <c r="L23" s="199">
        <f>IFERROR(AVERAGE(L15:L22),0)</f>
        <v>0</v>
      </c>
      <c r="M23" s="198">
        <f>IFERROR(AVERAGE(M15:M22),0)</f>
        <v>0</v>
      </c>
      <c r="N23" s="200">
        <f>IFERROR(AVERAGE(N15:N22),0)</f>
        <v>0</v>
      </c>
      <c r="O23" s="201">
        <f>IFERROR(AVERAGE(O15:O22),0)</f>
        <v>0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</v>
      </c>
      <c r="T23" s="198">
        <f t="shared" si="1"/>
        <v>0</v>
      </c>
      <c r="U23" s="198">
        <f t="shared" si="1"/>
        <v>0</v>
      </c>
      <c r="V23" s="198">
        <f t="shared" si="1"/>
        <v>0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0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</v>
      </c>
      <c r="AH23" s="198">
        <f t="shared" si="2"/>
        <v>0</v>
      </c>
      <c r="AI23" s="198">
        <f t="shared" si="2"/>
        <v>0</v>
      </c>
      <c r="AJ23" s="198">
        <f t="shared" si="2"/>
        <v>0</v>
      </c>
      <c r="AK23" s="198">
        <f t="shared" si="2"/>
        <v>0</v>
      </c>
      <c r="AL23" s="198">
        <f t="shared" si="2"/>
        <v>0</v>
      </c>
      <c r="AM23" s="161"/>
      <c r="AN23" s="199">
        <f>IFERROR(AVERAGE(AN15:AN22),0)</f>
        <v>0</v>
      </c>
      <c r="AO23" s="198">
        <f>IFERROR(AVERAGE(AO15:AO22),0)</f>
        <v>0</v>
      </c>
      <c r="AP23" s="200">
        <f>IFERROR(AVERAGE(AP15:AP22),0)</f>
        <v>0</v>
      </c>
      <c r="AQ23" s="201">
        <f>IFERROR(AVERAGE(AQ15:AQ22),0)</f>
        <v>0</v>
      </c>
      <c r="AR23" s="396">
        <f>IFERROR(AVERAGE(AR15:AS22),0)</f>
        <v>0</v>
      </c>
      <c r="AS23" s="397"/>
      <c r="AT23" s="202"/>
      <c r="AU23" s="199">
        <f t="shared" ref="AU23:BC23" si="3">IFERROR(AVERAGE(AU15:AU22),0)</f>
        <v>0</v>
      </c>
      <c r="AV23" s="198">
        <f t="shared" si="3"/>
        <v>0</v>
      </c>
      <c r="AW23" s="198">
        <f t="shared" si="3"/>
        <v>0</v>
      </c>
      <c r="AX23" s="198">
        <f t="shared" si="3"/>
        <v>0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0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0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0</v>
      </c>
      <c r="D43" s="267"/>
      <c r="E43" s="276" t="s">
        <v>84</v>
      </c>
      <c r="F43" s="273">
        <f>AG9+AQ9+AV9</f>
        <v>0</v>
      </c>
      <c r="K43" s="266"/>
      <c r="R43" s="266"/>
    </row>
    <row r="44" spans="1:55" ht="16.2" thickBot="1" x14ac:dyDescent="0.35">
      <c r="A44" s="274" t="s">
        <v>3</v>
      </c>
      <c r="B44" s="275">
        <f>L8+AN8</f>
        <v>0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0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0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0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0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0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2200-000000000000}">
      <formula1>$A$137:$A$148</formula1>
    </dataValidation>
    <dataValidation type="list" allowBlank="1" showInputMessage="1" showErrorMessage="1" sqref="AX11 BB11:BC11 V11 Z11:AA11" xr:uid="{00000000-0002-0000-2200-000001000000}">
      <formula1>"Silo 6, Silo 7, Silo 8, Silo 9"</formula1>
    </dataValidation>
    <dataValidation type="list" allowBlank="1" showInputMessage="1" showErrorMessage="1" sqref="AD11 AO11 AZ11 AV11 B11 M11 X11 T11" xr:uid="{00000000-0002-0000-2200-000002000000}">
      <formula1>"100#, 40/70"</formula1>
    </dataValidation>
    <dataValidation type="list" allowBlank="1" showInputMessage="1" showErrorMessage="1" sqref="AJ11:AM11 AQ11:AT11 H11:K11 O11:R11" xr:uid="{00000000-0002-0000-2200-000003000000}">
      <formula1>"Silo 1, Silo 2, Silo 6, Silo 7"</formula1>
    </dataValidation>
    <dataValidation type="list" allowBlank="1" showInputMessage="1" showErrorMessage="1" sqref="AV25 AD25 AO25 T25 B25 M25" xr:uid="{00000000-0002-0000-2200-000004000000}">
      <formula1>"1, 2, 3, 4, 5, 6, 7, 8, 9, 10, 11, 12, 13, 14, 15, 16"</formula1>
    </dataValidation>
    <dataValidation type="list" allowBlank="1" showInputMessage="1" showErrorMessage="1" sqref="C29:C31 AE29:AE31" xr:uid="{00000000-0002-0000-2200-000005000000}">
      <formula1>"Carrier 100, Carrier 200, Rotary"</formula1>
    </dataValidation>
    <dataValidation type="list" allowBlank="1" showInputMessage="1" showErrorMessage="1" sqref="B26 M26 T26 AD26 AO26 AV26" xr:uid="{00000000-0002-0000-2200-000006000000}">
      <formula1>"SP1, SP2, SP3, OWP SP"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C148"/>
  <sheetViews>
    <sheetView workbookViewId="0">
      <selection sqref="A1:XFD1048576"/>
    </sheetView>
  </sheetViews>
  <sheetFormatPr defaultRowHeight="14.4" x14ac:dyDescent="0.3"/>
  <cols>
    <col min="1" max="1" width="10.6640625" customWidth="1"/>
    <col min="5" max="5" width="11.109375" customWidth="1"/>
    <col min="10" max="10" width="10.5546875" customWidth="1"/>
    <col min="12" max="12" width="11.5546875" customWidth="1"/>
    <col min="13" max="13" width="11" customWidth="1"/>
    <col min="15" max="15" width="11.109375" customWidth="1"/>
    <col min="16" max="16" width="12" customWidth="1"/>
    <col min="17" max="17" width="15.109375" customWidth="1"/>
    <col min="19" max="19" width="11.88671875" customWidth="1"/>
    <col min="20" max="20" width="10.5546875" customWidth="1"/>
    <col min="23" max="23" width="10.6640625" customWidth="1"/>
    <col min="27" max="27" width="11.88671875" customWidth="1"/>
    <col min="29" max="29" width="10.6640625" customWidth="1"/>
    <col min="30" max="30" width="12" bestFit="1" customWidth="1"/>
    <col min="33" max="33" width="12" customWidth="1"/>
    <col min="38" max="38" width="10.109375" customWidth="1"/>
    <col min="40" max="40" width="11.44140625" customWidth="1"/>
    <col min="41" max="41" width="11.5546875" customWidth="1"/>
    <col min="44" max="44" width="11.109375" customWidth="1"/>
    <col min="45" max="45" width="13.5546875" customWidth="1"/>
    <col min="47" max="47" width="10.88671875" customWidth="1"/>
    <col min="48" max="48" width="12" customWidth="1"/>
    <col min="51" max="51" width="11.6640625" customWidth="1"/>
    <col min="52" max="52" width="10.44140625" customWidth="1"/>
    <col min="54" max="54" width="10.6640625" customWidth="1"/>
    <col min="55" max="55" width="11" customWidth="1"/>
  </cols>
  <sheetData>
    <row r="1" spans="1:55" x14ac:dyDescent="0.3">
      <c r="A1" s="358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60"/>
      <c r="AC1" s="358" t="s">
        <v>1</v>
      </c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60"/>
    </row>
    <row r="2" spans="1:55" x14ac:dyDescent="0.3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3"/>
      <c r="AC2" s="361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3"/>
    </row>
    <row r="3" spans="1:55" ht="21.6" thickBot="1" x14ac:dyDescent="0.45">
      <c r="A3" s="364" t="s">
        <v>2</v>
      </c>
      <c r="B3" s="365"/>
      <c r="C3" s="365"/>
      <c r="D3" s="365"/>
      <c r="E3" s="365"/>
      <c r="F3" s="365"/>
      <c r="G3" s="365"/>
      <c r="H3" s="365"/>
      <c r="I3" s="366"/>
      <c r="J3" s="314"/>
      <c r="K3" s="2"/>
      <c r="L3" s="367" t="s">
        <v>3</v>
      </c>
      <c r="M3" s="365"/>
      <c r="N3" s="365"/>
      <c r="O3" s="365"/>
      <c r="P3" s="365"/>
      <c r="Q3" s="368"/>
      <c r="R3" s="2"/>
      <c r="S3" s="367" t="s">
        <v>4</v>
      </c>
      <c r="T3" s="365"/>
      <c r="U3" s="365"/>
      <c r="V3" s="365"/>
      <c r="W3" s="365"/>
      <c r="X3" s="365"/>
      <c r="Y3" s="365"/>
      <c r="Z3" s="365"/>
      <c r="AA3" s="369"/>
      <c r="AC3" s="364" t="s">
        <v>2</v>
      </c>
      <c r="AD3" s="365"/>
      <c r="AE3" s="365"/>
      <c r="AF3" s="365"/>
      <c r="AG3" s="365"/>
      <c r="AH3" s="365"/>
      <c r="AI3" s="365"/>
      <c r="AJ3" s="365"/>
      <c r="AK3" s="366"/>
      <c r="AL3" s="314"/>
      <c r="AM3" s="2"/>
      <c r="AN3" s="367" t="s">
        <v>3</v>
      </c>
      <c r="AO3" s="365"/>
      <c r="AP3" s="365"/>
      <c r="AQ3" s="365"/>
      <c r="AR3" s="365"/>
      <c r="AS3" s="368"/>
      <c r="AT3" s="2"/>
      <c r="AU3" s="367" t="s">
        <v>4</v>
      </c>
      <c r="AV3" s="365"/>
      <c r="AW3" s="365"/>
      <c r="AX3" s="365"/>
      <c r="AY3" s="365"/>
      <c r="AZ3" s="365"/>
      <c r="BA3" s="365"/>
      <c r="BB3" s="365"/>
      <c r="BC3" s="369"/>
    </row>
    <row r="4" spans="1:55" ht="15" thickBot="1" x14ac:dyDescent="0.35">
      <c r="A4" s="3" t="s">
        <v>5</v>
      </c>
      <c r="B4" s="4"/>
      <c r="C4" s="5"/>
      <c r="D4" s="6" t="s">
        <v>6</v>
      </c>
      <c r="E4" s="380"/>
      <c r="F4" s="381"/>
      <c r="G4" s="312"/>
      <c r="H4" s="312"/>
      <c r="I4" s="8"/>
      <c r="J4" s="9"/>
      <c r="K4" s="10"/>
      <c r="L4" s="6" t="s">
        <v>5</v>
      </c>
      <c r="M4" s="4">
        <f>B4</f>
        <v>0</v>
      </c>
      <c r="N4" s="5"/>
      <c r="O4" s="370" t="s">
        <v>6</v>
      </c>
      <c r="P4" s="371"/>
      <c r="Q4" s="11"/>
      <c r="R4" s="12"/>
      <c r="S4" s="6" t="s">
        <v>5</v>
      </c>
      <c r="T4" s="4">
        <f>B4</f>
        <v>0</v>
      </c>
      <c r="U4" s="5"/>
      <c r="V4" s="6" t="s">
        <v>6</v>
      </c>
      <c r="W4" s="382"/>
      <c r="X4" s="383"/>
      <c r="Y4" s="5"/>
      <c r="Z4" s="13"/>
      <c r="AA4" s="14"/>
      <c r="AB4" s="15"/>
      <c r="AC4" s="3" t="s">
        <v>5</v>
      </c>
      <c r="AD4" s="4">
        <f>B4</f>
        <v>0</v>
      </c>
      <c r="AE4" s="5"/>
      <c r="AF4" s="6" t="s">
        <v>6</v>
      </c>
      <c r="AG4" s="380"/>
      <c r="AH4" s="381"/>
      <c r="AI4" s="312"/>
      <c r="AJ4" s="312"/>
      <c r="AK4" s="8"/>
      <c r="AL4" s="9"/>
      <c r="AM4" s="10"/>
      <c r="AN4" s="6" t="s">
        <v>5</v>
      </c>
      <c r="AO4" s="4">
        <f>B4</f>
        <v>0</v>
      </c>
      <c r="AP4" s="5"/>
      <c r="AQ4" s="370" t="s">
        <v>6</v>
      </c>
      <c r="AR4" s="371"/>
      <c r="AS4" s="11"/>
      <c r="AT4" s="12"/>
      <c r="AU4" s="6" t="s">
        <v>5</v>
      </c>
      <c r="AV4" s="4">
        <f>B4</f>
        <v>0</v>
      </c>
      <c r="AW4" s="5"/>
      <c r="AX4" s="6" t="s">
        <v>6</v>
      </c>
      <c r="AY4" s="382"/>
      <c r="AZ4" s="383"/>
      <c r="BA4" s="5"/>
      <c r="BB4" s="13"/>
      <c r="BC4" s="14"/>
    </row>
    <row r="5" spans="1:55" ht="43.8" thickBot="1" x14ac:dyDescent="0.35">
      <c r="A5" s="16" t="s">
        <v>8</v>
      </c>
      <c r="B5" s="17"/>
      <c r="C5" s="5"/>
      <c r="D5" s="18" t="s">
        <v>9</v>
      </c>
      <c r="E5" s="19"/>
      <c r="F5" s="20" t="s">
        <v>10</v>
      </c>
      <c r="G5" s="21">
        <f>SUM((B5+E5)/12, 0)</f>
        <v>0</v>
      </c>
      <c r="H5" s="22"/>
      <c r="I5" s="23"/>
      <c r="J5" s="24"/>
      <c r="K5" s="25"/>
      <c r="L5" s="26" t="s">
        <v>11</v>
      </c>
      <c r="M5" s="27"/>
      <c r="N5" s="5"/>
      <c r="O5" s="28" t="s">
        <v>12</v>
      </c>
      <c r="P5" s="298">
        <f>SUM(M5/12)</f>
        <v>0</v>
      </c>
      <c r="Q5" s="317"/>
      <c r="R5" s="29"/>
      <c r="S5" s="20" t="s">
        <v>13</v>
      </c>
      <c r="T5" s="17"/>
      <c r="U5" s="5"/>
      <c r="V5" s="18" t="s">
        <v>14</v>
      </c>
      <c r="W5" s="19"/>
      <c r="X5" s="18" t="s">
        <v>10</v>
      </c>
      <c r="Y5" s="30">
        <f>SUM(T5+W5)/12</f>
        <v>0</v>
      </c>
      <c r="Z5" s="31"/>
      <c r="AA5" s="32"/>
      <c r="AB5" s="15"/>
      <c r="AC5" s="16" t="s">
        <v>8</v>
      </c>
      <c r="AD5" s="17"/>
      <c r="AE5" s="5"/>
      <c r="AF5" s="18" t="s">
        <v>9</v>
      </c>
      <c r="AG5" s="19"/>
      <c r="AH5" s="20" t="s">
        <v>10</v>
      </c>
      <c r="AI5" s="21">
        <f>SUM(AD5+AG5)/12</f>
        <v>0</v>
      </c>
      <c r="AJ5" s="22"/>
      <c r="AK5" s="23"/>
      <c r="AL5" s="24"/>
      <c r="AM5" s="25"/>
      <c r="AN5" s="26" t="s">
        <v>11</v>
      </c>
      <c r="AO5" s="27">
        <v>12</v>
      </c>
      <c r="AP5" s="5"/>
      <c r="AQ5" s="28" t="s">
        <v>12</v>
      </c>
      <c r="AR5" s="298">
        <f>AO5/12</f>
        <v>1</v>
      </c>
      <c r="AS5" s="317"/>
      <c r="AT5" s="29"/>
      <c r="AU5" s="20" t="s">
        <v>13</v>
      </c>
      <c r="AV5" s="17"/>
      <c r="AW5" s="5"/>
      <c r="AX5" s="18" t="s">
        <v>14</v>
      </c>
      <c r="AY5" s="19"/>
      <c r="AZ5" s="18" t="s">
        <v>10</v>
      </c>
      <c r="BA5" s="30">
        <f>(AV5+AY5)/12</f>
        <v>0</v>
      </c>
      <c r="BB5" s="31"/>
      <c r="BC5" s="32"/>
    </row>
    <row r="6" spans="1:55" ht="15" thickBot="1" x14ac:dyDescent="0.35">
      <c r="A6" s="33"/>
      <c r="B6" s="370" t="s">
        <v>15</v>
      </c>
      <c r="C6" s="384"/>
      <c r="D6" s="384"/>
      <c r="E6" s="384"/>
      <c r="F6" s="371"/>
      <c r="G6" s="306"/>
      <c r="H6" s="306"/>
      <c r="I6" s="35"/>
      <c r="J6" s="313"/>
      <c r="K6" s="37"/>
      <c r="L6" s="370" t="s">
        <v>16</v>
      </c>
      <c r="M6" s="384"/>
      <c r="N6" s="384"/>
      <c r="O6" s="384"/>
      <c r="P6" s="384"/>
      <c r="Q6" s="385"/>
      <c r="R6" s="37"/>
      <c r="S6" s="370" t="s">
        <v>16</v>
      </c>
      <c r="T6" s="384"/>
      <c r="U6" s="384"/>
      <c r="V6" s="384"/>
      <c r="W6" s="384"/>
      <c r="X6" s="384"/>
      <c r="Y6" s="384"/>
      <c r="Z6" s="384"/>
      <c r="AA6" s="386"/>
      <c r="AC6" s="33"/>
      <c r="AD6" s="370" t="s">
        <v>15</v>
      </c>
      <c r="AE6" s="384"/>
      <c r="AF6" s="384"/>
      <c r="AG6" s="384"/>
      <c r="AH6" s="371"/>
      <c r="AI6" s="306"/>
      <c r="AJ6" s="306"/>
      <c r="AK6" s="35"/>
      <c r="AL6" s="313"/>
      <c r="AM6" s="37"/>
      <c r="AN6" s="370" t="s">
        <v>16</v>
      </c>
      <c r="AO6" s="384"/>
      <c r="AP6" s="384"/>
      <c r="AQ6" s="384"/>
      <c r="AR6" s="384"/>
      <c r="AS6" s="385"/>
      <c r="AT6" s="37"/>
      <c r="AU6" s="370" t="s">
        <v>16</v>
      </c>
      <c r="AV6" s="384"/>
      <c r="AW6" s="384"/>
      <c r="AX6" s="384"/>
      <c r="AY6" s="384"/>
      <c r="AZ6" s="384"/>
      <c r="BA6" s="384"/>
      <c r="BB6" s="384"/>
      <c r="BC6" s="386"/>
    </row>
    <row r="7" spans="1:55" ht="42" thickBot="1" x14ac:dyDescent="0.35">
      <c r="A7" s="38" t="s">
        <v>17</v>
      </c>
      <c r="B7" s="39" t="s">
        <v>18</v>
      </c>
      <c r="C7" s="40" t="s">
        <v>19</v>
      </c>
      <c r="D7" s="41" t="s">
        <v>20</v>
      </c>
      <c r="E7" s="39" t="s">
        <v>21</v>
      </c>
      <c r="F7" s="40" t="s">
        <v>22</v>
      </c>
      <c r="G7" s="40" t="s">
        <v>23</v>
      </c>
      <c r="H7" s="42" t="s">
        <v>24</v>
      </c>
      <c r="I7" s="43" t="s">
        <v>25</v>
      </c>
      <c r="J7" s="44"/>
      <c r="K7" s="45"/>
      <c r="L7" s="46" t="s">
        <v>26</v>
      </c>
      <c r="M7" s="47" t="s">
        <v>27</v>
      </c>
      <c r="N7" s="48" t="s">
        <v>28</v>
      </c>
      <c r="O7" s="48" t="s">
        <v>29</v>
      </c>
      <c r="P7" s="295" t="s">
        <v>101</v>
      </c>
      <c r="Q7" s="41" t="s">
        <v>30</v>
      </c>
      <c r="R7" s="45"/>
      <c r="S7" s="49" t="s">
        <v>31</v>
      </c>
      <c r="T7" s="50" t="s">
        <v>32</v>
      </c>
      <c r="U7" s="51" t="s">
        <v>33</v>
      </c>
      <c r="V7" s="52" t="s">
        <v>30</v>
      </c>
      <c r="W7" s="53" t="s">
        <v>34</v>
      </c>
      <c r="X7" s="54" t="s">
        <v>35</v>
      </c>
      <c r="Y7" s="55" t="s">
        <v>19</v>
      </c>
      <c r="Z7" s="55" t="s">
        <v>36</v>
      </c>
      <c r="AA7" s="56"/>
      <c r="AC7" s="38" t="s">
        <v>17</v>
      </c>
      <c r="AD7" s="39" t="s">
        <v>18</v>
      </c>
      <c r="AE7" s="40" t="s">
        <v>19</v>
      </c>
      <c r="AF7" s="41" t="s">
        <v>20</v>
      </c>
      <c r="AG7" s="39" t="s">
        <v>21</v>
      </c>
      <c r="AH7" s="40" t="s">
        <v>22</v>
      </c>
      <c r="AI7" s="40" t="s">
        <v>23</v>
      </c>
      <c r="AJ7" s="42" t="s">
        <v>24</v>
      </c>
      <c r="AK7" s="43" t="s">
        <v>25</v>
      </c>
      <c r="AL7" s="44"/>
      <c r="AM7" s="45"/>
      <c r="AN7" s="46" t="s">
        <v>26</v>
      </c>
      <c r="AO7" s="47" t="s">
        <v>27</v>
      </c>
      <c r="AP7" s="48" t="s">
        <v>28</v>
      </c>
      <c r="AQ7" s="48" t="s">
        <v>29</v>
      </c>
      <c r="AR7" s="295" t="s">
        <v>101</v>
      </c>
      <c r="AS7" s="41" t="s">
        <v>30</v>
      </c>
      <c r="AT7" s="45"/>
      <c r="AU7" s="49" t="s">
        <v>31</v>
      </c>
      <c r="AV7" s="50" t="s">
        <v>32</v>
      </c>
      <c r="AW7" s="51" t="s">
        <v>33</v>
      </c>
      <c r="AX7" s="52" t="s">
        <v>30</v>
      </c>
      <c r="AY7" s="53" t="s">
        <v>34</v>
      </c>
      <c r="AZ7" s="54" t="s">
        <v>35</v>
      </c>
      <c r="BA7" s="55" t="s">
        <v>19</v>
      </c>
      <c r="BB7" s="55" t="s">
        <v>36</v>
      </c>
      <c r="BC7" s="56"/>
    </row>
    <row r="8" spans="1:55" ht="15" thickBot="1" x14ac:dyDescent="0.35">
      <c r="A8" s="57" t="s">
        <v>37</v>
      </c>
      <c r="B8" s="58"/>
      <c r="C8" s="59">
        <f>B8*(1-B10)</f>
        <v>0</v>
      </c>
      <c r="D8" s="60">
        <f>IFERROR(H9/C9,0)</f>
        <v>0</v>
      </c>
      <c r="E8" s="61"/>
      <c r="F8" s="62">
        <f>E8*(1-F10)</f>
        <v>0</v>
      </c>
      <c r="G8" s="63">
        <f>IFERROR(I9/F9,0)</f>
        <v>0</v>
      </c>
      <c r="H8" s="64">
        <f>H9*B5</f>
        <v>0</v>
      </c>
      <c r="I8" s="64">
        <f>I9*B5</f>
        <v>0</v>
      </c>
      <c r="J8" s="65"/>
      <c r="K8" s="66"/>
      <c r="L8" s="67"/>
      <c r="M8" s="68"/>
      <c r="N8" s="64">
        <f>L8*(1-M10)</f>
        <v>0</v>
      </c>
      <c r="O8" s="69"/>
      <c r="P8" s="296"/>
      <c r="Q8" s="60">
        <f>IFERROR((O8+P8)/L8,0)</f>
        <v>0</v>
      </c>
      <c r="R8" s="70"/>
      <c r="S8" s="71"/>
      <c r="T8" s="72"/>
      <c r="U8" s="62">
        <f>S8*(1-T10)</f>
        <v>0</v>
      </c>
      <c r="V8" s="60">
        <f>IFERROR(T8/S8,0)</f>
        <v>0</v>
      </c>
      <c r="W8" s="73"/>
      <c r="X8" s="74"/>
      <c r="Y8" s="75">
        <f>W8*(1-X10)</f>
        <v>0</v>
      </c>
      <c r="Z8" s="76">
        <f>IFERROR(X8/W8,0)</f>
        <v>0</v>
      </c>
      <c r="AA8" s="77"/>
      <c r="AB8" s="15"/>
      <c r="AC8" s="57" t="s">
        <v>37</v>
      </c>
      <c r="AD8" s="58"/>
      <c r="AE8" s="59">
        <f>AD8*(1-AD10)</f>
        <v>0</v>
      </c>
      <c r="AF8" s="60">
        <f>IFERROR(AJ9/AE9,0)</f>
        <v>0</v>
      </c>
      <c r="AG8" s="61"/>
      <c r="AH8" s="62">
        <f>AG8*(1-AH10)</f>
        <v>0</v>
      </c>
      <c r="AI8" s="63">
        <f>IFERROR(AK9/AH9,0)</f>
        <v>0</v>
      </c>
      <c r="AJ8" s="64">
        <f>AJ9*AD5</f>
        <v>0</v>
      </c>
      <c r="AK8" s="64">
        <f>AK9*AD5</f>
        <v>0</v>
      </c>
      <c r="AL8" s="65"/>
      <c r="AM8" s="66"/>
      <c r="AN8" s="67"/>
      <c r="AO8" s="68"/>
      <c r="AP8" s="64">
        <f>AN8*(1-AO10)</f>
        <v>0</v>
      </c>
      <c r="AQ8" s="69"/>
      <c r="AR8" s="296"/>
      <c r="AS8" s="60" t="e">
        <f>SUM((AQ8+AR8)/AP8,0)</f>
        <v>#DIV/0!</v>
      </c>
      <c r="AT8" s="70"/>
      <c r="AU8" s="71"/>
      <c r="AV8" s="72"/>
      <c r="AW8" s="62">
        <f>AU8*(1-AV10)</f>
        <v>0</v>
      </c>
      <c r="AX8" s="60">
        <f>IFERROR(AV8/AU8,0)</f>
        <v>0</v>
      </c>
      <c r="AY8" s="73"/>
      <c r="AZ8" s="74"/>
      <c r="BA8" s="75">
        <f>AY8*(1-AZ10)</f>
        <v>0</v>
      </c>
      <c r="BB8" s="76">
        <f>IFERROR(AZ8/AY8,0)</f>
        <v>0</v>
      </c>
      <c r="BC8" s="77"/>
    </row>
    <row r="9" spans="1:55" ht="15" thickBot="1" x14ac:dyDescent="0.35">
      <c r="A9" s="78" t="s">
        <v>38</v>
      </c>
      <c r="B9" s="79">
        <f>IFERROR(SUM(B8/B5),0)</f>
        <v>0</v>
      </c>
      <c r="C9" s="79">
        <f>B8*(1-B10)</f>
        <v>0</v>
      </c>
      <c r="D9" s="80"/>
      <c r="E9" s="79">
        <f>IFERROR(SUM(E8/E5),0)</f>
        <v>0</v>
      </c>
      <c r="F9" s="81">
        <f>IFERROR(SUM(F8/E5),0)</f>
        <v>0</v>
      </c>
      <c r="G9" s="82"/>
      <c r="H9" s="83"/>
      <c r="I9" s="83"/>
      <c r="J9" s="84"/>
      <c r="K9" s="85"/>
      <c r="L9" s="86">
        <f>IFERROR(L8/M5,0)</f>
        <v>0</v>
      </c>
      <c r="M9" s="86">
        <f>IFERROR(M8/M5,0)</f>
        <v>0</v>
      </c>
      <c r="N9" s="86">
        <f>IFERROR(N8/M5,0)</f>
        <v>0</v>
      </c>
      <c r="O9" s="86">
        <f>IFERROR(O8/M5,0)</f>
        <v>0</v>
      </c>
      <c r="P9" s="297" t="e">
        <f>SUM(P8/M5,0)</f>
        <v>#DIV/0!</v>
      </c>
      <c r="Q9" s="87">
        <f>IFERROR(Q8/M5,0)</f>
        <v>0</v>
      </c>
      <c r="R9" s="88"/>
      <c r="S9" s="89">
        <f>IFERROR(S8/T5,0)</f>
        <v>0</v>
      </c>
      <c r="T9" s="90">
        <f>IFERROR(SUM(T8/T5),0)</f>
        <v>0</v>
      </c>
      <c r="U9" s="91">
        <f>IFERROR(U8/T5,0)</f>
        <v>0</v>
      </c>
      <c r="V9" s="92"/>
      <c r="W9" s="93">
        <f>IFERROR(W8/W5,0)</f>
        <v>0</v>
      </c>
      <c r="X9" s="94">
        <f>IFERROR(X8/W5,0)</f>
        <v>0</v>
      </c>
      <c r="Y9" s="88">
        <f>IFERROR(Y8/W5,0)</f>
        <v>0</v>
      </c>
      <c r="Z9" s="95"/>
      <c r="AA9" s="96"/>
      <c r="AB9" s="15"/>
      <c r="AC9" s="78" t="s">
        <v>38</v>
      </c>
      <c r="AD9" s="79">
        <f>IFERROR(SUM(AD8/AD5),0)</f>
        <v>0</v>
      </c>
      <c r="AE9" s="79">
        <f>IFERROR(AE8/AD5,0)</f>
        <v>0</v>
      </c>
      <c r="AF9" s="80"/>
      <c r="AG9" s="79">
        <f>IFERROR(SUM(AG8/AG5),0)</f>
        <v>0</v>
      </c>
      <c r="AH9" s="81">
        <f>IFERROR(SUM(AH8/AG5),0)</f>
        <v>0</v>
      </c>
      <c r="AI9" s="82"/>
      <c r="AJ9" s="83"/>
      <c r="AK9" s="83"/>
      <c r="AL9" s="84"/>
      <c r="AM9" s="85"/>
      <c r="AN9" s="86">
        <f>IFERROR(AN8/AO5,0)</f>
        <v>0</v>
      </c>
      <c r="AO9" s="86">
        <f>IFERROR(AO8/AO5,0)</f>
        <v>0</v>
      </c>
      <c r="AP9" s="86">
        <f>IFERROR(AP8/AO5,0)</f>
        <v>0</v>
      </c>
      <c r="AQ9" s="86">
        <f>IFERROR(AQ8/AO5,0)</f>
        <v>0</v>
      </c>
      <c r="AR9" s="297">
        <f>SUM(AR8/AO5,0)</f>
        <v>0</v>
      </c>
      <c r="AS9" s="87">
        <f>IFERROR(AS8/AO5,0)</f>
        <v>0</v>
      </c>
      <c r="AT9" s="88"/>
      <c r="AU9" s="89">
        <f>IFERROR(AU8/AV5,0)</f>
        <v>0</v>
      </c>
      <c r="AV9" s="90">
        <f>IFERROR(SUM(AV8/AV5),0)</f>
        <v>0</v>
      </c>
      <c r="AW9" s="91">
        <f>IFERROR(AW8/AV5,0)</f>
        <v>0</v>
      </c>
      <c r="AX9" s="92"/>
      <c r="AY9" s="93">
        <f>IFERROR(AY8/AY5,0)</f>
        <v>0</v>
      </c>
      <c r="AZ9" s="94">
        <f>IFERROR(AZ8/AY5,0)</f>
        <v>0</v>
      </c>
      <c r="BA9" s="88">
        <f>IFERROR(BA8/AY5,0)</f>
        <v>0</v>
      </c>
      <c r="BB9" s="95"/>
      <c r="BC9" s="96"/>
    </row>
    <row r="10" spans="1:55" ht="29.4" thickBot="1" x14ac:dyDescent="0.35">
      <c r="A10" s="97" t="s">
        <v>39</v>
      </c>
      <c r="B10" s="98">
        <f>J23</f>
        <v>0</v>
      </c>
      <c r="C10" s="99"/>
      <c r="D10" s="100"/>
      <c r="E10" s="101" t="s">
        <v>39</v>
      </c>
      <c r="F10" s="102">
        <f>J23</f>
        <v>0</v>
      </c>
      <c r="G10" s="103"/>
      <c r="H10" s="99"/>
      <c r="I10" s="104"/>
      <c r="J10" s="105"/>
      <c r="K10" s="106"/>
      <c r="L10" s="107" t="s">
        <v>39</v>
      </c>
      <c r="M10" s="108">
        <f>P23</f>
        <v>0</v>
      </c>
      <c r="N10" s="109"/>
      <c r="O10" s="109"/>
      <c r="P10" s="109"/>
      <c r="Q10" s="110"/>
      <c r="R10" s="111"/>
      <c r="S10" s="107" t="s">
        <v>39</v>
      </c>
      <c r="T10" s="108">
        <f>AA23</f>
        <v>0</v>
      </c>
      <c r="U10" s="112"/>
      <c r="V10" s="100"/>
      <c r="W10" s="101" t="s">
        <v>39</v>
      </c>
      <c r="X10" s="113">
        <f>AA23</f>
        <v>0</v>
      </c>
      <c r="Y10" s="5"/>
      <c r="Z10" s="5"/>
      <c r="AA10" s="114"/>
      <c r="AB10" s="15"/>
      <c r="AC10" s="97" t="s">
        <v>39</v>
      </c>
      <c r="AD10" s="98">
        <f>AL23</f>
        <v>0</v>
      </c>
      <c r="AE10" s="99"/>
      <c r="AF10" s="100"/>
      <c r="AG10" s="101" t="s">
        <v>39</v>
      </c>
      <c r="AH10" s="102">
        <f>AL23</f>
        <v>0</v>
      </c>
      <c r="AI10" s="103"/>
      <c r="AJ10" s="99"/>
      <c r="AK10" s="104"/>
      <c r="AL10" s="105"/>
      <c r="AM10" s="106"/>
      <c r="AN10" s="107" t="s">
        <v>39</v>
      </c>
      <c r="AO10" s="108">
        <f>AR23</f>
        <v>0</v>
      </c>
      <c r="AP10" s="109"/>
      <c r="AQ10" s="109"/>
      <c r="AR10" s="109"/>
      <c r="AS10" s="110"/>
      <c r="AT10" s="111"/>
      <c r="AU10" s="107" t="s">
        <v>39</v>
      </c>
      <c r="AV10" s="108">
        <f>BC23</f>
        <v>0</v>
      </c>
      <c r="AW10" s="112"/>
      <c r="AX10" s="100"/>
      <c r="AY10" s="101" t="s">
        <v>39</v>
      </c>
      <c r="AZ10" s="113">
        <f>BC23</f>
        <v>0</v>
      </c>
      <c r="BA10" s="5"/>
      <c r="BB10" s="5"/>
      <c r="BC10" s="114"/>
    </row>
    <row r="11" spans="1:55" ht="15" thickBot="1" x14ac:dyDescent="0.35">
      <c r="A11" s="308" t="s">
        <v>40</v>
      </c>
      <c r="B11" s="116"/>
      <c r="C11" s="99"/>
      <c r="D11" s="80"/>
      <c r="E11" s="117"/>
      <c r="F11" s="118"/>
      <c r="G11" s="119" t="s">
        <v>41</v>
      </c>
      <c r="H11" s="120"/>
      <c r="I11" s="121"/>
      <c r="J11" s="122"/>
      <c r="K11" s="123"/>
      <c r="L11" s="310" t="s">
        <v>40</v>
      </c>
      <c r="M11" s="125" t="s">
        <v>42</v>
      </c>
      <c r="N11" s="126" t="s">
        <v>41</v>
      </c>
      <c r="O11" s="127"/>
      <c r="P11" s="127"/>
      <c r="Q11" s="128"/>
      <c r="R11" s="123"/>
      <c r="S11" s="129" t="s">
        <v>40</v>
      </c>
      <c r="T11" s="130" t="s">
        <v>42</v>
      </c>
      <c r="U11" s="131" t="s">
        <v>41</v>
      </c>
      <c r="V11" s="132" t="s">
        <v>43</v>
      </c>
      <c r="W11" s="312" t="s">
        <v>40</v>
      </c>
      <c r="X11" s="133"/>
      <c r="Y11" s="131" t="s">
        <v>41</v>
      </c>
      <c r="Z11" s="134"/>
      <c r="AA11" s="135"/>
      <c r="AB11" s="15"/>
      <c r="AC11" s="308" t="s">
        <v>40</v>
      </c>
      <c r="AD11" s="116"/>
      <c r="AE11" s="99"/>
      <c r="AF11" s="80"/>
      <c r="AG11" s="117"/>
      <c r="AH11" s="118"/>
      <c r="AI11" s="119" t="s">
        <v>41</v>
      </c>
      <c r="AJ11" s="120"/>
      <c r="AK11" s="121"/>
      <c r="AL11" s="122"/>
      <c r="AM11" s="123"/>
      <c r="AN11" s="310" t="s">
        <v>40</v>
      </c>
      <c r="AO11" s="125" t="s">
        <v>42</v>
      </c>
      <c r="AP11" s="126" t="s">
        <v>41</v>
      </c>
      <c r="AQ11" s="127"/>
      <c r="AR11" s="127"/>
      <c r="AS11" s="128"/>
      <c r="AT11" s="123"/>
      <c r="AU11" s="129" t="s">
        <v>40</v>
      </c>
      <c r="AV11" s="130" t="s">
        <v>42</v>
      </c>
      <c r="AW11" s="131" t="s">
        <v>41</v>
      </c>
      <c r="AX11" s="132"/>
      <c r="AY11" s="312" t="s">
        <v>40</v>
      </c>
      <c r="AZ11" s="133"/>
      <c r="BA11" s="131" t="s">
        <v>41</v>
      </c>
      <c r="BB11" s="134"/>
      <c r="BC11" s="135"/>
    </row>
    <row r="12" spans="1:55" ht="15" thickBot="1" x14ac:dyDescent="0.35">
      <c r="A12" s="372" t="s">
        <v>44</v>
      </c>
      <c r="B12" s="373"/>
      <c r="C12" s="373"/>
      <c r="D12" s="373"/>
      <c r="E12" s="373"/>
      <c r="F12" s="373"/>
      <c r="G12" s="373"/>
      <c r="H12" s="373"/>
      <c r="I12" s="305"/>
      <c r="J12" s="137"/>
      <c r="K12" s="138"/>
      <c r="L12" s="374" t="s">
        <v>44</v>
      </c>
      <c r="M12" s="373"/>
      <c r="N12" s="373"/>
      <c r="O12" s="375"/>
      <c r="P12" s="375"/>
      <c r="Q12" s="376"/>
      <c r="R12" s="10"/>
      <c r="S12" s="374" t="s">
        <v>44</v>
      </c>
      <c r="T12" s="373"/>
      <c r="U12" s="373"/>
      <c r="V12" s="373"/>
      <c r="W12" s="373"/>
      <c r="X12" s="373"/>
      <c r="Y12" s="373"/>
      <c r="Z12" s="373"/>
      <c r="AA12" s="377"/>
      <c r="AC12" s="372" t="s">
        <v>44</v>
      </c>
      <c r="AD12" s="373"/>
      <c r="AE12" s="373"/>
      <c r="AF12" s="373"/>
      <c r="AG12" s="373"/>
      <c r="AH12" s="373"/>
      <c r="AI12" s="373"/>
      <c r="AJ12" s="373"/>
      <c r="AK12" s="305"/>
      <c r="AL12" s="137"/>
      <c r="AM12" s="138"/>
      <c r="AN12" s="374" t="s">
        <v>44</v>
      </c>
      <c r="AO12" s="373"/>
      <c r="AP12" s="373"/>
      <c r="AQ12" s="375"/>
      <c r="AR12" s="375"/>
      <c r="AS12" s="376"/>
      <c r="AT12" s="10"/>
      <c r="AU12" s="374" t="s">
        <v>44</v>
      </c>
      <c r="AV12" s="373"/>
      <c r="AW12" s="373"/>
      <c r="AX12" s="373"/>
      <c r="AY12" s="373"/>
      <c r="AZ12" s="373"/>
      <c r="BA12" s="373"/>
      <c r="BB12" s="373"/>
      <c r="BC12" s="377"/>
    </row>
    <row r="13" spans="1:55" ht="29.4" thickBot="1" x14ac:dyDescent="0.35">
      <c r="A13" s="139"/>
      <c r="B13" s="378" t="s">
        <v>45</v>
      </c>
      <c r="C13" s="387"/>
      <c r="D13" s="388"/>
      <c r="E13" s="378" t="s">
        <v>46</v>
      </c>
      <c r="F13" s="388"/>
      <c r="G13" s="307" t="s">
        <v>47</v>
      </c>
      <c r="H13" s="378" t="s">
        <v>42</v>
      </c>
      <c r="I13" s="387"/>
      <c r="J13" s="141" t="s">
        <v>48</v>
      </c>
      <c r="K13" s="142"/>
      <c r="L13" s="378" t="s">
        <v>49</v>
      </c>
      <c r="M13" s="388"/>
      <c r="N13" s="378" t="s">
        <v>50</v>
      </c>
      <c r="O13" s="387"/>
      <c r="P13" s="378" t="s">
        <v>48</v>
      </c>
      <c r="Q13" s="379"/>
      <c r="R13" s="142"/>
      <c r="S13" s="378" t="s">
        <v>49</v>
      </c>
      <c r="T13" s="388"/>
      <c r="U13" s="378" t="s">
        <v>50</v>
      </c>
      <c r="V13" s="387"/>
      <c r="W13" s="378" t="s">
        <v>45</v>
      </c>
      <c r="X13" s="387"/>
      <c r="Y13" s="388"/>
      <c r="Z13" s="143" t="s">
        <v>51</v>
      </c>
      <c r="AA13" s="144" t="s">
        <v>48</v>
      </c>
      <c r="AC13" s="139"/>
      <c r="AD13" s="378" t="s">
        <v>45</v>
      </c>
      <c r="AE13" s="387"/>
      <c r="AF13" s="388"/>
      <c r="AG13" s="378" t="s">
        <v>46</v>
      </c>
      <c r="AH13" s="388"/>
      <c r="AI13" s="307" t="s">
        <v>47</v>
      </c>
      <c r="AJ13" s="378" t="s">
        <v>42</v>
      </c>
      <c r="AK13" s="387"/>
      <c r="AL13" s="141" t="s">
        <v>48</v>
      </c>
      <c r="AM13" s="142"/>
      <c r="AN13" s="378" t="s">
        <v>49</v>
      </c>
      <c r="AO13" s="388"/>
      <c r="AP13" s="378" t="s">
        <v>50</v>
      </c>
      <c r="AQ13" s="387"/>
      <c r="AR13" s="387" t="s">
        <v>48</v>
      </c>
      <c r="AS13" s="379"/>
      <c r="AT13" s="142"/>
      <c r="AU13" s="378" t="s">
        <v>49</v>
      </c>
      <c r="AV13" s="388"/>
      <c r="AW13" s="378" t="s">
        <v>50</v>
      </c>
      <c r="AX13" s="387"/>
      <c r="AY13" s="378" t="s">
        <v>45</v>
      </c>
      <c r="AZ13" s="387"/>
      <c r="BA13" s="388"/>
      <c r="BB13" s="143" t="s">
        <v>51</v>
      </c>
      <c r="BC13" s="144" t="s">
        <v>48</v>
      </c>
    </row>
    <row r="14" spans="1:55" ht="15" thickBot="1" x14ac:dyDescent="0.35">
      <c r="A14" s="145" t="s">
        <v>52</v>
      </c>
      <c r="B14" s="46" t="s">
        <v>53</v>
      </c>
      <c r="C14" s="46" t="s">
        <v>54</v>
      </c>
      <c r="D14" s="46" t="s">
        <v>55</v>
      </c>
      <c r="E14" s="46">
        <v>70</v>
      </c>
      <c r="F14" s="146">
        <v>-140</v>
      </c>
      <c r="G14" s="46" t="s">
        <v>54</v>
      </c>
      <c r="H14" s="46" t="s">
        <v>53</v>
      </c>
      <c r="I14" s="303" t="s">
        <v>56</v>
      </c>
      <c r="J14" s="148"/>
      <c r="K14" s="149"/>
      <c r="L14" s="46" t="s">
        <v>53</v>
      </c>
      <c r="M14" s="46" t="s">
        <v>56</v>
      </c>
      <c r="N14" s="46" t="s">
        <v>53</v>
      </c>
      <c r="O14" s="150" t="s">
        <v>56</v>
      </c>
      <c r="P14" s="418"/>
      <c r="Q14" s="445"/>
      <c r="R14" s="149"/>
      <c r="S14" s="46" t="s">
        <v>53</v>
      </c>
      <c r="T14" s="46" t="s">
        <v>56</v>
      </c>
      <c r="U14" s="46" t="s">
        <v>53</v>
      </c>
      <c r="V14" s="303" t="s">
        <v>56</v>
      </c>
      <c r="W14" s="46" t="s">
        <v>53</v>
      </c>
      <c r="X14" s="46" t="s">
        <v>54</v>
      </c>
      <c r="Y14" s="46" t="s">
        <v>55</v>
      </c>
      <c r="Z14" s="150" t="s">
        <v>57</v>
      </c>
      <c r="AA14" s="151"/>
      <c r="AC14" s="145" t="s">
        <v>52</v>
      </c>
      <c r="AD14" s="46" t="s">
        <v>53</v>
      </c>
      <c r="AE14" s="46" t="s">
        <v>54</v>
      </c>
      <c r="AF14" s="46" t="s">
        <v>55</v>
      </c>
      <c r="AG14" s="46">
        <v>70</v>
      </c>
      <c r="AH14" s="146">
        <v>-140</v>
      </c>
      <c r="AI14" s="46" t="s">
        <v>54</v>
      </c>
      <c r="AJ14" s="46" t="s">
        <v>53</v>
      </c>
      <c r="AK14" s="303" t="s">
        <v>56</v>
      </c>
      <c r="AL14" s="148"/>
      <c r="AM14" s="149"/>
      <c r="AN14" s="46" t="s">
        <v>53</v>
      </c>
      <c r="AO14" s="46" t="s">
        <v>56</v>
      </c>
      <c r="AP14" s="46" t="s">
        <v>53</v>
      </c>
      <c r="AQ14" s="150" t="s">
        <v>56</v>
      </c>
      <c r="AR14" s="394"/>
      <c r="AS14" s="395"/>
      <c r="AT14" s="149"/>
      <c r="AU14" s="46" t="s">
        <v>53</v>
      </c>
      <c r="AV14" s="46" t="s">
        <v>56</v>
      </c>
      <c r="AW14" s="46" t="s">
        <v>53</v>
      </c>
      <c r="AX14" s="303" t="s">
        <v>56</v>
      </c>
      <c r="AY14" s="46" t="s">
        <v>53</v>
      </c>
      <c r="AZ14" s="46" t="s">
        <v>54</v>
      </c>
      <c r="BA14" s="46" t="s">
        <v>55</v>
      </c>
      <c r="BB14" s="150" t="s">
        <v>57</v>
      </c>
      <c r="BC14" s="151"/>
    </row>
    <row r="15" spans="1:55" x14ac:dyDescent="0.3">
      <c r="A15" s="152"/>
      <c r="B15" s="153"/>
      <c r="C15" s="154"/>
      <c r="D15" s="155"/>
      <c r="E15" s="156"/>
      <c r="F15" s="157"/>
      <c r="G15" s="158"/>
      <c r="H15" s="158"/>
      <c r="I15" s="159"/>
      <c r="J15" s="160"/>
      <c r="K15" s="161"/>
      <c r="L15" s="162"/>
      <c r="M15" s="163"/>
      <c r="N15" s="164"/>
      <c r="O15" s="299"/>
      <c r="P15" s="446"/>
      <c r="Q15" s="447"/>
      <c r="R15" s="161"/>
      <c r="S15" s="166"/>
      <c r="T15" s="163"/>
      <c r="U15" s="167"/>
      <c r="V15" s="168"/>
      <c r="W15" s="169"/>
      <c r="X15" s="170"/>
      <c r="Y15" s="170"/>
      <c r="Z15" s="171"/>
      <c r="AA15" s="172"/>
      <c r="AB15" s="173"/>
      <c r="AC15" s="152"/>
      <c r="AD15" s="153"/>
      <c r="AE15" s="154"/>
      <c r="AF15" s="155"/>
      <c r="AG15" s="156"/>
      <c r="AH15" s="157"/>
      <c r="AI15" s="158"/>
      <c r="AJ15" s="158"/>
      <c r="AK15" s="159"/>
      <c r="AL15" s="160"/>
      <c r="AM15" s="161"/>
      <c r="AN15" s="162"/>
      <c r="AO15" s="163"/>
      <c r="AP15" s="164"/>
      <c r="AQ15" s="165"/>
      <c r="AR15" s="356"/>
      <c r="AS15" s="357"/>
      <c r="AT15" s="161"/>
      <c r="AU15" s="166"/>
      <c r="AV15" s="163"/>
      <c r="AW15" s="167"/>
      <c r="AX15" s="168"/>
      <c r="AY15" s="169"/>
      <c r="AZ15" s="170"/>
      <c r="BA15" s="170"/>
      <c r="BB15" s="171"/>
      <c r="BC15" s="172"/>
    </row>
    <row r="16" spans="1:55" x14ac:dyDescent="0.3">
      <c r="A16" s="152"/>
      <c r="B16" s="174"/>
      <c r="C16" s="175"/>
      <c r="D16" s="176"/>
      <c r="E16" s="177"/>
      <c r="F16" s="178"/>
      <c r="G16" s="179"/>
      <c r="H16" s="179"/>
      <c r="I16" s="180"/>
      <c r="J16" s="160"/>
      <c r="K16" s="161"/>
      <c r="L16" s="181"/>
      <c r="M16" s="170"/>
      <c r="N16" s="302"/>
      <c r="O16" s="300"/>
      <c r="P16" s="440"/>
      <c r="Q16" s="357"/>
      <c r="R16" s="161"/>
      <c r="S16" s="169"/>
      <c r="T16" s="170"/>
      <c r="U16" s="169"/>
      <c r="V16" s="171"/>
      <c r="W16" s="169"/>
      <c r="X16" s="170"/>
      <c r="Y16" s="170"/>
      <c r="Z16" s="171"/>
      <c r="AA16" s="184"/>
      <c r="AB16" s="173"/>
      <c r="AC16" s="185"/>
      <c r="AD16" s="174"/>
      <c r="AE16" s="175"/>
      <c r="AF16" s="176"/>
      <c r="AG16" s="177"/>
      <c r="AH16" s="178"/>
      <c r="AI16" s="179"/>
      <c r="AJ16" s="179"/>
      <c r="AK16" s="180"/>
      <c r="AL16" s="160"/>
      <c r="AM16" s="161"/>
      <c r="AN16" s="181"/>
      <c r="AO16" s="170"/>
      <c r="AP16" s="302"/>
      <c r="AQ16" s="183"/>
      <c r="AR16" s="356"/>
      <c r="AS16" s="357"/>
      <c r="AT16" s="161"/>
      <c r="AU16" s="169"/>
      <c r="AV16" s="170"/>
      <c r="AW16" s="169"/>
      <c r="AX16" s="171"/>
      <c r="AY16" s="169"/>
      <c r="AZ16" s="170"/>
      <c r="BA16" s="170"/>
      <c r="BB16" s="171"/>
      <c r="BC16" s="184"/>
    </row>
    <row r="17" spans="1:55" x14ac:dyDescent="0.3">
      <c r="A17" s="152"/>
      <c r="B17" s="174"/>
      <c r="C17" s="175"/>
      <c r="D17" s="176"/>
      <c r="E17" s="177"/>
      <c r="F17" s="178"/>
      <c r="G17" s="179"/>
      <c r="H17" s="179"/>
      <c r="I17" s="180"/>
      <c r="J17" s="160"/>
      <c r="K17" s="161"/>
      <c r="L17" s="181"/>
      <c r="M17" s="170"/>
      <c r="N17" s="302"/>
      <c r="O17" s="300"/>
      <c r="P17" s="440"/>
      <c r="Q17" s="357"/>
      <c r="R17" s="161"/>
      <c r="S17" s="169"/>
      <c r="T17" s="170"/>
      <c r="U17" s="169"/>
      <c r="V17" s="171"/>
      <c r="W17" s="169"/>
      <c r="X17" s="170"/>
      <c r="Y17" s="170"/>
      <c r="Z17" s="171"/>
      <c r="AA17" s="184"/>
      <c r="AB17" s="173"/>
      <c r="AC17" s="185"/>
      <c r="AD17" s="174"/>
      <c r="AE17" s="175"/>
      <c r="AF17" s="176"/>
      <c r="AG17" s="177"/>
      <c r="AH17" s="178"/>
      <c r="AI17" s="179"/>
      <c r="AJ17" s="179"/>
      <c r="AK17" s="180"/>
      <c r="AL17" s="160"/>
      <c r="AM17" s="161"/>
      <c r="AN17" s="181"/>
      <c r="AO17" s="170"/>
      <c r="AP17" s="302"/>
      <c r="AQ17" s="183"/>
      <c r="AR17" s="356"/>
      <c r="AS17" s="357"/>
      <c r="AT17" s="161"/>
      <c r="AU17" s="169"/>
      <c r="AV17" s="170"/>
      <c r="AW17" s="169"/>
      <c r="AX17" s="171"/>
      <c r="AY17" s="169"/>
      <c r="AZ17" s="170"/>
      <c r="BA17" s="170"/>
      <c r="BB17" s="171"/>
      <c r="BC17" s="184"/>
    </row>
    <row r="18" spans="1:55" x14ac:dyDescent="0.3">
      <c r="A18" s="152"/>
      <c r="B18" s="174"/>
      <c r="C18" s="175"/>
      <c r="D18" s="176"/>
      <c r="E18" s="177"/>
      <c r="F18" s="178"/>
      <c r="G18" s="179"/>
      <c r="H18" s="179"/>
      <c r="I18" s="180"/>
      <c r="J18" s="160"/>
      <c r="K18" s="161"/>
      <c r="L18" s="181"/>
      <c r="M18" s="170"/>
      <c r="N18" s="302"/>
      <c r="O18" s="300"/>
      <c r="P18" s="440"/>
      <c r="Q18" s="357"/>
      <c r="R18" s="161"/>
      <c r="S18" s="169"/>
      <c r="T18" s="170"/>
      <c r="U18" s="169"/>
      <c r="V18" s="171"/>
      <c r="W18" s="169"/>
      <c r="X18" s="170"/>
      <c r="Y18" s="170"/>
      <c r="Z18" s="171"/>
      <c r="AA18" s="184"/>
      <c r="AB18" s="173"/>
      <c r="AC18" s="185"/>
      <c r="AD18" s="174"/>
      <c r="AE18" s="175"/>
      <c r="AF18" s="176"/>
      <c r="AG18" s="177"/>
      <c r="AH18" s="178"/>
      <c r="AI18" s="179"/>
      <c r="AJ18" s="179"/>
      <c r="AK18" s="180"/>
      <c r="AL18" s="160"/>
      <c r="AM18" s="161"/>
      <c r="AN18" s="181"/>
      <c r="AO18" s="170"/>
      <c r="AP18" s="302"/>
      <c r="AQ18" s="183"/>
      <c r="AR18" s="356"/>
      <c r="AS18" s="357"/>
      <c r="AT18" s="161"/>
      <c r="AU18" s="169"/>
      <c r="AV18" s="170"/>
      <c r="AW18" s="169"/>
      <c r="AX18" s="171"/>
      <c r="AY18" s="169"/>
      <c r="AZ18" s="170"/>
      <c r="BA18" s="170"/>
      <c r="BB18" s="171"/>
      <c r="BC18" s="184"/>
    </row>
    <row r="19" spans="1:55" x14ac:dyDescent="0.3">
      <c r="A19" s="152"/>
      <c r="B19" s="174"/>
      <c r="C19" s="175"/>
      <c r="D19" s="176"/>
      <c r="E19" s="177"/>
      <c r="F19" s="178"/>
      <c r="G19" s="179"/>
      <c r="H19" s="179"/>
      <c r="I19" s="180"/>
      <c r="J19" s="160"/>
      <c r="K19" s="161"/>
      <c r="L19" s="181"/>
      <c r="M19" s="170"/>
      <c r="N19" s="302"/>
      <c r="O19" s="300"/>
      <c r="P19" s="440"/>
      <c r="Q19" s="357"/>
      <c r="R19" s="161"/>
      <c r="S19" s="169"/>
      <c r="T19" s="170"/>
      <c r="U19" s="169"/>
      <c r="V19" s="171"/>
      <c r="W19" s="169"/>
      <c r="X19" s="170"/>
      <c r="Y19" s="170"/>
      <c r="Z19" s="171"/>
      <c r="AA19" s="184"/>
      <c r="AB19" s="173"/>
      <c r="AC19" s="185"/>
      <c r="AD19" s="174"/>
      <c r="AE19" s="175"/>
      <c r="AF19" s="176"/>
      <c r="AG19" s="177"/>
      <c r="AH19" s="178"/>
      <c r="AI19" s="179"/>
      <c r="AJ19" s="179"/>
      <c r="AK19" s="180"/>
      <c r="AL19" s="160"/>
      <c r="AM19" s="161"/>
      <c r="AN19" s="181"/>
      <c r="AO19" s="170"/>
      <c r="AP19" s="302"/>
      <c r="AQ19" s="183"/>
      <c r="AR19" s="356"/>
      <c r="AS19" s="357"/>
      <c r="AT19" s="161"/>
      <c r="AU19" s="169"/>
      <c r="AV19" s="170"/>
      <c r="AW19" s="169"/>
      <c r="AX19" s="171"/>
      <c r="AY19" s="169"/>
      <c r="AZ19" s="170"/>
      <c r="BA19" s="170"/>
      <c r="BB19" s="171"/>
      <c r="BC19" s="184"/>
    </row>
    <row r="20" spans="1:55" x14ac:dyDescent="0.3">
      <c r="A20" s="152"/>
      <c r="B20" s="174"/>
      <c r="C20" s="175"/>
      <c r="D20" s="176"/>
      <c r="E20" s="177"/>
      <c r="F20" s="178"/>
      <c r="G20" s="179"/>
      <c r="H20" s="179"/>
      <c r="I20" s="180"/>
      <c r="J20" s="160"/>
      <c r="K20" s="161"/>
      <c r="L20" s="181"/>
      <c r="M20" s="170"/>
      <c r="N20" s="302"/>
      <c r="O20" s="300"/>
      <c r="P20" s="440"/>
      <c r="Q20" s="357"/>
      <c r="R20" s="161"/>
      <c r="S20" s="169"/>
      <c r="T20" s="170"/>
      <c r="U20" s="169"/>
      <c r="V20" s="171"/>
      <c r="W20" s="169"/>
      <c r="X20" s="170"/>
      <c r="Y20" s="170"/>
      <c r="Z20" s="171"/>
      <c r="AA20" s="184"/>
      <c r="AB20" s="173"/>
      <c r="AC20" s="185"/>
      <c r="AD20" s="174"/>
      <c r="AE20" s="175"/>
      <c r="AF20" s="176"/>
      <c r="AG20" s="177"/>
      <c r="AH20" s="178"/>
      <c r="AI20" s="179"/>
      <c r="AJ20" s="179"/>
      <c r="AK20" s="180"/>
      <c r="AL20" s="160"/>
      <c r="AM20" s="161"/>
      <c r="AN20" s="181"/>
      <c r="AO20" s="170"/>
      <c r="AP20" s="302"/>
      <c r="AQ20" s="183"/>
      <c r="AR20" s="356"/>
      <c r="AS20" s="357"/>
      <c r="AT20" s="161"/>
      <c r="AU20" s="169"/>
      <c r="AV20" s="170"/>
      <c r="AW20" s="169"/>
      <c r="AX20" s="171"/>
      <c r="AY20" s="169"/>
      <c r="AZ20" s="170"/>
      <c r="BA20" s="170"/>
      <c r="BB20" s="171"/>
      <c r="BC20" s="184"/>
    </row>
    <row r="21" spans="1:55" x14ac:dyDescent="0.3">
      <c r="A21" s="152"/>
      <c r="B21" s="174"/>
      <c r="C21" s="175"/>
      <c r="D21" s="176"/>
      <c r="E21" s="177"/>
      <c r="F21" s="178"/>
      <c r="G21" s="179"/>
      <c r="H21" s="179"/>
      <c r="I21" s="180"/>
      <c r="J21" s="160"/>
      <c r="K21" s="161"/>
      <c r="L21" s="181"/>
      <c r="M21" s="170"/>
      <c r="N21" s="302"/>
      <c r="O21" s="300"/>
      <c r="P21" s="440"/>
      <c r="Q21" s="357"/>
      <c r="R21" s="161"/>
      <c r="S21" s="169"/>
      <c r="T21" s="170"/>
      <c r="U21" s="169"/>
      <c r="V21" s="171"/>
      <c r="W21" s="169"/>
      <c r="X21" s="170"/>
      <c r="Y21" s="170"/>
      <c r="Z21" s="171"/>
      <c r="AA21" s="184"/>
      <c r="AB21" s="173"/>
      <c r="AC21" s="185"/>
      <c r="AD21" s="174"/>
      <c r="AE21" s="175"/>
      <c r="AF21" s="176"/>
      <c r="AG21" s="177"/>
      <c r="AH21" s="178"/>
      <c r="AI21" s="179"/>
      <c r="AJ21" s="179"/>
      <c r="AK21" s="180"/>
      <c r="AL21" s="160"/>
      <c r="AM21" s="161"/>
      <c r="AN21" s="181"/>
      <c r="AO21" s="170"/>
      <c r="AP21" s="302"/>
      <c r="AQ21" s="183"/>
      <c r="AR21" s="356"/>
      <c r="AS21" s="357"/>
      <c r="AT21" s="161"/>
      <c r="AU21" s="169"/>
      <c r="AV21" s="170"/>
      <c r="AW21" s="169"/>
      <c r="AX21" s="171"/>
      <c r="AY21" s="169"/>
      <c r="AZ21" s="170"/>
      <c r="BA21" s="170"/>
      <c r="BB21" s="171"/>
      <c r="BC21" s="184"/>
    </row>
    <row r="22" spans="1:55" ht="15" thickBot="1" x14ac:dyDescent="0.35">
      <c r="A22" s="152"/>
      <c r="B22" s="186"/>
      <c r="C22" s="187"/>
      <c r="D22" s="188"/>
      <c r="E22" s="189"/>
      <c r="F22" s="178"/>
      <c r="G22" s="179"/>
      <c r="H22" s="179"/>
      <c r="I22" s="180"/>
      <c r="J22" s="160"/>
      <c r="K22" s="161"/>
      <c r="L22" s="190"/>
      <c r="M22" s="191"/>
      <c r="N22" s="192"/>
      <c r="O22" s="301"/>
      <c r="P22" s="441"/>
      <c r="Q22" s="442"/>
      <c r="R22" s="161"/>
      <c r="S22" s="194"/>
      <c r="T22" s="191"/>
      <c r="U22" s="194"/>
      <c r="V22" s="195"/>
      <c r="W22" s="194"/>
      <c r="X22" s="170"/>
      <c r="Y22" s="170"/>
      <c r="Z22" s="171"/>
      <c r="AA22" s="184"/>
      <c r="AB22" s="173"/>
      <c r="AC22" s="196"/>
      <c r="AD22" s="186"/>
      <c r="AE22" s="187"/>
      <c r="AF22" s="188"/>
      <c r="AG22" s="189"/>
      <c r="AH22" s="178"/>
      <c r="AI22" s="179"/>
      <c r="AJ22" s="179"/>
      <c r="AK22" s="180"/>
      <c r="AL22" s="160"/>
      <c r="AM22" s="161"/>
      <c r="AN22" s="190"/>
      <c r="AO22" s="191"/>
      <c r="AP22" s="192"/>
      <c r="AQ22" s="193"/>
      <c r="AR22" s="354"/>
      <c r="AS22" s="355"/>
      <c r="AT22" s="161"/>
      <c r="AU22" s="194"/>
      <c r="AV22" s="191"/>
      <c r="AW22" s="194"/>
      <c r="AX22" s="195"/>
      <c r="AY22" s="194"/>
      <c r="AZ22" s="170"/>
      <c r="BA22" s="170"/>
      <c r="BB22" s="171"/>
      <c r="BC22" s="184"/>
    </row>
    <row r="23" spans="1:55" ht="15" thickBot="1" x14ac:dyDescent="0.35">
      <c r="A23" s="197" t="s">
        <v>58</v>
      </c>
      <c r="B23" s="198">
        <f>IFERROR(AVERAGE(B15:B22),0)</f>
        <v>0</v>
      </c>
      <c r="C23" s="198">
        <f t="shared" ref="C23:J23" si="0">IFERROR(AVERAGE(C15:C22),0)</f>
        <v>0</v>
      </c>
      <c r="D23" s="198">
        <f t="shared" si="0"/>
        <v>0</v>
      </c>
      <c r="E23" s="198">
        <f t="shared" si="0"/>
        <v>0</v>
      </c>
      <c r="F23" s="198">
        <f t="shared" si="0"/>
        <v>0</v>
      </c>
      <c r="G23" s="198">
        <f t="shared" si="0"/>
        <v>0</v>
      </c>
      <c r="H23" s="198">
        <f t="shared" si="0"/>
        <v>0</v>
      </c>
      <c r="I23" s="198">
        <f t="shared" si="0"/>
        <v>0</v>
      </c>
      <c r="J23" s="198">
        <f t="shared" si="0"/>
        <v>0</v>
      </c>
      <c r="K23" s="161"/>
      <c r="L23" s="199">
        <f>IFERROR(AVERAGE(L15:L22),0)</f>
        <v>0</v>
      </c>
      <c r="M23" s="198">
        <f>IFERROR(AVERAGE(M15:M22),0)</f>
        <v>0</v>
      </c>
      <c r="N23" s="200">
        <f>IFERROR(AVERAGE(N15:N22),0)</f>
        <v>0</v>
      </c>
      <c r="O23" s="201">
        <f>IFERROR(AVERAGE(O15:O22),0)</f>
        <v>0</v>
      </c>
      <c r="P23" s="443">
        <f>IFERROR(AVERAGE(Q15:Q22),0)</f>
        <v>0</v>
      </c>
      <c r="Q23" s="444"/>
      <c r="R23" s="202"/>
      <c r="S23" s="199">
        <f t="shared" ref="S23:AA23" si="1">IFERROR(AVERAGE(S15:S22),0)</f>
        <v>0</v>
      </c>
      <c r="T23" s="198">
        <f t="shared" si="1"/>
        <v>0</v>
      </c>
      <c r="U23" s="198">
        <f t="shared" si="1"/>
        <v>0</v>
      </c>
      <c r="V23" s="198">
        <f t="shared" si="1"/>
        <v>0</v>
      </c>
      <c r="W23" s="198">
        <f t="shared" si="1"/>
        <v>0</v>
      </c>
      <c r="X23" s="198">
        <f t="shared" si="1"/>
        <v>0</v>
      </c>
      <c r="Y23" s="203">
        <f t="shared" si="1"/>
        <v>0</v>
      </c>
      <c r="Z23" s="204">
        <f t="shared" si="1"/>
        <v>0</v>
      </c>
      <c r="AA23" s="204">
        <f t="shared" si="1"/>
        <v>0</v>
      </c>
      <c r="AB23" s="173"/>
      <c r="AC23" s="197" t="s">
        <v>58</v>
      </c>
      <c r="AD23" s="198">
        <f>IFERROR(AVERAGE(AD15:AD22),0)</f>
        <v>0</v>
      </c>
      <c r="AE23" s="198">
        <f t="shared" ref="AE23:AL23" si="2">IFERROR(AVERAGE(AE15:AE22),0)</f>
        <v>0</v>
      </c>
      <c r="AF23" s="198">
        <f t="shared" si="2"/>
        <v>0</v>
      </c>
      <c r="AG23" s="198">
        <f t="shared" si="2"/>
        <v>0</v>
      </c>
      <c r="AH23" s="198">
        <f t="shared" si="2"/>
        <v>0</v>
      </c>
      <c r="AI23" s="198">
        <f t="shared" si="2"/>
        <v>0</v>
      </c>
      <c r="AJ23" s="198">
        <f t="shared" si="2"/>
        <v>0</v>
      </c>
      <c r="AK23" s="198">
        <f t="shared" si="2"/>
        <v>0</v>
      </c>
      <c r="AL23" s="198">
        <f t="shared" si="2"/>
        <v>0</v>
      </c>
      <c r="AM23" s="161"/>
      <c r="AN23" s="199">
        <f>IFERROR(AVERAGE(AN15:AN22),0)</f>
        <v>0</v>
      </c>
      <c r="AO23" s="198">
        <f>IFERROR(AVERAGE(AO15:AO22),0)</f>
        <v>0</v>
      </c>
      <c r="AP23" s="200">
        <f>IFERROR(AVERAGE(AP15:AP22),0)</f>
        <v>0</v>
      </c>
      <c r="AQ23" s="201">
        <f>IFERROR(AVERAGE(AQ15:AQ22),0)</f>
        <v>0</v>
      </c>
      <c r="AR23" s="396">
        <f>IFERROR(AVERAGE(AR15:AS22),0)</f>
        <v>0</v>
      </c>
      <c r="AS23" s="397"/>
      <c r="AT23" s="202"/>
      <c r="AU23" s="199">
        <f t="shared" ref="AU23:BC23" si="3">IFERROR(AVERAGE(AU15:AU22),0)</f>
        <v>0</v>
      </c>
      <c r="AV23" s="198">
        <f t="shared" si="3"/>
        <v>0</v>
      </c>
      <c r="AW23" s="198">
        <f t="shared" si="3"/>
        <v>0</v>
      </c>
      <c r="AX23" s="198">
        <f t="shared" si="3"/>
        <v>0</v>
      </c>
      <c r="AY23" s="198">
        <f t="shared" si="3"/>
        <v>0</v>
      </c>
      <c r="AZ23" s="198">
        <f t="shared" si="3"/>
        <v>0</v>
      </c>
      <c r="BA23" s="203">
        <f t="shared" si="3"/>
        <v>0</v>
      </c>
      <c r="BB23" s="204">
        <f t="shared" si="3"/>
        <v>0</v>
      </c>
      <c r="BC23" s="205">
        <f t="shared" si="3"/>
        <v>0</v>
      </c>
    </row>
    <row r="24" spans="1:55" ht="15" thickBot="1" x14ac:dyDescent="0.35">
      <c r="A24" s="389" t="s">
        <v>59</v>
      </c>
      <c r="B24" s="390"/>
      <c r="C24" s="390"/>
      <c r="D24" s="390"/>
      <c r="E24" s="390"/>
      <c r="F24" s="391"/>
      <c r="G24" s="309"/>
      <c r="H24" s="309"/>
      <c r="I24" s="311"/>
      <c r="J24" s="311"/>
      <c r="K24" s="12"/>
      <c r="L24" s="392" t="s">
        <v>59</v>
      </c>
      <c r="M24" s="390"/>
      <c r="N24" s="390"/>
      <c r="O24" s="390"/>
      <c r="P24" s="390"/>
      <c r="Q24" s="393"/>
      <c r="R24" s="12"/>
      <c r="S24" s="392" t="s">
        <v>59</v>
      </c>
      <c r="T24" s="390"/>
      <c r="U24" s="390"/>
      <c r="V24" s="390"/>
      <c r="W24" s="390"/>
      <c r="X24" s="390"/>
      <c r="Y24" s="208"/>
      <c r="Z24" s="209"/>
      <c r="AA24" s="210"/>
      <c r="AC24" s="389" t="s">
        <v>59</v>
      </c>
      <c r="AD24" s="390"/>
      <c r="AE24" s="390"/>
      <c r="AF24" s="390"/>
      <c r="AG24" s="390"/>
      <c r="AH24" s="391"/>
      <c r="AI24" s="309"/>
      <c r="AJ24" s="309"/>
      <c r="AK24" s="311"/>
      <c r="AL24" s="311"/>
      <c r="AM24" s="12"/>
      <c r="AN24" s="392" t="s">
        <v>59</v>
      </c>
      <c r="AO24" s="390"/>
      <c r="AP24" s="390"/>
      <c r="AQ24" s="390"/>
      <c r="AR24" s="390"/>
      <c r="AS24" s="393"/>
      <c r="AT24" s="12"/>
      <c r="AU24" s="392" t="s">
        <v>59</v>
      </c>
      <c r="AV24" s="390"/>
      <c r="AW24" s="390"/>
      <c r="AX24" s="390"/>
      <c r="AY24" s="390"/>
      <c r="AZ24" s="390"/>
      <c r="BA24" s="208"/>
      <c r="BB24" s="209"/>
      <c r="BC24" s="210"/>
    </row>
    <row r="25" spans="1:55" x14ac:dyDescent="0.3">
      <c r="A25" s="211" t="s">
        <v>60</v>
      </c>
      <c r="B25" s="212"/>
      <c r="C25" s="400" t="s">
        <v>61</v>
      </c>
      <c r="D25" s="401"/>
      <c r="E25" s="398"/>
      <c r="F25" s="399"/>
      <c r="G25" s="213"/>
      <c r="H25" s="213"/>
      <c r="I25" s="214"/>
      <c r="J25" s="215"/>
      <c r="K25" s="213"/>
      <c r="L25" s="216" t="s">
        <v>60</v>
      </c>
      <c r="M25" s="212"/>
      <c r="N25" s="400" t="s">
        <v>61</v>
      </c>
      <c r="O25" s="401"/>
      <c r="P25" s="408"/>
      <c r="Q25" s="409"/>
      <c r="R25" s="218"/>
      <c r="S25" s="216" t="s">
        <v>60</v>
      </c>
      <c r="T25" s="212"/>
      <c r="U25" s="400" t="s">
        <v>61</v>
      </c>
      <c r="V25" s="401"/>
      <c r="W25" s="398"/>
      <c r="X25" s="402"/>
      <c r="Y25" s="219"/>
      <c r="Z25" s="220"/>
      <c r="AA25" s="221"/>
      <c r="AC25" s="211" t="s">
        <v>60</v>
      </c>
      <c r="AD25" s="212"/>
      <c r="AE25" s="400" t="s">
        <v>61</v>
      </c>
      <c r="AF25" s="401"/>
      <c r="AG25" s="398"/>
      <c r="AH25" s="399"/>
      <c r="AI25" s="213"/>
      <c r="AJ25" s="213"/>
      <c r="AK25" s="214"/>
      <c r="AL25" s="215"/>
      <c r="AM25" s="213"/>
      <c r="AN25" s="216" t="s">
        <v>60</v>
      </c>
      <c r="AO25" s="212"/>
      <c r="AP25" s="400" t="s">
        <v>61</v>
      </c>
      <c r="AQ25" s="401"/>
      <c r="AR25" s="315"/>
      <c r="AS25" s="217"/>
      <c r="AT25" s="218"/>
      <c r="AU25" s="216" t="s">
        <v>60</v>
      </c>
      <c r="AV25" s="212"/>
      <c r="AW25" s="400" t="s">
        <v>61</v>
      </c>
      <c r="AX25" s="401"/>
      <c r="AY25" s="398"/>
      <c r="AZ25" s="402"/>
      <c r="BA25" s="219"/>
      <c r="BB25" s="220"/>
      <c r="BC25" s="221"/>
    </row>
    <row r="26" spans="1:55" ht="15" thickBot="1" x14ac:dyDescent="0.35">
      <c r="A26" s="222" t="s">
        <v>62</v>
      </c>
      <c r="B26" s="223"/>
      <c r="C26" s="404" t="s">
        <v>63</v>
      </c>
      <c r="D26" s="405"/>
      <c r="E26" s="406"/>
      <c r="F26" s="407"/>
      <c r="G26" s="224"/>
      <c r="H26" s="224"/>
      <c r="I26" s="225"/>
      <c r="J26" s="226"/>
      <c r="K26" s="227"/>
      <c r="L26" s="228" t="s">
        <v>62</v>
      </c>
      <c r="M26" s="229"/>
      <c r="N26" s="404" t="s">
        <v>63</v>
      </c>
      <c r="O26" s="405"/>
      <c r="P26" s="423"/>
      <c r="Q26" s="424"/>
      <c r="R26" s="231"/>
      <c r="S26" s="228" t="s">
        <v>62</v>
      </c>
      <c r="T26" s="229"/>
      <c r="U26" s="404" t="s">
        <v>63</v>
      </c>
      <c r="V26" s="405"/>
      <c r="W26" s="406"/>
      <c r="X26" s="407"/>
      <c r="Y26" s="232"/>
      <c r="Z26" s="233"/>
      <c r="AA26" s="234"/>
      <c r="AC26" s="222" t="s">
        <v>62</v>
      </c>
      <c r="AD26" s="223"/>
      <c r="AE26" s="404" t="s">
        <v>63</v>
      </c>
      <c r="AF26" s="405"/>
      <c r="AG26" s="406"/>
      <c r="AH26" s="407"/>
      <c r="AI26" s="224"/>
      <c r="AJ26" s="224"/>
      <c r="AK26" s="225"/>
      <c r="AL26" s="226"/>
      <c r="AM26" s="227"/>
      <c r="AN26" s="228" t="s">
        <v>62</v>
      </c>
      <c r="AO26" s="229"/>
      <c r="AP26" s="404" t="s">
        <v>63</v>
      </c>
      <c r="AQ26" s="405"/>
      <c r="AR26" s="316"/>
      <c r="AS26" s="230"/>
      <c r="AT26" s="231"/>
      <c r="AU26" s="228" t="s">
        <v>62</v>
      </c>
      <c r="AV26" s="229"/>
      <c r="AW26" s="404" t="s">
        <v>63</v>
      </c>
      <c r="AX26" s="405"/>
      <c r="AY26" s="406"/>
      <c r="AZ26" s="407"/>
      <c r="BA26" s="232"/>
      <c r="BB26" s="233"/>
      <c r="BC26" s="234"/>
    </row>
    <row r="27" spans="1:55" ht="15" thickBot="1" x14ac:dyDescent="0.35">
      <c r="A27" s="403" t="s">
        <v>64</v>
      </c>
      <c r="B27" s="384"/>
      <c r="C27" s="384"/>
      <c r="D27" s="384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7"/>
      <c r="AC27" s="372" t="s">
        <v>64</v>
      </c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7"/>
    </row>
    <row r="28" spans="1:55" ht="15" thickBot="1" x14ac:dyDescent="0.35">
      <c r="A28" s="235" t="s">
        <v>65</v>
      </c>
      <c r="B28" s="235" t="s">
        <v>66</v>
      </c>
      <c r="C28" s="235" t="s">
        <v>67</v>
      </c>
      <c r="D28" s="236" t="s">
        <v>68</v>
      </c>
      <c r="E28" s="420" t="s">
        <v>69</v>
      </c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  <c r="AA28" s="422"/>
      <c r="AC28" s="235" t="s">
        <v>65</v>
      </c>
      <c r="AD28" s="235" t="s">
        <v>66</v>
      </c>
      <c r="AE28" s="235" t="s">
        <v>67</v>
      </c>
      <c r="AF28" s="236" t="s">
        <v>68</v>
      </c>
      <c r="AG28" s="420" t="s">
        <v>70</v>
      </c>
      <c r="AH28" s="421"/>
      <c r="AI28" s="421"/>
      <c r="AJ28" s="421"/>
      <c r="AK28" s="421"/>
      <c r="AL28" s="421"/>
      <c r="AM28" s="421"/>
      <c r="AN28" s="421"/>
      <c r="AO28" s="421"/>
      <c r="AP28" s="421"/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2"/>
    </row>
    <row r="29" spans="1:55" x14ac:dyDescent="0.3">
      <c r="A29" s="237"/>
      <c r="B29" s="237"/>
      <c r="C29" s="238"/>
      <c r="D29" s="238"/>
      <c r="E29" s="428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30"/>
      <c r="AB29" s="173"/>
      <c r="AC29" s="237"/>
      <c r="AD29" s="237"/>
      <c r="AE29" s="238"/>
      <c r="AF29" s="238"/>
      <c r="AG29" s="428"/>
      <c r="AH29" s="429"/>
      <c r="AI29" s="429"/>
      <c r="AJ29" s="429"/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29"/>
      <c r="AV29" s="429"/>
      <c r="AW29" s="429"/>
      <c r="AX29" s="429"/>
      <c r="AY29" s="429"/>
      <c r="AZ29" s="429"/>
      <c r="BA29" s="429"/>
      <c r="BB29" s="429"/>
      <c r="BC29" s="430"/>
    </row>
    <row r="30" spans="1:55" x14ac:dyDescent="0.3">
      <c r="A30" s="237"/>
      <c r="B30" s="237"/>
      <c r="C30" s="238"/>
      <c r="D30" s="238"/>
      <c r="E30" s="431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3"/>
      <c r="AB30" s="173"/>
      <c r="AC30" s="237"/>
      <c r="AD30" s="237"/>
      <c r="AE30" s="238"/>
      <c r="AF30" s="238"/>
      <c r="AG30" s="431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3"/>
    </row>
    <row r="31" spans="1:55" ht="15" thickBot="1" x14ac:dyDescent="0.35">
      <c r="A31" s="239"/>
      <c r="B31" s="239"/>
      <c r="C31" s="240"/>
      <c r="D31" s="240"/>
      <c r="E31" s="434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35"/>
      <c r="U31" s="435"/>
      <c r="V31" s="435"/>
      <c r="W31" s="435"/>
      <c r="X31" s="435"/>
      <c r="Y31" s="435"/>
      <c r="Z31" s="435"/>
      <c r="AA31" s="436"/>
      <c r="AB31" s="173"/>
      <c r="AC31" s="239"/>
      <c r="AD31" s="239"/>
      <c r="AE31" s="240"/>
      <c r="AF31" s="240"/>
      <c r="AG31" s="434"/>
      <c r="AH31" s="435"/>
      <c r="AI31" s="435"/>
      <c r="AJ31" s="435"/>
      <c r="AK31" s="435"/>
      <c r="AL31" s="435"/>
      <c r="AM31" s="435"/>
      <c r="AN31" s="435"/>
      <c r="AO31" s="435"/>
      <c r="AP31" s="435"/>
      <c r="AQ31" s="435"/>
      <c r="AR31" s="435"/>
      <c r="AS31" s="435"/>
      <c r="AT31" s="435"/>
      <c r="AU31" s="435"/>
      <c r="AV31" s="435"/>
      <c r="AW31" s="435"/>
      <c r="AX31" s="435"/>
      <c r="AY31" s="435"/>
      <c r="AZ31" s="435"/>
      <c r="BA31" s="435"/>
      <c r="BB31" s="435"/>
      <c r="BC31" s="436"/>
    </row>
    <row r="32" spans="1:55" ht="15" thickBot="1" x14ac:dyDescent="0.35">
      <c r="A32" s="372" t="s">
        <v>71</v>
      </c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439"/>
      <c r="P32" s="305"/>
      <c r="Q32" s="370" t="s">
        <v>72</v>
      </c>
      <c r="R32" s="384"/>
      <c r="S32" s="384"/>
      <c r="T32" s="384"/>
      <c r="U32" s="384"/>
      <c r="V32" s="384"/>
      <c r="W32" s="384"/>
      <c r="X32" s="384"/>
      <c r="Y32" s="384"/>
      <c r="Z32" s="384"/>
      <c r="AA32" s="386"/>
      <c r="AC32" s="372" t="s">
        <v>71</v>
      </c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439"/>
      <c r="AR32" s="305"/>
      <c r="AS32" s="370" t="s">
        <v>72</v>
      </c>
      <c r="AT32" s="384"/>
      <c r="AU32" s="384"/>
      <c r="AV32" s="384"/>
      <c r="AW32" s="384"/>
      <c r="AX32" s="384"/>
      <c r="AY32" s="384"/>
      <c r="AZ32" s="384"/>
      <c r="BA32" s="384"/>
      <c r="BB32" s="384"/>
      <c r="BC32" s="386"/>
    </row>
    <row r="33" spans="1:55" ht="15" thickBot="1" x14ac:dyDescent="0.35">
      <c r="A33" s="38"/>
      <c r="B33" s="418" t="s">
        <v>2</v>
      </c>
      <c r="C33" s="419"/>
      <c r="D33" s="418" t="s">
        <v>3</v>
      </c>
      <c r="E33" s="427"/>
      <c r="F33" s="419"/>
      <c r="G33" s="418" t="s">
        <v>4</v>
      </c>
      <c r="H33" s="427"/>
      <c r="I33" s="241"/>
      <c r="J33" s="242"/>
      <c r="K33" s="243"/>
      <c r="L33" s="244"/>
      <c r="M33" s="244"/>
      <c r="N33" s="244"/>
      <c r="O33" s="245"/>
      <c r="P33" s="244"/>
      <c r="Q33" s="425"/>
      <c r="R33" s="425"/>
      <c r="S33" s="425"/>
      <c r="T33" s="425"/>
      <c r="U33" s="425"/>
      <c r="V33" s="425"/>
      <c r="W33" s="425"/>
      <c r="X33" s="425"/>
      <c r="Y33" s="425"/>
      <c r="Z33" s="425"/>
      <c r="AA33" s="426"/>
      <c r="AC33" s="38"/>
      <c r="AD33" s="418" t="s">
        <v>2</v>
      </c>
      <c r="AE33" s="419"/>
      <c r="AF33" s="418" t="s">
        <v>3</v>
      </c>
      <c r="AG33" s="427"/>
      <c r="AH33" s="419"/>
      <c r="AI33" s="418" t="s">
        <v>4</v>
      </c>
      <c r="AJ33" s="427"/>
      <c r="AK33" s="241"/>
      <c r="AL33" s="242"/>
      <c r="AM33" s="243"/>
      <c r="AN33" s="244"/>
      <c r="AO33" s="244"/>
      <c r="AP33" s="244"/>
      <c r="AQ33" s="245"/>
      <c r="AR33" s="244"/>
      <c r="AS33" s="425"/>
      <c r="AT33" s="425"/>
      <c r="AU33" s="425"/>
      <c r="AV33" s="425"/>
      <c r="AW33" s="425"/>
      <c r="AX33" s="425"/>
      <c r="AY33" s="425"/>
      <c r="AZ33" s="425"/>
      <c r="BA33" s="425"/>
      <c r="BB33" s="425"/>
      <c r="BC33" s="426"/>
    </row>
    <row r="34" spans="1:55" ht="15" thickBot="1" x14ac:dyDescent="0.35">
      <c r="A34" s="38" t="s">
        <v>73</v>
      </c>
      <c r="B34" s="304" t="s">
        <v>74</v>
      </c>
      <c r="C34" s="46" t="s">
        <v>75</v>
      </c>
      <c r="D34" s="304" t="s">
        <v>76</v>
      </c>
      <c r="E34" s="46" t="s">
        <v>77</v>
      </c>
      <c r="F34" s="304" t="s">
        <v>78</v>
      </c>
      <c r="G34" s="46" t="s">
        <v>79</v>
      </c>
      <c r="H34" s="303" t="s">
        <v>80</v>
      </c>
      <c r="I34" s="247"/>
      <c r="J34" s="248"/>
      <c r="K34" s="249"/>
      <c r="L34" s="250"/>
      <c r="M34" s="250"/>
      <c r="N34" s="250"/>
      <c r="O34" s="251"/>
      <c r="P34" s="250"/>
      <c r="Q34" s="416"/>
      <c r="R34" s="416"/>
      <c r="S34" s="416"/>
      <c r="T34" s="416"/>
      <c r="U34" s="416"/>
      <c r="V34" s="416"/>
      <c r="W34" s="416"/>
      <c r="X34" s="416"/>
      <c r="Y34" s="416"/>
      <c r="Z34" s="416"/>
      <c r="AA34" s="417"/>
      <c r="AC34" s="38" t="s">
        <v>73</v>
      </c>
      <c r="AD34" s="304" t="s">
        <v>74</v>
      </c>
      <c r="AE34" s="46" t="s">
        <v>75</v>
      </c>
      <c r="AF34" s="304" t="s">
        <v>76</v>
      </c>
      <c r="AG34" s="46" t="s">
        <v>77</v>
      </c>
      <c r="AH34" s="304" t="s">
        <v>78</v>
      </c>
      <c r="AI34" s="46" t="s">
        <v>79</v>
      </c>
      <c r="AJ34" s="303" t="s">
        <v>80</v>
      </c>
      <c r="AK34" s="247"/>
      <c r="AL34" s="248"/>
      <c r="AM34" s="249"/>
      <c r="AN34" s="250"/>
      <c r="AO34" s="250"/>
      <c r="AP34" s="250"/>
      <c r="AQ34" s="251"/>
      <c r="AR34" s="250"/>
      <c r="AS34" s="416"/>
      <c r="AT34" s="416"/>
      <c r="AU34" s="416"/>
      <c r="AV34" s="416"/>
      <c r="AW34" s="416"/>
      <c r="AX34" s="416"/>
      <c r="AY34" s="416"/>
      <c r="AZ34" s="416"/>
      <c r="BA34" s="416"/>
      <c r="BB34" s="416"/>
      <c r="BC34" s="417"/>
    </row>
    <row r="35" spans="1:55" x14ac:dyDescent="0.3">
      <c r="A35" s="252"/>
      <c r="B35" s="253"/>
      <c r="C35" s="253"/>
      <c r="D35" s="253"/>
      <c r="E35" s="253"/>
      <c r="F35" s="253"/>
      <c r="G35" s="253"/>
      <c r="H35" s="254"/>
      <c r="I35" s="247"/>
      <c r="J35" s="248"/>
      <c r="K35" s="249"/>
      <c r="L35" s="250"/>
      <c r="M35" s="250"/>
      <c r="N35" s="250"/>
      <c r="O35" s="251"/>
      <c r="P35" s="250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7"/>
      <c r="AC35" s="252"/>
      <c r="AD35" s="253"/>
      <c r="AE35" s="253"/>
      <c r="AF35" s="253"/>
      <c r="AG35" s="253"/>
      <c r="AH35" s="253"/>
      <c r="AI35" s="253"/>
      <c r="AJ35" s="254"/>
      <c r="AK35" s="247"/>
      <c r="AL35" s="248"/>
      <c r="AM35" s="249"/>
      <c r="AN35" s="250"/>
      <c r="AO35" s="250"/>
      <c r="AP35" s="250"/>
      <c r="AQ35" s="251"/>
      <c r="AR35" s="250"/>
      <c r="AS35" s="416"/>
      <c r="AT35" s="416"/>
      <c r="AU35" s="416"/>
      <c r="AV35" s="416"/>
      <c r="AW35" s="416"/>
      <c r="AX35" s="416"/>
      <c r="AY35" s="416"/>
      <c r="AZ35" s="416"/>
      <c r="BA35" s="416"/>
      <c r="BB35" s="416"/>
      <c r="BC35" s="417"/>
    </row>
    <row r="36" spans="1:55" x14ac:dyDescent="0.3">
      <c r="A36" s="255"/>
      <c r="B36" s="256"/>
      <c r="C36" s="256"/>
      <c r="D36" s="256"/>
      <c r="E36" s="256"/>
      <c r="F36" s="256"/>
      <c r="G36" s="256"/>
      <c r="H36" s="257"/>
      <c r="I36" s="247"/>
      <c r="J36" s="248"/>
      <c r="K36" s="249"/>
      <c r="L36" s="250"/>
      <c r="M36" s="250"/>
      <c r="N36" s="250"/>
      <c r="O36" s="251"/>
      <c r="P36" s="250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7"/>
      <c r="AC36" s="255"/>
      <c r="AD36" s="256"/>
      <c r="AE36" s="256"/>
      <c r="AF36" s="256"/>
      <c r="AG36" s="256"/>
      <c r="AH36" s="256"/>
      <c r="AI36" s="256"/>
      <c r="AJ36" s="257"/>
      <c r="AK36" s="247"/>
      <c r="AL36" s="248"/>
      <c r="AM36" s="249"/>
      <c r="AN36" s="250"/>
      <c r="AO36" s="250"/>
      <c r="AP36" s="250"/>
      <c r="AQ36" s="251"/>
      <c r="AR36" s="250"/>
      <c r="AS36" s="416"/>
      <c r="AT36" s="416"/>
      <c r="AU36" s="416"/>
      <c r="AV36" s="416"/>
      <c r="AW36" s="416"/>
      <c r="AX36" s="416"/>
      <c r="AY36" s="416"/>
      <c r="AZ36" s="416"/>
      <c r="BA36" s="416"/>
      <c r="BB36" s="416"/>
      <c r="BC36" s="417"/>
    </row>
    <row r="37" spans="1:55" x14ac:dyDescent="0.3">
      <c r="A37" s="255"/>
      <c r="B37" s="256"/>
      <c r="C37" s="256"/>
      <c r="D37" s="256"/>
      <c r="E37" s="256"/>
      <c r="F37" s="256"/>
      <c r="G37" s="256"/>
      <c r="H37" s="257"/>
      <c r="I37" s="247"/>
      <c r="J37" s="248"/>
      <c r="K37" s="249"/>
      <c r="L37" s="250"/>
      <c r="M37" s="250"/>
      <c r="N37" s="250"/>
      <c r="O37" s="251"/>
      <c r="P37" s="250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7"/>
      <c r="AC37" s="255"/>
      <c r="AD37" s="256"/>
      <c r="AE37" s="256"/>
      <c r="AF37" s="256"/>
      <c r="AG37" s="256"/>
      <c r="AH37" s="256"/>
      <c r="AI37" s="256"/>
      <c r="AJ37" s="257"/>
      <c r="AK37" s="247"/>
      <c r="AL37" s="248"/>
      <c r="AM37" s="249"/>
      <c r="AN37" s="250"/>
      <c r="AO37" s="250"/>
      <c r="AP37" s="250"/>
      <c r="AQ37" s="251"/>
      <c r="AR37" s="250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7"/>
    </row>
    <row r="38" spans="1:55" x14ac:dyDescent="0.3">
      <c r="A38" s="258"/>
      <c r="B38" s="259"/>
      <c r="C38" s="259"/>
      <c r="D38" s="259"/>
      <c r="E38" s="259"/>
      <c r="F38" s="259"/>
      <c r="G38" s="259"/>
      <c r="H38" s="260"/>
      <c r="I38" s="261"/>
      <c r="J38" s="262"/>
      <c r="K38" s="263"/>
      <c r="L38" s="264"/>
      <c r="M38" s="264"/>
      <c r="N38" s="264"/>
      <c r="O38" s="265"/>
      <c r="P38" s="264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8"/>
      <c r="AC38" s="258"/>
      <c r="AD38" s="259"/>
      <c r="AE38" s="259"/>
      <c r="AF38" s="259"/>
      <c r="AG38" s="259"/>
      <c r="AH38" s="259"/>
      <c r="AI38" s="259"/>
      <c r="AJ38" s="260"/>
      <c r="AK38" s="261"/>
      <c r="AL38" s="262"/>
      <c r="AM38" s="263"/>
      <c r="AN38" s="264"/>
      <c r="AO38" s="264"/>
      <c r="AP38" s="264"/>
      <c r="AQ38" s="265"/>
      <c r="AR38" s="264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8"/>
    </row>
    <row r="39" spans="1:55" x14ac:dyDescent="0.3">
      <c r="K39" s="266"/>
      <c r="R39" s="266"/>
    </row>
    <row r="40" spans="1:55" ht="15" thickBot="1" x14ac:dyDescent="0.35">
      <c r="K40" s="266"/>
      <c r="R40" s="266"/>
    </row>
    <row r="41" spans="1:55" ht="16.2" thickBot="1" x14ac:dyDescent="0.35">
      <c r="A41" s="410" t="s">
        <v>81</v>
      </c>
      <c r="B41" s="411"/>
      <c r="C41" s="412"/>
      <c r="D41" s="267"/>
      <c r="E41" s="268" t="s">
        <v>82</v>
      </c>
      <c r="F41" s="269"/>
      <c r="K41" s="266"/>
      <c r="R41" s="266"/>
    </row>
    <row r="42" spans="1:55" ht="16.2" thickBot="1" x14ac:dyDescent="0.35">
      <c r="A42" s="270"/>
      <c r="B42" s="271" t="s">
        <v>42</v>
      </c>
      <c r="C42" s="271" t="s">
        <v>47</v>
      </c>
      <c r="D42" s="267"/>
      <c r="E42" s="272" t="s">
        <v>83</v>
      </c>
      <c r="F42" s="273">
        <f>E9+O9+T9</f>
        <v>0</v>
      </c>
      <c r="K42" s="266"/>
      <c r="R42" s="266"/>
    </row>
    <row r="43" spans="1:55" ht="16.2" thickBot="1" x14ac:dyDescent="0.35">
      <c r="A43" s="274" t="s">
        <v>2</v>
      </c>
      <c r="B43" s="275">
        <f>E8+AG8</f>
        <v>0</v>
      </c>
      <c r="C43" s="275">
        <f>B8+AD8</f>
        <v>0</v>
      </c>
      <c r="D43" s="267"/>
      <c r="E43" s="276" t="s">
        <v>84</v>
      </c>
      <c r="F43" s="273">
        <f>AG9+AQ9+AV9</f>
        <v>0</v>
      </c>
      <c r="K43" s="266"/>
      <c r="R43" s="266"/>
    </row>
    <row r="44" spans="1:55" ht="16.2" thickBot="1" x14ac:dyDescent="0.35">
      <c r="A44" s="274" t="s">
        <v>3</v>
      </c>
      <c r="B44" s="275">
        <f>L8+AN8</f>
        <v>0</v>
      </c>
      <c r="C44" s="277"/>
      <c r="D44" s="267"/>
      <c r="E44" s="276" t="s">
        <v>85</v>
      </c>
      <c r="F44" s="273">
        <f>B9+X9</f>
        <v>0</v>
      </c>
      <c r="K44" s="266"/>
      <c r="R44" s="266"/>
    </row>
    <row r="45" spans="1:55" ht="16.2" thickBot="1" x14ac:dyDescent="0.35">
      <c r="A45" s="274" t="s">
        <v>4</v>
      </c>
      <c r="B45" s="278">
        <f>S8+AU8</f>
        <v>0</v>
      </c>
      <c r="C45" s="279">
        <f>W8+AY8</f>
        <v>0</v>
      </c>
      <c r="D45" s="267"/>
      <c r="E45" s="280" t="s">
        <v>86</v>
      </c>
      <c r="F45" s="281">
        <f>AD9+AZ9</f>
        <v>0</v>
      </c>
      <c r="K45" s="266"/>
      <c r="R45" s="266"/>
    </row>
    <row r="46" spans="1:55" ht="16.2" thickBot="1" x14ac:dyDescent="0.35">
      <c r="A46" s="282" t="s">
        <v>87</v>
      </c>
      <c r="B46" s="283">
        <f>SUM(B43:B45)</f>
        <v>0</v>
      </c>
      <c r="C46" s="284">
        <f>SUM(C43:C45)</f>
        <v>0</v>
      </c>
      <c r="D46" s="267"/>
      <c r="E46" s="267"/>
      <c r="F46" s="267"/>
      <c r="K46" s="266"/>
      <c r="R46" s="266"/>
    </row>
    <row r="47" spans="1:55" ht="16.2" thickBot="1" x14ac:dyDescent="0.35">
      <c r="A47" s="413" t="s">
        <v>88</v>
      </c>
      <c r="B47" s="414"/>
      <c r="C47" s="415"/>
      <c r="D47" s="267"/>
      <c r="E47" s="267"/>
      <c r="F47" s="267"/>
      <c r="K47" s="266"/>
      <c r="R47" s="266"/>
    </row>
    <row r="48" spans="1:55" ht="16.2" thickBot="1" x14ac:dyDescent="0.35">
      <c r="A48" s="270"/>
      <c r="B48" s="285" t="s">
        <v>42</v>
      </c>
      <c r="C48" s="271" t="s">
        <v>47</v>
      </c>
      <c r="D48" s="267"/>
      <c r="E48" s="267"/>
      <c r="F48" s="267"/>
      <c r="K48" s="266"/>
      <c r="R48" s="266"/>
    </row>
    <row r="49" spans="1:6" ht="16.2" thickBot="1" x14ac:dyDescent="0.35">
      <c r="A49" s="274" t="s">
        <v>2</v>
      </c>
      <c r="B49" s="286">
        <f>B43*0.8</f>
        <v>0</v>
      </c>
      <c r="C49" s="275">
        <f>C43*0.8</f>
        <v>0</v>
      </c>
      <c r="D49" s="267"/>
      <c r="E49" s="267"/>
      <c r="F49" s="267"/>
    </row>
    <row r="50" spans="1:6" ht="16.2" thickBot="1" x14ac:dyDescent="0.35">
      <c r="A50" s="274" t="s">
        <v>3</v>
      </c>
      <c r="B50" s="286">
        <f>B44*0.88</f>
        <v>0</v>
      </c>
      <c r="C50" s="277"/>
      <c r="D50" s="267"/>
      <c r="E50" s="267"/>
      <c r="F50" s="267"/>
    </row>
    <row r="51" spans="1:6" ht="16.2" thickBot="1" x14ac:dyDescent="0.35">
      <c r="A51" s="287" t="s">
        <v>4</v>
      </c>
      <c r="B51" s="288">
        <f>B45*0.915</f>
        <v>0</v>
      </c>
      <c r="C51" s="289">
        <f>C45*0.82</f>
        <v>0</v>
      </c>
      <c r="D51" s="267"/>
      <c r="E51" s="267"/>
      <c r="F51" s="267"/>
    </row>
    <row r="52" spans="1:6" ht="16.2" thickBot="1" x14ac:dyDescent="0.35">
      <c r="A52" s="282" t="s">
        <v>87</v>
      </c>
      <c r="B52" s="290">
        <f>SUM(B49:B51)</f>
        <v>0</v>
      </c>
      <c r="C52" s="291">
        <f>SUM(C49:C51)</f>
        <v>0</v>
      </c>
      <c r="D52" s="267"/>
      <c r="E52" s="267"/>
      <c r="F52" s="267"/>
    </row>
    <row r="126" spans="11:18" x14ac:dyDescent="0.3">
      <c r="K126" s="266"/>
      <c r="R126" s="266"/>
    </row>
    <row r="127" spans="11:18" x14ac:dyDescent="0.3">
      <c r="K127" s="266"/>
      <c r="R127" s="266"/>
    </row>
    <row r="128" spans="11:18" x14ac:dyDescent="0.3">
      <c r="K128" s="266"/>
      <c r="R128" s="266"/>
    </row>
    <row r="129" spans="1:18" x14ac:dyDescent="0.3">
      <c r="K129" s="266"/>
      <c r="R129" s="266"/>
    </row>
    <row r="130" spans="1:18" x14ac:dyDescent="0.3">
      <c r="K130" s="266"/>
      <c r="R130" s="266"/>
    </row>
    <row r="131" spans="1:18" x14ac:dyDescent="0.3">
      <c r="K131" s="266"/>
      <c r="R131" s="266"/>
    </row>
    <row r="132" spans="1:18" x14ac:dyDescent="0.3">
      <c r="K132" s="266"/>
      <c r="R132" s="266"/>
    </row>
    <row r="133" spans="1:18" x14ac:dyDescent="0.3">
      <c r="K133" s="266"/>
      <c r="R133" s="266"/>
    </row>
    <row r="134" spans="1:18" x14ac:dyDescent="0.3">
      <c r="K134" s="266"/>
      <c r="R134" s="266"/>
    </row>
    <row r="135" spans="1:18" ht="15" thickBot="1" x14ac:dyDescent="0.35"/>
    <row r="136" spans="1:18" ht="15" thickBot="1" x14ac:dyDescent="0.35">
      <c r="A136" s="292" t="s">
        <v>89</v>
      </c>
    </row>
    <row r="137" spans="1:18" x14ac:dyDescent="0.3">
      <c r="A137" t="s">
        <v>90</v>
      </c>
    </row>
    <row r="138" spans="1:18" x14ac:dyDescent="0.3">
      <c r="A138" t="s">
        <v>91</v>
      </c>
    </row>
    <row r="139" spans="1:18" x14ac:dyDescent="0.3">
      <c r="A139" t="s">
        <v>96</v>
      </c>
    </row>
    <row r="140" spans="1:18" x14ac:dyDescent="0.3">
      <c r="A140" t="s">
        <v>97</v>
      </c>
    </row>
    <row r="141" spans="1:18" x14ac:dyDescent="0.3">
      <c r="A141" t="s">
        <v>7</v>
      </c>
    </row>
    <row r="142" spans="1:18" x14ac:dyDescent="0.3">
      <c r="A142" t="s">
        <v>100</v>
      </c>
    </row>
    <row r="143" spans="1:18" x14ac:dyDescent="0.3">
      <c r="A143" t="s">
        <v>92</v>
      </c>
    </row>
    <row r="144" spans="1:18" x14ac:dyDescent="0.3">
      <c r="A144" t="s">
        <v>93</v>
      </c>
    </row>
    <row r="145" spans="1:1" x14ac:dyDescent="0.3">
      <c r="A145" t="s">
        <v>98</v>
      </c>
    </row>
    <row r="146" spans="1:1" x14ac:dyDescent="0.3">
      <c r="A146" t="s">
        <v>95</v>
      </c>
    </row>
    <row r="147" spans="1:1" x14ac:dyDescent="0.3">
      <c r="A147" t="s">
        <v>94</v>
      </c>
    </row>
    <row r="148" spans="1:1" x14ac:dyDescent="0.3">
      <c r="A148" t="s">
        <v>99</v>
      </c>
    </row>
  </sheetData>
  <mergeCells count="126">
    <mergeCell ref="A41:C41"/>
    <mergeCell ref="A47:C47"/>
    <mergeCell ref="Q36:AA36"/>
    <mergeCell ref="AS36:BC36"/>
    <mergeCell ref="Q37:AA37"/>
    <mergeCell ref="AS37:BC37"/>
    <mergeCell ref="Q38:AA38"/>
    <mergeCell ref="AS38:BC38"/>
    <mergeCell ref="AI33:AJ33"/>
    <mergeCell ref="AS33:BC33"/>
    <mergeCell ref="Q34:AA34"/>
    <mergeCell ref="AS34:BC34"/>
    <mergeCell ref="Q35:AA35"/>
    <mergeCell ref="AS35:BC35"/>
    <mergeCell ref="A32:O32"/>
    <mergeCell ref="Q32:AA32"/>
    <mergeCell ref="AC32:AQ32"/>
    <mergeCell ref="AS32:BC32"/>
    <mergeCell ref="B33:C33"/>
    <mergeCell ref="D33:F33"/>
    <mergeCell ref="G33:H33"/>
    <mergeCell ref="Q33:AA33"/>
    <mergeCell ref="AD33:AE33"/>
    <mergeCell ref="AF33:AH33"/>
    <mergeCell ref="E30:AA30"/>
    <mergeCell ref="AG30:BC30"/>
    <mergeCell ref="E31:AA31"/>
    <mergeCell ref="AG31:BC31"/>
    <mergeCell ref="AP26:AQ26"/>
    <mergeCell ref="AW26:AX26"/>
    <mergeCell ref="AY26:AZ26"/>
    <mergeCell ref="A27:AA27"/>
    <mergeCell ref="AC27:BC27"/>
    <mergeCell ref="E28:AA28"/>
    <mergeCell ref="AG28:BC28"/>
    <mergeCell ref="C26:D26"/>
    <mergeCell ref="E26:F26"/>
    <mergeCell ref="N26:O26"/>
    <mergeCell ref="P26:Q26"/>
    <mergeCell ref="U26:V26"/>
    <mergeCell ref="W26:X26"/>
    <mergeCell ref="AE26:AF26"/>
    <mergeCell ref="AG26:AH26"/>
    <mergeCell ref="E29:AA29"/>
    <mergeCell ref="AG29:BC29"/>
    <mergeCell ref="AU24:AZ24"/>
    <mergeCell ref="C25:D25"/>
    <mergeCell ref="E25:F25"/>
    <mergeCell ref="N25:O25"/>
    <mergeCell ref="P25:Q25"/>
    <mergeCell ref="U25:V25"/>
    <mergeCell ref="W25:X25"/>
    <mergeCell ref="AE25:AF25"/>
    <mergeCell ref="AG25:AH25"/>
    <mergeCell ref="AP25:AQ25"/>
    <mergeCell ref="AW25:AX25"/>
    <mergeCell ref="AY25:AZ25"/>
    <mergeCell ref="P23:Q23"/>
    <mergeCell ref="AR23:AS23"/>
    <mergeCell ref="A24:F24"/>
    <mergeCell ref="L24:Q24"/>
    <mergeCell ref="S24:X24"/>
    <mergeCell ref="AC24:AH24"/>
    <mergeCell ref="AN24:AS24"/>
    <mergeCell ref="P20:Q20"/>
    <mergeCell ref="AR20:AS20"/>
    <mergeCell ref="P21:Q21"/>
    <mergeCell ref="AR21:AS21"/>
    <mergeCell ref="P22:Q22"/>
    <mergeCell ref="AR22:AS22"/>
    <mergeCell ref="P17:Q17"/>
    <mergeCell ref="AR17:AS17"/>
    <mergeCell ref="P18:Q18"/>
    <mergeCell ref="AR18:AS18"/>
    <mergeCell ref="P19:Q19"/>
    <mergeCell ref="AR19:AS19"/>
    <mergeCell ref="P14:Q14"/>
    <mergeCell ref="AR14:AS14"/>
    <mergeCell ref="P15:Q15"/>
    <mergeCell ref="AR15:AS15"/>
    <mergeCell ref="P16:Q16"/>
    <mergeCell ref="AR16:AS16"/>
    <mergeCell ref="AN13:AO13"/>
    <mergeCell ref="AP13:AQ13"/>
    <mergeCell ref="AR13:AS13"/>
    <mergeCell ref="AU13:AV13"/>
    <mergeCell ref="AW13:AX13"/>
    <mergeCell ref="AY13:BA13"/>
    <mergeCell ref="S13:T13"/>
    <mergeCell ref="U13:V13"/>
    <mergeCell ref="W13:Y13"/>
    <mergeCell ref="AD13:AF13"/>
    <mergeCell ref="AG13:AH13"/>
    <mergeCell ref="AJ13:AK13"/>
    <mergeCell ref="B13:D13"/>
    <mergeCell ref="E13:F13"/>
    <mergeCell ref="H13:I13"/>
    <mergeCell ref="L13:M13"/>
    <mergeCell ref="N13:O13"/>
    <mergeCell ref="P13:Q13"/>
    <mergeCell ref="A12:H12"/>
    <mergeCell ref="L12:Q12"/>
    <mergeCell ref="S12:AA12"/>
    <mergeCell ref="AC12:AJ12"/>
    <mergeCell ref="AN12:AS12"/>
    <mergeCell ref="AU12:BC12"/>
    <mergeCell ref="B6:F6"/>
    <mergeCell ref="L6:Q6"/>
    <mergeCell ref="S6:AA6"/>
    <mergeCell ref="AD6:AH6"/>
    <mergeCell ref="AN6:AS6"/>
    <mergeCell ref="AU6:BC6"/>
    <mergeCell ref="E4:F4"/>
    <mergeCell ref="O4:P4"/>
    <mergeCell ref="W4:X4"/>
    <mergeCell ref="AG4:AH4"/>
    <mergeCell ref="AQ4:AR4"/>
    <mergeCell ref="AY4:AZ4"/>
    <mergeCell ref="A1:AA2"/>
    <mergeCell ref="AC1:BC2"/>
    <mergeCell ref="A3:I3"/>
    <mergeCell ref="L3:Q3"/>
    <mergeCell ref="S3:AA3"/>
    <mergeCell ref="AC3:AK3"/>
    <mergeCell ref="AN3:AS3"/>
    <mergeCell ref="AU3:BC3"/>
  </mergeCells>
  <dataValidations count="7">
    <dataValidation type="list" allowBlank="1" showInputMessage="1" showErrorMessage="1" sqref="AG4:AH4 W4:X4 Q4:R4 E4:F4 AY4:AZ4 AS4:AT4" xr:uid="{00000000-0002-0000-2300-000000000000}">
      <formula1>$A$137:$A$148</formula1>
    </dataValidation>
    <dataValidation type="list" allowBlank="1" showInputMessage="1" showErrorMessage="1" sqref="AX11 BB11:BC11 V11 Z11:AA11" xr:uid="{00000000-0002-0000-2300-000001000000}">
      <formula1>"Silo 6, Silo 7, Silo 8, Silo 9"</formula1>
    </dataValidation>
    <dataValidation type="list" allowBlank="1" showInputMessage="1" showErrorMessage="1" sqref="AD11 AO11 AZ11 AV11 B11 M11 X11 T11" xr:uid="{00000000-0002-0000-2300-000002000000}">
      <formula1>"100#, 40/70"</formula1>
    </dataValidation>
    <dataValidation type="list" allowBlank="1" showInputMessage="1" showErrorMessage="1" sqref="AJ11:AM11 AQ11:AT11 H11:K11 O11:R11" xr:uid="{00000000-0002-0000-2300-000003000000}">
      <formula1>"Silo 1, Silo 2, Silo 6, Silo 7"</formula1>
    </dataValidation>
    <dataValidation type="list" allowBlank="1" showInputMessage="1" showErrorMessage="1" sqref="AV25 AD25 AO25 T25 B25 M25" xr:uid="{00000000-0002-0000-2300-000004000000}">
      <formula1>"1, 2, 3, 4, 5, 6, 7, 8, 9, 10, 11, 12, 13, 14, 15, 16"</formula1>
    </dataValidation>
    <dataValidation type="list" allowBlank="1" showInputMessage="1" showErrorMessage="1" sqref="C29:C31 AE29:AE31" xr:uid="{00000000-0002-0000-2300-000005000000}">
      <formula1>"Carrier 100, Carrier 200, Rotary"</formula1>
    </dataValidation>
    <dataValidation type="list" allowBlank="1" showInputMessage="1" showErrorMessage="1" sqref="B26 M26 T26 AD26 AO26 AV26" xr:uid="{00000000-0002-0000-2300-000006000000}">
      <formula1>"SP1, SP2, SP3, OWP SP"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By Day</vt:lpstr>
      <vt:lpstr>By Product</vt:lpstr>
      <vt:lpstr>100TCarrier</vt:lpstr>
      <vt:lpstr>200TCarrier</vt:lpstr>
      <vt:lpstr>Sheet1</vt:lpstr>
      <vt:lpstr>Drop Downs Master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Craig Johnson</cp:lastModifiedBy>
  <cp:lastPrinted>2017-06-14T12:44:33Z</cp:lastPrinted>
  <dcterms:created xsi:type="dcterms:W3CDTF">2017-05-22T11:26:20Z</dcterms:created>
  <dcterms:modified xsi:type="dcterms:W3CDTF">2017-10-19T19:37:05Z</dcterms:modified>
</cp:coreProperties>
</file>