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MIF\DHI\"/>
    </mc:Choice>
  </mc:AlternateContent>
  <bookViews>
    <workbookView xWindow="10395" yWindow="-105" windowWidth="14850" windowHeight="12735" activeTab="5"/>
  </bookViews>
  <sheets>
    <sheet name="DHI(IS)" sheetId="2" r:id="rId1"/>
    <sheet name="DHI)CF)" sheetId="3" r:id="rId2"/>
    <sheet name="DHI(BS)" sheetId="5" r:id="rId3"/>
    <sheet name="DHI(BS)_Annual" sheetId="4" r:id="rId4"/>
    <sheet name="DCF" sheetId="6" r:id="rId5"/>
    <sheet name="OZ_Scores" sheetId="7" r:id="rId6"/>
    <sheet name="FRED Graph" sheetId="8" r:id="rId7"/>
  </sheets>
  <calcPr calcId="152511"/>
</workbook>
</file>

<file path=xl/calcChain.xml><?xml version="1.0" encoding="utf-8"?>
<calcChain xmlns="http://schemas.openxmlformats.org/spreadsheetml/2006/main">
  <c r="C71" i="7" l="1"/>
  <c r="C39" i="7"/>
  <c r="B37" i="7"/>
  <c r="C36" i="7"/>
  <c r="D34" i="7"/>
  <c r="C18" i="7"/>
  <c r="B66" i="6" l="1"/>
  <c r="B64" i="6"/>
  <c r="B33" i="6"/>
  <c r="T15" i="3"/>
  <c r="U7" i="2"/>
  <c r="B52" i="7" l="1"/>
  <c r="M59" i="7"/>
  <c r="N59" i="7"/>
  <c r="M64" i="7"/>
  <c r="N64" i="7"/>
  <c r="M67" i="7"/>
  <c r="N67" i="7"/>
  <c r="C64" i="7"/>
  <c r="L67" i="7"/>
  <c r="K67" i="7"/>
  <c r="J67" i="7"/>
  <c r="I67" i="7"/>
  <c r="H67" i="7"/>
  <c r="G67" i="7"/>
  <c r="F67" i="7"/>
  <c r="E67" i="7"/>
  <c r="D67" i="7"/>
  <c r="C67" i="7"/>
  <c r="L64" i="7"/>
  <c r="K64" i="7"/>
  <c r="J64" i="7"/>
  <c r="I64" i="7"/>
  <c r="H64" i="7"/>
  <c r="G64" i="7"/>
  <c r="F64" i="7"/>
  <c r="E64" i="7"/>
  <c r="D64" i="7"/>
  <c r="L59" i="7"/>
  <c r="K59" i="7"/>
  <c r="J59" i="7"/>
  <c r="I59" i="7"/>
  <c r="H59" i="7"/>
  <c r="G59" i="7"/>
  <c r="F59" i="7"/>
  <c r="E59" i="7"/>
  <c r="D59" i="7"/>
  <c r="C59" i="7"/>
  <c r="D55" i="7"/>
  <c r="E55" i="7"/>
  <c r="F55" i="7"/>
  <c r="G55" i="7"/>
  <c r="H55" i="7"/>
  <c r="I55" i="7"/>
  <c r="J55" i="7"/>
  <c r="K55" i="7"/>
  <c r="L55" i="7"/>
  <c r="M55" i="7"/>
  <c r="N55" i="7"/>
  <c r="C55" i="7"/>
  <c r="M12" i="8"/>
  <c r="L12" i="8"/>
  <c r="K12" i="8"/>
  <c r="J12" i="8"/>
  <c r="I12" i="8"/>
  <c r="H12" i="8"/>
  <c r="G12" i="8"/>
  <c r="F12" i="8"/>
  <c r="E12" i="8"/>
  <c r="D12" i="8"/>
  <c r="C12" i="8"/>
  <c r="L52" i="7"/>
  <c r="F46" i="7"/>
  <c r="F60" i="7" s="1"/>
  <c r="K47" i="7"/>
  <c r="F50" i="7"/>
  <c r="C12" i="7"/>
  <c r="D52" i="7" s="1"/>
  <c r="D65" i="7" s="1"/>
  <c r="D12" i="7"/>
  <c r="E52" i="7" s="1"/>
  <c r="E12" i="7"/>
  <c r="F52" i="7" s="1"/>
  <c r="F12" i="7"/>
  <c r="G52" i="7" s="1"/>
  <c r="G12" i="7"/>
  <c r="H52" i="7" s="1"/>
  <c r="H12" i="7"/>
  <c r="I52" i="7" s="1"/>
  <c r="I12" i="7"/>
  <c r="J52" i="7" s="1"/>
  <c r="J12" i="7"/>
  <c r="K52" i="7" s="1"/>
  <c r="K12" i="7"/>
  <c r="L12" i="7"/>
  <c r="M52" i="7" s="1"/>
  <c r="M12" i="7"/>
  <c r="N52" i="7" s="1"/>
  <c r="C13" i="7"/>
  <c r="D53" i="7" s="1"/>
  <c r="D13" i="7"/>
  <c r="E53" i="7" s="1"/>
  <c r="E13" i="7"/>
  <c r="F53" i="7" s="1"/>
  <c r="F13" i="7"/>
  <c r="G53" i="7" s="1"/>
  <c r="G13" i="7"/>
  <c r="H53" i="7" s="1"/>
  <c r="H13" i="7"/>
  <c r="I53" i="7" s="1"/>
  <c r="I13" i="7"/>
  <c r="J53" i="7" s="1"/>
  <c r="J13" i="7"/>
  <c r="K53" i="7" s="1"/>
  <c r="K13" i="7"/>
  <c r="L53" i="7" s="1"/>
  <c r="L13" i="7"/>
  <c r="M53" i="7" s="1"/>
  <c r="M13" i="7"/>
  <c r="N53" i="7" s="1"/>
  <c r="B13" i="7"/>
  <c r="C53" i="7" s="1"/>
  <c r="B12" i="7"/>
  <c r="C52" i="7" s="1"/>
  <c r="C68" i="7" s="1"/>
  <c r="C27" i="7"/>
  <c r="D27" i="7"/>
  <c r="E27" i="7"/>
  <c r="F27" i="7"/>
  <c r="G27" i="7"/>
  <c r="H27" i="7"/>
  <c r="I27" i="7"/>
  <c r="J27" i="7"/>
  <c r="K27" i="7"/>
  <c r="L27" i="7"/>
  <c r="M27" i="7"/>
  <c r="N27" i="7"/>
  <c r="C10" i="7"/>
  <c r="D10" i="7"/>
  <c r="E10" i="7"/>
  <c r="F10" i="7"/>
  <c r="G10" i="7"/>
  <c r="H10" i="7"/>
  <c r="I10" i="7"/>
  <c r="J10" i="7"/>
  <c r="K10" i="7"/>
  <c r="L10" i="7"/>
  <c r="M10" i="7"/>
  <c r="B10" i="7"/>
  <c r="B9" i="7"/>
  <c r="C9" i="7"/>
  <c r="D22" i="7" s="1"/>
  <c r="D9" i="7"/>
  <c r="E22" i="7" s="1"/>
  <c r="E9" i="7"/>
  <c r="E11" i="7" s="1"/>
  <c r="F24" i="7" s="1"/>
  <c r="F9" i="7"/>
  <c r="G9" i="7"/>
  <c r="H22" i="7" s="1"/>
  <c r="H9" i="7"/>
  <c r="I22" i="7" s="1"/>
  <c r="I9" i="7"/>
  <c r="I11" i="7" s="1"/>
  <c r="J24" i="7" s="1"/>
  <c r="J9" i="7"/>
  <c r="K22" i="7" s="1"/>
  <c r="K9" i="7"/>
  <c r="L22" i="7" s="1"/>
  <c r="L9" i="7"/>
  <c r="M22" i="7" s="1"/>
  <c r="M9" i="7"/>
  <c r="M11" i="7" s="1"/>
  <c r="N24" i="7" s="1"/>
  <c r="B8" i="7"/>
  <c r="C20" i="7" s="1"/>
  <c r="C8" i="7"/>
  <c r="D20" i="7" s="1"/>
  <c r="D8" i="7"/>
  <c r="E20" i="7" s="1"/>
  <c r="E8" i="7"/>
  <c r="F20" i="7" s="1"/>
  <c r="F8" i="7"/>
  <c r="G20" i="7" s="1"/>
  <c r="G8" i="7"/>
  <c r="H20" i="7" s="1"/>
  <c r="H8" i="7"/>
  <c r="I20" i="7" s="1"/>
  <c r="I8" i="7"/>
  <c r="J20" i="7" s="1"/>
  <c r="J8" i="7"/>
  <c r="K20" i="7" s="1"/>
  <c r="K8" i="7"/>
  <c r="L20" i="7" s="1"/>
  <c r="L8" i="7"/>
  <c r="M20" i="7" s="1"/>
  <c r="M8" i="7"/>
  <c r="N20" i="7" s="1"/>
  <c r="C17" i="7"/>
  <c r="C46" i="7" s="1"/>
  <c r="C60" i="7" s="1"/>
  <c r="D17" i="7"/>
  <c r="D46" i="7" s="1"/>
  <c r="D60" i="7" s="1"/>
  <c r="E17" i="7"/>
  <c r="E46" i="7" s="1"/>
  <c r="F17" i="7"/>
  <c r="G17" i="7"/>
  <c r="G46" i="7" s="1"/>
  <c r="G60" i="7" s="1"/>
  <c r="H17" i="7"/>
  <c r="H46" i="7" s="1"/>
  <c r="H60" i="7" s="1"/>
  <c r="I17" i="7"/>
  <c r="I46" i="7" s="1"/>
  <c r="J17" i="7"/>
  <c r="J46" i="7" s="1"/>
  <c r="J60" i="7" s="1"/>
  <c r="K17" i="7"/>
  <c r="K46" i="7" s="1"/>
  <c r="K60" i="7" s="1"/>
  <c r="L17" i="7"/>
  <c r="L46" i="7" s="1"/>
  <c r="L60" i="7" s="1"/>
  <c r="M17" i="7"/>
  <c r="M46" i="7" s="1"/>
  <c r="N17" i="7"/>
  <c r="N46" i="7" s="1"/>
  <c r="N60" i="7" s="1"/>
  <c r="B7" i="7"/>
  <c r="C30" i="7" s="1"/>
  <c r="C31" i="7" s="1"/>
  <c r="C37" i="7" s="1"/>
  <c r="C7" i="7"/>
  <c r="D30" i="7" s="1"/>
  <c r="D31" i="7" s="1"/>
  <c r="D37" i="7" s="1"/>
  <c r="D7" i="7"/>
  <c r="E30" i="7" s="1"/>
  <c r="E31" i="7" s="1"/>
  <c r="E37" i="7" s="1"/>
  <c r="E7" i="7"/>
  <c r="F30" i="7" s="1"/>
  <c r="F31" i="7" s="1"/>
  <c r="F37" i="7" s="1"/>
  <c r="F7" i="7"/>
  <c r="G30" i="7" s="1"/>
  <c r="G31" i="7" s="1"/>
  <c r="G37" i="7" s="1"/>
  <c r="G7" i="7"/>
  <c r="H30" i="7" s="1"/>
  <c r="H31" i="7" s="1"/>
  <c r="H37" i="7" s="1"/>
  <c r="H7" i="7"/>
  <c r="I30" i="7" s="1"/>
  <c r="I31" i="7" s="1"/>
  <c r="I37" i="7" s="1"/>
  <c r="I7" i="7"/>
  <c r="J30" i="7" s="1"/>
  <c r="J31" i="7" s="1"/>
  <c r="J37" i="7" s="1"/>
  <c r="J7" i="7"/>
  <c r="K30" i="7" s="1"/>
  <c r="K31" i="7" s="1"/>
  <c r="K37" i="7" s="1"/>
  <c r="K7" i="7"/>
  <c r="L30" i="7" s="1"/>
  <c r="L31" i="7" s="1"/>
  <c r="L37" i="7" s="1"/>
  <c r="L7" i="7"/>
  <c r="M30" i="7" s="1"/>
  <c r="M31" i="7" s="1"/>
  <c r="M37" i="7" s="1"/>
  <c r="M7" i="7"/>
  <c r="N30" i="7" s="1"/>
  <c r="N31" i="7" s="1"/>
  <c r="N37" i="7" s="1"/>
  <c r="B1" i="7"/>
  <c r="C50" i="7" s="1"/>
  <c r="C1" i="7"/>
  <c r="D50" i="7" s="1"/>
  <c r="D1" i="7"/>
  <c r="E50" i="7" s="1"/>
  <c r="E1" i="7"/>
  <c r="F1" i="7"/>
  <c r="G50" i="7" s="1"/>
  <c r="G1" i="7"/>
  <c r="H50" i="7" s="1"/>
  <c r="H1" i="7"/>
  <c r="I50" i="7" s="1"/>
  <c r="I1" i="7"/>
  <c r="J50" i="7" s="1"/>
  <c r="J1" i="7"/>
  <c r="K50" i="7" s="1"/>
  <c r="K1" i="7"/>
  <c r="L50" i="7" s="1"/>
  <c r="L1" i="7"/>
  <c r="M50" i="7" s="1"/>
  <c r="M1" i="7"/>
  <c r="N50" i="7" s="1"/>
  <c r="B2" i="7"/>
  <c r="C2" i="7"/>
  <c r="D2" i="7"/>
  <c r="E2" i="7"/>
  <c r="F2" i="7"/>
  <c r="G2" i="7"/>
  <c r="H2" i="7"/>
  <c r="I2" i="7"/>
  <c r="J2" i="7"/>
  <c r="K2" i="7"/>
  <c r="L2" i="7"/>
  <c r="M2" i="7"/>
  <c r="B3" i="7"/>
  <c r="C49" i="7" s="1"/>
  <c r="C63" i="7" s="1"/>
  <c r="C3" i="7"/>
  <c r="D49" i="7" s="1"/>
  <c r="D63" i="7" s="1"/>
  <c r="D3" i="7"/>
  <c r="E49" i="7" s="1"/>
  <c r="E3" i="7"/>
  <c r="F49" i="7" s="1"/>
  <c r="F3" i="7"/>
  <c r="G49" i="7" s="1"/>
  <c r="G63" i="7" s="1"/>
  <c r="G3" i="7"/>
  <c r="H49" i="7" s="1"/>
  <c r="H63" i="7" s="1"/>
  <c r="H3" i="7"/>
  <c r="I49" i="7" s="1"/>
  <c r="I63" i="7" s="1"/>
  <c r="I3" i="7"/>
  <c r="J49" i="7" s="1"/>
  <c r="J3" i="7"/>
  <c r="K49" i="7" s="1"/>
  <c r="K63" i="7" s="1"/>
  <c r="K3" i="7"/>
  <c r="L49" i="7" s="1"/>
  <c r="L63" i="7" s="1"/>
  <c r="L3" i="7"/>
  <c r="M49" i="7" s="1"/>
  <c r="M63" i="7" s="1"/>
  <c r="M3" i="7"/>
  <c r="N49" i="7" s="1"/>
  <c r="B4" i="7"/>
  <c r="C28" i="7" s="1"/>
  <c r="C4" i="7"/>
  <c r="D28" i="7" s="1"/>
  <c r="D4" i="7"/>
  <c r="E28" i="7" s="1"/>
  <c r="E4" i="7"/>
  <c r="F28" i="7" s="1"/>
  <c r="F29" i="7" s="1"/>
  <c r="F36" i="7" s="1"/>
  <c r="F4" i="7"/>
  <c r="G28" i="7" s="1"/>
  <c r="G4" i="7"/>
  <c r="H28" i="7" s="1"/>
  <c r="H4" i="7"/>
  <c r="I28" i="7" s="1"/>
  <c r="I4" i="7"/>
  <c r="J28" i="7" s="1"/>
  <c r="J29" i="7" s="1"/>
  <c r="J36" i="7" s="1"/>
  <c r="J4" i="7"/>
  <c r="K28" i="7" s="1"/>
  <c r="K4" i="7"/>
  <c r="L28" i="7" s="1"/>
  <c r="L4" i="7"/>
  <c r="M28" i="7" s="1"/>
  <c r="M4" i="7"/>
  <c r="N28" i="7" s="1"/>
  <c r="N29" i="7" s="1"/>
  <c r="N36" i="7" s="1"/>
  <c r="B5" i="7"/>
  <c r="C26" i="7" s="1"/>
  <c r="C5" i="7"/>
  <c r="D26" i="7" s="1"/>
  <c r="D5" i="7"/>
  <c r="E26" i="7" s="1"/>
  <c r="E5" i="7"/>
  <c r="F26" i="7" s="1"/>
  <c r="F5" i="7"/>
  <c r="G26" i="7" s="1"/>
  <c r="G5" i="7"/>
  <c r="H26" i="7" s="1"/>
  <c r="H5" i="7"/>
  <c r="I26" i="7" s="1"/>
  <c r="I5" i="7"/>
  <c r="J26" i="7" s="1"/>
  <c r="J5" i="7"/>
  <c r="K26" i="7" s="1"/>
  <c r="K5" i="7"/>
  <c r="L26" i="7" s="1"/>
  <c r="L5" i="7"/>
  <c r="M26" i="7" s="1"/>
  <c r="M5" i="7"/>
  <c r="N26" i="7" s="1"/>
  <c r="R63" i="2"/>
  <c r="W7" i="2"/>
  <c r="V7" i="2"/>
  <c r="Q63" i="2"/>
  <c r="O66" i="2"/>
  <c r="O64" i="2"/>
  <c r="O65" i="2"/>
  <c r="E63" i="2"/>
  <c r="F63" i="2"/>
  <c r="G63" i="2"/>
  <c r="H63" i="2"/>
  <c r="I63" i="2"/>
  <c r="J63" i="2"/>
  <c r="K63" i="2"/>
  <c r="L63" i="2"/>
  <c r="M63" i="2"/>
  <c r="N63" i="2"/>
  <c r="O63" i="2"/>
  <c r="D63" i="2"/>
  <c r="G47" i="7" l="1"/>
  <c r="N63" i="7"/>
  <c r="J63" i="7"/>
  <c r="F63" i="7"/>
  <c r="M60" i="7"/>
  <c r="I60" i="7"/>
  <c r="E60" i="7"/>
  <c r="K66" i="7"/>
  <c r="G66" i="7"/>
  <c r="C65" i="7"/>
  <c r="K68" i="7"/>
  <c r="K65" i="7"/>
  <c r="G68" i="7"/>
  <c r="G65" i="7"/>
  <c r="I66" i="7"/>
  <c r="N65" i="7"/>
  <c r="N68" i="7"/>
  <c r="J68" i="7"/>
  <c r="J65" i="7"/>
  <c r="F68" i="7"/>
  <c r="F65" i="7"/>
  <c r="E63" i="7"/>
  <c r="M68" i="7"/>
  <c r="M65" i="7"/>
  <c r="I68" i="7"/>
  <c r="I65" i="7"/>
  <c r="E68" i="7"/>
  <c r="E65" i="7"/>
  <c r="K61" i="7"/>
  <c r="L68" i="7"/>
  <c r="G61" i="7"/>
  <c r="H68" i="7"/>
  <c r="H65" i="7"/>
  <c r="L65" i="7"/>
  <c r="N47" i="7"/>
  <c r="N61" i="7" s="1"/>
  <c r="J47" i="7"/>
  <c r="J61" i="7" s="1"/>
  <c r="F47" i="7"/>
  <c r="F61" i="7" s="1"/>
  <c r="M47" i="7"/>
  <c r="M61" i="7" s="1"/>
  <c r="I47" i="7"/>
  <c r="I61" i="7" s="1"/>
  <c r="E47" i="7"/>
  <c r="E61" i="7" s="1"/>
  <c r="D68" i="7"/>
  <c r="L47" i="7"/>
  <c r="L61" i="7" s="1"/>
  <c r="H47" i="7"/>
  <c r="H61" i="7" s="1"/>
  <c r="D47" i="7"/>
  <c r="D61" i="7" s="1"/>
  <c r="C47" i="7"/>
  <c r="C61" i="7" s="1"/>
  <c r="L29" i="7"/>
  <c r="L36" i="7" s="1"/>
  <c r="H29" i="7"/>
  <c r="H36" i="7" s="1"/>
  <c r="K29" i="7"/>
  <c r="K36" i="7" s="1"/>
  <c r="G29" i="7"/>
  <c r="G36" i="7" s="1"/>
  <c r="C29" i="7"/>
  <c r="F11" i="7"/>
  <c r="G24" i="7" s="1"/>
  <c r="B11" i="7"/>
  <c r="C24" i="7" s="1"/>
  <c r="C25" i="7" s="1"/>
  <c r="H11" i="7"/>
  <c r="I24" i="7" s="1"/>
  <c r="I25" i="7" s="1"/>
  <c r="D29" i="7"/>
  <c r="D36" i="7" s="1"/>
  <c r="M29" i="7"/>
  <c r="M36" i="7" s="1"/>
  <c r="I29" i="7"/>
  <c r="I36" i="7" s="1"/>
  <c r="E29" i="7"/>
  <c r="E36" i="7" s="1"/>
  <c r="N25" i="7"/>
  <c r="J25" i="7"/>
  <c r="F25" i="7"/>
  <c r="N21" i="7"/>
  <c r="N34" i="7" s="1"/>
  <c r="J21" i="7"/>
  <c r="J34" i="7" s="1"/>
  <c r="F21" i="7"/>
  <c r="F34" i="7" s="1"/>
  <c r="L21" i="7"/>
  <c r="L34" i="7" s="1"/>
  <c r="H21" i="7"/>
  <c r="H34" i="7" s="1"/>
  <c r="D21" i="7"/>
  <c r="K23" i="7"/>
  <c r="K35" i="7" s="1"/>
  <c r="G25" i="7"/>
  <c r="C11" i="7"/>
  <c r="D24" i="7" s="1"/>
  <c r="D25" i="7" s="1"/>
  <c r="M18" i="7"/>
  <c r="E18" i="7"/>
  <c r="N18" i="7"/>
  <c r="J18" i="7"/>
  <c r="F18" i="7"/>
  <c r="K21" i="7"/>
  <c r="K34" i="7" s="1"/>
  <c r="G21" i="7"/>
  <c r="G34" i="7" s="1"/>
  <c r="C21" i="7"/>
  <c r="C34" i="7" s="1"/>
  <c r="C22" i="7"/>
  <c r="C23" i="7" s="1"/>
  <c r="C35" i="7" s="1"/>
  <c r="J11" i="7"/>
  <c r="K24" i="7" s="1"/>
  <c r="D11" i="7"/>
  <c r="E24" i="7" s="1"/>
  <c r="E25" i="7" s="1"/>
  <c r="I18" i="7"/>
  <c r="L18" i="7"/>
  <c r="H18" i="7"/>
  <c r="D18" i="7"/>
  <c r="L11" i="7"/>
  <c r="M24" i="7" s="1"/>
  <c r="M25" i="7" s="1"/>
  <c r="G11" i="7"/>
  <c r="H24" i="7" s="1"/>
  <c r="H25" i="7" s="1"/>
  <c r="K18" i="7"/>
  <c r="G18" i="7"/>
  <c r="L23" i="7"/>
  <c r="L35" i="7" s="1"/>
  <c r="H23" i="7"/>
  <c r="H35" i="7" s="1"/>
  <c r="D23" i="7"/>
  <c r="D35" i="7" s="1"/>
  <c r="G22" i="7"/>
  <c r="G23" i="7" s="1"/>
  <c r="G35" i="7" s="1"/>
  <c r="K11" i="7"/>
  <c r="L24" i="7" s="1"/>
  <c r="L25" i="7" s="1"/>
  <c r="K25" i="7"/>
  <c r="N22" i="7"/>
  <c r="N23" i="7" s="1"/>
  <c r="N35" i="7" s="1"/>
  <c r="J22" i="7"/>
  <c r="J23" i="7" s="1"/>
  <c r="J35" i="7" s="1"/>
  <c r="F22" i="7"/>
  <c r="F23" i="7" s="1"/>
  <c r="F35" i="7" s="1"/>
  <c r="E23" i="7"/>
  <c r="E35" i="7" s="1"/>
  <c r="I21" i="7"/>
  <c r="I34" i="7" s="1"/>
  <c r="I23" i="7"/>
  <c r="I35" i="7" s="1"/>
  <c r="E21" i="7"/>
  <c r="E34" i="7" s="1"/>
  <c r="M21" i="7"/>
  <c r="M34" i="7" s="1"/>
  <c r="M23" i="7"/>
  <c r="M35" i="7" s="1"/>
  <c r="D71" i="7" l="1"/>
  <c r="D73" i="7" s="1"/>
  <c r="G71" i="7"/>
  <c r="G73" i="7" s="1"/>
  <c r="F71" i="7"/>
  <c r="F73" i="7" s="1"/>
  <c r="M71" i="7"/>
  <c r="M73" i="7" s="1"/>
  <c r="E66" i="7"/>
  <c r="C66" i="7"/>
  <c r="K19" i="7"/>
  <c r="K33" i="7" s="1"/>
  <c r="K39" i="7" s="1"/>
  <c r="K48" i="7"/>
  <c r="K62" i="7" s="1"/>
  <c r="K71" i="7" s="1"/>
  <c r="K73" i="7" s="1"/>
  <c r="H19" i="7"/>
  <c r="H33" i="7" s="1"/>
  <c r="H39" i="7" s="1"/>
  <c r="H48" i="7"/>
  <c r="H62" i="7" s="1"/>
  <c r="H71" i="7" s="1"/>
  <c r="H73" i="7" s="1"/>
  <c r="E19" i="7"/>
  <c r="E33" i="7" s="1"/>
  <c r="E48" i="7"/>
  <c r="E62" i="7" s="1"/>
  <c r="E71" i="7" s="1"/>
  <c r="E73" i="7" s="1"/>
  <c r="M66" i="7"/>
  <c r="N66" i="7"/>
  <c r="H66" i="7"/>
  <c r="L66" i="7"/>
  <c r="I19" i="7"/>
  <c r="I33" i="7" s="1"/>
  <c r="I39" i="7" s="1"/>
  <c r="I48" i="7"/>
  <c r="I62" i="7" s="1"/>
  <c r="I71" i="7" s="1"/>
  <c r="I73" i="7" s="1"/>
  <c r="J19" i="7"/>
  <c r="J33" i="7" s="1"/>
  <c r="J48" i="7"/>
  <c r="J62" i="7" s="1"/>
  <c r="J71" i="7" s="1"/>
  <c r="J73" i="7" s="1"/>
  <c r="F66" i="7"/>
  <c r="L19" i="7"/>
  <c r="L33" i="7" s="1"/>
  <c r="L39" i="7" s="1"/>
  <c r="L48" i="7"/>
  <c r="L62" i="7" s="1"/>
  <c r="F19" i="7"/>
  <c r="F33" i="7" s="1"/>
  <c r="F48" i="7"/>
  <c r="F62" i="7" s="1"/>
  <c r="M19" i="7"/>
  <c r="M33" i="7" s="1"/>
  <c r="M39" i="7" s="1"/>
  <c r="M48" i="7"/>
  <c r="M62" i="7" s="1"/>
  <c r="G19" i="7"/>
  <c r="G33" i="7" s="1"/>
  <c r="G39" i="7" s="1"/>
  <c r="G48" i="7"/>
  <c r="G62" i="7" s="1"/>
  <c r="D19" i="7"/>
  <c r="D33" i="7" s="1"/>
  <c r="D39" i="7" s="1"/>
  <c r="D48" i="7"/>
  <c r="D62" i="7" s="1"/>
  <c r="N19" i="7"/>
  <c r="N33" i="7" s="1"/>
  <c r="N39" i="7" s="1"/>
  <c r="N48" i="7"/>
  <c r="N62" i="7" s="1"/>
  <c r="N71" i="7" s="1"/>
  <c r="N73" i="7" s="1"/>
  <c r="J66" i="7"/>
  <c r="D66" i="7"/>
  <c r="C19" i="7"/>
  <c r="C33" i="7" s="1"/>
  <c r="C48" i="7"/>
  <c r="C62" i="7" s="1"/>
  <c r="C73" i="7" s="1"/>
  <c r="E39" i="7"/>
  <c r="F39" i="7"/>
  <c r="J39" i="7"/>
  <c r="L71" i="7" l="1"/>
  <c r="L73" i="7" s="1"/>
  <c r="D27" i="2" l="1"/>
  <c r="E27" i="2"/>
  <c r="F27" i="2"/>
  <c r="G27" i="2"/>
  <c r="H27" i="2"/>
  <c r="I27" i="2"/>
  <c r="J27" i="2"/>
  <c r="K27" i="2"/>
  <c r="L27" i="2"/>
  <c r="M27" i="2"/>
  <c r="N27" i="2"/>
  <c r="O27" i="2"/>
  <c r="C27" i="2"/>
  <c r="AC16" i="6" l="1"/>
  <c r="Z16" i="6"/>
  <c r="Z18" i="6"/>
  <c r="Z17" i="6"/>
  <c r="AC18" i="6"/>
  <c r="AC17" i="6"/>
  <c r="W18" i="6"/>
  <c r="W17" i="6"/>
  <c r="W16" i="6"/>
  <c r="B52" i="6" l="1"/>
  <c r="B28" i="6"/>
  <c r="B29" i="6"/>
  <c r="B26" i="6"/>
  <c r="B71" i="6" l="1"/>
  <c r="B69" i="6"/>
  <c r="B68" i="6"/>
  <c r="B51" i="6"/>
  <c r="B31" i="6"/>
  <c r="B30" i="6"/>
  <c r="B25" i="6"/>
  <c r="B23" i="6"/>
  <c r="B22" i="6"/>
  <c r="N9" i="6"/>
  <c r="M9" i="6"/>
  <c r="L9" i="6"/>
  <c r="K9" i="6"/>
  <c r="J9" i="6"/>
  <c r="I9" i="6"/>
  <c r="H9" i="6"/>
  <c r="G9" i="6"/>
  <c r="F9" i="6"/>
  <c r="E9" i="6"/>
  <c r="D9" i="6"/>
  <c r="C9" i="6"/>
  <c r="N8" i="6"/>
  <c r="M8" i="6"/>
  <c r="L8" i="6"/>
  <c r="K8" i="6"/>
  <c r="J8" i="6"/>
  <c r="I8" i="6"/>
  <c r="H8" i="6"/>
  <c r="G8" i="6"/>
  <c r="F8" i="6"/>
  <c r="E8" i="6"/>
  <c r="D8" i="6"/>
  <c r="C8" i="6"/>
  <c r="N7" i="6"/>
  <c r="M7" i="6"/>
  <c r="L7" i="6"/>
  <c r="K7" i="6"/>
  <c r="J7" i="6"/>
  <c r="I7" i="6"/>
  <c r="H7" i="6"/>
  <c r="G7" i="6"/>
  <c r="F7" i="6"/>
  <c r="E7" i="6"/>
  <c r="D7" i="6"/>
  <c r="C7" i="6"/>
  <c r="N4" i="6"/>
  <c r="N6" i="6" s="1"/>
  <c r="N10" i="6" s="1"/>
  <c r="N11" i="6" s="1"/>
  <c r="M4" i="6"/>
  <c r="M6" i="6" s="1"/>
  <c r="M10" i="6" s="1"/>
  <c r="L4" i="6"/>
  <c r="L6" i="6" s="1"/>
  <c r="L10" i="6" s="1"/>
  <c r="K4" i="6"/>
  <c r="K6" i="6" s="1"/>
  <c r="K10" i="6" s="1"/>
  <c r="J4" i="6"/>
  <c r="J6" i="6" s="1"/>
  <c r="J10" i="6" s="1"/>
  <c r="J11" i="6" s="1"/>
  <c r="I4" i="6"/>
  <c r="I6" i="6" s="1"/>
  <c r="I10" i="6" s="1"/>
  <c r="H4" i="6"/>
  <c r="H6" i="6" s="1"/>
  <c r="H10" i="6" s="1"/>
  <c r="G4" i="6"/>
  <c r="G6" i="6" s="1"/>
  <c r="G10" i="6" s="1"/>
  <c r="F4" i="6"/>
  <c r="F6" i="6" s="1"/>
  <c r="F10" i="6" s="1"/>
  <c r="F11" i="6" s="1"/>
  <c r="E4" i="6"/>
  <c r="E6" i="6" s="1"/>
  <c r="E10" i="6" s="1"/>
  <c r="D4" i="6"/>
  <c r="D6" i="6" s="1"/>
  <c r="D10" i="6" s="1"/>
  <c r="C4" i="6"/>
  <c r="C6" i="6" s="1"/>
  <c r="C10" i="6" s="1"/>
  <c r="T29" i="3"/>
  <c r="N29" i="3"/>
  <c r="M29" i="3"/>
  <c r="L29" i="3"/>
  <c r="K29" i="3"/>
  <c r="J29" i="3"/>
  <c r="I29" i="3"/>
  <c r="H29" i="3"/>
  <c r="G29" i="3"/>
  <c r="F29" i="3"/>
  <c r="E29" i="3"/>
  <c r="D29" i="3"/>
  <c r="C29" i="3"/>
  <c r="N15" i="3"/>
  <c r="M15" i="3"/>
  <c r="L15" i="3"/>
  <c r="K15" i="3"/>
  <c r="J15" i="3"/>
  <c r="I15" i="3"/>
  <c r="H15" i="3"/>
  <c r="G15" i="3"/>
  <c r="F15" i="3"/>
  <c r="E15" i="3"/>
  <c r="D15" i="3"/>
  <c r="C15" i="3"/>
  <c r="T9" i="3"/>
  <c r="N9" i="3"/>
  <c r="M9" i="3"/>
  <c r="L9" i="3"/>
  <c r="K9" i="3"/>
  <c r="J9" i="3"/>
  <c r="I9" i="3"/>
  <c r="H9" i="3"/>
  <c r="G9" i="3"/>
  <c r="F9" i="3"/>
  <c r="E9" i="3"/>
  <c r="D9" i="3"/>
  <c r="C9" i="3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V34" i="2"/>
  <c r="U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V22" i="2"/>
  <c r="U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V20" i="2"/>
  <c r="U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V18" i="2"/>
  <c r="U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V12" i="2"/>
  <c r="U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V10" i="2"/>
  <c r="U10" i="2"/>
  <c r="O10" i="2"/>
  <c r="N10" i="2"/>
  <c r="M10" i="2"/>
  <c r="L10" i="2"/>
  <c r="K10" i="2"/>
  <c r="J10" i="2"/>
  <c r="I10" i="2"/>
  <c r="H10" i="2"/>
  <c r="G10" i="2"/>
  <c r="F10" i="2"/>
  <c r="E10" i="2"/>
  <c r="D10" i="2"/>
  <c r="O7" i="2"/>
  <c r="N7" i="2"/>
  <c r="M7" i="2"/>
  <c r="L7" i="2"/>
  <c r="K7" i="2"/>
  <c r="J7" i="2"/>
  <c r="I7" i="2"/>
  <c r="H7" i="2"/>
  <c r="G7" i="2"/>
  <c r="F7" i="2"/>
  <c r="E7" i="2"/>
  <c r="D7" i="2"/>
  <c r="P6" i="2"/>
  <c r="O14" i="3" s="1"/>
  <c r="O9" i="6" s="1"/>
  <c r="U15" i="3" l="1"/>
  <c r="U9" i="3"/>
  <c r="U29" i="3"/>
  <c r="E11" i="6"/>
  <c r="G12" i="6" s="1"/>
  <c r="I11" i="6"/>
  <c r="M11" i="6"/>
  <c r="B63" i="6"/>
  <c r="I13" i="6"/>
  <c r="G11" i="6"/>
  <c r="K11" i="6"/>
  <c r="J13" i="6"/>
  <c r="H12" i="6"/>
  <c r="D11" i="6"/>
  <c r="H11" i="6"/>
  <c r="L11" i="6"/>
  <c r="N12" i="6" s="1"/>
  <c r="O28" i="3"/>
  <c r="O8" i="6" s="1"/>
  <c r="P19" i="2"/>
  <c r="P11" i="2"/>
  <c r="P14" i="2" s="1"/>
  <c r="P17" i="2"/>
  <c r="P21" i="2"/>
  <c r="O8" i="3"/>
  <c r="O7" i="6" s="1"/>
  <c r="Q6" i="2"/>
  <c r="C30" i="6"/>
  <c r="C31" i="6" s="1"/>
  <c r="D66" i="6" l="1"/>
  <c r="M12" i="6"/>
  <c r="L13" i="6"/>
  <c r="J12" i="6"/>
  <c r="M13" i="6"/>
  <c r="H13" i="6"/>
  <c r="F12" i="6"/>
  <c r="K13" i="6"/>
  <c r="I12" i="6"/>
  <c r="K12" i="6"/>
  <c r="L12" i="6"/>
  <c r="N13" i="6"/>
  <c r="P16" i="2"/>
  <c r="P23" i="2" s="1"/>
  <c r="O4" i="6" s="1"/>
  <c r="O6" i="6" s="1"/>
  <c r="O10" i="6" s="1"/>
  <c r="P8" i="3"/>
  <c r="P7" i="6" s="1"/>
  <c r="Q21" i="2"/>
  <c r="Q17" i="2"/>
  <c r="Q11" i="2"/>
  <c r="Q14" i="2" s="1"/>
  <c r="P28" i="3"/>
  <c r="P8" i="6" s="1"/>
  <c r="Q19" i="2"/>
  <c r="P14" i="3"/>
  <c r="P9" i="6" s="1"/>
  <c r="Q33" i="2"/>
  <c r="R6" i="2"/>
  <c r="L66" i="6"/>
  <c r="E66" i="6" l="1"/>
  <c r="G66" i="6"/>
  <c r="C66" i="6"/>
  <c r="F66" i="6"/>
  <c r="I66" i="6"/>
  <c r="K66" i="6"/>
  <c r="H66" i="6"/>
  <c r="J66" i="6"/>
  <c r="Q16" i="2"/>
  <c r="Q23" i="2" s="1"/>
  <c r="P4" i="6" s="1"/>
  <c r="P6" i="6" s="1"/>
  <c r="P10" i="6" s="1"/>
  <c r="P11" i="6" s="1"/>
  <c r="O11" i="6"/>
  <c r="B47" i="6"/>
  <c r="B48" i="6" s="1"/>
  <c r="Q28" i="3"/>
  <c r="Q8" i="6" s="1"/>
  <c r="R19" i="2"/>
  <c r="Q14" i="3"/>
  <c r="Q9" i="6" s="1"/>
  <c r="R33" i="2"/>
  <c r="S6" i="2"/>
  <c r="Q8" i="3"/>
  <c r="Q7" i="6" s="1"/>
  <c r="R21" i="2"/>
  <c r="R17" i="2"/>
  <c r="R11" i="2"/>
  <c r="R14" i="2" s="1"/>
  <c r="C47" i="6" l="1"/>
  <c r="C48" i="6" s="1"/>
  <c r="R8" i="3"/>
  <c r="R7" i="6" s="1"/>
  <c r="S21" i="2"/>
  <c r="T6" i="2"/>
  <c r="R28" i="3"/>
  <c r="R8" i="6" s="1"/>
  <c r="S11" i="2"/>
  <c r="S14" i="2" s="1"/>
  <c r="S17" i="2"/>
  <c r="S33" i="2"/>
  <c r="S19" i="2"/>
  <c r="R14" i="3"/>
  <c r="R9" i="6" s="1"/>
  <c r="R16" i="2"/>
  <c r="R23" i="2" s="1"/>
  <c r="Q4" i="6" s="1"/>
  <c r="Q6" i="6" s="1"/>
  <c r="Q10" i="6" s="1"/>
  <c r="P12" i="6"/>
  <c r="O12" i="6"/>
  <c r="P13" i="6"/>
  <c r="O13" i="6"/>
  <c r="S16" i="2" l="1"/>
  <c r="S23" i="2" s="1"/>
  <c r="R4" i="6" s="1"/>
  <c r="R6" i="6" s="1"/>
  <c r="R10" i="6" s="1"/>
  <c r="R11" i="6" s="1"/>
  <c r="D47" i="6"/>
  <c r="D48" i="6" s="1"/>
  <c r="Q11" i="6"/>
  <c r="S28" i="3"/>
  <c r="S8" i="6" s="1"/>
  <c r="T21" i="2"/>
  <c r="T11" i="2"/>
  <c r="T14" i="2" s="1"/>
  <c r="S14" i="3"/>
  <c r="S9" i="6" s="1"/>
  <c r="T19" i="2"/>
  <c r="T17" i="2"/>
  <c r="T33" i="2"/>
  <c r="S8" i="3"/>
  <c r="S7" i="6" s="1"/>
  <c r="T16" i="2" l="1"/>
  <c r="T23" i="2" s="1"/>
  <c r="S4" i="6" s="1"/>
  <c r="B41" i="6" s="1"/>
  <c r="G47" i="6" s="1"/>
  <c r="E47" i="6"/>
  <c r="E48" i="6" s="1"/>
  <c r="R12" i="6"/>
  <c r="R13" i="6"/>
  <c r="Q13" i="6"/>
  <c r="Q12" i="6"/>
  <c r="S6" i="6" l="1"/>
  <c r="S10" i="6" s="1"/>
  <c r="B62" i="6"/>
  <c r="B67" i="6" s="1"/>
  <c r="G67" i="6" l="1"/>
  <c r="G70" i="6" s="1"/>
  <c r="G72" i="6" s="1"/>
  <c r="D67" i="6"/>
  <c r="D70" i="6" s="1"/>
  <c r="D72" i="6" s="1"/>
  <c r="K67" i="6"/>
  <c r="K70" i="6" s="1"/>
  <c r="K72" i="6" s="1"/>
  <c r="H67" i="6"/>
  <c r="H70" i="6" s="1"/>
  <c r="H72" i="6" s="1"/>
  <c r="L67" i="6"/>
  <c r="L70" i="6" s="1"/>
  <c r="L72" i="6" s="1"/>
  <c r="E67" i="6"/>
  <c r="E70" i="6" s="1"/>
  <c r="E72" i="6" s="1"/>
  <c r="B70" i="6"/>
  <c r="B72" i="6" s="1"/>
  <c r="I67" i="6"/>
  <c r="I70" i="6" s="1"/>
  <c r="I72" i="6" s="1"/>
  <c r="C67" i="6"/>
  <c r="C70" i="6" s="1"/>
  <c r="C72" i="6" s="1"/>
  <c r="J67" i="6"/>
  <c r="J70" i="6" s="1"/>
  <c r="J72" i="6" s="1"/>
  <c r="F67" i="6"/>
  <c r="F70" i="6" s="1"/>
  <c r="F72" i="6" s="1"/>
  <c r="S11" i="6"/>
  <c r="V10" i="6"/>
  <c r="B39" i="6" s="1"/>
  <c r="F47" i="6"/>
  <c r="F48" i="6" s="1"/>
  <c r="G48" i="6"/>
  <c r="B50" i="6" s="1"/>
  <c r="B42" i="6"/>
  <c r="B54" i="6" l="1"/>
  <c r="B55" i="6" s="1"/>
  <c r="P20" i="6" s="1"/>
  <c r="S12" i="6"/>
  <c r="S13" i="6"/>
  <c r="U10" i="6"/>
</calcChain>
</file>

<file path=xl/sharedStrings.xml><?xml version="1.0" encoding="utf-8"?>
<sst xmlns="http://schemas.openxmlformats.org/spreadsheetml/2006/main" count="1702" uniqueCount="602">
  <si>
    <t>Revenue</t>
  </si>
  <si>
    <t>Gross Profit</t>
  </si>
  <si>
    <t>Reference Items</t>
  </si>
  <si>
    <t>FY 2005</t>
  </si>
  <si>
    <t>DR Horton Inc (DHI US) - Adjusted</t>
  </si>
  <si>
    <t>In Millions of USD except Per Share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</si>
  <si>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</si>
  <si>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</si>
  <si>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</si>
  <si>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</si>
  <si>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</si>
  <si>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</si>
  <si>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</si>
  <si>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</si>
  <si>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</si>
  <si>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</si>
  <si>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</si>
  <si>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</si>
  <si>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12 Months Ending</t>
  </si>
  <si>
    <t>09/30/2003</t>
  </si>
  <si>
    <t>09/30/2004</t>
  </si>
  <si>
    <t>09/30/2005</t>
  </si>
  <si>
    <t>09/30/2006</t>
  </si>
  <si>
    <t>09/30/2007</t>
  </si>
  <si>
    <t>09/30/2008</t>
  </si>
  <si>
    <t>09/30/2009</t>
  </si>
  <si>
    <t>09/30/2010</t>
  </si>
  <si>
    <t>09/30/2011</t>
  </si>
  <si>
    <t>09/30/2012</t>
  </si>
  <si>
    <t>09/30/2013</t>
  </si>
  <si>
    <t>09/30/2014</t>
  </si>
  <si>
    <t>09/30/2015</t>
  </si>
  <si>
    <t>06/30/2016</t>
  </si>
  <si>
    <t>SALES_REV_TURN</t>
  </si>
  <si>
    <t xml:space="preserve">    + Sales &amp; Services Revenue</t>
  </si>
  <si>
    <t>IS_SALES_AND_SERVICES_REVENUES</t>
  </si>
  <si>
    <t>—</t>
  </si>
  <si>
    <t xml:space="preserve">    + Financing Revenue</t>
  </si>
  <si>
    <t>IS_ADJUSTED_FIN_SUBSIDIARY_REV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</si>
  <si>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</si>
  <si>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</si>
  <si>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</si>
  <si>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</si>
  <si>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</si>
  <si>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</si>
  <si>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</si>
  <si>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</si>
  <si>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</si>
  <si>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</si>
  <si>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</si>
  <si>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Research &amp; Development</t>
  </si>
  <si>
    <t>IS_OPEX_R&amp;D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</si>
  <si>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</si>
  <si>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</si>
  <si>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</si>
  <si>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</si>
  <si>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</si>
  <si>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</si>
  <si>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</si>
  <si>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</si>
  <si>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</si>
  <si>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</si>
  <si>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</si>
  <si>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</si>
  <si>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</si>
  <si>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</si>
  <si>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</si>
  <si>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</si>
  <si>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</si>
  <si>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</si>
  <si>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</si>
  <si>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</si>
  <si>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</si>
  <si>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</si>
  <si>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Early Extinguishment of Debt</t>
  </si>
  <si>
    <t>IS_G_L_ON_EXT_DBT_OR_SETTLE_DBT</t>
  </si>
  <si>
    <t xml:space="preserve">    + Asset Write-Down</t>
  </si>
  <si>
    <t>IS_IMPAIRMENT_ASSETS</t>
  </si>
  <si>
    <t xml:space="preserve">    + Impairment of Goodwill</t>
  </si>
  <si>
    <t>IS_IMPAIRMENT_GOODWILL_INTANGIBL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</si>
  <si>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</si>
  <si>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</si>
  <si>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</si>
  <si>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</si>
  <si>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</si>
  <si>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</si>
  <si>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</si>
  <si>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</si>
  <si>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</si>
  <si>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</si>
  <si>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</si>
  <si>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 xml:space="preserve">    + Tax Allowance/Credit</t>
  </si>
  <si>
    <t>IS_TAX_VALN_ALLOWNCE_CREDITS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</si>
  <si>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</si>
  <si>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</si>
  <si>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</si>
  <si>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</si>
  <si>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</si>
  <si>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</si>
  <si>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</si>
  <si>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</si>
  <si>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</si>
  <si>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</si>
  <si>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</si>
  <si>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</si>
  <si>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</si>
  <si>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</si>
  <si>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</si>
  <si>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</si>
  <si>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</si>
  <si>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</si>
  <si>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</si>
  <si>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</si>
  <si>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</si>
  <si>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</si>
  <si>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</si>
  <si>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</si>
  <si>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</si>
  <si>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</si>
  <si>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</si>
  <si>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</si>
  <si>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</si>
  <si>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</si>
  <si>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</si>
  <si>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</si>
  <si>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</si>
  <si>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</si>
  <si>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</si>
  <si>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</si>
  <si>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</si>
  <si>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</si>
  <si>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</si>
  <si>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</si>
  <si>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</si>
  <si>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</si>
  <si>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</si>
  <si>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</si>
  <si>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</si>
  <si>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</si>
  <si>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</si>
  <si>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</si>
  <si>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</si>
  <si>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</si>
  <si>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</si>
  <si>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</si>
  <si>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</si>
  <si>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</si>
  <si>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</si>
  <si>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</si>
  <si>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</si>
  <si>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</si>
  <si>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</si>
  <si>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</si>
  <si>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</si>
  <si>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</si>
  <si>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Depreciation Expense</t>
  </si>
  <si>
    <t>IS_DEPR_EXP</t>
  </si>
  <si>
    <t>Rental Expense</t>
  </si>
  <si>
    <t>BS_CURR_RENTAL_EXPENSE</t>
  </si>
  <si>
    <t>Source: Bloomberg</t>
  </si>
  <si>
    <t>CASH_FLOW_TO_NET_INC</t>
  </si>
  <si>
    <t>Cash Flow to Net Income</t>
  </si>
  <si>
    <t>PX_TO_FREE_CASH_FLOW</t>
  </si>
  <si>
    <t>Price to Free Cash Flow</t>
  </si>
  <si>
    <t>FREE_CASH_FLOW_PER_SH</t>
  </si>
  <si>
    <t>Free Cash Flow per Basic Share</t>
  </si>
  <si>
    <t>FREE_CASH_FLOW_EQUITY</t>
  </si>
  <si>
    <t>Free Cash Flow to Equity</t>
  </si>
  <si>
    <t>CF_FREE_CASH_FLOW_FIRM</t>
  </si>
  <si>
    <t>Free Cash Flow to Firm</t>
  </si>
  <si>
    <t>CF_FREE_CASH_FLOW</t>
  </si>
  <si>
    <t>Free Cash Flow</t>
  </si>
  <si>
    <t>CF_TAX_BENEFIT_FRM_STOCK_OPTIONS</t>
  </si>
  <si>
    <t>Tax Benefit from Stock Options</t>
  </si>
  <si>
    <t>CF_NET_CASH_PAID_FOR_AQUIS</t>
  </si>
  <si>
    <t>Net Cash Paid for Acquisitions</t>
  </si>
  <si>
    <t>Trailing 12M EBITDA Margin</t>
  </si>
  <si>
    <t>CF_ACT_CASH_PAID_FOR_INT_DEBT</t>
  </si>
  <si>
    <t>Cash Paid for Interest</t>
  </si>
  <si>
    <t>CF_CASH_PAID_FOR_TAX</t>
  </si>
  <si>
    <t>Cash Paid for Taxes</t>
  </si>
  <si>
    <t>CF_NET_CHNG_CASH</t>
  </si>
  <si>
    <t>Net Changes in Cash</t>
  </si>
  <si>
    <t>CF_EFFECT_FOREIGN_EXCHANGES</t>
  </si>
  <si>
    <t xml:space="preserve">  Effect of Foreign Exchange Rates</t>
  </si>
  <si>
    <t>CFF_ACTIVITIES_DETAILED</t>
  </si>
  <si>
    <t>Cash from Financing Activities</t>
  </si>
  <si>
    <t>CF_NET_CASH_DISCONTINUED_OPS_FIN</t>
  </si>
  <si>
    <t xml:space="preserve">  + Net Cash From Disc Ops</t>
  </si>
  <si>
    <t>CF_OTHER_FINANCING_ACT_EXCL_FX</t>
  </si>
  <si>
    <t xml:space="preserve">  + Other Financing Activities</t>
  </si>
  <si>
    <t>CF_DECR_CAP_STOCK</t>
  </si>
  <si>
    <t xml:space="preserve">    + Decrease in Capital Stock</t>
  </si>
  <si>
    <t>CF_INCR_CAP_STOCK</t>
  </si>
  <si>
    <t xml:space="preserve">    + Increase in Capital Stock</t>
  </si>
  <si>
    <t>PROC_FR_REPURCH_EQTY_DETAILED</t>
  </si>
  <si>
    <t xml:space="preserve">  + Cash (Repurchase) of Equity</t>
  </si>
  <si>
    <t>CF_PYMT_LT_DEBT_&amp;_CAPITAL_LEASE</t>
  </si>
  <si>
    <t xml:space="preserve">    + Repayments of LT Debt</t>
  </si>
  <si>
    <t>CF_PROC_LT_DEBT_&amp;_CAPITAL_LEASE</t>
  </si>
  <si>
    <t xml:space="preserve">    + Cash From LT Debt</t>
  </si>
  <si>
    <t>CF_NET_CHG_IN_ST_DBT_&amp;_CPTL_LEAS</t>
  </si>
  <si>
    <t xml:space="preserve">    + Cash From (Repay) ST Debt</t>
  </si>
  <si>
    <t>PROC_FR_REPAYMNTS_BOR_DETAILED</t>
  </si>
  <si>
    <t xml:space="preserve">  + Cash From (Repayment) Debt</t>
  </si>
  <si>
    <t>CF_DVD_PAID</t>
  </si>
  <si>
    <t xml:space="preserve">  + Dividends Paid</t>
  </si>
  <si>
    <t>CF_CASH_FROM_INV_ACT</t>
  </si>
  <si>
    <t>Cash from Investing Activities</t>
  </si>
  <si>
    <t>CF_NET_CASH_DISCONTINUED_OPS_INV</t>
  </si>
  <si>
    <t>OTHER_INVESTING_ACT_DETAILED</t>
  </si>
  <si>
    <t xml:space="preserve">  + Other Investing Activities</t>
  </si>
  <si>
    <t>CF_CASH_FOR_JOINT_VENTURES_ASSOC</t>
  </si>
  <si>
    <t xml:space="preserve">    + Cash for JVs</t>
  </si>
  <si>
    <t>CF_CASH_FOR_ACQUIS_SUBSIDIARIES</t>
  </si>
  <si>
    <t xml:space="preserve">    + Cash for Acq of Subs</t>
  </si>
  <si>
    <t>CF_CASH_FOR_DIVESTITURES</t>
  </si>
  <si>
    <t xml:space="preserve">    + Cash from Divestitures</t>
  </si>
  <si>
    <t>CF_NT_CSH_RCVD_PD_FOR_ACQUIS_DIV</t>
  </si>
  <si>
    <t xml:space="preserve">  + Net Cash From Acq &amp; Div</t>
  </si>
  <si>
    <t>CF_INCR_INVEST</t>
  </si>
  <si>
    <t xml:space="preserve">    + Inc in LT Investment</t>
  </si>
  <si>
    <t>CF_DECR_INVEST</t>
  </si>
  <si>
    <t xml:space="preserve">    + Dec in LT Investment</t>
  </si>
  <si>
    <t>NET_CHG_IN_LT_INVEST_DETAILED</t>
  </si>
  <si>
    <t xml:space="preserve">  + Net Change in LT Investment</t>
  </si>
  <si>
    <t>CF_ACQUISITION_OF_INTANG_ASSETS</t>
  </si>
  <si>
    <t xml:space="preserve">    + Acq of Intangible Assets</t>
  </si>
  <si>
    <t>CF_PURCHASE_OF_FIXED_PROD_ASSETS</t>
  </si>
  <si>
    <t xml:space="preserve">    + Acq of Fixed Prod Assets</t>
  </si>
  <si>
    <t>ACQUIS_FXD_&amp;_INTANG_DETAILED</t>
  </si>
  <si>
    <t xml:space="preserve">    + Acq of Fixed &amp; Intang</t>
  </si>
  <si>
    <t>CF_DISPOSAL_OF_INTANGIBLE_ASSETS</t>
  </si>
  <si>
    <t xml:space="preserve">    + Disp of Intangible Assets</t>
  </si>
  <si>
    <t>CF_DISPOSAL_OF_FIXED_PROD_ASSETS</t>
  </si>
  <si>
    <t xml:space="preserve">    + Disp of Fixed Prod Assets</t>
  </si>
  <si>
    <t>DISP_FXD_&amp;_INTANGIBLES_DETAILED</t>
  </si>
  <si>
    <t xml:space="preserve">    + Disp in Fixed &amp; Intang</t>
  </si>
  <si>
    <t>CHG_IN_FXD_&amp;_INTANG_AST_DETAILED</t>
  </si>
  <si>
    <t xml:space="preserve">  + Change in Fixed &amp; Intang</t>
  </si>
  <si>
    <t>CF_CASH_FROM_OPER</t>
  </si>
  <si>
    <t>Cash from Operating Activities</t>
  </si>
  <si>
    <t>CF_NET_CASH_DISCONT_OPS_OPER</t>
  </si>
  <si>
    <t>INC_DEC_IN_OT_OP_AST_LIAB_DETAIL</t>
  </si>
  <si>
    <t xml:space="preserve">    + Inc (Dec) in Other</t>
  </si>
  <si>
    <t>CF_CHANGE_IN_INVENTORIES</t>
  </si>
  <si>
    <t xml:space="preserve">    + (Inc) Dec in Inventories</t>
  </si>
  <si>
    <t>CF_ACCT_RCV_UNBILLED_REV</t>
  </si>
  <si>
    <t xml:space="preserve">    + (Inc) Dec in Accts Receiv</t>
  </si>
  <si>
    <t>CF_CHNG_NON_CASH_WORK_CAP</t>
  </si>
  <si>
    <t xml:space="preserve">  + Chg in Non-Cash Work Cap</t>
  </si>
  <si>
    <t>OTHER_NON_CASH_ADJ_LESS_DETAILED</t>
  </si>
  <si>
    <t xml:space="preserve">    + Other Non-Cash Adj</t>
  </si>
  <si>
    <t>CF_DEF_INC_TAX</t>
  </si>
  <si>
    <t xml:space="preserve">    + Deferred Income Taxes</t>
  </si>
  <si>
    <t>CF_STOCK_BASED_COMPENSATION</t>
  </si>
  <si>
    <t xml:space="preserve">    + Stock-Based Compensation</t>
  </si>
  <si>
    <t>NON_CASH_ITEMS_DETAILED</t>
  </si>
  <si>
    <t xml:space="preserve">  + Non-Cash Items</t>
  </si>
  <si>
    <t>CF_DEPR_AMORT</t>
  </si>
  <si>
    <t xml:space="preserve">  + Depreciation &amp; Amortization</t>
  </si>
  <si>
    <t>CF_NET_INC</t>
  </si>
  <si>
    <t xml:space="preserve">  + Net Income</t>
  </si>
  <si>
    <t>09/30/2002</t>
  </si>
  <si>
    <t>09/30/2001</t>
  </si>
  <si>
    <t>FY 2002</t>
  </si>
  <si>
    <t>FY 2001</t>
  </si>
  <si>
    <t>DR Horton Inc (DHI US) - Standardized</t>
  </si>
  <si>
    <t>NUM_OF_EMPLOYEES</t>
  </si>
  <si>
    <t>Number of Employees</t>
  </si>
  <si>
    <t>CUR_RATIO</t>
  </si>
  <si>
    <t>Current Ratio</t>
  </si>
  <si>
    <t>TCE_RATIO</t>
  </si>
  <si>
    <t>Tangible Common Equity Ratio</t>
  </si>
  <si>
    <t>NET_DEBT_TO_SHRHLDR_EQTY</t>
  </si>
  <si>
    <t>Net Debt to Equity</t>
  </si>
  <si>
    <t>NET_DEBT</t>
  </si>
  <si>
    <t>Net Debt</t>
  </si>
  <si>
    <t>BS_OPTIONS_OUTSTANDING</t>
  </si>
  <si>
    <t>Options Outstanding at Period End</t>
  </si>
  <si>
    <t>BS_OPTIONS_GRANTED</t>
  </si>
  <si>
    <t>Options Granted During Period</t>
  </si>
  <si>
    <t>BS_TOTAL_CAPITAL_LEASES</t>
  </si>
  <si>
    <t>Capital Leases - Total</t>
  </si>
  <si>
    <t>BS_FUTURE_MIN_OPER_LEASE_OBLIG</t>
  </si>
  <si>
    <t>Future Minimum Operating Lease Obligations</t>
  </si>
  <si>
    <t>BS_PENSION_RSRV</t>
  </si>
  <si>
    <t>Pension Obligations</t>
  </si>
  <si>
    <t>BS_NUM_OF_TSY_SH</t>
  </si>
  <si>
    <t>Number of Treasury Shares</t>
  </si>
  <si>
    <t>BS_SH_OUT</t>
  </si>
  <si>
    <t>Shares Outstanding</t>
  </si>
  <si>
    <t>TOT_LIAB_AND_EQY</t>
  </si>
  <si>
    <t>Total Liabilities &amp; Equity</t>
  </si>
  <si>
    <t>TOTAL_EQUITY</t>
  </si>
  <si>
    <t>Total Equity</t>
  </si>
  <si>
    <t>MINORITY_NONCONTROLLING_INTEREST</t>
  </si>
  <si>
    <t xml:space="preserve">  + Minority/Non Controlling Interest</t>
  </si>
  <si>
    <t>EQTY_BEF_MINORITY_INT_DETAILED</t>
  </si>
  <si>
    <t>Equity Before Minority Interest</t>
  </si>
  <si>
    <t>OTHER_INS_RES_TO_SHRHLDR_EQY</t>
  </si>
  <si>
    <t xml:space="preserve">  + Other Equity</t>
  </si>
  <si>
    <t>BS_PURE_RETAINED_EARNINGS</t>
  </si>
  <si>
    <t xml:space="preserve">  + Retained Earnings</t>
  </si>
  <si>
    <t>BS_AMT_OF_TSY_STOCK</t>
  </si>
  <si>
    <t xml:space="preserve">  - Treasury Stock</t>
  </si>
  <si>
    <t>BS_ADD_PAID_IN_CAP</t>
  </si>
  <si>
    <t xml:space="preserve">    + Additional Paid in Capital</t>
  </si>
  <si>
    <t>BS_COMMON_STOCK</t>
  </si>
  <si>
    <t xml:space="preserve">    + Common Stock</t>
  </si>
  <si>
    <t>BS_SH_CAP_AND_APIC</t>
  </si>
  <si>
    <t xml:space="preserve">  + Share Capital &amp; APIC</t>
  </si>
  <si>
    <t>BS_PFD_EQY</t>
  </si>
  <si>
    <t xml:space="preserve">  + Preferred Equity</t>
  </si>
  <si>
    <t>BS_TOT_LIAB2</t>
  </si>
  <si>
    <t>Total Liabilities</t>
  </si>
  <si>
    <t>NON_CUR_LIAB</t>
  </si>
  <si>
    <t>Total Noncurrent Liabilities</t>
  </si>
  <si>
    <t>OTHER_NONCURRENT_LIABS_DETAILED</t>
  </si>
  <si>
    <t xml:space="preserve">    + Misc LT Liabilities</t>
  </si>
  <si>
    <t>BS_DERIVATIVE_&amp;_HEDGING_LIABS_LT</t>
  </si>
  <si>
    <t xml:space="preserve">    + Derivatives &amp; Hedging</t>
  </si>
  <si>
    <t>LT_DEFERRED_REVENUE</t>
  </si>
  <si>
    <t xml:space="preserve">    + Deferred Revenue</t>
  </si>
  <si>
    <t>BS_DEFERRED_COMP_LT_LIABS</t>
  </si>
  <si>
    <t xml:space="preserve">    + Deferred Compensation</t>
  </si>
  <si>
    <t>BS_OPRB_LT_LIABS</t>
  </si>
  <si>
    <t xml:space="preserve">    + Other Post-Ret Benefits</t>
  </si>
  <si>
    <t>BS_PENSIONS_LT_LIABS</t>
  </si>
  <si>
    <t xml:space="preserve">    + Pensions</t>
  </si>
  <si>
    <t>PENSION_LIABILITIES</t>
  </si>
  <si>
    <t xml:space="preserve">    + Pension Liabilities</t>
  </si>
  <si>
    <t>BS_ACCRUED_LIABILITIES</t>
  </si>
  <si>
    <t xml:space="preserve">    + Accrued Liabilities</t>
  </si>
  <si>
    <t>OTHER_NONCUR_LIABS_SUB_DETAILED</t>
  </si>
  <si>
    <t xml:space="preserve">  + Other LT Liabilities</t>
  </si>
  <si>
    <t>LT_CAPITAL_LEASE_OBLIGATIONS</t>
  </si>
  <si>
    <t xml:space="preserve">    + LT Capital Leases</t>
  </si>
  <si>
    <t>LONG_TERM_BORROWINGS_DETAILED</t>
  </si>
  <si>
    <t xml:space="preserve">    + LT Borrowings</t>
  </si>
  <si>
    <t>BS_LT_BORROW</t>
  </si>
  <si>
    <t xml:space="preserve">  + LT Debt</t>
  </si>
  <si>
    <t>BS_CUR_LIAB</t>
  </si>
  <si>
    <t>Total Current Liabilities</t>
  </si>
  <si>
    <t>OTHER_CURRENT_LIABS_DETAILED</t>
  </si>
  <si>
    <t xml:space="preserve">    + Misc ST Liabilities</t>
  </si>
  <si>
    <t>BS_DERIVATIVE_&amp;_HEDGING_LIABS_ST</t>
  </si>
  <si>
    <t>ST_DEFERRED_REVENUE</t>
  </si>
  <si>
    <t>OTHER_CURRENT_LIABS_SUB_DETAILED</t>
  </si>
  <si>
    <t xml:space="preserve">  + Other ST Liabilities</t>
  </si>
  <si>
    <t>ST_CAPITAL_LEASE_OBLIGATIONS</t>
  </si>
  <si>
    <t xml:space="preserve">    + ST Capital Leases</t>
  </si>
  <si>
    <t>SHORT_TERM_DEBT_DETAILED</t>
  </si>
  <si>
    <t xml:space="preserve">    + ST Borrowings</t>
  </si>
  <si>
    <t>BS_ST_BORROW</t>
  </si>
  <si>
    <t xml:space="preserve">  + ST Debt</t>
  </si>
  <si>
    <t>BS_ACCRUAL</t>
  </si>
  <si>
    <t xml:space="preserve">    + Other Payables &amp; Accruals</t>
  </si>
  <si>
    <t>BS_INTEREST_&amp;_DIVIDENDS_PAYABLE</t>
  </si>
  <si>
    <t xml:space="preserve">    + Interest &amp; Dividends Payable</t>
  </si>
  <si>
    <t>BS_TAXES_PAYABLE</t>
  </si>
  <si>
    <t xml:space="preserve">    + Accrued Taxes</t>
  </si>
  <si>
    <t>BS_ACCT_PAYABLE</t>
  </si>
  <si>
    <t xml:space="preserve">    + Accounts Payable</t>
  </si>
  <si>
    <t>ACCT_PAYABLE_&amp;_ACCRUALS_DETAILED</t>
  </si>
  <si>
    <t xml:space="preserve">  + Payables &amp; Accruals</t>
  </si>
  <si>
    <t>Liabilities &amp; Shareholders' Equity</t>
  </si>
  <si>
    <t>BS_TOT_ASSET</t>
  </si>
  <si>
    <t>Total Assets</t>
  </si>
  <si>
    <t>BS_TOT_NON_CUR_ASSET</t>
  </si>
  <si>
    <t>Total Noncurrent Assets</t>
  </si>
  <si>
    <t>OTHER_NONCURRENT_ASSETS_DETAILED</t>
  </si>
  <si>
    <t xml:space="preserve">    + Misc LT Assets</t>
  </si>
  <si>
    <t>BS_DERIV_&amp;_HEDGING_ASSETS_LT</t>
  </si>
  <si>
    <t xml:space="preserve">    + Derivative &amp; Hedging Assets</t>
  </si>
  <si>
    <t>BS_DEFERRED_TAX_ASSETS_LT</t>
  </si>
  <si>
    <t xml:space="preserve">    + Deferred Tax Assets</t>
  </si>
  <si>
    <t>BS_PREPAID_EXPENSE_LT</t>
  </si>
  <si>
    <t xml:space="preserve">    + Prepaid Expense</t>
  </si>
  <si>
    <t>OTHER_INTANGIBLE_ASSETS_DETAILED</t>
  </si>
  <si>
    <t xml:space="preserve">    + Other Intangible Assets</t>
  </si>
  <si>
    <t>BS_GOODWILL</t>
  </si>
  <si>
    <t xml:space="preserve">    + Goodwill</t>
  </si>
  <si>
    <t>BS_DISCLOSED_INTANGIBLES</t>
  </si>
  <si>
    <t xml:space="preserve">    + Total Intangible Assets</t>
  </si>
  <si>
    <t>BS_OTHER_ASSETS_DEF_CHRG_OTHER</t>
  </si>
  <si>
    <t xml:space="preserve">  + Other LT Assets</t>
  </si>
  <si>
    <t>BS_LONG_TERM_INVESTMENTS</t>
  </si>
  <si>
    <t xml:space="preserve">    + LT Investments</t>
  </si>
  <si>
    <t>BS_LT_INVEST</t>
  </si>
  <si>
    <t xml:space="preserve">  + LT Investments &amp; Receivables</t>
  </si>
  <si>
    <t>BS_ACCUM_DEPR</t>
  </si>
  <si>
    <t xml:space="preserve">    - Accumulated Depreciation</t>
  </si>
  <si>
    <t>BS_GROSS_FIX_ASSET</t>
  </si>
  <si>
    <t xml:space="preserve">    + Property, Plant &amp; Equip</t>
  </si>
  <si>
    <t>BS_NET_FIX_ASSET</t>
  </si>
  <si>
    <t xml:space="preserve">  + Property, Plant &amp; Equip, Net</t>
  </si>
  <si>
    <t>BS_CUR_ASSET_REPORT</t>
  </si>
  <si>
    <t>Total Current Assets</t>
  </si>
  <si>
    <t>BS_OTHER_CUR_ASSET_LESS_PREPAY</t>
  </si>
  <si>
    <t xml:space="preserve">    + Misc ST Assets</t>
  </si>
  <si>
    <t>BS_TAXES_RECEIVABLE_SHORT_TERM</t>
  </si>
  <si>
    <t xml:space="preserve">    + Taxes Receivable</t>
  </si>
  <si>
    <t>BS_DERIV_&amp;_HEDGING_ASSETS_ST</t>
  </si>
  <si>
    <t>OTHER_CURRENT_ASSETS_DETAILED</t>
  </si>
  <si>
    <t xml:space="preserve">  + Other ST Assets</t>
  </si>
  <si>
    <t>BS_OTHER_INV</t>
  </si>
  <si>
    <t xml:space="preserve">    + Other Inventory</t>
  </si>
  <si>
    <t>INVTRY_FINISHED_GOODS</t>
  </si>
  <si>
    <t xml:space="preserve">    + Finished Goods</t>
  </si>
  <si>
    <t>INVTRY_IN_PROGRESS</t>
  </si>
  <si>
    <t xml:space="preserve">    + Work In Process</t>
  </si>
  <si>
    <t>INVTRY_RAW_MATERIALS</t>
  </si>
  <si>
    <t xml:space="preserve">    + Raw Materials</t>
  </si>
  <si>
    <t>BS_INVENTORIES</t>
  </si>
  <si>
    <t xml:space="preserve">  + Inventories</t>
  </si>
  <si>
    <t>NOTES_RECEIVABLE</t>
  </si>
  <si>
    <t xml:space="preserve">    + Notes Receivable, Net</t>
  </si>
  <si>
    <t>BS_ACCTS_REC_EXCL_NOTES_REC</t>
  </si>
  <si>
    <t xml:space="preserve">    + Accounts Receivable, Net</t>
  </si>
  <si>
    <t>BS_ACCT_NOTE_RCV</t>
  </si>
  <si>
    <t xml:space="preserve">  + Accounts &amp; Notes Receiv</t>
  </si>
  <si>
    <t>BS_MKT_SEC_OTHER_ST_INVEST</t>
  </si>
  <si>
    <t xml:space="preserve">    + ST Investments</t>
  </si>
  <si>
    <t>BS_CASH_NEAR_CASH_ITEM</t>
  </si>
  <si>
    <t xml:space="preserve">    + Cash &amp; Cash Equivalents</t>
  </si>
  <si>
    <t>C&amp;CE_AND_STI_DETAILED</t>
  </si>
  <si>
    <t xml:space="preserve">  + Cash, Cash Equivalents &amp; STI</t>
  </si>
  <si>
    <t>09/30/2000</t>
  </si>
  <si>
    <t>FY 2000</t>
  </si>
  <si>
    <t>BS_PREPAY</t>
  </si>
  <si>
    <t xml:space="preserve">    + Prepaid Expenses</t>
  </si>
  <si>
    <t>03/31/2016</t>
  </si>
  <si>
    <t>12/31/2015</t>
  </si>
  <si>
    <t>06/30/2015</t>
  </si>
  <si>
    <t>03/31/2015</t>
  </si>
  <si>
    <t>12/31/2014</t>
  </si>
  <si>
    <t>06/30/2014</t>
  </si>
  <si>
    <t>03/31/2014</t>
  </si>
  <si>
    <t>12/31/2013</t>
  </si>
  <si>
    <t>06/30/2013</t>
  </si>
  <si>
    <t>03/31/2013</t>
  </si>
  <si>
    <t>12/31/2012</t>
  </si>
  <si>
    <t>3 Months Ending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</si>
  <si>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</si>
  <si>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</si>
  <si>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</si>
  <si>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</si>
  <si>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</si>
  <si>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</si>
  <si>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</si>
  <si>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</si>
  <si>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</si>
  <si>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</si>
  <si>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</si>
  <si>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</si>
  <si>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</si>
  <si>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</si>
  <si>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</si>
  <si>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</si>
  <si>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(WACC)</t>
  </si>
  <si>
    <t>Val_PerShare</t>
  </si>
  <si>
    <t>Shares_Outstanding</t>
  </si>
  <si>
    <t>Equity Value</t>
  </si>
  <si>
    <t>+cash/eqv</t>
  </si>
  <si>
    <t>-LT debt</t>
  </si>
  <si>
    <t>Final_Year_Val (EV)</t>
  </si>
  <si>
    <t>EBITDA_Mult</t>
  </si>
  <si>
    <t>(Calculated)</t>
  </si>
  <si>
    <t>EV</t>
  </si>
  <si>
    <t>2015_EBITDA</t>
  </si>
  <si>
    <t>Final Year (2020) EBITDA</t>
  </si>
  <si>
    <t>**EQUITY MULTIPLE METHOD</t>
  </si>
  <si>
    <t>PRICE PER SHARE VALUATION:</t>
  </si>
  <si>
    <t>Value of Equity</t>
  </si>
  <si>
    <t>+Cash/eqv</t>
  </si>
  <si>
    <t>Enterprise Value</t>
  </si>
  <si>
    <t>PV(CF)</t>
  </si>
  <si>
    <t>Cash Flow (FCF)</t>
  </si>
  <si>
    <t>Terminal</t>
  </si>
  <si>
    <t>(4)_DCF</t>
  </si>
  <si>
    <t>Terminal Value/share</t>
  </si>
  <si>
    <t>Terminal Value</t>
  </si>
  <si>
    <t>Growth Rate Calc</t>
  </si>
  <si>
    <t>Perpetuity: (FCF(f)*(1+g))/(WACC-g) --&gt; 0.5 to 4</t>
  </si>
  <si>
    <t>(3)_FCF_Perp/DCF/ValuePerShare</t>
  </si>
  <si>
    <t>WACC</t>
  </si>
  <si>
    <t>Equity (Mkt Cap)</t>
  </si>
  <si>
    <t>Total Debt</t>
  </si>
  <si>
    <t>LT Debt</t>
  </si>
  <si>
    <t>ST Debt</t>
  </si>
  <si>
    <t>Current Price:</t>
  </si>
  <si>
    <t xml:space="preserve">Shares Outstanding </t>
  </si>
  <si>
    <t>kd_post</t>
  </si>
  <si>
    <t>kd_pre</t>
  </si>
  <si>
    <t>CAPM (ke)</t>
  </si>
  <si>
    <t>BetaAVG</t>
  </si>
  <si>
    <t>Beta5yr</t>
  </si>
  <si>
    <t>(G)</t>
  </si>
  <si>
    <t>Beta2yr</t>
  </si>
  <si>
    <t>Sensitivity Analysis 1: WACC and G</t>
  </si>
  <si>
    <t>RM</t>
  </si>
  <si>
    <t>AVG:</t>
  </si>
  <si>
    <t>RF (10yr UST)</t>
  </si>
  <si>
    <t>MIN:</t>
  </si>
  <si>
    <t>MAX:</t>
  </si>
  <si>
    <t>(2)_WACC</t>
  </si>
  <si>
    <t xml:space="preserve">5 year moving average </t>
  </si>
  <si>
    <t>3 year moving average</t>
  </si>
  <si>
    <t xml:space="preserve">Growth yoy </t>
  </si>
  <si>
    <t>= Free Cash Flow</t>
  </si>
  <si>
    <t>CAGR(5yr)</t>
  </si>
  <si>
    <t>Avg(5yr)</t>
  </si>
  <si>
    <t>- Change in Net Working Capital</t>
  </si>
  <si>
    <t>- Capital Expenditures (FIX)</t>
  </si>
  <si>
    <t>+ Depreciation and Amortization</t>
  </si>
  <si>
    <t>x (1-Tax Rate)</t>
  </si>
  <si>
    <t>Effective Tax Rate</t>
  </si>
  <si>
    <t>Earnings Before Interest and Taxes</t>
  </si>
  <si>
    <t>(NOTES:)</t>
  </si>
  <si>
    <t>(in millions)</t>
  </si>
  <si>
    <t>(1)_FCF Projections</t>
  </si>
  <si>
    <t>CAGR</t>
  </si>
  <si>
    <t>AVG</t>
  </si>
  <si>
    <t>yoy growth</t>
  </si>
  <si>
    <t>% revenue</t>
  </si>
  <si>
    <t>TAXRATE</t>
  </si>
  <si>
    <t>% rev</t>
  </si>
  <si>
    <t>**Bloomberg = 8%</t>
  </si>
  <si>
    <t>Best Case</t>
  </si>
  <si>
    <t>Worst Case</t>
  </si>
  <si>
    <t>Full Spectrum</t>
  </si>
  <si>
    <t>LT</t>
  </si>
  <si>
    <t>Growth Rate Adj --&gt; GDP target (3%)</t>
  </si>
  <si>
    <t>*Tax credit, fed, expired</t>
  </si>
  <si>
    <t>Dec</t>
  </si>
  <si>
    <t>Cagr</t>
  </si>
  <si>
    <t xml:space="preserve"> </t>
  </si>
  <si>
    <t>INTCOVRATIO</t>
  </si>
  <si>
    <t>since 09</t>
  </si>
  <si>
    <t>yoy</t>
  </si>
  <si>
    <t>since 10</t>
  </si>
  <si>
    <t>since 11</t>
  </si>
  <si>
    <t>5CAGR</t>
  </si>
  <si>
    <t>6Cagr</t>
  </si>
  <si>
    <t>(Z-Score Model)</t>
  </si>
  <si>
    <t>Total Assets (TA)</t>
  </si>
  <si>
    <t>Working Capital</t>
  </si>
  <si>
    <t>WC/TA</t>
  </si>
  <si>
    <t>Retained Earnings</t>
  </si>
  <si>
    <t>RE/TA</t>
  </si>
  <si>
    <t>EBIT/TA</t>
  </si>
  <si>
    <t>EBITDA/TA</t>
  </si>
  <si>
    <t>MV_Equity</t>
  </si>
  <si>
    <t>BV_TL</t>
  </si>
  <si>
    <t>MV_E/BV_TL</t>
  </si>
  <si>
    <t>Sales</t>
  </si>
  <si>
    <t>Sales/TA</t>
  </si>
  <si>
    <t>x1</t>
  </si>
  <si>
    <t>x2</t>
  </si>
  <si>
    <t>x3</t>
  </si>
  <si>
    <t>x4</t>
  </si>
  <si>
    <t>x5</t>
  </si>
  <si>
    <t>TA</t>
  </si>
  <si>
    <t>CA</t>
  </si>
  <si>
    <t>CL</t>
  </si>
  <si>
    <t>TL</t>
  </si>
  <si>
    <t>SO</t>
  </si>
  <si>
    <t>Sales (Rev)</t>
  </si>
  <si>
    <t>RE</t>
  </si>
  <si>
    <t>D/A</t>
  </si>
  <si>
    <t>Current Market Cap</t>
  </si>
  <si>
    <t>Z-Score:</t>
  </si>
  <si>
    <t>z &lt; 1.8 = bad</t>
  </si>
  <si>
    <t>z &gt; 3 = really good</t>
  </si>
  <si>
    <t>1.8 &lt; z &lt; 3.0 = safe</t>
  </si>
  <si>
    <t>(O-Score Model)</t>
  </si>
  <si>
    <t>WC</t>
  </si>
  <si>
    <t>X, 1 if TL &gt; TA, else 0</t>
  </si>
  <si>
    <t>NI</t>
  </si>
  <si>
    <t>CFO</t>
  </si>
  <si>
    <t>Y, 1 if net loss for last 2 years, else 0</t>
  </si>
  <si>
    <t>GNP_IndexLevel.Close</t>
  </si>
  <si>
    <t>Weights:</t>
  </si>
  <si>
    <t>x6</t>
  </si>
  <si>
    <t>x7</t>
  </si>
  <si>
    <t>x8</t>
  </si>
  <si>
    <t>x9</t>
  </si>
  <si>
    <t xml:space="preserve">T = </t>
  </si>
  <si>
    <t>E^(T) / (1+E^(T))</t>
  </si>
  <si>
    <t>* &gt; 0.5 = high chance of defualt</t>
  </si>
  <si>
    <t>Y694RC1A027NBEA</t>
  </si>
  <si>
    <t>observation_date</t>
  </si>
  <si>
    <t>Frequency: Annual</t>
  </si>
  <si>
    <t>Gross Domestic Product: Research and Development, Billions of Dollars, Annual, Not Seasonally Adjusted</t>
  </si>
  <si>
    <t>Federal Reserve Bank of St. Louis</t>
  </si>
  <si>
    <t>Economic Research Division</t>
  </si>
  <si>
    <t>Help: https://fred.stlouisfed.org/help-faq</t>
  </si>
  <si>
    <t>Link: https://fred.stlouisfed.org</t>
  </si>
  <si>
    <t>Federal Reserve Economic Data</t>
  </si>
  <si>
    <t>FRED Graph Observations</t>
  </si>
  <si>
    <t>CAGR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</si>
</sst>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"/>
    <numFmt numFmtId="165" formatCode="0.000%"/>
    <numFmt numFmtId="166" formatCode="0.0"/>
    <numFmt numFmtId="167" formatCode="yyyy\-mm\-dd"/>
  </numFmts>
  <fonts count="4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B050"/>
      <name val="Arial"/>
      <family val="2"/>
    </font>
    <font>
      <sz val="10"/>
      <color rgb="FFFF0000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indexed="63"/>
      <name val="Arial"/>
      <family val="2"/>
    </font>
    <font>
      <b/>
      <sz val="12"/>
      <color indexed="63"/>
      <name val="Arial"/>
      <family val="2"/>
    </font>
    <font>
      <sz val="11"/>
      <color indexed="6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77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64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64" fontId="8" fillId="35" borderId="2">
      <alignment horizontal="right"/>
    </xf>
    <xf numFmtId="4" fontId="8" fillId="35" borderId="2">
      <alignment horizontal="right"/>
    </xf>
    <xf numFmtId="164" fontId="11" fillId="34" borderId="2">
      <alignment horizontal="right"/>
    </xf>
    <xf numFmtId="164" fontId="11" fillId="35" borderId="2">
      <alignment horizontal="right"/>
    </xf>
    <xf numFmtId="0" fontId="7" fillId="33" borderId="16">
      <alignment horizontal="left"/>
    </xf>
    <xf numFmtId="0" fontId="7" fillId="33" borderId="16">
      <alignment horizontal="right"/>
    </xf>
    <xf numFmtId="0" fontId="7" fillId="33" borderId="17">
      <alignment horizontal="left"/>
    </xf>
    <xf numFmtId="0" fontId="7" fillId="33" borderId="17">
      <alignment horizontal="right"/>
    </xf>
    <xf numFmtId="0" fontId="4" fillId="34" borderId="18"/>
    <xf numFmtId="0" fontId="8" fillId="34" borderId="18"/>
    <xf numFmtId="0" fontId="3" fillId="34" borderId="18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2" fillId="0" borderId="0"/>
  </cellStyleXfs>
  <cellXfs count="219">
    <xf numFmtId="0" fontId="0" fillId="0" borderId="0" xfId="0"/>
    <xf numFmtId="10" fontId="27" fillId="39" borderId="0" xfId="74" applyNumberFormat="1" applyFont="1" applyFill="1"/>
    <xf numFmtId="9" fontId="0" fillId="43" borderId="0" xfId="74" applyFont="1" applyFill="1"/>
    <xf numFmtId="0" fontId="0" fillId="43" borderId="0" xfId="0" applyFill="1"/>
    <xf numFmtId="164" fontId="36" fillId="35" borderId="2" xfId="57" applyNumberFormat="1" applyFont="1" applyFill="1" applyBorder="1" applyAlignment="1" applyProtection="1">
      <alignment horizontal="right"/>
    </xf>
    <xf numFmtId="164" fontId="35" fillId="35" borderId="2" xfId="63" applyNumberFormat="1" applyFont="1" applyFill="1" applyBorder="1" applyAlignment="1" applyProtection="1">
      <alignment horizontal="right"/>
    </xf>
    <xf numFmtId="164" fontId="1" fillId="37" borderId="2" xfId="54" applyNumberFormat="1" applyFont="1" applyFill="1" applyBorder="1" applyAlignment="1" applyProtection="1">
      <alignment horizontal="right"/>
    </xf>
    <xf numFmtId="0" fontId="3" fillId="37" borderId="18" xfId="37" applyNumberFormat="1" applyFont="1" applyFill="1" applyBorder="1" applyAlignment="1" applyProtection="1"/>
    <xf numFmtId="10" fontId="1" fillId="37" borderId="2" xfId="74" applyNumberFormat="1" applyFont="1" applyFill="1" applyBorder="1" applyAlignment="1" applyProtection="1">
      <alignment horizontal="right"/>
    </xf>
    <xf numFmtId="10" fontId="3" fillId="37" borderId="18" xfId="74" applyNumberFormat="1" applyFont="1" applyFill="1" applyBorder="1" applyAlignment="1" applyProtection="1"/>
    <xf numFmtId="10" fontId="0" fillId="40" borderId="0" xfId="74" applyNumberFormat="1" applyFont="1" applyFill="1"/>
    <xf numFmtId="10" fontId="0" fillId="42" borderId="0" xfId="74" applyNumberFormat="1" applyFont="1" applyFill="1"/>
    <xf numFmtId="0" fontId="0" fillId="42" borderId="0" xfId="0" applyFill="1"/>
    <xf numFmtId="10" fontId="8" fillId="37" borderId="2" xfId="74" applyNumberFormat="1" applyFont="1" applyFill="1" applyBorder="1" applyAlignment="1" applyProtection="1">
      <alignment horizontal="right"/>
    </xf>
    <xf numFmtId="10" fontId="8" fillId="37" borderId="18" xfId="74" applyNumberFormat="1" applyFont="1" applyFill="1" applyBorder="1" applyAlignment="1" applyProtection="1"/>
    <xf numFmtId="10" fontId="0" fillId="37" borderId="0" xfId="74" applyNumberFormat="1" applyFont="1" applyFill="1"/>
    <xf numFmtId="10" fontId="0" fillId="0" borderId="0" xfId="74" applyNumberFormat="1" applyFont="1"/>
    <xf numFmtId="0" fontId="0" fillId="37" borderId="0" xfId="0" applyFont="1" applyFill="1"/>
    <xf numFmtId="0" fontId="0" fillId="37" borderId="0" xfId="0" applyFill="1" applyBorder="1"/>
    <xf numFmtId="9" fontId="0" fillId="41" borderId="0" xfId="74" applyFont="1" applyFill="1"/>
    <xf numFmtId="10" fontId="0" fillId="0" borderId="0" xfId="0" applyNumberFormat="1"/>
    <xf numFmtId="0" fontId="0" fillId="0" borderId="0" xfId="0" applyFont="1" applyBorder="1"/>
    <xf numFmtId="0" fontId="0" fillId="0" borderId="0" xfId="0" quotePrefix="1" applyFont="1" applyBorder="1"/>
    <xf numFmtId="0" fontId="0" fillId="41" borderId="0" xfId="0" applyFill="1"/>
    <xf numFmtId="0" fontId="0" fillId="40" borderId="0" xfId="0" applyFill="1"/>
    <xf numFmtId="0" fontId="34" fillId="37" borderId="0" xfId="0" quotePrefix="1" applyFont="1" applyFill="1" applyBorder="1"/>
    <xf numFmtId="0" fontId="34" fillId="37" borderId="0" xfId="0" applyFont="1" applyFill="1"/>
    <xf numFmtId="0" fontId="34" fillId="37" borderId="0" xfId="0" applyFont="1" applyFill="1" applyBorder="1"/>
    <xf numFmtId="0" fontId="34" fillId="0" borderId="0" xfId="0" quotePrefix="1" applyFont="1"/>
    <xf numFmtId="9" fontId="34" fillId="40" borderId="0" xfId="74" applyFont="1" applyFill="1"/>
    <xf numFmtId="0" fontId="34" fillId="0" borderId="0" xfId="0" applyFont="1"/>
    <xf numFmtId="0" fontId="0" fillId="0" borderId="0" xfId="0" applyFont="1" applyFill="1" applyBorder="1"/>
    <xf numFmtId="0" fontId="32" fillId="37" borderId="0" xfId="0" applyFont="1" applyFill="1" applyBorder="1"/>
    <xf numFmtId="0" fontId="0" fillId="0" borderId="28" xfId="0" applyBorder="1"/>
    <xf numFmtId="0" fontId="0" fillId="0" borderId="26" xfId="0" applyBorder="1"/>
    <xf numFmtId="9" fontId="0" fillId="0" borderId="0" xfId="74" applyFont="1"/>
    <xf numFmtId="0" fontId="0" fillId="37" borderId="33" xfId="0" applyFill="1" applyBorder="1"/>
    <xf numFmtId="10" fontId="0" fillId="0" borderId="29" xfId="74" applyNumberFormat="1" applyFont="1" applyBorder="1"/>
    <xf numFmtId="0" fontId="27" fillId="0" borderId="0" xfId="0" applyFont="1" applyFill="1"/>
    <xf numFmtId="43" fontId="27" fillId="0" borderId="0" xfId="75" applyFont="1"/>
    <xf numFmtId="43" fontId="27" fillId="39" borderId="0" xfId="75" applyFont="1" applyFill="1"/>
    <xf numFmtId="9" fontId="27" fillId="39" borderId="0" xfId="74" applyFont="1" applyFill="1"/>
    <xf numFmtId="0" fontId="33" fillId="37" borderId="0" xfId="0" applyFont="1" applyFill="1"/>
    <xf numFmtId="0" fontId="0" fillId="0" borderId="0" xfId="0" applyFont="1"/>
    <xf numFmtId="9" fontId="0" fillId="0" borderId="0" xfId="0" applyNumberFormat="1"/>
    <xf numFmtId="0" fontId="27" fillId="39" borderId="0" xfId="0" applyFont="1" applyFill="1"/>
    <xf numFmtId="0" fontId="0" fillId="0" borderId="0" xfId="0" applyFill="1"/>
    <xf numFmtId="0" fontId="32" fillId="37" borderId="0" xfId="0" applyFont="1" applyFill="1"/>
    <xf numFmtId="0" fontId="27" fillId="37" borderId="0" xfId="0" applyFont="1" applyFill="1"/>
    <xf numFmtId="0" fontId="31" fillId="38" borderId="0" xfId="0" applyFont="1" applyFill="1"/>
    <xf numFmtId="0" fontId="30" fillId="37" borderId="0" xfId="0" applyFont="1" applyFill="1"/>
    <xf numFmtId="43" fontId="0" fillId="0" borderId="0" xfId="75" applyFont="1"/>
    <xf numFmtId="0" fontId="0" fillId="37" borderId="0" xfId="0" applyFill="1" applyAlignment="1">
      <alignment horizontal="center"/>
    </xf>
    <xf numFmtId="0" fontId="0" fillId="37" borderId="28" xfId="0" applyFill="1" applyBorder="1" applyAlignment="1">
      <alignment horizontal="center"/>
    </xf>
    <xf numFmtId="0" fontId="0" fillId="37" borderId="27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0" borderId="0" xfId="0" quotePrefix="1"/>
    <xf numFmtId="0" fontId="0" fillId="0" borderId="25" xfId="0" applyBorder="1"/>
    <xf numFmtId="43" fontId="0" fillId="0" borderId="0" xfId="0" quotePrefix="1" applyNumberFormat="1"/>
    <xf numFmtId="43" fontId="0" fillId="0" borderId="25" xfId="0" quotePrefix="1" applyNumberFormat="1" applyBorder="1"/>
    <xf numFmtId="43" fontId="0" fillId="0" borderId="0" xfId="0" quotePrefix="1" applyNumberFormat="1" applyBorder="1"/>
    <xf numFmtId="43" fontId="0" fillId="0" borderId="22" xfId="0" quotePrefix="1" applyNumberFormat="1" applyBorder="1"/>
    <xf numFmtId="43" fontId="0" fillId="0" borderId="0" xfId="0" applyNumberFormat="1"/>
    <xf numFmtId="43" fontId="0" fillId="0" borderId="25" xfId="0" applyNumberFormat="1" applyBorder="1"/>
    <xf numFmtId="43" fontId="0" fillId="0" borderId="0" xfId="0" applyNumberFormat="1" applyBorder="1"/>
    <xf numFmtId="43" fontId="0" fillId="0" borderId="22" xfId="0" applyNumberFormat="1" applyBorder="1"/>
    <xf numFmtId="0" fontId="29" fillId="37" borderId="0" xfId="0" applyFont="1" applyFill="1"/>
    <xf numFmtId="10" fontId="0" fillId="0" borderId="23" xfId="74" applyNumberFormat="1" applyFont="1" applyBorder="1"/>
    <xf numFmtId="0" fontId="0" fillId="0" borderId="0" xfId="0" applyBorder="1"/>
    <xf numFmtId="0" fontId="0" fillId="0" borderId="22" xfId="0" applyBorder="1"/>
    <xf numFmtId="10" fontId="0" fillId="0" borderId="21" xfId="74" applyNumberFormat="1" applyFont="1" applyBorder="1"/>
    <xf numFmtId="0" fontId="0" fillId="0" borderId="20" xfId="0" applyBorder="1"/>
    <xf numFmtId="0" fontId="0" fillId="0" borderId="19" xfId="0" applyBorder="1"/>
    <xf numFmtId="0" fontId="0" fillId="37" borderId="0" xfId="0" applyFill="1"/>
    <xf numFmtId="0" fontId="7" fillId="33" borderId="16" xfId="67" applyNumberFormat="1" applyFont="1" applyFill="1" applyBorder="1" applyAlignment="1" applyProtection="1">
      <alignment horizontal="left"/>
    </xf>
    <xf numFmtId="0" fontId="7" fillId="33" borderId="16" xfId="68" applyNumberFormat="1" applyFont="1" applyFill="1" applyBorder="1" applyAlignment="1" applyProtection="1">
      <alignment horizontal="right"/>
    </xf>
    <xf numFmtId="0" fontId="7" fillId="33" borderId="17" xfId="69">
      <alignment horizontal="left"/>
    </xf>
    <xf numFmtId="0" fontId="7" fillId="33" borderId="17" xfId="70" applyNumberFormat="1" applyFont="1" applyFill="1" applyBorder="1" applyAlignment="1" applyProtection="1">
      <alignment horizontal="right"/>
    </xf>
    <xf numFmtId="0" fontId="4" fillId="34" borderId="18" xfId="71" applyNumberFormat="1" applyFont="1" applyFill="1" applyBorder="1" applyAlignment="1" applyProtection="1"/>
    <xf numFmtId="0" fontId="8" fillId="34" borderId="18" xfId="72" applyNumberFormat="1" applyFont="1" applyFill="1" applyBorder="1" applyAlignment="1" applyProtection="1"/>
    <xf numFmtId="0" fontId="3" fillId="34" borderId="18" xfId="73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64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64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64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64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64" fontId="11" fillId="34" borderId="2" xfId="65" applyNumberFormat="1" applyFont="1" applyFill="1" applyBorder="1" applyAlignment="1" applyProtection="1">
      <alignment horizontal="right"/>
    </xf>
    <xf numFmtId="164" fontId="11" fillId="35" borderId="2" xfId="66" applyNumberFormat="1" applyFont="1" applyFill="1" applyBorder="1" applyAlignment="1" applyProtection="1">
      <alignment horizontal="right"/>
    </xf>
    <xf numFmtId="0" fontId="27" fillId="0" borderId="0" xfId="0" applyFont="1"/>
    <xf numFmtId="0" fontId="3" fillId="37" borderId="18" xfId="73" applyNumberFormat="1" applyFont="1" applyFill="1" applyBorder="1" applyAlignment="1" applyProtection="1"/>
    <xf numFmtId="10" fontId="33" fillId="37" borderId="0" xfId="74" applyNumberFormat="1" applyFont="1" applyFill="1"/>
    <xf numFmtId="0" fontId="0" fillId="44" borderId="0" xfId="0" applyFill="1" applyBorder="1"/>
    <xf numFmtId="10" fontId="0" fillId="45" borderId="23" xfId="74" applyNumberFormat="1" applyFont="1" applyFill="1" applyBorder="1"/>
    <xf numFmtId="0" fontId="0" fillId="45" borderId="0" xfId="0" applyFill="1" applyBorder="1"/>
    <xf numFmtId="0" fontId="0" fillId="45" borderId="28" xfId="0" applyFill="1" applyBorder="1"/>
    <xf numFmtId="0" fontId="0" fillId="45" borderId="27" xfId="0" applyFill="1" applyBorder="1"/>
    <xf numFmtId="0" fontId="0" fillId="45" borderId="25" xfId="0" applyFill="1" applyBorder="1"/>
    <xf numFmtId="0" fontId="0" fillId="45" borderId="22" xfId="0" applyFill="1" applyBorder="1"/>
    <xf numFmtId="0" fontId="0" fillId="45" borderId="20" xfId="0" applyFill="1" applyBorder="1"/>
    <xf numFmtId="0" fontId="0" fillId="45" borderId="19" xfId="0" applyFill="1" applyBorder="1"/>
    <xf numFmtId="0" fontId="0" fillId="37" borderId="24" xfId="0" applyFill="1" applyBorder="1"/>
    <xf numFmtId="0" fontId="0" fillId="37" borderId="19" xfId="0" applyFill="1" applyBorder="1"/>
    <xf numFmtId="0" fontId="0" fillId="45" borderId="34" xfId="0" applyFill="1" applyBorder="1"/>
    <xf numFmtId="0" fontId="0" fillId="45" borderId="37" xfId="0" applyFill="1" applyBorder="1"/>
    <xf numFmtId="0" fontId="0" fillId="45" borderId="39" xfId="0" applyFill="1" applyBorder="1"/>
    <xf numFmtId="0" fontId="0" fillId="0" borderId="40" xfId="0" applyBorder="1"/>
    <xf numFmtId="0" fontId="0" fillId="45" borderId="42" xfId="0" applyFill="1" applyBorder="1"/>
    <xf numFmtId="0" fontId="0" fillId="45" borderId="43" xfId="0" applyFill="1" applyBorder="1"/>
    <xf numFmtId="0" fontId="0" fillId="45" borderId="44" xfId="0" applyFill="1" applyBorder="1"/>
    <xf numFmtId="0" fontId="0" fillId="45" borderId="45" xfId="0" applyFill="1" applyBorder="1"/>
    <xf numFmtId="0" fontId="0" fillId="45" borderId="46" xfId="0" applyFill="1" applyBorder="1"/>
    <xf numFmtId="0" fontId="0" fillId="45" borderId="47" xfId="0" applyFill="1" applyBorder="1"/>
    <xf numFmtId="0" fontId="0" fillId="45" borderId="48" xfId="0" applyFill="1" applyBorder="1"/>
    <xf numFmtId="0" fontId="0" fillId="45" borderId="49" xfId="0" applyFill="1" applyBorder="1"/>
    <xf numFmtId="0" fontId="0" fillId="45" borderId="36" xfId="0" applyFill="1" applyBorder="1" applyAlignment="1">
      <alignment horizontal="center"/>
    </xf>
    <xf numFmtId="0" fontId="0" fillId="45" borderId="38" xfId="0" applyFill="1" applyBorder="1" applyAlignment="1">
      <alignment horizontal="center"/>
    </xf>
    <xf numFmtId="0" fontId="0" fillId="45" borderId="41" xfId="0" applyFill="1" applyBorder="1" applyAlignment="1">
      <alignment horizontal="center"/>
    </xf>
    <xf numFmtId="0" fontId="0" fillId="44" borderId="27" xfId="0" applyFill="1" applyBorder="1" applyAlignment="1">
      <alignment horizontal="center"/>
    </xf>
    <xf numFmtId="0" fontId="0" fillId="44" borderId="28" xfId="0" applyFill="1" applyBorder="1" applyAlignment="1">
      <alignment horizontal="center"/>
    </xf>
    <xf numFmtId="43" fontId="0" fillId="44" borderId="0" xfId="0" applyNumberFormat="1" applyFill="1" applyBorder="1"/>
    <xf numFmtId="43" fontId="0" fillId="44" borderId="25" xfId="0" applyNumberFormat="1" applyFill="1" applyBorder="1"/>
    <xf numFmtId="43" fontId="0" fillId="44" borderId="25" xfId="0" applyNumberFormat="1" applyFill="1" applyBorder="1" applyAlignment="1">
      <alignment horizontal="center"/>
    </xf>
    <xf numFmtId="0" fontId="0" fillId="44" borderId="25" xfId="0" applyFill="1" applyBorder="1" applyAlignment="1">
      <alignment horizontal="center"/>
    </xf>
    <xf numFmtId="43" fontId="0" fillId="44" borderId="0" xfId="0" quotePrefix="1" applyNumberFormat="1" applyFill="1" applyBorder="1"/>
    <xf numFmtId="43" fontId="0" fillId="44" borderId="25" xfId="0" quotePrefix="1" applyNumberFormat="1" applyFill="1" applyBorder="1" applyAlignment="1">
      <alignment horizontal="center"/>
    </xf>
    <xf numFmtId="10" fontId="8" fillId="37" borderId="18" xfId="74" applyNumberFormat="1" applyFont="1" applyFill="1" applyBorder="1" applyAlignment="1" applyProtection="1">
      <alignment horizontal="right"/>
    </xf>
    <xf numFmtId="10" fontId="8" fillId="37" borderId="50" xfId="74" applyNumberFormat="1" applyFont="1" applyFill="1" applyBorder="1" applyAlignment="1" applyProtection="1">
      <alignment horizontal="right"/>
    </xf>
    <xf numFmtId="10" fontId="8" fillId="37" borderId="51" xfId="74" applyNumberFormat="1" applyFont="1" applyFill="1" applyBorder="1" applyAlignment="1" applyProtection="1">
      <alignment horizontal="right"/>
    </xf>
    <xf numFmtId="10" fontId="8" fillId="37" borderId="52" xfId="74" applyNumberFormat="1" applyFont="1" applyFill="1" applyBorder="1" applyAlignment="1" applyProtection="1">
      <alignment horizontal="right"/>
    </xf>
    <xf numFmtId="10" fontId="8" fillId="37" borderId="53" xfId="74" applyNumberFormat="1" applyFont="1" applyFill="1" applyBorder="1" applyAlignment="1" applyProtection="1">
      <alignment horizontal="right"/>
    </xf>
    <xf numFmtId="0" fontId="31" fillId="38" borderId="33" xfId="0" applyFont="1" applyFill="1" applyBorder="1"/>
    <xf numFmtId="165" fontId="0" fillId="0" borderId="32" xfId="74" applyNumberFormat="1" applyFont="1" applyBorder="1"/>
    <xf numFmtId="165" fontId="0" fillId="0" borderId="31" xfId="74" applyNumberFormat="1" applyFont="1" applyBorder="1"/>
    <xf numFmtId="165" fontId="0" fillId="45" borderId="31" xfId="74" applyNumberFormat="1" applyFont="1" applyFill="1" applyBorder="1"/>
    <xf numFmtId="165" fontId="0" fillId="0" borderId="30" xfId="74" applyNumberFormat="1" applyFont="1" applyBorder="1"/>
    <xf numFmtId="165" fontId="0" fillId="0" borderId="31" xfId="74" applyNumberFormat="1" applyFont="1" applyFill="1" applyBorder="1"/>
    <xf numFmtId="0" fontId="0" fillId="0" borderId="0" xfId="0" applyFill="1" applyBorder="1"/>
    <xf numFmtId="0" fontId="0" fillId="44" borderId="0" xfId="0" applyFill="1" applyBorder="1" applyAlignment="1">
      <alignment horizontal="center"/>
    </xf>
    <xf numFmtId="0" fontId="29" fillId="37" borderId="24" xfId="0" applyFont="1" applyFill="1" applyBorder="1" applyAlignment="1">
      <alignment horizontal="center"/>
    </xf>
    <xf numFmtId="0" fontId="29" fillId="37" borderId="20" xfId="0" applyFont="1" applyFill="1" applyBorder="1" applyAlignment="1">
      <alignment horizontal="center"/>
    </xf>
    <xf numFmtId="2" fontId="37" fillId="44" borderId="20" xfId="0" applyNumberFormat="1" applyFont="1" applyFill="1" applyBorder="1" applyAlignment="1">
      <alignment horizontal="center"/>
    </xf>
    <xf numFmtId="2" fontId="37" fillId="44" borderId="24" xfId="0" applyNumberFormat="1" applyFont="1" applyFill="1" applyBorder="1" applyAlignment="1">
      <alignment horizontal="center"/>
    </xf>
    <xf numFmtId="0" fontId="29" fillId="37" borderId="19" xfId="0" applyFont="1" applyFill="1" applyBorder="1" applyAlignment="1">
      <alignment horizontal="center"/>
    </xf>
    <xf numFmtId="0" fontId="0" fillId="45" borderId="35" xfId="0" applyFill="1" applyBorder="1"/>
    <xf numFmtId="0" fontId="0" fillId="45" borderId="40" xfId="0" applyFill="1" applyBorder="1"/>
    <xf numFmtId="10" fontId="8" fillId="38" borderId="53" xfId="74" applyNumberFormat="1" applyFont="1" applyFill="1" applyBorder="1" applyAlignment="1" applyProtection="1">
      <alignment horizontal="right"/>
    </xf>
    <xf numFmtId="0" fontId="3" fillId="46" borderId="18" xfId="73" applyNumberFormat="1" applyFont="1" applyFill="1" applyBorder="1" applyAlignment="1" applyProtection="1"/>
    <xf numFmtId="164" fontId="1" fillId="46" borderId="2" xfId="54" applyNumberFormat="1" applyFont="1" applyFill="1" applyBorder="1" applyAlignment="1" applyProtection="1">
      <alignment horizontal="right"/>
    </xf>
    <xf numFmtId="164" fontId="1" fillId="46" borderId="2" xfId="57" applyNumberFormat="1" applyFont="1" applyFill="1" applyBorder="1" applyAlignment="1" applyProtection="1">
      <alignment horizontal="right"/>
    </xf>
    <xf numFmtId="0" fontId="0" fillId="46" borderId="0" xfId="0" applyFill="1"/>
    <xf numFmtId="0" fontId="4" fillId="46" borderId="18" xfId="71" applyNumberFormat="1" applyFont="1" applyFill="1" applyBorder="1" applyAlignment="1" applyProtection="1"/>
    <xf numFmtId="164" fontId="11" fillId="46" borderId="2" xfId="65" applyNumberFormat="1" applyFont="1" applyFill="1" applyBorder="1" applyAlignment="1" applyProtection="1">
      <alignment horizontal="right"/>
    </xf>
    <xf numFmtId="0" fontId="38" fillId="46" borderId="18" xfId="73" applyNumberFormat="1" applyFont="1" applyFill="1" applyBorder="1" applyAlignment="1" applyProtection="1"/>
    <xf numFmtId="164" fontId="8" fillId="46" borderId="2" xfId="54" applyNumberFormat="1" applyFont="1" applyFill="1" applyBorder="1" applyAlignment="1" applyProtection="1">
      <alignment horizontal="right"/>
    </xf>
    <xf numFmtId="0" fontId="27" fillId="46" borderId="0" xfId="0" applyFont="1" applyFill="1"/>
    <xf numFmtId="164" fontId="8" fillId="46" borderId="18" xfId="54" applyNumberFormat="1" applyFont="1" applyFill="1" applyBorder="1" applyAlignment="1" applyProtection="1">
      <alignment horizontal="right"/>
    </xf>
    <xf numFmtId="164" fontId="1" fillId="46" borderId="18" xfId="54" applyNumberFormat="1" applyFont="1" applyFill="1" applyBorder="1" applyAlignment="1" applyProtection="1">
      <alignment horizontal="right"/>
    </xf>
    <xf numFmtId="164" fontId="8" fillId="46" borderId="54" xfId="54" applyNumberFormat="1" applyFont="1" applyFill="1" applyBorder="1" applyAlignment="1" applyProtection="1">
      <alignment horizontal="right"/>
    </xf>
    <xf numFmtId="164" fontId="8" fillId="46" borderId="55" xfId="54" applyNumberFormat="1" applyFont="1" applyFill="1" applyBorder="1" applyAlignment="1" applyProtection="1">
      <alignment horizontal="right"/>
    </xf>
    <xf numFmtId="164" fontId="8" fillId="46" borderId="56" xfId="54" applyNumberFormat="1" applyFont="1" applyFill="1" applyBorder="1" applyAlignment="1" applyProtection="1">
      <alignment horizontal="right"/>
    </xf>
    <xf numFmtId="164" fontId="1" fillId="46" borderId="54" xfId="54" applyNumberFormat="1" applyFont="1" applyFill="1" applyBorder="1" applyAlignment="1" applyProtection="1">
      <alignment horizontal="right"/>
    </xf>
    <xf numFmtId="164" fontId="1" fillId="46" borderId="55" xfId="54" applyNumberFormat="1" applyFont="1" applyFill="1" applyBorder="1" applyAlignment="1" applyProtection="1">
      <alignment horizontal="right"/>
    </xf>
    <xf numFmtId="164" fontId="1" fillId="46" borderId="56" xfId="54" applyNumberFormat="1" applyFont="1" applyFill="1" applyBorder="1" applyAlignment="1" applyProtection="1">
      <alignment horizontal="right"/>
    </xf>
    <xf numFmtId="164" fontId="1" fillId="46" borderId="57" xfId="54" applyNumberFormat="1" applyFont="1" applyFill="1" applyBorder="1" applyAlignment="1" applyProtection="1">
      <alignment horizontal="right"/>
    </xf>
    <xf numFmtId="164" fontId="1" fillId="46" borderId="58" xfId="54" applyNumberFormat="1" applyFont="1" applyFill="1" applyBorder="1" applyAlignment="1" applyProtection="1">
      <alignment horizontal="right"/>
    </xf>
    <xf numFmtId="164" fontId="1" fillId="46" borderId="59" xfId="54" applyNumberFormat="1" applyFont="1" applyFill="1" applyBorder="1" applyAlignment="1" applyProtection="1">
      <alignment horizontal="right"/>
    </xf>
    <xf numFmtId="0" fontId="39" fillId="47" borderId="18" xfId="36" applyNumberFormat="1" applyFont="1" applyFill="1" applyBorder="1" applyAlignment="1" applyProtection="1"/>
    <xf numFmtId="0" fontId="4" fillId="47" borderId="18" xfId="36" applyNumberFormat="1" applyFont="1" applyFill="1" applyBorder="1" applyAlignment="1" applyProtection="1"/>
    <xf numFmtId="164" fontId="11" fillId="47" borderId="2" xfId="65" applyNumberFormat="1" applyFont="1" applyFill="1" applyBorder="1" applyAlignment="1" applyProtection="1">
      <alignment horizontal="right"/>
    </xf>
    <xf numFmtId="164" fontId="11" fillId="47" borderId="2" xfId="66" applyNumberFormat="1" applyFont="1" applyFill="1" applyBorder="1" applyAlignment="1" applyProtection="1">
      <alignment horizontal="right"/>
    </xf>
    <xf numFmtId="0" fontId="0" fillId="47" borderId="0" xfId="0" applyFill="1"/>
    <xf numFmtId="0" fontId="8" fillId="34" borderId="18" xfId="35" applyNumberFormat="1" applyFont="1" applyFill="1" applyBorder="1" applyAlignment="1" applyProtection="1"/>
    <xf numFmtId="10" fontId="8" fillId="34" borderId="2" xfId="74" applyNumberFormat="1" applyFont="1" applyFill="1" applyBorder="1" applyAlignment="1" applyProtection="1">
      <alignment horizontal="right"/>
    </xf>
    <xf numFmtId="9" fontId="8" fillId="34" borderId="2" xfId="74" applyNumberFormat="1" applyFont="1" applyFill="1" applyBorder="1" applyAlignment="1" applyProtection="1">
      <alignment horizontal="right"/>
    </xf>
    <xf numFmtId="0" fontId="34" fillId="48" borderId="0" xfId="0" applyFont="1" applyFill="1"/>
    <xf numFmtId="0" fontId="0" fillId="49" borderId="0" xfId="0" applyFill="1"/>
    <xf numFmtId="0" fontId="0" fillId="50" borderId="0" xfId="0" applyFill="1"/>
    <xf numFmtId="0" fontId="2" fillId="37" borderId="0" xfId="26" applyNumberFormat="1" applyFont="1" applyFill="1" applyBorder="1" applyAlignment="1" applyProtection="1"/>
    <xf numFmtId="0" fontId="5" fillId="37" borderId="15" xfId="51" applyFont="1" applyFill="1" applyBorder="1" applyAlignment="1">
      <alignment horizontal="left" vertical="center" readingOrder="1"/>
    </xf>
    <xf numFmtId="0" fontId="6" fillId="37" borderId="0" xfId="31" applyFont="1" applyFill="1" applyAlignment="1">
      <alignment horizontal="center"/>
    </xf>
    <xf numFmtId="0" fontId="7" fillId="37" borderId="16" xfId="68" applyNumberFormat="1" applyFont="1" applyFill="1" applyBorder="1" applyAlignment="1" applyProtection="1">
      <alignment horizontal="right"/>
    </xf>
    <xf numFmtId="0" fontId="7" fillId="37" borderId="17" xfId="70" applyNumberFormat="1" applyFont="1" applyFill="1" applyBorder="1" applyAlignment="1" applyProtection="1">
      <alignment horizontal="right"/>
    </xf>
    <xf numFmtId="3" fontId="8" fillId="37" borderId="2" xfId="59" applyNumberFormat="1" applyFont="1" applyFill="1" applyBorder="1" applyAlignment="1" applyProtection="1">
      <alignment horizontal="right"/>
    </xf>
    <xf numFmtId="164" fontId="8" fillId="37" borderId="2" xfId="54" applyNumberFormat="1" applyFont="1" applyFill="1" applyBorder="1" applyAlignment="1" applyProtection="1">
      <alignment horizontal="right"/>
    </xf>
    <xf numFmtId="164" fontId="8" fillId="37" borderId="2" xfId="60" applyNumberFormat="1" applyFont="1" applyFill="1" applyBorder="1" applyAlignment="1" applyProtection="1">
      <alignment horizontal="right"/>
    </xf>
    <xf numFmtId="164" fontId="11" fillId="37" borderId="2" xfId="65" applyNumberFormat="1" applyFont="1" applyFill="1" applyBorder="1" applyAlignment="1" applyProtection="1">
      <alignment horizontal="right"/>
    </xf>
    <xf numFmtId="3" fontId="1" fillId="37" borderId="2" xfId="53" applyNumberFormat="1" applyFont="1" applyFill="1" applyBorder="1" applyAlignment="1" applyProtection="1">
      <alignment horizontal="right"/>
    </xf>
    <xf numFmtId="4" fontId="1" fillId="37" borderId="2" xfId="55" applyNumberFormat="1" applyFont="1" applyFill="1" applyBorder="1" applyAlignment="1" applyProtection="1">
      <alignment horizontal="right"/>
    </xf>
    <xf numFmtId="0" fontId="11" fillId="37" borderId="4" xfId="34" applyFont="1" applyFill="1" applyBorder="1"/>
    <xf numFmtId="0" fontId="40" fillId="34" borderId="0" xfId="73" applyNumberFormat="1" applyFont="1" applyFill="1" applyBorder="1" applyAlignment="1" applyProtection="1"/>
    <xf numFmtId="164" fontId="41" fillId="34" borderId="0" xfId="54" applyNumberFormat="1" applyFont="1" applyFill="1" applyBorder="1" applyAlignment="1" applyProtection="1">
      <alignment horizontal="right"/>
    </xf>
    <xf numFmtId="164" fontId="0" fillId="0" borderId="0" xfId="0" applyNumberFormat="1"/>
    <xf numFmtId="0" fontId="29" fillId="46" borderId="0" xfId="0" applyFont="1" applyFill="1"/>
    <xf numFmtId="0" fontId="0" fillId="51" borderId="0" xfId="0" applyFill="1"/>
    <xf numFmtId="0" fontId="33" fillId="43" borderId="0" xfId="0" applyFont="1" applyFill="1"/>
    <xf numFmtId="0" fontId="42" fillId="0" borderId="0" xfId="76"/>
    <xf numFmtId="166" fontId="42" fillId="0" borderId="0" xfId="76" applyNumberFormat="1" applyFont="1" applyFill="1" applyBorder="1" applyAlignment="1" applyProtection="1"/>
    <xf numFmtId="167" fontId="42" fillId="0" borderId="0" xfId="76" applyNumberFormat="1" applyFont="1" applyFill="1" applyBorder="1" applyAlignment="1" applyProtection="1"/>
    <xf numFmtId="166" fontId="42" fillId="0" borderId="0" xfId="76" applyNumberFormat="1"/>
    <xf numFmtId="0" fontId="27" fillId="0" borderId="0" xfId="74" applyNumberFormat="1" applyFont="1" applyFill="1"/>
    <xf numFmtId="0" fontId="0" fillId="0" borderId="0" xfId="0" applyNumberFormat="1"/>
  </cellXfs>
  <cellStyles count="7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Comma" xfId="75" builtinId="3"/>
    <cellStyle name="Explanatory Text" xfId="29" builtinId="53" customBuiltin="1"/>
    <cellStyle name="fa_column_header_bottom" xfId="30"/>
    <cellStyle name="fa_column_header_bottom 2" xfId="70"/>
    <cellStyle name="fa_column_header_bottom_left" xfId="52"/>
    <cellStyle name="fa_column_header_bottom_left 2" xfId="69"/>
    <cellStyle name="fa_column_header_empty" xfId="31"/>
    <cellStyle name="fa_column_header_top" xfId="32"/>
    <cellStyle name="fa_column_header_top 2" xfId="68"/>
    <cellStyle name="fa_column_header_top_left" xfId="33"/>
    <cellStyle name="fa_column_header_top_left 2" xfId="67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6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bold 2" xfId="72"/>
    <cellStyle name="fa_row_header_italic" xfId="36"/>
    <cellStyle name="fa_row_header_italic 2" xfId="71"/>
    <cellStyle name="fa_row_header_standard" xfId="37"/>
    <cellStyle name="fa_row_header_standard 2" xfId="73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rmal 2" xfId="76"/>
    <cellStyle name="Note" xfId="46" builtinId="10" customBuiltin="1"/>
    <cellStyle name="Output" xfId="47" builtinId="21" customBuiltin="1"/>
    <cellStyle name="Percent" xfId="74" builtinId="5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 score vs. Z score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002405949256338E-2"/>
          <c:y val="0.1494732029464059"/>
          <c:w val="0.84199518810148732"/>
          <c:h val="0.71697129794259584"/>
        </c:manualLayout>
      </c:layou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dLbl>
              <c:idx val="5"/>
              <c:layout>
                <c:manualLayout>
                  <c:x val="0"/>
                  <c:y val="2.5806451612903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0.10277777777777777"/>
                  <c:y val="-3.0734738802810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OZ_Scores!$C$39:$N$39</c:f>
              <c:numCache>
                <c:formatCode>General</c:formatCode>
                <c:ptCount val="12"/>
                <c:pt idx="0">
                  <c:v>3.6480301209158728</c:v>
                </c:pt>
                <c:pt idx="1">
                  <c:v>3.6473334239320252</c:v>
                </c:pt>
                <c:pt idx="2">
                  <c:v>3.0342184586370129</c:v>
                </c:pt>
                <c:pt idx="3">
                  <c:v>2.6825630674303733</c:v>
                </c:pt>
                <c:pt idx="4">
                  <c:v>1.9415437227452754</c:v>
                </c:pt>
                <c:pt idx="5">
                  <c:v>1.3667411141189854</c:v>
                </c:pt>
                <c:pt idx="6">
                  <c:v>2.1928565637555444</c:v>
                </c:pt>
                <c:pt idx="7">
                  <c:v>2.1444621442553133</c:v>
                </c:pt>
                <c:pt idx="8">
                  <c:v>2.7220190684927266</c:v>
                </c:pt>
                <c:pt idx="9">
                  <c:v>2.6239424443100541</c:v>
                </c:pt>
                <c:pt idx="10">
                  <c:v>2.9058207221297119</c:v>
                </c:pt>
                <c:pt idx="11">
                  <c:v>3.5818448777008705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173408"/>
        <c:axId val="850175648"/>
      </c:lineChar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dLbl>
              <c:idx val="4"/>
              <c:layout>
                <c:manualLayout>
                  <c:x val="5.0925337632079971E-17"/>
                  <c:y val="-1.29032258064516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7.4999999999999997E-2"/>
                  <c:y val="3.2228261789856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OZ_Scores!$C$44:$N$44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OZ_Scores!$C$73:$N$73</c:f>
              <c:numCache>
                <c:formatCode>General</c:formatCode>
                <c:ptCount val="12"/>
                <c:pt idx="0">
                  <c:v>0.60285840095967813</c:v>
                </c:pt>
                <c:pt idx="1">
                  <c:v>0.61659337866733144</c:v>
                </c:pt>
                <c:pt idx="2">
                  <c:v>0.6900045350960643</c:v>
                </c:pt>
                <c:pt idx="3">
                  <c:v>0.65473612637680789</c:v>
                </c:pt>
                <c:pt idx="4">
                  <c:v>0.89351472349322825</c:v>
                </c:pt>
                <c:pt idx="5">
                  <c:v>0.76030043394202063</c:v>
                </c:pt>
                <c:pt idx="6">
                  <c:v>0.46845769299308215</c:v>
                </c:pt>
                <c:pt idx="7">
                  <c:v>0.68874408339298188</c:v>
                </c:pt>
                <c:pt idx="8">
                  <c:v>0.46107693817726858</c:v>
                </c:pt>
                <c:pt idx="9">
                  <c:v>0.77362182970867865</c:v>
                </c:pt>
                <c:pt idx="10">
                  <c:v>0.60602882173433459</c:v>
                </c:pt>
                <c:pt idx="11">
                  <c:v>0.41532368504977135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175088"/>
        <c:axId val="850174528"/>
      </c:lineChart>
      <c:catAx>
        <c:axId val="850173408"/>
        <c:scaling>
          <c:orientation val="minMax"/>
        </c:scaling>
        <c:delete val="1"/>
        <c:axPos val="b"/>
        <c:majorTickMark val="none"/>
        <c:minorTickMark val="none"/>
        <c:tickLblPos val="nextTo"/>
        <c:crossAx val="850175648"/>
        <c:crosses val="autoZero"/>
        <c:auto val="1"/>
        <c:lblAlgn val="ctr"/>
        <c:lblOffset val="100"/>
        <c:noMultiLvlLbl val="0"/>
      </c:catAx>
      <c:valAx>
        <c:axId val="85017564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173408"/>
        <c:crosses val="autoZero"/>
        <c:crossBetween val="between"/>
      </c:valAx>
      <c:valAx>
        <c:axId val="850174528"/>
        <c:scaling>
          <c:orientation val="minMax"/>
          <c:min val="0.30000000000000004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175088"/>
        <c:crosses val="max"/>
        <c:crossBetween val="between"/>
      </c:valAx>
      <c:catAx>
        <c:axId val="85017508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162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174528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00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82</xdr:row>
      <xdr:rowOff>38100</xdr:rowOff>
    </xdr:from>
    <xdr:to>
      <xdr:col>17</xdr:col>
      <xdr:colOff>590550</xdr:colOff>
      <xdr:row>97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zoomScale="85" zoomScaleNormal="85" workbookViewId="0">
      <selection activeCell="C88" sqref="C88"/>
    </sheetView>
  </sheetViews>
  <sheetFormatPr defaultRowHeight="15" x14ac:dyDescent="0.25"/>
  <cols>
    <col min="1" max="1" width="35.140625" customWidth="1"/>
    <col min="2" max="2" width="0" hidden="1" customWidth="1"/>
    <col min="3" max="10" width="11.85546875" customWidth="1"/>
    <col min="11" max="11" width="17.7109375" bestFit="1" customWidth="1"/>
    <col min="12" max="18" width="11.85546875" customWidth="1"/>
    <col min="21" max="22" width="9.140625" style="24"/>
  </cols>
  <sheetData>
    <row r="1" spans="1:23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</row>
    <row r="2" spans="1:23" ht="20.25" x14ac:dyDescent="0.25">
      <c r="A2" s="88" t="s">
        <v>4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</row>
    <row r="3" spans="1:23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 t="s">
        <v>534</v>
      </c>
      <c r="L3" s="82"/>
      <c r="M3" s="82"/>
      <c r="N3" s="82"/>
      <c r="O3" s="82"/>
      <c r="P3" s="82"/>
      <c r="Q3" s="82"/>
      <c r="R3" s="82"/>
    </row>
    <row r="4" spans="1:23" x14ac:dyDescent="0.25">
      <c r="A4" s="83" t="s">
        <v>5</v>
      </c>
      <c r="B4" s="83"/>
      <c r="C4" s="84" t="s">
        <v>6</v>
      </c>
      <c r="D4" s="84" t="s">
        <v>7</v>
      </c>
      <c r="E4" s="84" t="s">
        <v>3</v>
      </c>
      <c r="F4" s="84" t="s">
        <v>8</v>
      </c>
      <c r="G4" s="84" t="s">
        <v>9</v>
      </c>
      <c r="H4" s="84" t="s">
        <v>10</v>
      </c>
      <c r="I4" s="84" t="s">
        <v>11</v>
      </c>
      <c r="J4" s="84" t="s">
        <v>12</v>
      </c>
      <c r="K4" s="84" t="s">
        <v>13</v>
      </c>
      <c r="L4" s="84" t="s">
        <v>14</v>
      </c>
      <c r="M4" s="84" t="s">
        <v>15</v>
      </c>
      <c r="N4" s="84" t="s">
        <v>16</v>
      </c>
      <c r="O4" s="84" t="s">
        <v>17</v>
      </c>
      <c r="P4" s="84"/>
      <c r="Q4" s="84"/>
      <c r="R4" s="84"/>
    </row>
    <row r="5" spans="1:23" x14ac:dyDescent="0.25">
      <c r="A5" s="89" t="s">
        <v>18</v>
      </c>
      <c r="B5" s="89"/>
      <c r="C5" s="85" t="s">
        <v>19</v>
      </c>
      <c r="D5" s="85" t="s">
        <v>20</v>
      </c>
      <c r="E5" s="85" t="s">
        <v>21</v>
      </c>
      <c r="F5" s="85" t="s">
        <v>22</v>
      </c>
      <c r="G5" s="85" t="s">
        <v>23</v>
      </c>
      <c r="H5" s="85" t="s">
        <v>24</v>
      </c>
      <c r="I5" s="85" t="s">
        <v>25</v>
      </c>
      <c r="J5" s="85" t="s">
        <v>26</v>
      </c>
      <c r="K5" s="85" t="s">
        <v>27</v>
      </c>
      <c r="L5" s="85" t="s">
        <v>28</v>
      </c>
      <c r="M5" s="85" t="s">
        <v>29</v>
      </c>
      <c r="N5" s="85" t="s">
        <v>30</v>
      </c>
      <c r="O5" s="85" t="s">
        <v>31</v>
      </c>
      <c r="P5" s="85"/>
      <c r="Q5" s="85"/>
      <c r="R5" s="85"/>
    </row>
    <row r="6" spans="1:23" ht="15.75" thickBot="1" x14ac:dyDescent="0.3">
      <c r="A6" s="86" t="s">
        <v>0</v>
      </c>
      <c r="B6" s="86" t="s">
        <v>33</v>
      </c>
      <c r="C6" s="99">
        <v>8728.1</v>
      </c>
      <c r="D6" s="99">
        <v>10840.8</v>
      </c>
      <c r="E6" s="99">
        <v>13863.7</v>
      </c>
      <c r="F6" s="99">
        <v>15051.3</v>
      </c>
      <c r="G6" s="99">
        <v>11296.5</v>
      </c>
      <c r="H6" s="99">
        <v>6646.1</v>
      </c>
      <c r="I6" s="99">
        <v>3657.6</v>
      </c>
      <c r="J6" s="99">
        <v>4400.2</v>
      </c>
      <c r="K6" s="99">
        <v>3636.8</v>
      </c>
      <c r="L6" s="99">
        <v>4354</v>
      </c>
      <c r="M6" s="99">
        <v>6259.3</v>
      </c>
      <c r="N6" s="99">
        <v>8024.9</v>
      </c>
      <c r="O6" s="99">
        <v>10824</v>
      </c>
      <c r="P6" s="5">
        <f>O6*(1+P7)</f>
        <v>12555.839999999998</v>
      </c>
      <c r="Q6" s="5">
        <f>P6*(1+Q7)</f>
        <v>14564.774399999997</v>
      </c>
      <c r="R6" s="5">
        <f>Q6*(1+R7)</f>
        <v>16021.251839999997</v>
      </c>
      <c r="S6" s="5">
        <f>R6*(1+S7)</f>
        <v>16822.314431999999</v>
      </c>
      <c r="T6" s="5">
        <f>S6*(1+T7)</f>
        <v>17663.430153599998</v>
      </c>
      <c r="U6" s="24" t="s">
        <v>601</v>
      </c>
      <c r="V6" s="24" t="s">
        <v>523</v>
      </c>
    </row>
    <row r="7" spans="1:23" s="16" customFormat="1" ht="15.75" thickBot="1" x14ac:dyDescent="0.3">
      <c r="A7" s="14" t="s">
        <v>524</v>
      </c>
      <c r="B7" s="14"/>
      <c r="C7" s="143"/>
      <c r="D7" s="145">
        <f>(D6-C6)/C6</f>
        <v>0.24205726332191413</v>
      </c>
      <c r="E7" s="146">
        <f t="shared" ref="E7:O7" si="0">(E6-D6)/D6</f>
        <v>0.27884473470592591</v>
      </c>
      <c r="F7" s="144">
        <f t="shared" si="0"/>
        <v>8.5662557614489529E-2</v>
      </c>
      <c r="G7" s="13">
        <f t="shared" si="0"/>
        <v>-0.24946682346375393</v>
      </c>
      <c r="H7" s="13">
        <f t="shared" si="0"/>
        <v>-0.41166733058912047</v>
      </c>
      <c r="I7" s="143">
        <f t="shared" si="0"/>
        <v>-0.44966220791140671</v>
      </c>
      <c r="J7" s="145">
        <f t="shared" si="0"/>
        <v>0.20302930883639544</v>
      </c>
      <c r="K7" s="163">
        <f t="shared" si="0"/>
        <v>-0.17349211399481834</v>
      </c>
      <c r="L7" s="147">
        <f t="shared" si="0"/>
        <v>0.19720633523977116</v>
      </c>
      <c r="M7" s="147">
        <f t="shared" si="0"/>
        <v>0.43759761139182363</v>
      </c>
      <c r="N7" s="147">
        <f t="shared" si="0"/>
        <v>0.28207627050948181</v>
      </c>
      <c r="O7" s="146">
        <f t="shared" si="0"/>
        <v>0.34880185422871318</v>
      </c>
      <c r="P7" s="144">
        <v>0.16</v>
      </c>
      <c r="Q7" s="13">
        <v>0.16</v>
      </c>
      <c r="R7" s="13">
        <v>0.1</v>
      </c>
      <c r="S7" s="15">
        <v>0.05</v>
      </c>
      <c r="T7" s="15">
        <v>0.05</v>
      </c>
      <c r="U7" s="10">
        <f>(O6/I6)^(1/COUNT(I6:O6))-1</f>
        <v>0.16765107131797241</v>
      </c>
      <c r="V7" s="10">
        <f>AVERAGE(J7:O7)</f>
        <v>0.21586987770189447</v>
      </c>
      <c r="W7" s="16">
        <f>AVERAGE(M7:O7)</f>
        <v>0.35615857871000617</v>
      </c>
    </row>
    <row r="8" spans="1:23" x14ac:dyDescent="0.25">
      <c r="A8" s="90" t="s">
        <v>34</v>
      </c>
      <c r="B8" s="90" t="s">
        <v>35</v>
      </c>
      <c r="C8" s="93" t="s">
        <v>36</v>
      </c>
      <c r="D8" s="93" t="s">
        <v>36</v>
      </c>
      <c r="E8" s="93" t="s">
        <v>36</v>
      </c>
      <c r="F8" s="93" t="s">
        <v>36</v>
      </c>
      <c r="G8" s="93" t="s">
        <v>36</v>
      </c>
      <c r="H8" s="93" t="s">
        <v>36</v>
      </c>
      <c r="I8" s="93">
        <v>3603.9</v>
      </c>
      <c r="J8" s="93">
        <v>4309.7</v>
      </c>
      <c r="K8" s="93">
        <v>3549.6</v>
      </c>
      <c r="L8" s="93">
        <v>4236.2</v>
      </c>
      <c r="M8" s="93">
        <v>6085.9</v>
      </c>
      <c r="N8" s="93">
        <v>7858.5</v>
      </c>
      <c r="O8" s="93">
        <v>10559</v>
      </c>
      <c r="P8" s="96" t="s">
        <v>535</v>
      </c>
      <c r="Q8" s="96" t="s">
        <v>522</v>
      </c>
      <c r="R8" s="96" t="s">
        <v>536</v>
      </c>
      <c r="S8" s="96" t="s">
        <v>532</v>
      </c>
      <c r="T8" s="96" t="s">
        <v>532</v>
      </c>
    </row>
    <row r="9" spans="1:23" x14ac:dyDescent="0.25">
      <c r="A9" s="90" t="s">
        <v>37</v>
      </c>
      <c r="B9" s="90" t="s">
        <v>38</v>
      </c>
      <c r="C9" s="93" t="s">
        <v>36</v>
      </c>
      <c r="D9" s="93" t="s">
        <v>36</v>
      </c>
      <c r="E9" s="93" t="s">
        <v>36</v>
      </c>
      <c r="F9" s="93" t="s">
        <v>36</v>
      </c>
      <c r="G9" s="93" t="s">
        <v>36</v>
      </c>
      <c r="H9" s="93" t="s">
        <v>36</v>
      </c>
      <c r="I9" s="93">
        <v>53.7</v>
      </c>
      <c r="J9" s="93">
        <v>90.5</v>
      </c>
      <c r="K9" s="93">
        <v>87.2</v>
      </c>
      <c r="L9" s="93">
        <v>117.8</v>
      </c>
      <c r="M9" s="93">
        <v>173.4</v>
      </c>
      <c r="N9" s="93">
        <v>166.4</v>
      </c>
      <c r="O9" s="93">
        <v>265</v>
      </c>
      <c r="P9" s="96"/>
      <c r="Q9" s="96"/>
      <c r="R9" s="96"/>
      <c r="S9" s="96"/>
      <c r="T9" s="96"/>
    </row>
    <row r="10" spans="1:23" s="16" customFormat="1" x14ac:dyDescent="0.25">
      <c r="A10" s="14" t="s">
        <v>524</v>
      </c>
      <c r="B10" s="14"/>
      <c r="C10" s="13"/>
      <c r="D10" s="13" t="e">
        <f t="shared" ref="D10:O10" si="1">(D9-C9)/C9</f>
        <v>#VALUE!</v>
      </c>
      <c r="E10" s="13" t="e">
        <f t="shared" si="1"/>
        <v>#VALUE!</v>
      </c>
      <c r="F10" s="13" t="e">
        <f t="shared" si="1"/>
        <v>#VALUE!</v>
      </c>
      <c r="G10" s="13" t="e">
        <f t="shared" si="1"/>
        <v>#VALUE!</v>
      </c>
      <c r="H10" s="13" t="e">
        <f t="shared" si="1"/>
        <v>#VALUE!</v>
      </c>
      <c r="I10" s="13" t="e">
        <f t="shared" si="1"/>
        <v>#VALUE!</v>
      </c>
      <c r="J10" s="13">
        <f t="shared" si="1"/>
        <v>0.68528864059590311</v>
      </c>
      <c r="K10" s="13">
        <f t="shared" si="1"/>
        <v>-3.6464088397790022E-2</v>
      </c>
      <c r="L10" s="13">
        <f t="shared" si="1"/>
        <v>0.3509174311926605</v>
      </c>
      <c r="M10" s="13">
        <f t="shared" si="1"/>
        <v>0.47198641765704591</v>
      </c>
      <c r="N10" s="13">
        <f t="shared" si="1"/>
        <v>-4.0369088811995385E-2</v>
      </c>
      <c r="O10" s="13">
        <f t="shared" si="1"/>
        <v>0.59254807692307687</v>
      </c>
      <c r="P10" s="13"/>
      <c r="Q10" s="13"/>
      <c r="R10" s="13"/>
      <c r="S10" s="15"/>
      <c r="T10" s="15"/>
      <c r="U10" s="10">
        <f>(O9/K9)^(1/COUNT(K9:O9))-1</f>
        <v>0.24895237387869895</v>
      </c>
      <c r="V10" s="10">
        <f>AVERAGE(K10:O10)</f>
        <v>0.2677237497125996</v>
      </c>
    </row>
    <row r="11" spans="1:23" x14ac:dyDescent="0.25">
      <c r="A11" s="90" t="s">
        <v>39</v>
      </c>
      <c r="B11" s="90" t="s">
        <v>40</v>
      </c>
      <c r="C11" s="93">
        <v>6813.2290000000003</v>
      </c>
      <c r="D11" s="93">
        <v>8203.2000000000007</v>
      </c>
      <c r="E11" s="93">
        <v>10157.1</v>
      </c>
      <c r="F11" s="93">
        <v>11184.5</v>
      </c>
      <c r="G11" s="93">
        <v>9179.2000000000007</v>
      </c>
      <c r="H11" s="93">
        <v>5797.3</v>
      </c>
      <c r="I11" s="93">
        <v>3131</v>
      </c>
      <c r="J11" s="93">
        <v>3562.9</v>
      </c>
      <c r="K11" s="93">
        <v>2977.9</v>
      </c>
      <c r="L11" s="93">
        <v>3486.2</v>
      </c>
      <c r="M11" s="93">
        <v>4822.3999999999996</v>
      </c>
      <c r="N11" s="93">
        <v>6183.4</v>
      </c>
      <c r="O11" s="93">
        <v>8475.4</v>
      </c>
      <c r="P11" s="4">
        <f>P12*P$6</f>
        <v>10044.671999999999</v>
      </c>
      <c r="Q11" s="4">
        <f>Q12*Q$6</f>
        <v>11651.819519999997</v>
      </c>
      <c r="R11" s="4">
        <f>R12*R$6</f>
        <v>12817.001471999998</v>
      </c>
      <c r="S11" s="4">
        <f>S12*S$6</f>
        <v>13457.8515456</v>
      </c>
      <c r="T11" s="4">
        <f>T12*T$6</f>
        <v>14130.74412288</v>
      </c>
    </row>
    <row r="12" spans="1:23" s="16" customFormat="1" x14ac:dyDescent="0.25">
      <c r="A12" s="9" t="s">
        <v>525</v>
      </c>
      <c r="B12" s="9"/>
      <c r="C12" s="8">
        <f>C11/C$6</f>
        <v>0.78060849440313473</v>
      </c>
      <c r="D12" s="8">
        <f t="shared" ref="D12:O12" si="2">D11/D$6</f>
        <v>0.75669692273632949</v>
      </c>
      <c r="E12" s="8">
        <f t="shared" si="2"/>
        <v>0.73263991575120635</v>
      </c>
      <c r="F12" s="8">
        <f t="shared" si="2"/>
        <v>0.74309195883412071</v>
      </c>
      <c r="G12" s="8">
        <f t="shared" si="2"/>
        <v>0.81257026512636665</v>
      </c>
      <c r="H12" s="8">
        <f t="shared" si="2"/>
        <v>0.87228600231714837</v>
      </c>
      <c r="I12" s="8">
        <f t="shared" si="2"/>
        <v>0.85602580927384075</v>
      </c>
      <c r="J12" s="8">
        <f t="shared" si="2"/>
        <v>0.80971319485477933</v>
      </c>
      <c r="K12" s="8">
        <f t="shared" si="2"/>
        <v>0.8188242410910691</v>
      </c>
      <c r="L12" s="8">
        <f t="shared" si="2"/>
        <v>0.80068902158934308</v>
      </c>
      <c r="M12" s="8">
        <f t="shared" si="2"/>
        <v>0.7704375888677647</v>
      </c>
      <c r="N12" s="8">
        <f t="shared" si="2"/>
        <v>0.77052673553564532</v>
      </c>
      <c r="O12" s="8">
        <f t="shared" si="2"/>
        <v>0.78301921655580187</v>
      </c>
      <c r="P12" s="8">
        <v>0.8</v>
      </c>
      <c r="Q12" s="8">
        <v>0.8</v>
      </c>
      <c r="R12" s="8">
        <v>0.8</v>
      </c>
      <c r="S12" s="8">
        <v>0.8</v>
      </c>
      <c r="T12" s="8">
        <v>0.8</v>
      </c>
      <c r="U12" s="10">
        <f>(O11/K11)^(1/COUNT(K11:O11))-1</f>
        <v>0.2326790609936904</v>
      </c>
      <c r="V12" s="10">
        <f>AVERAGE(K12:O12)</f>
        <v>0.78869936072792479</v>
      </c>
    </row>
    <row r="13" spans="1:23" x14ac:dyDescent="0.25">
      <c r="A13" s="90" t="s">
        <v>41</v>
      </c>
      <c r="B13" s="90" t="s">
        <v>42</v>
      </c>
      <c r="C13" s="93" t="s">
        <v>36</v>
      </c>
      <c r="D13" s="93" t="s">
        <v>36</v>
      </c>
      <c r="E13" s="93" t="s">
        <v>36</v>
      </c>
      <c r="F13" s="93" t="s">
        <v>36</v>
      </c>
      <c r="G13" s="93" t="s">
        <v>36</v>
      </c>
      <c r="H13" s="93" t="s">
        <v>36</v>
      </c>
      <c r="I13" s="93">
        <v>3131</v>
      </c>
      <c r="J13" s="93">
        <v>3562.9</v>
      </c>
      <c r="K13" s="93">
        <v>2977.9</v>
      </c>
      <c r="L13" s="93">
        <v>3486.2</v>
      </c>
      <c r="M13" s="93">
        <v>4822.3999999999996</v>
      </c>
      <c r="N13" s="93">
        <v>6183.4</v>
      </c>
      <c r="O13" s="93">
        <v>8475.4</v>
      </c>
      <c r="P13" s="96"/>
      <c r="Q13" s="93"/>
      <c r="R13" s="93"/>
    </row>
    <row r="14" spans="1:23" x14ac:dyDescent="0.25">
      <c r="A14" s="86" t="s">
        <v>1</v>
      </c>
      <c r="B14" s="86" t="s">
        <v>43</v>
      </c>
      <c r="C14" s="99">
        <v>1914.8710000000001</v>
      </c>
      <c r="D14" s="99">
        <v>2637.6</v>
      </c>
      <c r="E14" s="99">
        <v>3706.6</v>
      </c>
      <c r="F14" s="99">
        <v>3866.8</v>
      </c>
      <c r="G14" s="99">
        <v>2117.3000000000002</v>
      </c>
      <c r="H14" s="99">
        <v>848.8</v>
      </c>
      <c r="I14" s="99">
        <v>526.6</v>
      </c>
      <c r="J14" s="99">
        <v>837.3</v>
      </c>
      <c r="K14" s="99">
        <v>658.9</v>
      </c>
      <c r="L14" s="99">
        <v>867.8</v>
      </c>
      <c r="M14" s="99">
        <v>1436.9</v>
      </c>
      <c r="N14" s="99">
        <v>1841.5</v>
      </c>
      <c r="O14" s="99">
        <v>2348.6</v>
      </c>
      <c r="P14" s="5">
        <f>P6-P11</f>
        <v>2511.1679999999997</v>
      </c>
      <c r="Q14" s="5">
        <f>Q6-Q11</f>
        <v>2912.9548799999993</v>
      </c>
      <c r="R14" s="5">
        <f>R6-R11</f>
        <v>3204.2503679999991</v>
      </c>
      <c r="S14" s="5">
        <f>S6-S11</f>
        <v>3364.4628863999988</v>
      </c>
      <c r="T14" s="5">
        <f>T6-T11</f>
        <v>3532.6860307199986</v>
      </c>
    </row>
    <row r="15" spans="1:23" x14ac:dyDescent="0.25">
      <c r="A15" s="90" t="s">
        <v>44</v>
      </c>
      <c r="B15" s="90" t="s">
        <v>45</v>
      </c>
      <c r="C15" s="93" t="s">
        <v>36</v>
      </c>
      <c r="D15" s="93" t="s">
        <v>36</v>
      </c>
      <c r="E15" s="93" t="s">
        <v>36</v>
      </c>
      <c r="F15" s="93" t="s">
        <v>36</v>
      </c>
      <c r="G15" s="93" t="s">
        <v>36</v>
      </c>
      <c r="H15" s="93" t="s">
        <v>36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6"/>
      <c r="Q15" s="93"/>
      <c r="R15" s="93"/>
    </row>
    <row r="16" spans="1:23" x14ac:dyDescent="0.25">
      <c r="A16" s="90" t="s">
        <v>46</v>
      </c>
      <c r="B16" s="90" t="s">
        <v>47</v>
      </c>
      <c r="C16" s="93">
        <v>915.351</v>
      </c>
      <c r="D16" s="93">
        <v>1080</v>
      </c>
      <c r="E16" s="93">
        <v>1374.2</v>
      </c>
      <c r="F16" s="93">
        <v>1658.8</v>
      </c>
      <c r="G16" s="93">
        <v>1295.3</v>
      </c>
      <c r="H16" s="93">
        <v>891.9</v>
      </c>
      <c r="I16" s="93">
        <v>978.9</v>
      </c>
      <c r="J16" s="93">
        <v>661.5</v>
      </c>
      <c r="K16" s="93">
        <v>593.6</v>
      </c>
      <c r="L16" s="93">
        <v>617.4</v>
      </c>
      <c r="M16" s="93">
        <v>766.3</v>
      </c>
      <c r="N16" s="93">
        <v>992</v>
      </c>
      <c r="O16" s="93">
        <v>1186</v>
      </c>
      <c r="P16" s="4">
        <f>SUM(P17,P19,P21)</f>
        <v>1548.1350719999998</v>
      </c>
      <c r="Q16" s="4">
        <f>SUM(Q17,Q19,Q21)</f>
        <v>1795.8366835199997</v>
      </c>
      <c r="R16" s="4">
        <f>SUM(R17,R19,R21)</f>
        <v>1975.4203518719996</v>
      </c>
      <c r="S16" s="4">
        <f>SUM(S17,S19,S21)</f>
        <v>2074.1913694655996</v>
      </c>
      <c r="T16" s="4">
        <f>SUM(T17,T19,T21)</f>
        <v>2177.9009379388799</v>
      </c>
    </row>
    <row r="17" spans="1:22" x14ac:dyDescent="0.25">
      <c r="A17" s="90" t="s">
        <v>48</v>
      </c>
      <c r="B17" s="90" t="s">
        <v>49</v>
      </c>
      <c r="C17" s="93" t="s">
        <v>36</v>
      </c>
      <c r="D17" s="93" t="s">
        <v>36</v>
      </c>
      <c r="E17" s="93" t="s">
        <v>36</v>
      </c>
      <c r="F17" s="93" t="s">
        <v>36</v>
      </c>
      <c r="G17" s="93" t="s">
        <v>36</v>
      </c>
      <c r="H17" s="93">
        <v>891.9</v>
      </c>
      <c r="I17" s="93">
        <v>601.1</v>
      </c>
      <c r="J17" s="93">
        <v>599.20000000000005</v>
      </c>
      <c r="K17" s="93">
        <v>556.29999999999995</v>
      </c>
      <c r="L17" s="93">
        <v>614.20000000000005</v>
      </c>
      <c r="M17" s="93">
        <v>766.3</v>
      </c>
      <c r="N17" s="93">
        <v>965.4</v>
      </c>
      <c r="O17" s="93">
        <v>1186</v>
      </c>
      <c r="P17" s="96">
        <f>P18*P$6</f>
        <v>1506.7007999999998</v>
      </c>
      <c r="Q17" s="96">
        <f>Q18*Q$6</f>
        <v>1747.7729279999996</v>
      </c>
      <c r="R17" s="96">
        <f>R18*R$6</f>
        <v>1922.5502207999996</v>
      </c>
      <c r="S17" s="96">
        <f>S18*S$6</f>
        <v>2018.6777318399998</v>
      </c>
      <c r="T17" s="96">
        <f>T18*T$6</f>
        <v>2119.6116184319999</v>
      </c>
    </row>
    <row r="18" spans="1:22" s="16" customFormat="1" x14ac:dyDescent="0.25">
      <c r="A18" s="9" t="s">
        <v>525</v>
      </c>
      <c r="B18" s="9"/>
      <c r="C18" s="8" t="e">
        <f t="shared" ref="C18:O18" si="3">C17/C$6</f>
        <v>#VALUE!</v>
      </c>
      <c r="D18" s="8" t="e">
        <f t="shared" si="3"/>
        <v>#VALUE!</v>
      </c>
      <c r="E18" s="8" t="e">
        <f t="shared" si="3"/>
        <v>#VALUE!</v>
      </c>
      <c r="F18" s="8" t="e">
        <f t="shared" si="3"/>
        <v>#VALUE!</v>
      </c>
      <c r="G18" s="8" t="e">
        <f t="shared" si="3"/>
        <v>#VALUE!</v>
      </c>
      <c r="H18" s="8">
        <f t="shared" si="3"/>
        <v>0.13419900392711515</v>
      </c>
      <c r="I18" s="8">
        <f t="shared" si="3"/>
        <v>0.16434273840769906</v>
      </c>
      <c r="J18" s="8">
        <f t="shared" si="3"/>
        <v>0.13617562838052819</v>
      </c>
      <c r="K18" s="8">
        <f t="shared" si="3"/>
        <v>0.15296414430268365</v>
      </c>
      <c r="L18" s="8">
        <f t="shared" si="3"/>
        <v>0.14106568672485073</v>
      </c>
      <c r="M18" s="8">
        <f t="shared" si="3"/>
        <v>0.12242583036441773</v>
      </c>
      <c r="N18" s="8">
        <f t="shared" si="3"/>
        <v>0.12030056449301549</v>
      </c>
      <c r="O18" s="8">
        <f t="shared" si="3"/>
        <v>0.10957132298595713</v>
      </c>
      <c r="P18" s="8">
        <v>0.12</v>
      </c>
      <c r="Q18" s="8">
        <v>0.12</v>
      </c>
      <c r="R18" s="8">
        <v>0.12</v>
      </c>
      <c r="S18" s="8">
        <v>0.12</v>
      </c>
      <c r="T18" s="8">
        <v>0.12</v>
      </c>
      <c r="U18" s="10">
        <f>(O17/K17)^(1/COUNT(K17:O17))-1</f>
        <v>0.16346982936444321</v>
      </c>
      <c r="V18" s="10">
        <f>AVERAGE(K18:O18)</f>
        <v>0.12926550977418497</v>
      </c>
    </row>
    <row r="19" spans="1:22" x14ac:dyDescent="0.25">
      <c r="A19" s="90" t="s">
        <v>50</v>
      </c>
      <c r="B19" s="90" t="s">
        <v>51</v>
      </c>
      <c r="C19" s="93" t="s">
        <v>36</v>
      </c>
      <c r="D19" s="93" t="s">
        <v>36</v>
      </c>
      <c r="E19" s="93" t="s">
        <v>36</v>
      </c>
      <c r="F19" s="93" t="s">
        <v>36</v>
      </c>
      <c r="G19" s="93" t="s">
        <v>36</v>
      </c>
      <c r="H19" s="93" t="s">
        <v>36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  <c r="N19" s="93">
        <v>0</v>
      </c>
      <c r="O19" s="93">
        <v>0</v>
      </c>
      <c r="P19" s="96">
        <f>P20*P$6</f>
        <v>0</v>
      </c>
      <c r="Q19" s="96">
        <f>Q20*Q$6</f>
        <v>0</v>
      </c>
      <c r="R19" s="96">
        <f>R20*R$6</f>
        <v>0</v>
      </c>
      <c r="S19" s="96">
        <f>S20*S$6</f>
        <v>0</v>
      </c>
      <c r="T19" s="96">
        <f>T20*T$6</f>
        <v>0</v>
      </c>
    </row>
    <row r="20" spans="1:22" s="16" customFormat="1" x14ac:dyDescent="0.25">
      <c r="A20" s="9" t="s">
        <v>525</v>
      </c>
      <c r="B20" s="9"/>
      <c r="C20" s="8" t="e">
        <f t="shared" ref="C20:O20" si="4">C19/C$6</f>
        <v>#VALUE!</v>
      </c>
      <c r="D20" s="8" t="e">
        <f t="shared" si="4"/>
        <v>#VALUE!</v>
      </c>
      <c r="E20" s="8" t="e">
        <f t="shared" si="4"/>
        <v>#VALUE!</v>
      </c>
      <c r="F20" s="8" t="e">
        <f t="shared" si="4"/>
        <v>#VALUE!</v>
      </c>
      <c r="G20" s="8" t="e">
        <f t="shared" si="4"/>
        <v>#VALUE!</v>
      </c>
      <c r="H20" s="8" t="e">
        <f t="shared" si="4"/>
        <v>#VALUE!</v>
      </c>
      <c r="I20" s="8">
        <f t="shared" si="4"/>
        <v>0</v>
      </c>
      <c r="J20" s="8">
        <f t="shared" si="4"/>
        <v>0</v>
      </c>
      <c r="K20" s="8">
        <f t="shared" si="4"/>
        <v>0</v>
      </c>
      <c r="L20" s="8">
        <f t="shared" si="4"/>
        <v>0</v>
      </c>
      <c r="M20" s="8">
        <f t="shared" si="4"/>
        <v>0</v>
      </c>
      <c r="N20" s="8">
        <f t="shared" si="4"/>
        <v>0</v>
      </c>
      <c r="O20" s="8">
        <f t="shared" si="4"/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10" t="e">
        <f>(O19/K19)^(1/COUNT(K19:O19))-1</f>
        <v>#DIV/0!</v>
      </c>
      <c r="V20" s="10">
        <f>AVERAGE(K20:O20)</f>
        <v>0</v>
      </c>
    </row>
    <row r="21" spans="1:22" x14ac:dyDescent="0.25">
      <c r="A21" s="90" t="s">
        <v>52</v>
      </c>
      <c r="B21" s="90" t="s">
        <v>53</v>
      </c>
      <c r="C21" s="93" t="s">
        <v>36</v>
      </c>
      <c r="D21" s="93" t="s">
        <v>36</v>
      </c>
      <c r="E21" s="93" t="s">
        <v>36</v>
      </c>
      <c r="F21" s="93" t="s">
        <v>36</v>
      </c>
      <c r="G21" s="93" t="s">
        <v>36</v>
      </c>
      <c r="H21" s="93" t="s">
        <v>36</v>
      </c>
      <c r="I21" s="93">
        <v>377.8</v>
      </c>
      <c r="J21" s="93">
        <v>62.3</v>
      </c>
      <c r="K21" s="93">
        <v>37.299999999999997</v>
      </c>
      <c r="L21" s="93">
        <v>3.2</v>
      </c>
      <c r="M21" s="93">
        <v>0</v>
      </c>
      <c r="N21" s="93">
        <v>26.6</v>
      </c>
      <c r="O21" s="93">
        <v>0</v>
      </c>
      <c r="P21" s="96">
        <f>P22*P$6</f>
        <v>41.434271999999993</v>
      </c>
      <c r="Q21" s="96">
        <f>Q22*Q$6</f>
        <v>48.063755519999987</v>
      </c>
      <c r="R21" s="96">
        <f>R22*R$6</f>
        <v>52.870131071999992</v>
      </c>
      <c r="S21" s="96">
        <f>S22*S$6</f>
        <v>55.513637625599998</v>
      </c>
      <c r="T21" s="96">
        <f>T22*T$6</f>
        <v>58.289319506879991</v>
      </c>
    </row>
    <row r="22" spans="1:22" s="16" customFormat="1" x14ac:dyDescent="0.25">
      <c r="A22" s="9" t="s">
        <v>525</v>
      </c>
      <c r="B22" s="9"/>
      <c r="C22" s="8" t="e">
        <f t="shared" ref="C22:O22" si="5">C21/C$6</f>
        <v>#VALUE!</v>
      </c>
      <c r="D22" s="8" t="e">
        <f t="shared" si="5"/>
        <v>#VALUE!</v>
      </c>
      <c r="E22" s="8" t="e">
        <f t="shared" si="5"/>
        <v>#VALUE!</v>
      </c>
      <c r="F22" s="8" t="e">
        <f t="shared" si="5"/>
        <v>#VALUE!</v>
      </c>
      <c r="G22" s="8" t="e">
        <f t="shared" si="5"/>
        <v>#VALUE!</v>
      </c>
      <c r="H22" s="8" t="e">
        <f t="shared" si="5"/>
        <v>#VALUE!</v>
      </c>
      <c r="I22" s="8">
        <f t="shared" si="5"/>
        <v>0.10329177602799651</v>
      </c>
      <c r="J22" s="8">
        <f t="shared" si="5"/>
        <v>1.4158447343302577E-2</v>
      </c>
      <c r="K22" s="8">
        <f t="shared" si="5"/>
        <v>1.0256269247690276E-2</v>
      </c>
      <c r="L22" s="8">
        <f t="shared" si="5"/>
        <v>7.3495636196600832E-4</v>
      </c>
      <c r="M22" s="8">
        <f t="shared" si="5"/>
        <v>0</v>
      </c>
      <c r="N22" s="8">
        <f t="shared" si="5"/>
        <v>3.3146830490099568E-3</v>
      </c>
      <c r="O22" s="8">
        <f t="shared" si="5"/>
        <v>0</v>
      </c>
      <c r="P22" s="8">
        <v>3.3E-3</v>
      </c>
      <c r="Q22" s="8">
        <v>3.3E-3</v>
      </c>
      <c r="R22" s="8">
        <v>3.3E-3</v>
      </c>
      <c r="S22" s="8">
        <v>3.3E-3</v>
      </c>
      <c r="T22" s="8">
        <v>3.3E-3</v>
      </c>
      <c r="U22" s="10">
        <f>(O21/K21)^(1/COUNT(K21:O21))-1</f>
        <v>-1</v>
      </c>
      <c r="V22" s="10">
        <f>AVERAGE(K22:O22)</f>
        <v>2.8611817317332482E-3</v>
      </c>
    </row>
    <row r="23" spans="1:22" x14ac:dyDescent="0.25">
      <c r="A23" s="86" t="s">
        <v>54</v>
      </c>
      <c r="B23" s="86" t="s">
        <v>55</v>
      </c>
      <c r="C23" s="99">
        <v>999.52</v>
      </c>
      <c r="D23" s="99">
        <v>1557.6</v>
      </c>
      <c r="E23" s="99">
        <v>2332.4</v>
      </c>
      <c r="F23" s="99">
        <v>2208</v>
      </c>
      <c r="G23" s="99">
        <v>822</v>
      </c>
      <c r="H23" s="99">
        <v>-43.1</v>
      </c>
      <c r="I23" s="99">
        <v>-452.3</v>
      </c>
      <c r="J23" s="99">
        <v>175.8</v>
      </c>
      <c r="K23" s="99">
        <v>65.3</v>
      </c>
      <c r="L23" s="99">
        <v>250.4</v>
      </c>
      <c r="M23" s="99">
        <v>670.6</v>
      </c>
      <c r="N23" s="99">
        <v>849.5</v>
      </c>
      <c r="O23" s="99">
        <v>1162.5999999999999</v>
      </c>
      <c r="P23" s="5">
        <f>P14-P16</f>
        <v>963.03292799999986</v>
      </c>
      <c r="Q23" s="5">
        <f>Q14-Q16</f>
        <v>1117.1181964799996</v>
      </c>
      <c r="R23" s="5">
        <f>R14-R16</f>
        <v>1228.8300161279994</v>
      </c>
      <c r="S23" s="5">
        <f>S14-S16</f>
        <v>1290.2715169343992</v>
      </c>
      <c r="T23" s="5">
        <f>T14-T16</f>
        <v>1354.7850927811187</v>
      </c>
    </row>
    <row r="24" spans="1:22" x14ac:dyDescent="0.25">
      <c r="A24" s="90" t="s">
        <v>56</v>
      </c>
      <c r="B24" s="90" t="s">
        <v>57</v>
      </c>
      <c r="C24" s="93" t="s">
        <v>36</v>
      </c>
      <c r="D24" s="93" t="s">
        <v>36</v>
      </c>
      <c r="E24" s="93" t="s">
        <v>36</v>
      </c>
      <c r="F24" s="93" t="s">
        <v>36</v>
      </c>
      <c r="G24" s="93" t="s">
        <v>36</v>
      </c>
      <c r="H24" s="93" t="s">
        <v>36</v>
      </c>
      <c r="I24" s="93">
        <v>78.5</v>
      </c>
      <c r="J24" s="93">
        <v>69</v>
      </c>
      <c r="K24" s="93">
        <v>34.4</v>
      </c>
      <c r="L24" s="93">
        <v>4.8</v>
      </c>
      <c r="M24" s="93">
        <v>-18.3</v>
      </c>
      <c r="N24" s="93">
        <v>-23.3</v>
      </c>
      <c r="O24" s="93">
        <v>-30.9</v>
      </c>
      <c r="P24" s="96"/>
      <c r="Q24" s="93"/>
      <c r="R24" s="93"/>
    </row>
    <row r="25" spans="1:22" x14ac:dyDescent="0.25">
      <c r="A25" s="90" t="s">
        <v>58</v>
      </c>
      <c r="B25" s="90" t="s">
        <v>59</v>
      </c>
      <c r="C25" s="93">
        <v>3.3540000000000001</v>
      </c>
      <c r="D25" s="93">
        <v>1.6</v>
      </c>
      <c r="E25" s="93">
        <v>0.5</v>
      </c>
      <c r="F25" s="93">
        <v>11</v>
      </c>
      <c r="G25" s="93">
        <v>-38.5</v>
      </c>
      <c r="H25" s="93">
        <v>31.3</v>
      </c>
      <c r="I25" s="93">
        <v>-103.3</v>
      </c>
      <c r="J25" s="93">
        <v>-85</v>
      </c>
      <c r="K25" s="93">
        <v>-78.3</v>
      </c>
      <c r="L25" s="93">
        <v>-97.2</v>
      </c>
      <c r="M25" s="93" t="s">
        <v>36</v>
      </c>
      <c r="N25" s="93">
        <v>0</v>
      </c>
      <c r="O25" s="93">
        <v>0</v>
      </c>
      <c r="P25" s="96"/>
      <c r="Q25" s="93"/>
      <c r="R25" s="93"/>
    </row>
    <row r="26" spans="1:22" x14ac:dyDescent="0.25">
      <c r="A26" s="91" t="s">
        <v>60</v>
      </c>
      <c r="B26" s="91" t="s">
        <v>61</v>
      </c>
      <c r="C26" s="104">
        <v>5.1539999999999999</v>
      </c>
      <c r="D26" s="104">
        <v>3.4</v>
      </c>
      <c r="E26" s="104">
        <v>4.4000000000000004</v>
      </c>
      <c r="F26" s="104">
        <v>17.899999999999999</v>
      </c>
      <c r="G26" s="104">
        <v>0</v>
      </c>
      <c r="H26" s="104">
        <v>42.7</v>
      </c>
      <c r="I26" s="104">
        <v>101.7</v>
      </c>
      <c r="J26" s="104">
        <v>88.2</v>
      </c>
      <c r="K26" s="104">
        <v>51.9</v>
      </c>
      <c r="L26" s="104">
        <v>26.9</v>
      </c>
      <c r="M26" s="104">
        <v>5.0999999999999996</v>
      </c>
      <c r="N26" s="104">
        <v>0</v>
      </c>
      <c r="O26" s="104">
        <v>0</v>
      </c>
      <c r="P26" s="105"/>
      <c r="Q26" s="104"/>
      <c r="R26" s="104"/>
    </row>
    <row r="27" spans="1:22" s="188" customFormat="1" ht="15.75" x14ac:dyDescent="0.25">
      <c r="A27" s="184" t="s">
        <v>538</v>
      </c>
      <c r="B27" s="185"/>
      <c r="C27" s="186">
        <f>C23/C26</f>
        <v>193.93092743500193</v>
      </c>
      <c r="D27" s="186">
        <f t="shared" ref="D27:O27" si="6">D23/D26</f>
        <v>458.11764705882354</v>
      </c>
      <c r="E27" s="186">
        <f t="shared" si="6"/>
        <v>530.09090909090912</v>
      </c>
      <c r="F27" s="186">
        <f t="shared" si="6"/>
        <v>123.35195530726259</v>
      </c>
      <c r="G27" s="186" t="e">
        <f t="shared" si="6"/>
        <v>#DIV/0!</v>
      </c>
      <c r="H27" s="186">
        <f t="shared" si="6"/>
        <v>-1.0093676814988291</v>
      </c>
      <c r="I27" s="186">
        <f t="shared" si="6"/>
        <v>-4.4473942969518188</v>
      </c>
      <c r="J27" s="186">
        <f t="shared" si="6"/>
        <v>1.9931972789115646</v>
      </c>
      <c r="K27" s="186">
        <f t="shared" si="6"/>
        <v>1.258188824662813</v>
      </c>
      <c r="L27" s="186">
        <f t="shared" si="6"/>
        <v>9.3085501858736066</v>
      </c>
      <c r="M27" s="186">
        <f t="shared" si="6"/>
        <v>131.49019607843138</v>
      </c>
      <c r="N27" s="186" t="e">
        <f t="shared" si="6"/>
        <v>#DIV/0!</v>
      </c>
      <c r="O27" s="186" t="e">
        <f t="shared" si="6"/>
        <v>#DIV/0!</v>
      </c>
      <c r="P27" s="187"/>
      <c r="Q27" s="186"/>
      <c r="R27" s="186"/>
    </row>
    <row r="28" spans="1:22" x14ac:dyDescent="0.25">
      <c r="A28" s="91" t="s">
        <v>62</v>
      </c>
      <c r="B28" s="91" t="s">
        <v>63</v>
      </c>
      <c r="C28" s="104">
        <v>1.8</v>
      </c>
      <c r="D28" s="104">
        <v>1.8</v>
      </c>
      <c r="E28" s="104">
        <v>3.9</v>
      </c>
      <c r="F28" s="104">
        <v>6.9</v>
      </c>
      <c r="G28" s="104">
        <v>38.5</v>
      </c>
      <c r="H28" s="104">
        <v>11.4</v>
      </c>
      <c r="I28" s="104">
        <v>205</v>
      </c>
      <c r="J28" s="104">
        <v>173.2</v>
      </c>
      <c r="K28" s="104">
        <v>130.19999999999999</v>
      </c>
      <c r="L28" s="104">
        <v>124.1</v>
      </c>
      <c r="M28" s="104" t="s">
        <v>36</v>
      </c>
      <c r="N28" s="104">
        <v>0</v>
      </c>
      <c r="O28" s="104">
        <v>0</v>
      </c>
      <c r="P28" s="105"/>
      <c r="Q28" s="104"/>
      <c r="R28" s="104"/>
    </row>
    <row r="29" spans="1:22" x14ac:dyDescent="0.25">
      <c r="A29" s="90" t="s">
        <v>64</v>
      </c>
      <c r="B29" s="90" t="s">
        <v>65</v>
      </c>
      <c r="C29" s="93">
        <v>0</v>
      </c>
      <c r="D29" s="93">
        <v>0</v>
      </c>
      <c r="E29" s="93">
        <v>0</v>
      </c>
      <c r="F29" s="93">
        <v>0</v>
      </c>
      <c r="G29" s="93">
        <v>0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3">
        <v>0</v>
      </c>
      <c r="N29" s="93">
        <v>0</v>
      </c>
      <c r="O29" s="93">
        <v>0</v>
      </c>
      <c r="P29" s="96"/>
      <c r="Q29" s="93"/>
      <c r="R29" s="93"/>
    </row>
    <row r="30" spans="1:22" x14ac:dyDescent="0.25">
      <c r="A30" s="90" t="s">
        <v>66</v>
      </c>
      <c r="B30" s="90" t="s">
        <v>67</v>
      </c>
      <c r="C30" s="93" t="s">
        <v>36</v>
      </c>
      <c r="D30" s="93" t="s">
        <v>36</v>
      </c>
      <c r="E30" s="93" t="s">
        <v>36</v>
      </c>
      <c r="F30" s="93" t="s">
        <v>36</v>
      </c>
      <c r="G30" s="93" t="s">
        <v>36</v>
      </c>
      <c r="H30" s="93" t="s">
        <v>36</v>
      </c>
      <c r="I30" s="93">
        <v>0</v>
      </c>
      <c r="J30" s="93">
        <v>0</v>
      </c>
      <c r="K30" s="93">
        <v>0</v>
      </c>
      <c r="L30" s="93">
        <v>0</v>
      </c>
      <c r="M30" s="93">
        <v>0</v>
      </c>
      <c r="N30" s="93" t="s">
        <v>36</v>
      </c>
      <c r="O30" s="93" t="s">
        <v>36</v>
      </c>
      <c r="P30" s="96"/>
      <c r="Q30" s="93"/>
      <c r="R30" s="93"/>
    </row>
    <row r="31" spans="1:22" x14ac:dyDescent="0.25">
      <c r="A31" s="90" t="s">
        <v>68</v>
      </c>
      <c r="B31" s="90" t="s">
        <v>69</v>
      </c>
      <c r="C31" s="93" t="s">
        <v>36</v>
      </c>
      <c r="D31" s="93" t="s">
        <v>36</v>
      </c>
      <c r="E31" s="93" t="s">
        <v>36</v>
      </c>
      <c r="F31" s="93" t="s">
        <v>36</v>
      </c>
      <c r="G31" s="93" t="s">
        <v>36</v>
      </c>
      <c r="H31" s="93" t="s">
        <v>36</v>
      </c>
      <c r="I31" s="93">
        <v>181.8</v>
      </c>
      <c r="J31" s="93">
        <v>154</v>
      </c>
      <c r="K31" s="93">
        <v>112.7</v>
      </c>
      <c r="L31" s="93">
        <v>102</v>
      </c>
      <c r="M31" s="93">
        <v>-23.4</v>
      </c>
      <c r="N31" s="93">
        <v>-23.3</v>
      </c>
      <c r="O31" s="93">
        <v>-30.9</v>
      </c>
      <c r="P31" s="96"/>
      <c r="Q31" s="93"/>
      <c r="R31" s="93"/>
    </row>
    <row r="32" spans="1:22" x14ac:dyDescent="0.25">
      <c r="A32" s="86" t="s">
        <v>70</v>
      </c>
      <c r="B32" s="86" t="s">
        <v>71</v>
      </c>
      <c r="C32" s="99">
        <v>1008.162</v>
      </c>
      <c r="D32" s="99">
        <v>1582.9</v>
      </c>
      <c r="E32" s="99">
        <v>2378.6</v>
      </c>
      <c r="F32" s="99">
        <v>1987.1</v>
      </c>
      <c r="G32" s="99">
        <v>-951.2</v>
      </c>
      <c r="H32" s="99">
        <v>-2631.8</v>
      </c>
      <c r="I32" s="99">
        <v>-530.79999999999995</v>
      </c>
      <c r="J32" s="99">
        <v>106.8</v>
      </c>
      <c r="K32" s="99">
        <v>30.9</v>
      </c>
      <c r="L32" s="99">
        <v>245.6</v>
      </c>
      <c r="M32" s="99">
        <v>688.9</v>
      </c>
      <c r="N32" s="99">
        <v>872.8</v>
      </c>
      <c r="O32" s="99">
        <v>1193.5</v>
      </c>
      <c r="P32" s="102"/>
      <c r="Q32" s="99"/>
      <c r="R32" s="99"/>
    </row>
    <row r="33" spans="1:22" x14ac:dyDescent="0.25">
      <c r="A33" s="90" t="s">
        <v>72</v>
      </c>
      <c r="B33" s="90" t="s">
        <v>73</v>
      </c>
      <c r="C33" s="93" t="s">
        <v>36</v>
      </c>
      <c r="D33" s="93" t="s">
        <v>36</v>
      </c>
      <c r="E33" s="93" t="s">
        <v>36</v>
      </c>
      <c r="F33" s="93">
        <v>270.89999999999998</v>
      </c>
      <c r="G33" s="93">
        <v>1815.7</v>
      </c>
      <c r="H33" s="93">
        <v>2566.5</v>
      </c>
      <c r="I33" s="93">
        <v>26</v>
      </c>
      <c r="J33" s="93">
        <v>7.3</v>
      </c>
      <c r="K33" s="93">
        <v>18.8</v>
      </c>
      <c r="L33" s="93">
        <v>2.7</v>
      </c>
      <c r="M33" s="93">
        <v>31.1</v>
      </c>
      <c r="N33" s="93">
        <v>58.6</v>
      </c>
      <c r="O33" s="93">
        <v>70.099999999999994</v>
      </c>
      <c r="P33" s="96" t="s">
        <v>537</v>
      </c>
      <c r="Q33" s="96">
        <f>Q34*Q$6</f>
        <v>0</v>
      </c>
      <c r="R33" s="96">
        <f>R34*R$6</f>
        <v>0</v>
      </c>
      <c r="S33" s="96">
        <f>S34*S$6</f>
        <v>0</v>
      </c>
      <c r="T33" s="96">
        <f>T34*T$6</f>
        <v>0</v>
      </c>
    </row>
    <row r="34" spans="1:22" s="16" customFormat="1" x14ac:dyDescent="0.25">
      <c r="A34" s="9" t="s">
        <v>525</v>
      </c>
      <c r="B34" s="9"/>
      <c r="C34" s="8" t="e">
        <f t="shared" ref="C34:O34" si="7">C33/C$6</f>
        <v>#VALUE!</v>
      </c>
      <c r="D34" s="8" t="e">
        <f t="shared" si="7"/>
        <v>#VALUE!</v>
      </c>
      <c r="E34" s="8" t="e">
        <f t="shared" si="7"/>
        <v>#VALUE!</v>
      </c>
      <c r="F34" s="8">
        <f t="shared" si="7"/>
        <v>1.7998445317015804E-2</v>
      </c>
      <c r="G34" s="8">
        <f t="shared" si="7"/>
        <v>0.16073119992918161</v>
      </c>
      <c r="H34" s="8">
        <f t="shared" si="7"/>
        <v>0.38616632310678439</v>
      </c>
      <c r="I34" s="8">
        <f t="shared" si="7"/>
        <v>7.1084864391951011E-3</v>
      </c>
      <c r="J34" s="8">
        <f t="shared" si="7"/>
        <v>1.6590154992954867E-3</v>
      </c>
      <c r="K34" s="8">
        <f t="shared" si="7"/>
        <v>5.1693796744390671E-3</v>
      </c>
      <c r="L34" s="8">
        <f t="shared" si="7"/>
        <v>6.2011943040881951E-4</v>
      </c>
      <c r="M34" s="8">
        <f t="shared" si="7"/>
        <v>4.9686067132107426E-3</v>
      </c>
      <c r="N34" s="8">
        <f t="shared" si="7"/>
        <v>7.3022716793978747E-3</v>
      </c>
      <c r="O34" s="8">
        <f t="shared" si="7"/>
        <v>6.4763488543976341E-3</v>
      </c>
      <c r="P34" s="8"/>
      <c r="Q34" s="8"/>
      <c r="R34" s="8"/>
      <c r="S34" s="15"/>
      <c r="T34" s="15"/>
      <c r="U34" s="10">
        <f>(O33/K33)^(1/COUNT(K33:O33))-1</f>
        <v>0.30110406505082077</v>
      </c>
      <c r="V34" s="10">
        <f>AVERAGE(K34:O34)</f>
        <v>4.9073452703708277E-3</v>
      </c>
    </row>
    <row r="35" spans="1:22" x14ac:dyDescent="0.25">
      <c r="A35" s="90" t="s">
        <v>74</v>
      </c>
      <c r="B35" s="90" t="s">
        <v>75</v>
      </c>
      <c r="C35" s="93" t="s">
        <v>36</v>
      </c>
      <c r="D35" s="93" t="s">
        <v>36</v>
      </c>
      <c r="E35" s="93" t="s">
        <v>36</v>
      </c>
      <c r="F35" s="93" t="s">
        <v>36</v>
      </c>
      <c r="G35" s="93" t="s">
        <v>36</v>
      </c>
      <c r="H35" s="93" t="s">
        <v>36</v>
      </c>
      <c r="I35" s="93">
        <v>-3.9</v>
      </c>
      <c r="J35" s="93">
        <v>4.9000000000000004</v>
      </c>
      <c r="K35" s="93">
        <v>10.8</v>
      </c>
      <c r="L35" s="93">
        <v>-0.1</v>
      </c>
      <c r="M35" s="93" t="s">
        <v>36</v>
      </c>
      <c r="N35" s="93" t="s">
        <v>36</v>
      </c>
      <c r="O35" s="93" t="s">
        <v>36</v>
      </c>
      <c r="P35" s="96"/>
      <c r="Q35" s="93"/>
      <c r="R35" s="93"/>
    </row>
    <row r="36" spans="1:22" x14ac:dyDescent="0.25">
      <c r="A36" s="90" t="s">
        <v>76</v>
      </c>
      <c r="B36" s="90" t="s">
        <v>77</v>
      </c>
      <c r="C36" s="93" t="s">
        <v>36</v>
      </c>
      <c r="D36" s="93" t="s">
        <v>36</v>
      </c>
      <c r="E36" s="93" t="s">
        <v>36</v>
      </c>
      <c r="F36" s="93">
        <v>270.89999999999998</v>
      </c>
      <c r="G36" s="93">
        <v>1329.5</v>
      </c>
      <c r="H36" s="93">
        <v>2484.5</v>
      </c>
      <c r="I36" s="93">
        <v>29.9</v>
      </c>
      <c r="J36" s="93">
        <v>2.4</v>
      </c>
      <c r="K36" s="93">
        <v>8.1</v>
      </c>
      <c r="L36" s="93">
        <v>3</v>
      </c>
      <c r="M36" s="93">
        <v>31.1</v>
      </c>
      <c r="N36" s="93">
        <v>85.2</v>
      </c>
      <c r="O36" s="93">
        <v>60.3</v>
      </c>
      <c r="P36" s="96"/>
      <c r="Q36" s="93"/>
      <c r="R36" s="93"/>
    </row>
    <row r="37" spans="1:22" x14ac:dyDescent="0.25">
      <c r="A37" s="90" t="s">
        <v>78</v>
      </c>
      <c r="B37" s="90" t="s">
        <v>79</v>
      </c>
      <c r="C37" s="93">
        <v>0</v>
      </c>
      <c r="D37" s="93">
        <v>0</v>
      </c>
      <c r="E37" s="93" t="s">
        <v>36</v>
      </c>
      <c r="F37" s="93">
        <v>0</v>
      </c>
      <c r="G37" s="93">
        <v>474.1</v>
      </c>
      <c r="H37" s="93">
        <v>79.400000000000006</v>
      </c>
      <c r="I37" s="93" t="s">
        <v>36</v>
      </c>
      <c r="J37" s="93" t="s">
        <v>36</v>
      </c>
      <c r="K37" s="93" t="s">
        <v>36</v>
      </c>
      <c r="L37" s="93" t="s">
        <v>36</v>
      </c>
      <c r="M37" s="93" t="s">
        <v>36</v>
      </c>
      <c r="N37" s="93" t="s">
        <v>36</v>
      </c>
      <c r="O37" s="93">
        <v>9.8000000000000007</v>
      </c>
      <c r="P37" s="96"/>
      <c r="Q37" s="93"/>
      <c r="R37" s="93"/>
    </row>
    <row r="38" spans="1:22" x14ac:dyDescent="0.25">
      <c r="A38" s="90" t="s">
        <v>80</v>
      </c>
      <c r="B38" s="90" t="s">
        <v>81</v>
      </c>
      <c r="C38" s="93" t="s">
        <v>36</v>
      </c>
      <c r="D38" s="93" t="s">
        <v>36</v>
      </c>
      <c r="E38" s="93" t="s">
        <v>36</v>
      </c>
      <c r="F38" s="93" t="s">
        <v>36</v>
      </c>
      <c r="G38" s="93" t="s">
        <v>36</v>
      </c>
      <c r="H38" s="93" t="s">
        <v>36</v>
      </c>
      <c r="I38" s="93" t="s">
        <v>36</v>
      </c>
      <c r="J38" s="93" t="s">
        <v>36</v>
      </c>
      <c r="K38" s="93">
        <v>-0.1</v>
      </c>
      <c r="L38" s="93">
        <v>-0.2</v>
      </c>
      <c r="M38" s="93" t="s">
        <v>36</v>
      </c>
      <c r="N38" s="93" t="s">
        <v>36</v>
      </c>
      <c r="O38" s="93" t="s">
        <v>36</v>
      </c>
      <c r="P38" s="96"/>
      <c r="Q38" s="93"/>
      <c r="R38" s="93"/>
    </row>
    <row r="39" spans="1:22" x14ac:dyDescent="0.25">
      <c r="A39" s="90" t="s">
        <v>82</v>
      </c>
      <c r="B39" s="90" t="s">
        <v>83</v>
      </c>
      <c r="C39" s="93" t="s">
        <v>36</v>
      </c>
      <c r="D39" s="93" t="s">
        <v>36</v>
      </c>
      <c r="E39" s="93" t="s">
        <v>36</v>
      </c>
      <c r="F39" s="93" t="s">
        <v>36</v>
      </c>
      <c r="G39" s="93" t="s">
        <v>36</v>
      </c>
      <c r="H39" s="93" t="s">
        <v>36</v>
      </c>
      <c r="I39" s="93" t="s">
        <v>36</v>
      </c>
      <c r="J39" s="93" t="s">
        <v>36</v>
      </c>
      <c r="K39" s="93" t="s">
        <v>36</v>
      </c>
      <c r="L39" s="93" t="s">
        <v>36</v>
      </c>
      <c r="M39" s="93" t="s">
        <v>36</v>
      </c>
      <c r="N39" s="93">
        <v>-26.6</v>
      </c>
      <c r="O39" s="93" t="s">
        <v>36</v>
      </c>
      <c r="P39" s="96"/>
      <c r="Q39" s="93"/>
      <c r="R39" s="93"/>
    </row>
    <row r="40" spans="1:22" x14ac:dyDescent="0.25">
      <c r="A40" s="86" t="s">
        <v>84</v>
      </c>
      <c r="B40" s="86" t="s">
        <v>71</v>
      </c>
      <c r="C40" s="99">
        <v>1008.162</v>
      </c>
      <c r="D40" s="99">
        <v>1582.9</v>
      </c>
      <c r="E40" s="99">
        <v>2378.6</v>
      </c>
      <c r="F40" s="99">
        <v>1987.1</v>
      </c>
      <c r="G40" s="99">
        <v>-951.2</v>
      </c>
      <c r="H40" s="99">
        <v>-2631.8</v>
      </c>
      <c r="I40" s="99">
        <v>-556.79999999999995</v>
      </c>
      <c r="J40" s="99">
        <v>99.5</v>
      </c>
      <c r="K40" s="99">
        <v>12.1</v>
      </c>
      <c r="L40" s="99">
        <v>242.9</v>
      </c>
      <c r="M40" s="99">
        <v>657.8</v>
      </c>
      <c r="N40" s="99">
        <v>814.2</v>
      </c>
      <c r="O40" s="99">
        <v>1123.4000000000001</v>
      </c>
      <c r="P40" s="102"/>
      <c r="Q40" s="99"/>
      <c r="R40" s="99"/>
    </row>
    <row r="41" spans="1:22" x14ac:dyDescent="0.25">
      <c r="A41" s="90" t="s">
        <v>85</v>
      </c>
      <c r="B41" s="90" t="s">
        <v>86</v>
      </c>
      <c r="C41" s="93">
        <v>382.20699999999999</v>
      </c>
      <c r="D41" s="93">
        <v>607.79999999999995</v>
      </c>
      <c r="E41" s="93">
        <v>908.1</v>
      </c>
      <c r="F41" s="93">
        <v>753.8</v>
      </c>
      <c r="G41" s="93">
        <v>-238.7</v>
      </c>
      <c r="H41" s="93">
        <v>1.8</v>
      </c>
      <c r="I41" s="93">
        <v>-7</v>
      </c>
      <c r="J41" s="93">
        <v>-145.6</v>
      </c>
      <c r="K41" s="93">
        <v>-59.7</v>
      </c>
      <c r="L41" s="93">
        <v>-713.4</v>
      </c>
      <c r="M41" s="93">
        <v>195.1</v>
      </c>
      <c r="N41" s="93">
        <v>280.7</v>
      </c>
      <c r="O41" s="93">
        <v>372.7</v>
      </c>
      <c r="P41" s="96"/>
      <c r="Q41" s="93"/>
      <c r="R41" s="93"/>
    </row>
    <row r="42" spans="1:22" x14ac:dyDescent="0.25">
      <c r="A42" s="7" t="s">
        <v>526</v>
      </c>
      <c r="B42" s="7"/>
      <c r="C42" s="8">
        <f>C41/C40</f>
        <v>0.3791126822871721</v>
      </c>
      <c r="D42" s="8">
        <f t="shared" ref="D42:O42" si="8">D41/D40</f>
        <v>0.3839787731379114</v>
      </c>
      <c r="E42" s="8">
        <f t="shared" si="8"/>
        <v>0.38177919784747333</v>
      </c>
      <c r="F42" s="8">
        <f t="shared" si="8"/>
        <v>0.3793467867746968</v>
      </c>
      <c r="G42" s="8">
        <f t="shared" si="8"/>
        <v>0.25094617325483598</v>
      </c>
      <c r="H42" s="8">
        <f t="shared" si="8"/>
        <v>-6.8394254882589856E-4</v>
      </c>
      <c r="I42" s="8">
        <f t="shared" si="8"/>
        <v>1.257183908045977E-2</v>
      </c>
      <c r="J42" s="8">
        <f t="shared" si="8"/>
        <v>-1.4633165829145729</v>
      </c>
      <c r="K42" s="8">
        <f t="shared" si="8"/>
        <v>-4.9338842975206614</v>
      </c>
      <c r="L42" s="8">
        <f t="shared" si="8"/>
        <v>-2.937011115685467</v>
      </c>
      <c r="M42" s="8">
        <f t="shared" si="8"/>
        <v>0.2965947096381879</v>
      </c>
      <c r="N42" s="8">
        <f t="shared" si="8"/>
        <v>0.34475558830754111</v>
      </c>
      <c r="O42" s="8">
        <f t="shared" si="8"/>
        <v>0.3317607263663877</v>
      </c>
      <c r="P42" s="96"/>
      <c r="Q42" s="93"/>
      <c r="R42" s="93"/>
    </row>
    <row r="43" spans="1:22" x14ac:dyDescent="0.25">
      <c r="A43" s="90" t="s">
        <v>87</v>
      </c>
      <c r="B43" s="90" t="s">
        <v>88</v>
      </c>
      <c r="C43" s="93" t="s">
        <v>36</v>
      </c>
      <c r="D43" s="93" t="s">
        <v>36</v>
      </c>
      <c r="E43" s="93" t="s">
        <v>36</v>
      </c>
      <c r="F43" s="93" t="s">
        <v>36</v>
      </c>
      <c r="G43" s="93" t="s">
        <v>36</v>
      </c>
      <c r="H43" s="93" t="s">
        <v>36</v>
      </c>
      <c r="I43" s="93">
        <v>-220.5</v>
      </c>
      <c r="J43" s="93">
        <v>-145.6</v>
      </c>
      <c r="K43" s="93">
        <v>-59.7</v>
      </c>
      <c r="L43" s="93">
        <v>-3.9</v>
      </c>
      <c r="M43" s="93">
        <v>73.400000000000006</v>
      </c>
      <c r="N43" s="93">
        <v>262.7</v>
      </c>
      <c r="O43" s="93">
        <v>369.6</v>
      </c>
      <c r="P43" s="96"/>
      <c r="Q43" s="93"/>
      <c r="R43" s="93"/>
    </row>
    <row r="44" spans="1:22" x14ac:dyDescent="0.25">
      <c r="A44" s="90" t="s">
        <v>89</v>
      </c>
      <c r="B44" s="90" t="s">
        <v>90</v>
      </c>
      <c r="C44" s="93" t="s">
        <v>36</v>
      </c>
      <c r="D44" s="93" t="s">
        <v>36</v>
      </c>
      <c r="E44" s="93" t="s">
        <v>36</v>
      </c>
      <c r="F44" s="93" t="s">
        <v>36</v>
      </c>
      <c r="G44" s="93" t="s">
        <v>36</v>
      </c>
      <c r="H44" s="93" t="s">
        <v>36</v>
      </c>
      <c r="I44" s="93">
        <v>213.5</v>
      </c>
      <c r="J44" s="93">
        <v>0</v>
      </c>
      <c r="K44" s="93">
        <v>0</v>
      </c>
      <c r="L44" s="93">
        <v>-709.5</v>
      </c>
      <c r="M44" s="93">
        <v>121.7</v>
      </c>
      <c r="N44" s="93">
        <v>18</v>
      </c>
      <c r="O44" s="93">
        <v>3.1</v>
      </c>
      <c r="P44" s="96"/>
      <c r="Q44" s="93"/>
      <c r="R44" s="93"/>
    </row>
    <row r="45" spans="1:22" x14ac:dyDescent="0.25">
      <c r="A45" s="90" t="s">
        <v>91</v>
      </c>
      <c r="B45" s="90" t="s">
        <v>92</v>
      </c>
      <c r="C45" s="93" t="s">
        <v>36</v>
      </c>
      <c r="D45" s="93" t="s">
        <v>36</v>
      </c>
      <c r="E45" s="93" t="s">
        <v>36</v>
      </c>
      <c r="F45" s="93" t="s">
        <v>36</v>
      </c>
      <c r="G45" s="93" t="s">
        <v>36</v>
      </c>
      <c r="H45" s="93" t="s">
        <v>36</v>
      </c>
      <c r="I45" s="93">
        <v>0</v>
      </c>
      <c r="J45" s="93">
        <v>0</v>
      </c>
      <c r="K45" s="93">
        <v>0</v>
      </c>
      <c r="L45" s="93">
        <v>0</v>
      </c>
      <c r="M45" s="93">
        <v>0</v>
      </c>
      <c r="N45" s="93">
        <v>0</v>
      </c>
      <c r="O45" s="93" t="s">
        <v>36</v>
      </c>
      <c r="P45" s="96"/>
      <c r="Q45" s="93"/>
      <c r="R45" s="93"/>
    </row>
    <row r="46" spans="1:22" x14ac:dyDescent="0.25">
      <c r="A46" s="86" t="s">
        <v>93</v>
      </c>
      <c r="B46" s="86" t="s">
        <v>94</v>
      </c>
      <c r="C46" s="99">
        <v>625.95500000000004</v>
      </c>
      <c r="D46" s="99">
        <v>975.1</v>
      </c>
      <c r="E46" s="99">
        <v>1470.5</v>
      </c>
      <c r="F46" s="99">
        <v>1233.3</v>
      </c>
      <c r="G46" s="99">
        <v>-712.5</v>
      </c>
      <c r="H46" s="99">
        <v>-2633.6</v>
      </c>
      <c r="I46" s="99">
        <v>-549.79999999999995</v>
      </c>
      <c r="J46" s="99">
        <v>245.1</v>
      </c>
      <c r="K46" s="99">
        <v>71.8</v>
      </c>
      <c r="L46" s="99">
        <v>956.3</v>
      </c>
      <c r="M46" s="99">
        <v>462.7</v>
      </c>
      <c r="N46" s="99">
        <v>533.5</v>
      </c>
      <c r="O46" s="99">
        <v>750.7</v>
      </c>
      <c r="P46" s="102"/>
      <c r="Q46" s="99"/>
      <c r="R46" s="99"/>
    </row>
    <row r="47" spans="1:22" x14ac:dyDescent="0.25">
      <c r="A47" s="90" t="s">
        <v>95</v>
      </c>
      <c r="B47" s="90" t="s">
        <v>96</v>
      </c>
      <c r="C47" s="93">
        <v>0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3">
        <v>0</v>
      </c>
      <c r="P47" s="96"/>
      <c r="Q47" s="93"/>
      <c r="R47" s="93"/>
    </row>
    <row r="48" spans="1:22" x14ac:dyDescent="0.25">
      <c r="A48" s="90" t="s">
        <v>97</v>
      </c>
      <c r="B48" s="90" t="s">
        <v>98</v>
      </c>
      <c r="C48" s="93" t="s">
        <v>36</v>
      </c>
      <c r="D48" s="93" t="s">
        <v>36</v>
      </c>
      <c r="E48" s="93" t="s">
        <v>36</v>
      </c>
      <c r="F48" s="93" t="s">
        <v>36</v>
      </c>
      <c r="G48" s="93" t="s">
        <v>36</v>
      </c>
      <c r="H48" s="93" t="s">
        <v>36</v>
      </c>
      <c r="I48" s="93">
        <v>0</v>
      </c>
      <c r="J48" s="93">
        <v>0</v>
      </c>
      <c r="K48" s="93">
        <v>0</v>
      </c>
      <c r="L48" s="93">
        <v>0</v>
      </c>
      <c r="M48" s="93">
        <v>0</v>
      </c>
      <c r="N48" s="93">
        <v>0</v>
      </c>
      <c r="O48" s="93">
        <v>0</v>
      </c>
      <c r="P48" s="96"/>
      <c r="Q48" s="93"/>
      <c r="R48" s="93"/>
    </row>
    <row r="49" spans="1:18" x14ac:dyDescent="0.25">
      <c r="A49" s="90" t="s">
        <v>99</v>
      </c>
      <c r="B49" s="90" t="s">
        <v>100</v>
      </c>
      <c r="C49" s="93" t="s">
        <v>36</v>
      </c>
      <c r="D49" s="93" t="s">
        <v>36</v>
      </c>
      <c r="E49" s="93" t="s">
        <v>36</v>
      </c>
      <c r="F49" s="93" t="s">
        <v>36</v>
      </c>
      <c r="G49" s="93" t="s">
        <v>36</v>
      </c>
      <c r="H49" s="93" t="s">
        <v>36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3">
        <v>0</v>
      </c>
      <c r="P49" s="96"/>
      <c r="Q49" s="93"/>
      <c r="R49" s="93"/>
    </row>
    <row r="50" spans="1:18" x14ac:dyDescent="0.25">
      <c r="A50" s="86" t="s">
        <v>101</v>
      </c>
      <c r="B50" s="86" t="s">
        <v>102</v>
      </c>
      <c r="C50" s="99">
        <v>625.95500000000004</v>
      </c>
      <c r="D50" s="99">
        <v>975.1</v>
      </c>
      <c r="E50" s="99">
        <v>1470.5</v>
      </c>
      <c r="F50" s="99">
        <v>1233.3</v>
      </c>
      <c r="G50" s="99">
        <v>-712.5</v>
      </c>
      <c r="H50" s="99">
        <v>-2633.6</v>
      </c>
      <c r="I50" s="99">
        <v>-549.79999999999995</v>
      </c>
      <c r="J50" s="99">
        <v>245.1</v>
      </c>
      <c r="K50" s="99">
        <v>71.8</v>
      </c>
      <c r="L50" s="99">
        <v>956.3</v>
      </c>
      <c r="M50" s="99">
        <v>462.7</v>
      </c>
      <c r="N50" s="99">
        <v>533.5</v>
      </c>
      <c r="O50" s="99">
        <v>750.7</v>
      </c>
      <c r="P50" s="102"/>
      <c r="Q50" s="99"/>
      <c r="R50" s="99"/>
    </row>
    <row r="51" spans="1:18" x14ac:dyDescent="0.25">
      <c r="A51" s="90" t="s">
        <v>103</v>
      </c>
      <c r="B51" s="90" t="s">
        <v>104</v>
      </c>
      <c r="C51" s="93">
        <v>0</v>
      </c>
      <c r="D51" s="93">
        <v>0</v>
      </c>
      <c r="E51" s="93">
        <v>0</v>
      </c>
      <c r="F51" s="93">
        <v>0</v>
      </c>
      <c r="G51" s="93">
        <v>0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 t="s">
        <v>36</v>
      </c>
      <c r="O51" s="93">
        <v>0</v>
      </c>
      <c r="P51" s="96"/>
      <c r="Q51" s="93"/>
      <c r="R51" s="93"/>
    </row>
    <row r="52" spans="1:18" x14ac:dyDescent="0.25">
      <c r="A52" s="86" t="s">
        <v>105</v>
      </c>
      <c r="B52" s="86" t="s">
        <v>106</v>
      </c>
      <c r="C52" s="99">
        <v>625.95500000000004</v>
      </c>
      <c r="D52" s="99">
        <v>975.1</v>
      </c>
      <c r="E52" s="99">
        <v>1470.5</v>
      </c>
      <c r="F52" s="99">
        <v>1233.3</v>
      </c>
      <c r="G52" s="99">
        <v>-712.5</v>
      </c>
      <c r="H52" s="99">
        <v>-2633.6</v>
      </c>
      <c r="I52" s="99">
        <v>-549.79999999999995</v>
      </c>
      <c r="J52" s="99">
        <v>245.1</v>
      </c>
      <c r="K52" s="99">
        <v>71.8</v>
      </c>
      <c r="L52" s="99">
        <v>956.3</v>
      </c>
      <c r="M52" s="99">
        <v>462.7</v>
      </c>
      <c r="N52" s="99">
        <v>533.5</v>
      </c>
      <c r="O52" s="99">
        <v>750.7</v>
      </c>
      <c r="P52" s="102"/>
      <c r="Q52" s="99"/>
      <c r="R52" s="99"/>
    </row>
    <row r="53" spans="1:18" x14ac:dyDescent="0.25">
      <c r="A53" s="90" t="s">
        <v>107</v>
      </c>
      <c r="B53" s="90" t="s">
        <v>108</v>
      </c>
      <c r="C53" s="93">
        <v>0</v>
      </c>
      <c r="D53" s="93">
        <v>0</v>
      </c>
      <c r="E53" s="93">
        <v>0</v>
      </c>
      <c r="F53" s="93">
        <v>0</v>
      </c>
      <c r="G53" s="93">
        <v>0</v>
      </c>
      <c r="H53" s="93">
        <v>0</v>
      </c>
      <c r="I53" s="93">
        <v>0</v>
      </c>
      <c r="J53" s="93">
        <v>0</v>
      </c>
      <c r="K53" s="93">
        <v>0</v>
      </c>
      <c r="L53" s="93">
        <v>0</v>
      </c>
      <c r="M53" s="93">
        <v>0</v>
      </c>
      <c r="N53" s="93">
        <v>0</v>
      </c>
      <c r="O53" s="93">
        <v>0</v>
      </c>
      <c r="P53" s="96"/>
      <c r="Q53" s="93"/>
      <c r="R53" s="93"/>
    </row>
    <row r="54" spans="1:18" x14ac:dyDescent="0.25">
      <c r="A54" s="90" t="s">
        <v>109</v>
      </c>
      <c r="B54" s="90" t="s">
        <v>110</v>
      </c>
      <c r="C54" s="93">
        <v>0</v>
      </c>
      <c r="D54" s="93">
        <v>0</v>
      </c>
      <c r="E54" s="93">
        <v>0</v>
      </c>
      <c r="F54" s="93">
        <v>0</v>
      </c>
      <c r="G54" s="93">
        <v>0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N54" s="93">
        <v>0</v>
      </c>
      <c r="O54" s="93">
        <v>0</v>
      </c>
      <c r="P54" s="96"/>
      <c r="Q54" s="93"/>
      <c r="R54" s="93"/>
    </row>
    <row r="55" spans="1:18" x14ac:dyDescent="0.25">
      <c r="A55" s="86" t="s">
        <v>111</v>
      </c>
      <c r="B55" s="86" t="s">
        <v>112</v>
      </c>
      <c r="C55" s="99">
        <v>625.95500000000004</v>
      </c>
      <c r="D55" s="99">
        <v>975.1</v>
      </c>
      <c r="E55" s="99">
        <v>1470.5</v>
      </c>
      <c r="F55" s="99">
        <v>1233.3</v>
      </c>
      <c r="G55" s="99">
        <v>-712.5</v>
      </c>
      <c r="H55" s="99">
        <v>-2633.6</v>
      </c>
      <c r="I55" s="99">
        <v>-549.79999999999995</v>
      </c>
      <c r="J55" s="99">
        <v>245.1</v>
      </c>
      <c r="K55" s="99">
        <v>71.8</v>
      </c>
      <c r="L55" s="99">
        <v>956.3</v>
      </c>
      <c r="M55" s="99">
        <v>462.7</v>
      </c>
      <c r="N55" s="99">
        <v>533.5</v>
      </c>
      <c r="O55" s="99">
        <v>750.7</v>
      </c>
      <c r="P55" s="102"/>
      <c r="Q55" s="99"/>
      <c r="R55" s="99"/>
    </row>
    <row r="56" spans="1:18" x14ac:dyDescent="0.25">
      <c r="A56" s="86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101"/>
      <c r="Q56" s="98"/>
      <c r="R56" s="98"/>
    </row>
    <row r="57" spans="1:18" x14ac:dyDescent="0.25">
      <c r="A57" s="86" t="s">
        <v>113</v>
      </c>
      <c r="B57" s="86" t="s">
        <v>112</v>
      </c>
      <c r="C57" s="99">
        <v>625.95500000000004</v>
      </c>
      <c r="D57" s="99">
        <v>975.1</v>
      </c>
      <c r="E57" s="99">
        <v>1470.5</v>
      </c>
      <c r="F57" s="99">
        <v>1233.3</v>
      </c>
      <c r="G57" s="99">
        <v>-712.5</v>
      </c>
      <c r="H57" s="99">
        <v>-2633.6</v>
      </c>
      <c r="I57" s="99">
        <v>-532.9</v>
      </c>
      <c r="J57" s="99">
        <v>41.545000000000002</v>
      </c>
      <c r="K57" s="99">
        <v>84.02</v>
      </c>
      <c r="L57" s="99">
        <v>244.655</v>
      </c>
      <c r="M57" s="99">
        <v>482.91500000000002</v>
      </c>
      <c r="N57" s="99">
        <v>571.59</v>
      </c>
      <c r="O57" s="99">
        <v>799.69500000000005</v>
      </c>
      <c r="P57" s="102"/>
      <c r="Q57" s="99"/>
      <c r="R57" s="99"/>
    </row>
    <row r="58" spans="1:18" x14ac:dyDescent="0.25">
      <c r="A58" s="90" t="s">
        <v>114</v>
      </c>
      <c r="B58" s="90" t="s">
        <v>115</v>
      </c>
      <c r="C58" s="93" t="s">
        <v>36</v>
      </c>
      <c r="D58" s="93" t="s">
        <v>36</v>
      </c>
      <c r="E58" s="93" t="s">
        <v>36</v>
      </c>
      <c r="F58" s="93" t="s">
        <v>36</v>
      </c>
      <c r="G58" s="93">
        <v>1332.279</v>
      </c>
      <c r="H58" s="93">
        <v>1668.2249999999999</v>
      </c>
      <c r="I58" s="93">
        <v>16.899999999999999</v>
      </c>
      <c r="J58" s="93">
        <v>-203.55500000000001</v>
      </c>
      <c r="K58" s="93">
        <v>12.22</v>
      </c>
      <c r="L58" s="93">
        <v>-711.64499999999998</v>
      </c>
      <c r="M58" s="93">
        <v>20.215</v>
      </c>
      <c r="N58" s="93">
        <v>38.090000000000003</v>
      </c>
      <c r="O58" s="93">
        <v>48.994999999999997</v>
      </c>
      <c r="P58" s="96"/>
      <c r="Q58" s="93"/>
      <c r="R58" s="93"/>
    </row>
    <row r="59" spans="1:18" x14ac:dyDescent="0.25">
      <c r="A59" s="90" t="s">
        <v>116</v>
      </c>
      <c r="B59" s="90" t="s">
        <v>96</v>
      </c>
      <c r="C59" s="93">
        <v>0</v>
      </c>
      <c r="D59" s="93">
        <v>0</v>
      </c>
      <c r="E59" s="93">
        <v>0</v>
      </c>
      <c r="F59" s="93">
        <v>0</v>
      </c>
      <c r="G59" s="93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3">
        <v>0</v>
      </c>
      <c r="P59" s="96"/>
      <c r="Q59" s="93"/>
      <c r="R59" s="93"/>
    </row>
    <row r="60" spans="1:18" x14ac:dyDescent="0.25">
      <c r="A60" s="86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101"/>
      <c r="Q60" s="98"/>
      <c r="R60" s="98"/>
    </row>
    <row r="61" spans="1:18" x14ac:dyDescent="0.25">
      <c r="A61" s="90" t="s">
        <v>117</v>
      </c>
      <c r="B61" s="90" t="s">
        <v>118</v>
      </c>
      <c r="C61" s="93">
        <v>593.99985200000003</v>
      </c>
      <c r="D61" s="93">
        <v>413.99989699999998</v>
      </c>
      <c r="E61" s="93">
        <v>312.2</v>
      </c>
      <c r="F61" s="93">
        <v>312.8</v>
      </c>
      <c r="G61" s="93">
        <v>314.10000000000002</v>
      </c>
      <c r="H61" s="93">
        <v>315.7</v>
      </c>
      <c r="I61" s="93">
        <v>316.89999999999998</v>
      </c>
      <c r="J61" s="93">
        <v>318.10000000000002</v>
      </c>
      <c r="K61" s="93">
        <v>318.3</v>
      </c>
      <c r="L61" s="93">
        <v>318.10000000000002</v>
      </c>
      <c r="M61" s="93">
        <v>322.10000000000002</v>
      </c>
      <c r="N61" s="93">
        <v>340.5</v>
      </c>
      <c r="O61" s="93">
        <v>366.3</v>
      </c>
      <c r="P61" s="96"/>
      <c r="Q61" s="93"/>
      <c r="R61" s="93"/>
    </row>
    <row r="62" spans="1:18" x14ac:dyDescent="0.25">
      <c r="A62" s="86" t="s">
        <v>119</v>
      </c>
      <c r="B62" s="86" t="s">
        <v>120</v>
      </c>
      <c r="C62" s="100">
        <v>1.0549999999999999</v>
      </c>
      <c r="D62" s="100">
        <v>2.3550010000000001</v>
      </c>
      <c r="E62" s="100">
        <v>4.71</v>
      </c>
      <c r="F62" s="100">
        <v>3.94</v>
      </c>
      <c r="G62" s="100">
        <v>-2.27</v>
      </c>
      <c r="H62" s="100">
        <v>-8.34</v>
      </c>
      <c r="I62" s="100">
        <v>-1.73</v>
      </c>
      <c r="J62" s="100">
        <v>0.77</v>
      </c>
      <c r="K62" s="100">
        <v>0.23</v>
      </c>
      <c r="L62" s="100">
        <v>3.01</v>
      </c>
      <c r="M62" s="100">
        <v>1.44</v>
      </c>
      <c r="N62" s="100">
        <v>1.57</v>
      </c>
      <c r="O62" s="100">
        <v>2.0499999999999998</v>
      </c>
      <c r="P62" s="103"/>
      <c r="Q62" s="100" t="s">
        <v>543</v>
      </c>
      <c r="R62" s="100" t="s">
        <v>544</v>
      </c>
    </row>
    <row r="63" spans="1:18" x14ac:dyDescent="0.25">
      <c r="A63" s="189"/>
      <c r="B63" s="189"/>
      <c r="C63" s="100"/>
      <c r="D63" s="100">
        <f>(D62-C62)/C62</f>
        <v>1.2322284360189575</v>
      </c>
      <c r="E63" s="100">
        <f t="shared" ref="E63:O63" si="9">(E62-D62)/D62</f>
        <v>0.99999915074346024</v>
      </c>
      <c r="F63" s="100">
        <f t="shared" si="9"/>
        <v>-0.16348195329087048</v>
      </c>
      <c r="G63" s="100">
        <f t="shared" si="9"/>
        <v>-1.5761421319796955</v>
      </c>
      <c r="H63" s="100">
        <f t="shared" si="9"/>
        <v>2.6740088105726874</v>
      </c>
      <c r="I63" s="100">
        <f t="shared" si="9"/>
        <v>-0.79256594724220619</v>
      </c>
      <c r="J63" s="100">
        <f t="shared" si="9"/>
        <v>-1.4450867052023122</v>
      </c>
      <c r="K63" s="100">
        <f t="shared" si="9"/>
        <v>-0.70129870129870131</v>
      </c>
      <c r="L63" s="100">
        <f t="shared" si="9"/>
        <v>12.086956521739129</v>
      </c>
      <c r="M63" s="100">
        <f t="shared" si="9"/>
        <v>-0.52159468438538203</v>
      </c>
      <c r="N63" s="100">
        <f t="shared" si="9"/>
        <v>9.027777777777786E-2</v>
      </c>
      <c r="O63" s="100">
        <f t="shared" si="9"/>
        <v>0.30573248407643294</v>
      </c>
      <c r="P63" s="103" t="s">
        <v>540</v>
      </c>
      <c r="Q63" s="190">
        <f>(O62/K62)^(1/5)-1</f>
        <v>0.54883518154905087</v>
      </c>
      <c r="R63" s="190">
        <f>(O62/M62)^(1/3)-1</f>
        <v>0.12494284117457899</v>
      </c>
    </row>
    <row r="64" spans="1:18" x14ac:dyDescent="0.25">
      <c r="A64" s="189"/>
      <c r="B64" s="189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91">
        <f>(O62-I62)/I62*-1</f>
        <v>2.1849710982658959</v>
      </c>
      <c r="P64" s="103" t="s">
        <v>539</v>
      </c>
      <c r="Q64" s="100"/>
      <c r="R64" s="100"/>
    </row>
    <row r="65" spans="1:18" x14ac:dyDescent="0.25">
      <c r="A65" s="189"/>
      <c r="B65" s="189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91">
        <f>(O62-J62)/J62</f>
        <v>1.662337662337662</v>
      </c>
      <c r="P65" s="103" t="s">
        <v>541</v>
      </c>
      <c r="Q65" s="100"/>
      <c r="R65" s="100"/>
    </row>
    <row r="66" spans="1:18" x14ac:dyDescent="0.25">
      <c r="A66" s="189"/>
      <c r="B66" s="189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90">
        <f>(O62-M62)/M62</f>
        <v>0.42361111111111105</v>
      </c>
      <c r="P66" s="103" t="s">
        <v>542</v>
      </c>
      <c r="Q66" s="100"/>
      <c r="R66" s="100"/>
    </row>
    <row r="67" spans="1:18" x14ac:dyDescent="0.25">
      <c r="A67" s="189"/>
      <c r="B67" s="189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3"/>
      <c r="Q67" s="100"/>
      <c r="R67" s="100"/>
    </row>
    <row r="68" spans="1:18" x14ac:dyDescent="0.25">
      <c r="A68" s="189"/>
      <c r="B68" s="189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3"/>
      <c r="Q68" s="100"/>
      <c r="R68" s="100"/>
    </row>
    <row r="69" spans="1:18" x14ac:dyDescent="0.25">
      <c r="A69" s="189"/>
      <c r="B69" s="189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3"/>
      <c r="Q69" s="100"/>
      <c r="R69" s="100"/>
    </row>
    <row r="70" spans="1:18" x14ac:dyDescent="0.25">
      <c r="A70" s="86" t="s">
        <v>121</v>
      </c>
      <c r="B70" s="86" t="s">
        <v>122</v>
      </c>
      <c r="C70" s="100">
        <v>1.0549999999999999</v>
      </c>
      <c r="D70" s="100">
        <v>2.3550010000000001</v>
      </c>
      <c r="E70" s="100">
        <v>4.71</v>
      </c>
      <c r="F70" s="100">
        <v>3.94</v>
      </c>
      <c r="G70" s="100">
        <v>-2.27</v>
      </c>
      <c r="H70" s="100">
        <v>-8.34</v>
      </c>
      <c r="I70" s="100">
        <v>-1.73</v>
      </c>
      <c r="J70" s="100">
        <v>0.77</v>
      </c>
      <c r="K70" s="100">
        <v>0.23</v>
      </c>
      <c r="L70" s="100">
        <v>3.01</v>
      </c>
      <c r="M70" s="100">
        <v>1.44</v>
      </c>
      <c r="N70" s="100">
        <v>1.57</v>
      </c>
      <c r="O70" s="100">
        <v>2.0499999999999998</v>
      </c>
      <c r="P70" s="103"/>
      <c r="Q70" s="100"/>
      <c r="R70" s="100"/>
    </row>
    <row r="71" spans="1:18" x14ac:dyDescent="0.25">
      <c r="A71" s="86" t="s">
        <v>123</v>
      </c>
      <c r="B71" s="86" t="s">
        <v>124</v>
      </c>
      <c r="C71" s="100">
        <v>1.0549999999999999</v>
      </c>
      <c r="D71" s="100">
        <v>2.3550010000000001</v>
      </c>
      <c r="E71" s="100">
        <v>4.71</v>
      </c>
      <c r="F71" s="100">
        <v>4.4800000000000004</v>
      </c>
      <c r="G71" s="100">
        <v>1.97</v>
      </c>
      <c r="H71" s="100">
        <v>-3.06</v>
      </c>
      <c r="I71" s="100">
        <v>-1.681603</v>
      </c>
      <c r="J71" s="100">
        <v>0.130604</v>
      </c>
      <c r="K71" s="100">
        <v>0.26396500000000001</v>
      </c>
      <c r="L71" s="100">
        <v>0.76911300000000005</v>
      </c>
      <c r="M71" s="100">
        <v>1.4992700000000001</v>
      </c>
      <c r="N71" s="100">
        <v>1.6786779999999999</v>
      </c>
      <c r="O71" s="100">
        <v>2.1831700000000001</v>
      </c>
      <c r="P71" s="103"/>
      <c r="Q71" s="100"/>
      <c r="R71" s="100"/>
    </row>
    <row r="72" spans="1:18" x14ac:dyDescent="0.25">
      <c r="A72" s="86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101"/>
      <c r="Q72" s="98"/>
      <c r="R72" s="98"/>
    </row>
    <row r="73" spans="1:18" x14ac:dyDescent="0.25">
      <c r="A73" s="90" t="s">
        <v>125</v>
      </c>
      <c r="B73" s="90" t="s">
        <v>126</v>
      </c>
      <c r="C73" s="93">
        <v>632.19984199999999</v>
      </c>
      <c r="D73" s="93">
        <v>421.33322800000002</v>
      </c>
      <c r="E73" s="93">
        <v>318.10000000000002</v>
      </c>
      <c r="F73" s="93">
        <v>316.2</v>
      </c>
      <c r="G73" s="93">
        <v>314.10000000000002</v>
      </c>
      <c r="H73" s="93">
        <v>315.7</v>
      </c>
      <c r="I73" s="93">
        <v>316.89999999999998</v>
      </c>
      <c r="J73" s="93">
        <v>318.60000000000002</v>
      </c>
      <c r="K73" s="93">
        <v>318.5</v>
      </c>
      <c r="L73" s="93">
        <v>359</v>
      </c>
      <c r="M73" s="93">
        <v>364.9</v>
      </c>
      <c r="N73" s="93">
        <v>366.6</v>
      </c>
      <c r="O73" s="93">
        <v>369.8</v>
      </c>
      <c r="P73" s="96"/>
      <c r="Q73" s="93"/>
      <c r="R73" s="93"/>
    </row>
    <row r="74" spans="1:18" x14ac:dyDescent="0.25">
      <c r="A74" s="86" t="s">
        <v>127</v>
      </c>
      <c r="B74" s="86" t="s">
        <v>128</v>
      </c>
      <c r="C74" s="100">
        <v>0.995</v>
      </c>
      <c r="D74" s="100">
        <v>2.317501</v>
      </c>
      <c r="E74" s="100">
        <v>4.62</v>
      </c>
      <c r="F74" s="100">
        <v>3.9</v>
      </c>
      <c r="G74" s="100">
        <v>-2.27</v>
      </c>
      <c r="H74" s="100">
        <v>-8.34</v>
      </c>
      <c r="I74" s="100">
        <v>-1.73</v>
      </c>
      <c r="J74" s="100">
        <v>0.77</v>
      </c>
      <c r="K74" s="100">
        <v>0.23</v>
      </c>
      <c r="L74" s="100">
        <v>2.77</v>
      </c>
      <c r="M74" s="100">
        <v>1.33</v>
      </c>
      <c r="N74" s="100">
        <v>1.5</v>
      </c>
      <c r="O74" s="100">
        <v>2.0299999999999998</v>
      </c>
      <c r="P74" s="103"/>
      <c r="Q74" s="100"/>
      <c r="R74" s="100"/>
    </row>
    <row r="75" spans="1:18" x14ac:dyDescent="0.25">
      <c r="A75" s="86" t="s">
        <v>129</v>
      </c>
      <c r="B75" s="86" t="s">
        <v>130</v>
      </c>
      <c r="C75" s="100">
        <v>0.995</v>
      </c>
      <c r="D75" s="100">
        <v>2.317501</v>
      </c>
      <c r="E75" s="100">
        <v>4.62</v>
      </c>
      <c r="F75" s="100">
        <v>3.9</v>
      </c>
      <c r="G75" s="100">
        <v>-2.27</v>
      </c>
      <c r="H75" s="100">
        <v>-8.34</v>
      </c>
      <c r="I75" s="100">
        <v>-1.73</v>
      </c>
      <c r="J75" s="100">
        <v>0.77</v>
      </c>
      <c r="K75" s="100">
        <v>0.23</v>
      </c>
      <c r="L75" s="100">
        <v>2.77</v>
      </c>
      <c r="M75" s="100">
        <v>1.33</v>
      </c>
      <c r="N75" s="100">
        <v>1.5</v>
      </c>
      <c r="O75" s="100">
        <v>2.0299999999999998</v>
      </c>
      <c r="P75" s="103"/>
      <c r="Q75" s="100"/>
      <c r="R75" s="100"/>
    </row>
    <row r="76" spans="1:18" x14ac:dyDescent="0.25">
      <c r="A76" s="86" t="s">
        <v>131</v>
      </c>
      <c r="B76" s="86" t="s">
        <v>132</v>
      </c>
      <c r="C76" s="100">
        <v>0.995</v>
      </c>
      <c r="D76" s="100">
        <v>2.317501</v>
      </c>
      <c r="E76" s="100">
        <v>4.62</v>
      </c>
      <c r="F76" s="100">
        <v>4.43</v>
      </c>
      <c r="G76" s="100">
        <v>1.97</v>
      </c>
      <c r="H76" s="100">
        <v>-3.06</v>
      </c>
      <c r="I76" s="100">
        <v>-1.681603</v>
      </c>
      <c r="J76" s="100">
        <v>0.130604</v>
      </c>
      <c r="K76" s="100">
        <v>0.26396500000000001</v>
      </c>
      <c r="L76" s="100">
        <v>0.76911300000000005</v>
      </c>
      <c r="M76" s="100">
        <v>1.385399</v>
      </c>
      <c r="N76" s="100">
        <v>1.603901</v>
      </c>
      <c r="O76" s="100">
        <v>2.1624910000000002</v>
      </c>
      <c r="P76" s="103"/>
      <c r="Q76" s="100"/>
      <c r="R76" s="100"/>
    </row>
    <row r="77" spans="1:18" x14ac:dyDescent="0.25">
      <c r="A77" s="86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101"/>
      <c r="Q77" s="98"/>
      <c r="R77" s="98"/>
    </row>
    <row r="78" spans="1:18" x14ac:dyDescent="0.25">
      <c r="A78" s="86" t="s">
        <v>2</v>
      </c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101"/>
      <c r="Q78" s="98"/>
      <c r="R78" s="98"/>
    </row>
    <row r="79" spans="1:18" x14ac:dyDescent="0.25">
      <c r="A79" s="90" t="s">
        <v>133</v>
      </c>
      <c r="B79" s="90" t="s">
        <v>134</v>
      </c>
      <c r="C79" s="92" t="s">
        <v>135</v>
      </c>
      <c r="D79" s="92" t="s">
        <v>135</v>
      </c>
      <c r="E79" s="92" t="s">
        <v>135</v>
      </c>
      <c r="F79" s="92" t="s">
        <v>135</v>
      </c>
      <c r="G79" s="92" t="s">
        <v>135</v>
      </c>
      <c r="H79" s="92" t="s">
        <v>135</v>
      </c>
      <c r="I79" s="92" t="s">
        <v>135</v>
      </c>
      <c r="J79" s="92" t="s">
        <v>135</v>
      </c>
      <c r="K79" s="92" t="s">
        <v>135</v>
      </c>
      <c r="L79" s="92" t="s">
        <v>135</v>
      </c>
      <c r="M79" s="92" t="s">
        <v>135</v>
      </c>
      <c r="N79" s="92" t="s">
        <v>135</v>
      </c>
      <c r="O79" s="92" t="s">
        <v>135</v>
      </c>
      <c r="P79" s="95"/>
      <c r="Q79" s="92"/>
      <c r="R79" s="92"/>
    </row>
    <row r="80" spans="1:18" x14ac:dyDescent="0.25">
      <c r="A80" s="90" t="s">
        <v>136</v>
      </c>
      <c r="B80" s="90" t="s">
        <v>136</v>
      </c>
      <c r="C80" s="93">
        <v>1041.3309999999999</v>
      </c>
      <c r="D80" s="93">
        <v>1607.2</v>
      </c>
      <c r="E80" s="93">
        <v>2385.1999999999998</v>
      </c>
      <c r="F80" s="93">
        <v>2264.5</v>
      </c>
      <c r="G80" s="93">
        <v>886.4</v>
      </c>
      <c r="H80" s="93">
        <v>10.1</v>
      </c>
      <c r="I80" s="93">
        <v>-426.6</v>
      </c>
      <c r="J80" s="93">
        <v>193</v>
      </c>
      <c r="K80" s="93">
        <v>85.2</v>
      </c>
      <c r="L80" s="93">
        <v>269.2</v>
      </c>
      <c r="M80" s="93">
        <v>693.3</v>
      </c>
      <c r="N80" s="93">
        <v>887.9</v>
      </c>
      <c r="O80" s="93">
        <v>1216.7</v>
      </c>
      <c r="P80" s="96"/>
      <c r="Q80" s="93"/>
      <c r="R80" s="93"/>
    </row>
    <row r="81" spans="1:18" x14ac:dyDescent="0.25">
      <c r="A81" s="90" t="s">
        <v>137</v>
      </c>
      <c r="B81" s="90" t="s">
        <v>138</v>
      </c>
      <c r="C81" s="94">
        <v>11.930787</v>
      </c>
      <c r="D81" s="94">
        <v>14.825474</v>
      </c>
      <c r="E81" s="94">
        <v>17.204642</v>
      </c>
      <c r="F81" s="94">
        <v>15.045211999999999</v>
      </c>
      <c r="G81" s="94">
        <v>7.8466779999999998</v>
      </c>
      <c r="H81" s="94">
        <v>0.15196899999999999</v>
      </c>
      <c r="I81" s="94">
        <v>-11.663385999999999</v>
      </c>
      <c r="J81" s="94">
        <v>4.386164</v>
      </c>
      <c r="K81" s="94">
        <v>2.3427190000000002</v>
      </c>
      <c r="L81" s="94">
        <v>6.1828200000000004</v>
      </c>
      <c r="M81" s="94">
        <v>11.076318000000001</v>
      </c>
      <c r="N81" s="94">
        <v>11.064311999999999</v>
      </c>
      <c r="O81" s="94">
        <v>11.240760999999999</v>
      </c>
      <c r="P81" s="97"/>
      <c r="Q81" s="94"/>
      <c r="R81" s="94"/>
    </row>
    <row r="82" spans="1:18" x14ac:dyDescent="0.25">
      <c r="A82" s="90" t="s">
        <v>139</v>
      </c>
      <c r="B82" s="90" t="s">
        <v>139</v>
      </c>
      <c r="C82" s="93">
        <v>1003.0309999999999</v>
      </c>
      <c r="D82" s="93">
        <v>1563.5</v>
      </c>
      <c r="E82" s="93">
        <v>2332.4</v>
      </c>
      <c r="F82" s="93">
        <v>2208</v>
      </c>
      <c r="G82" s="93">
        <v>822.1</v>
      </c>
      <c r="H82" s="93">
        <v>-43.1</v>
      </c>
      <c r="I82" s="93">
        <v>-452.3</v>
      </c>
      <c r="J82" s="93">
        <v>175.8</v>
      </c>
      <c r="K82" s="93">
        <v>65.3</v>
      </c>
      <c r="L82" s="93">
        <v>250.4</v>
      </c>
      <c r="M82" s="93">
        <v>671</v>
      </c>
      <c r="N82" s="93">
        <v>851.3</v>
      </c>
      <c r="O82" s="93">
        <v>1166.4000000000001</v>
      </c>
      <c r="P82" s="96"/>
      <c r="Q82" s="93"/>
      <c r="R82" s="93"/>
    </row>
    <row r="83" spans="1:18" x14ac:dyDescent="0.25">
      <c r="A83" s="90" t="s">
        <v>140</v>
      </c>
      <c r="B83" s="90" t="s">
        <v>140</v>
      </c>
      <c r="C83" s="93">
        <v>999.52</v>
      </c>
      <c r="D83" s="93">
        <v>1557.6</v>
      </c>
      <c r="E83" s="93">
        <v>2332.4</v>
      </c>
      <c r="F83" s="93">
        <v>2208</v>
      </c>
      <c r="G83" s="93">
        <v>822</v>
      </c>
      <c r="H83" s="93">
        <v>-43.1</v>
      </c>
      <c r="I83" s="93">
        <v>-452.3</v>
      </c>
      <c r="J83" s="93">
        <v>175.8</v>
      </c>
      <c r="K83" s="93">
        <v>65.3</v>
      </c>
      <c r="L83" s="93">
        <v>250.4</v>
      </c>
      <c r="M83" s="93">
        <v>670.6</v>
      </c>
      <c r="N83" s="93">
        <v>849.5</v>
      </c>
      <c r="O83" s="93">
        <v>1162.5999999999999</v>
      </c>
      <c r="P83" s="96"/>
      <c r="Q83" s="93"/>
      <c r="R83" s="93"/>
    </row>
    <row r="84" spans="1:18" x14ac:dyDescent="0.25">
      <c r="A84" s="90" t="s">
        <v>141</v>
      </c>
      <c r="B84" s="90" t="s">
        <v>142</v>
      </c>
      <c r="C84" s="94">
        <v>21.939150999999999</v>
      </c>
      <c r="D84" s="94">
        <v>24.330307999999999</v>
      </c>
      <c r="E84" s="94">
        <v>26.736008000000002</v>
      </c>
      <c r="F84" s="94">
        <v>25.690804</v>
      </c>
      <c r="G84" s="94">
        <v>18.742972999999999</v>
      </c>
      <c r="H84" s="94">
        <v>12.7714</v>
      </c>
      <c r="I84" s="94">
        <v>14.397418999999999</v>
      </c>
      <c r="J84" s="94">
        <v>19.028680999999999</v>
      </c>
      <c r="K84" s="94">
        <v>18.117576</v>
      </c>
      <c r="L84" s="94">
        <v>19.931097999999999</v>
      </c>
      <c r="M84" s="94">
        <v>22.956240999999999</v>
      </c>
      <c r="N84" s="94">
        <v>22.947326</v>
      </c>
      <c r="O84" s="94">
        <v>21.698077999999999</v>
      </c>
      <c r="P84" s="97"/>
      <c r="Q84" s="94"/>
      <c r="R84" s="94"/>
    </row>
    <row r="85" spans="1:18" x14ac:dyDescent="0.25">
      <c r="A85" s="90" t="s">
        <v>143</v>
      </c>
      <c r="B85" s="90" t="s">
        <v>144</v>
      </c>
      <c r="C85" s="94">
        <v>11.451748</v>
      </c>
      <c r="D85" s="94">
        <v>14.367943</v>
      </c>
      <c r="E85" s="94">
        <v>16.823792000000001</v>
      </c>
      <c r="F85" s="94">
        <v>14.669829</v>
      </c>
      <c r="G85" s="94">
        <v>7.2765899999999997</v>
      </c>
      <c r="H85" s="94">
        <v>-0.64850099999999999</v>
      </c>
      <c r="I85" s="94">
        <v>-12.366032000000001</v>
      </c>
      <c r="J85" s="94">
        <v>3.9952730000000001</v>
      </c>
      <c r="K85" s="94">
        <v>1.7955350000000001</v>
      </c>
      <c r="L85" s="94">
        <v>5.7510339999999998</v>
      </c>
      <c r="M85" s="94">
        <v>10.713658000000001</v>
      </c>
      <c r="N85" s="94">
        <v>10.585801999999999</v>
      </c>
      <c r="O85" s="94">
        <v>10.740945999999999</v>
      </c>
      <c r="P85" s="97"/>
      <c r="Q85" s="94"/>
      <c r="R85" s="94"/>
    </row>
    <row r="86" spans="1:18" x14ac:dyDescent="0.25">
      <c r="A86" s="90" t="s">
        <v>145</v>
      </c>
      <c r="B86" s="90" t="s">
        <v>146</v>
      </c>
      <c r="C86" s="94">
        <v>7.1717209999999998</v>
      </c>
      <c r="D86" s="94">
        <v>8.9947239999999997</v>
      </c>
      <c r="E86" s="94">
        <v>10.606837000000001</v>
      </c>
      <c r="F86" s="94">
        <v>8.1939770000000003</v>
      </c>
      <c r="G86" s="94">
        <v>-6.3072629999999998</v>
      </c>
      <c r="H86" s="94">
        <v>-39.626246999999999</v>
      </c>
      <c r="I86" s="94">
        <v>-14.569663</v>
      </c>
      <c r="J86" s="94">
        <v>0.94416199999999995</v>
      </c>
      <c r="K86" s="94">
        <v>2.310273</v>
      </c>
      <c r="L86" s="94">
        <v>5.6190860000000002</v>
      </c>
      <c r="M86" s="94">
        <v>7.71516</v>
      </c>
      <c r="N86" s="94">
        <v>7.122706</v>
      </c>
      <c r="O86" s="94">
        <v>7.3881649999999999</v>
      </c>
      <c r="P86" s="97"/>
      <c r="Q86" s="94"/>
      <c r="R86" s="94"/>
    </row>
    <row r="87" spans="1:18" x14ac:dyDescent="0.25">
      <c r="A87" s="90" t="s">
        <v>147</v>
      </c>
      <c r="B87" s="90" t="s">
        <v>148</v>
      </c>
      <c r="C87" s="94">
        <v>1374936.9880280001</v>
      </c>
      <c r="D87" s="94">
        <v>1452022.5020089999</v>
      </c>
      <c r="E87" s="94">
        <v>1557719.101124</v>
      </c>
      <c r="F87" s="94">
        <v>1715834.4733239999</v>
      </c>
      <c r="G87" s="94">
        <v>1812951.3721710001</v>
      </c>
      <c r="H87" s="94">
        <v>1748973.6842110001</v>
      </c>
      <c r="I87" s="94">
        <v>1250034.1763500001</v>
      </c>
      <c r="J87" s="94">
        <v>1369072.806472</v>
      </c>
      <c r="K87" s="94">
        <v>1208239.2026579999</v>
      </c>
      <c r="L87" s="94">
        <v>1252228.9329880001</v>
      </c>
      <c r="M87" s="94">
        <v>1358060.3167719999</v>
      </c>
      <c r="N87" s="94">
        <v>1427664.1167049999</v>
      </c>
      <c r="O87" s="94">
        <v>1737399.678973</v>
      </c>
      <c r="P87" s="97"/>
      <c r="Q87" s="94"/>
      <c r="R87" s="94"/>
    </row>
    <row r="88" spans="1:18" x14ac:dyDescent="0.25">
      <c r="A88" s="90" t="s">
        <v>149</v>
      </c>
      <c r="B88" s="90" t="s">
        <v>150</v>
      </c>
      <c r="C88" s="94">
        <v>6.7500000000000004E-2</v>
      </c>
      <c r="D88" s="94">
        <v>0.2175</v>
      </c>
      <c r="E88" s="94">
        <v>0.36</v>
      </c>
      <c r="F88" s="94">
        <v>0.44</v>
      </c>
      <c r="G88" s="94">
        <v>0.6</v>
      </c>
      <c r="H88" s="94">
        <v>0.45</v>
      </c>
      <c r="I88" s="94">
        <v>0.15</v>
      </c>
      <c r="J88" s="94">
        <v>0.15</v>
      </c>
      <c r="K88" s="94">
        <v>0.15</v>
      </c>
      <c r="L88" s="94">
        <v>0.15</v>
      </c>
      <c r="M88" s="94">
        <v>0.1875</v>
      </c>
      <c r="N88" s="94">
        <v>0.13750000000000001</v>
      </c>
      <c r="O88" s="94">
        <v>0.25</v>
      </c>
      <c r="P88" s="97"/>
      <c r="Q88" s="94"/>
      <c r="R88" s="94"/>
    </row>
    <row r="89" spans="1:18" x14ac:dyDescent="0.25">
      <c r="A89" s="90" t="s">
        <v>151</v>
      </c>
      <c r="B89" s="90" t="s">
        <v>152</v>
      </c>
      <c r="C89" s="93">
        <v>40.097000000000001</v>
      </c>
      <c r="D89" s="93">
        <v>90.045000000000002</v>
      </c>
      <c r="E89" s="93">
        <v>112.392</v>
      </c>
      <c r="F89" s="93">
        <v>137.6</v>
      </c>
      <c r="G89" s="93">
        <v>188.46</v>
      </c>
      <c r="H89" s="93">
        <v>142.065</v>
      </c>
      <c r="I89" s="93">
        <v>47.5</v>
      </c>
      <c r="J89" s="93">
        <v>47.7</v>
      </c>
      <c r="K89" s="93">
        <v>47.8</v>
      </c>
      <c r="L89" s="93">
        <v>47.8</v>
      </c>
      <c r="M89" s="93">
        <v>60.393749999999997</v>
      </c>
      <c r="N89" s="93">
        <v>48.6</v>
      </c>
      <c r="O89" s="93">
        <v>91.6</v>
      </c>
      <c r="P89" s="96"/>
      <c r="Q89" s="93"/>
      <c r="R89" s="93"/>
    </row>
    <row r="90" spans="1:18" x14ac:dyDescent="0.25">
      <c r="A90" s="90" t="s">
        <v>153</v>
      </c>
      <c r="B90" s="90" t="s">
        <v>154</v>
      </c>
      <c r="C90" s="93">
        <v>239.5</v>
      </c>
      <c r="D90" s="93">
        <v>236.7</v>
      </c>
      <c r="E90" s="93">
        <v>200.6</v>
      </c>
      <c r="F90" s="93">
        <v>288.89999999999998</v>
      </c>
      <c r="G90" s="93">
        <v>304.3</v>
      </c>
      <c r="H90" s="93">
        <v>236.7</v>
      </c>
      <c r="I90" s="93">
        <v>257.60000000000002</v>
      </c>
      <c r="J90" s="93">
        <v>183</v>
      </c>
      <c r="K90" s="93">
        <v>158.4</v>
      </c>
      <c r="L90" s="93">
        <v>82.3</v>
      </c>
      <c r="M90" s="93">
        <v>137.1</v>
      </c>
      <c r="N90" s="93">
        <v>198.5</v>
      </c>
      <c r="O90" s="93">
        <v>208</v>
      </c>
      <c r="P90" s="96"/>
      <c r="Q90" s="93"/>
      <c r="R90" s="93"/>
    </row>
    <row r="91" spans="1:18" x14ac:dyDescent="0.25">
      <c r="A91" s="90" t="s">
        <v>155</v>
      </c>
      <c r="B91" s="90" t="s">
        <v>156</v>
      </c>
      <c r="C91" s="93">
        <v>38.299999999999997</v>
      </c>
      <c r="D91" s="93">
        <v>43.7</v>
      </c>
      <c r="E91" s="93">
        <v>52.8</v>
      </c>
      <c r="F91" s="93">
        <v>56.5</v>
      </c>
      <c r="G91" s="93">
        <v>64.3</v>
      </c>
      <c r="H91" s="93">
        <v>53.2</v>
      </c>
      <c r="I91" s="93">
        <v>25.7</v>
      </c>
      <c r="J91" s="93">
        <v>17.2</v>
      </c>
      <c r="K91" s="93">
        <v>19.899999999999999</v>
      </c>
      <c r="L91" s="93">
        <v>18.8</v>
      </c>
      <c r="M91" s="93">
        <v>22.3</v>
      </c>
      <c r="N91" s="93">
        <v>36.6</v>
      </c>
      <c r="O91" s="93">
        <v>50.3</v>
      </c>
      <c r="P91" s="96"/>
      <c r="Q91" s="93"/>
      <c r="R91" s="93"/>
    </row>
    <row r="92" spans="1:18" x14ac:dyDescent="0.25">
      <c r="A92" s="90" t="s">
        <v>157</v>
      </c>
      <c r="B92" s="90" t="s">
        <v>158</v>
      </c>
      <c r="C92" s="93">
        <v>27.7</v>
      </c>
      <c r="D92" s="93">
        <v>33.200000000000003</v>
      </c>
      <c r="E92" s="93">
        <v>50.7</v>
      </c>
      <c r="F92" s="93">
        <v>68.599999999999994</v>
      </c>
      <c r="G92" s="93">
        <v>68</v>
      </c>
      <c r="H92" s="93">
        <v>55.5</v>
      </c>
      <c r="I92" s="93">
        <v>34.299999999999997</v>
      </c>
      <c r="J92" s="93">
        <v>24.9</v>
      </c>
      <c r="K92" s="93">
        <v>20.6</v>
      </c>
      <c r="L92" s="93">
        <v>18.5</v>
      </c>
      <c r="M92" s="93">
        <v>18.100000000000001</v>
      </c>
      <c r="N92" s="93">
        <v>19.3</v>
      </c>
      <c r="O92" s="93">
        <v>22.4</v>
      </c>
      <c r="P92" s="96"/>
      <c r="Q92" s="93"/>
      <c r="R92" s="93"/>
    </row>
    <row r="93" spans="1:18" x14ac:dyDescent="0.25">
      <c r="A93" s="87" t="s">
        <v>159</v>
      </c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opLeftCell="A52" workbookViewId="0">
      <selection activeCell="O15" sqref="O15:S15"/>
    </sheetView>
  </sheetViews>
  <sheetFormatPr defaultRowHeight="15" x14ac:dyDescent="0.25"/>
  <cols>
    <col min="1" max="1" width="35.140625" customWidth="1"/>
    <col min="2" max="2" width="0" hidden="1" customWidth="1"/>
    <col min="3" max="15" width="11.85546875" customWidth="1"/>
    <col min="20" max="21" width="9.140625" style="12"/>
  </cols>
  <sheetData>
    <row r="1" spans="1:21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21" ht="20.25" x14ac:dyDescent="0.25">
      <c r="A2" s="88" t="s">
        <v>267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21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</row>
    <row r="4" spans="1:21" x14ac:dyDescent="0.25">
      <c r="A4" s="74" t="s">
        <v>5</v>
      </c>
      <c r="B4" s="74"/>
      <c r="C4" s="75" t="s">
        <v>7</v>
      </c>
      <c r="D4" s="75" t="s">
        <v>3</v>
      </c>
      <c r="E4" s="75" t="s">
        <v>8</v>
      </c>
      <c r="F4" s="75" t="s">
        <v>9</v>
      </c>
      <c r="G4" s="75" t="s">
        <v>10</v>
      </c>
      <c r="H4" s="75" t="s">
        <v>11</v>
      </c>
      <c r="I4" s="75" t="s">
        <v>12</v>
      </c>
      <c r="J4" s="75" t="s">
        <v>13</v>
      </c>
      <c r="K4" s="75" t="s">
        <v>14</v>
      </c>
      <c r="L4" s="75" t="s">
        <v>15</v>
      </c>
      <c r="M4" s="75" t="s">
        <v>16</v>
      </c>
      <c r="N4" s="75" t="s">
        <v>17</v>
      </c>
      <c r="O4" s="75"/>
    </row>
    <row r="5" spans="1:21" x14ac:dyDescent="0.25">
      <c r="A5" s="76" t="s">
        <v>18</v>
      </c>
      <c r="B5" s="76"/>
      <c r="C5" s="77" t="s">
        <v>20</v>
      </c>
      <c r="D5" s="77" t="s">
        <v>21</v>
      </c>
      <c r="E5" s="77" t="s">
        <v>22</v>
      </c>
      <c r="F5" s="77" t="s">
        <v>23</v>
      </c>
      <c r="G5" s="77" t="s">
        <v>24</v>
      </c>
      <c r="H5" s="77" t="s">
        <v>25</v>
      </c>
      <c r="I5" s="77" t="s">
        <v>26</v>
      </c>
      <c r="J5" s="77" t="s">
        <v>27</v>
      </c>
      <c r="K5" s="77" t="s">
        <v>28</v>
      </c>
      <c r="L5" s="77" t="s">
        <v>29</v>
      </c>
      <c r="M5" s="77" t="s">
        <v>30</v>
      </c>
      <c r="N5" s="77" t="s">
        <v>31</v>
      </c>
      <c r="O5" s="77"/>
    </row>
    <row r="6" spans="1:21" x14ac:dyDescent="0.25">
      <c r="A6" s="79" t="s">
        <v>241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101"/>
    </row>
    <row r="7" spans="1:21" x14ac:dyDescent="0.25">
      <c r="A7" s="80" t="s">
        <v>262</v>
      </c>
      <c r="B7" s="80" t="s">
        <v>261</v>
      </c>
      <c r="C7" s="93">
        <v>975.1</v>
      </c>
      <c r="D7" s="93">
        <v>1470.5</v>
      </c>
      <c r="E7" s="93">
        <v>1233.3</v>
      </c>
      <c r="F7" s="93">
        <v>-712.5</v>
      </c>
      <c r="G7" s="93">
        <v>-2633.6</v>
      </c>
      <c r="H7" s="93">
        <v>-549.79999999999995</v>
      </c>
      <c r="I7" s="93">
        <v>245.1</v>
      </c>
      <c r="J7" s="93">
        <v>71.8</v>
      </c>
      <c r="K7" s="93">
        <v>956.3</v>
      </c>
      <c r="L7" s="93">
        <v>462.7</v>
      </c>
      <c r="M7" s="93">
        <v>533.5</v>
      </c>
      <c r="N7" s="93">
        <v>750.7</v>
      </c>
      <c r="O7" s="96"/>
    </row>
    <row r="8" spans="1:21" x14ac:dyDescent="0.25">
      <c r="A8" s="80" t="s">
        <v>260</v>
      </c>
      <c r="B8" s="80" t="s">
        <v>259</v>
      </c>
      <c r="C8" s="93">
        <v>49.6</v>
      </c>
      <c r="D8" s="93">
        <v>52.8</v>
      </c>
      <c r="E8" s="93">
        <v>56.5</v>
      </c>
      <c r="F8" s="93">
        <v>64.400000000000006</v>
      </c>
      <c r="G8" s="93">
        <v>53.2</v>
      </c>
      <c r="H8" s="93">
        <v>25.7</v>
      </c>
      <c r="I8" s="93">
        <v>17.2</v>
      </c>
      <c r="J8" s="93">
        <v>19.899999999999999</v>
      </c>
      <c r="K8" s="93">
        <v>18.8</v>
      </c>
      <c r="L8" s="93">
        <v>22.7</v>
      </c>
      <c r="M8" s="93">
        <v>38.4</v>
      </c>
      <c r="N8" s="93">
        <v>54.1</v>
      </c>
      <c r="O8" s="96">
        <f>O9*'DHI(IS)'!P$6</f>
        <v>62.779199999999996</v>
      </c>
      <c r="P8" s="96">
        <f>P9*'DHI(IS)'!Q$6</f>
        <v>72.82387199999998</v>
      </c>
      <c r="Q8" s="96">
        <f>Q9*'DHI(IS)'!R$6</f>
        <v>80.106259199999982</v>
      </c>
      <c r="R8" s="96">
        <f>R9*'DHI(IS)'!S$6</f>
        <v>84.111572159999994</v>
      </c>
      <c r="S8" s="96">
        <f>S9*'DHI(IS)'!T$6</f>
        <v>88.317150767999991</v>
      </c>
      <c r="T8" s="12" t="s">
        <v>522</v>
      </c>
      <c r="U8" s="12" t="s">
        <v>523</v>
      </c>
    </row>
    <row r="9" spans="1:21" s="15" customFormat="1" x14ac:dyDescent="0.25">
      <c r="A9" s="9" t="s">
        <v>527</v>
      </c>
      <c r="B9" s="9"/>
      <c r="C9" s="8">
        <f>C8/'DHI(IS)'!D$6</f>
        <v>4.575308095343518E-3</v>
      </c>
      <c r="D9" s="8">
        <f>D8/'DHI(IS)'!E$6</f>
        <v>3.8085071084919607E-3</v>
      </c>
      <c r="E9" s="8">
        <f>E8/'DHI(IS)'!F$6</f>
        <v>3.7538285729471874E-3</v>
      </c>
      <c r="F9" s="8">
        <f>F8/'DHI(IS)'!G$6</f>
        <v>5.7008808037887848E-3</v>
      </c>
      <c r="G9" s="8">
        <f>G8/'DHI(IS)'!H$6</f>
        <v>8.0046944824784458E-3</v>
      </c>
      <c r="H9" s="8">
        <f>H8/'DHI(IS)'!I$6</f>
        <v>7.0264654418197726E-3</v>
      </c>
      <c r="I9" s="8">
        <f>I8/'DHI(IS)'!J$6</f>
        <v>3.9089132312167627E-3</v>
      </c>
      <c r="J9" s="8">
        <f>J8/'DHI(IS)'!K$6</f>
        <v>5.471843378794544E-3</v>
      </c>
      <c r="K9" s="8">
        <f>K8/'DHI(IS)'!L$6</f>
        <v>4.3178686265502985E-3</v>
      </c>
      <c r="L9" s="8">
        <f>L8/'DHI(IS)'!M$6</f>
        <v>3.6266036138226316E-3</v>
      </c>
      <c r="M9" s="8">
        <f>M8/'DHI(IS)'!N$6</f>
        <v>4.7851063564655011E-3</v>
      </c>
      <c r="N9" s="8">
        <f>N8/'DHI(IS)'!O$6</f>
        <v>4.9981522542498153E-3</v>
      </c>
      <c r="O9" s="8">
        <v>5.0000000000000001E-3</v>
      </c>
      <c r="P9" s="8">
        <v>5.0000000000000001E-3</v>
      </c>
      <c r="Q9" s="8">
        <v>5.0000000000000001E-3</v>
      </c>
      <c r="R9" s="8">
        <v>5.0000000000000001E-3</v>
      </c>
      <c r="S9" s="8">
        <v>5.0000000000000001E-3</v>
      </c>
      <c r="T9" s="11">
        <f>(N8/J8)^(1/COUNT(J8:N8))-1</f>
        <v>0.22143071739622977</v>
      </c>
      <c r="U9" s="11">
        <f>AVERAGE(J9:N9)</f>
        <v>4.6399148459765572E-3</v>
      </c>
    </row>
    <row r="10" spans="1:21" x14ac:dyDescent="0.25">
      <c r="A10" s="80" t="s">
        <v>258</v>
      </c>
      <c r="B10" s="80" t="s">
        <v>257</v>
      </c>
      <c r="C10" s="93">
        <v>-227.2</v>
      </c>
      <c r="D10" s="93">
        <v>-142.6</v>
      </c>
      <c r="E10" s="93">
        <v>590.6</v>
      </c>
      <c r="F10" s="93">
        <v>1835.2</v>
      </c>
      <c r="G10" s="93">
        <v>2988.7</v>
      </c>
      <c r="H10" s="93">
        <v>807.3</v>
      </c>
      <c r="I10" s="93">
        <v>81.599999999999994</v>
      </c>
      <c r="J10" s="93">
        <v>95.9</v>
      </c>
      <c r="K10" s="93">
        <v>-733.7</v>
      </c>
      <c r="L10" s="93">
        <v>232.1</v>
      </c>
      <c r="M10" s="93">
        <v>164.4</v>
      </c>
      <c r="N10" s="93">
        <v>-75.2</v>
      </c>
      <c r="O10" s="96"/>
    </row>
    <row r="11" spans="1:21" x14ac:dyDescent="0.25">
      <c r="A11" s="80" t="s">
        <v>256</v>
      </c>
      <c r="B11" s="80" t="s">
        <v>255</v>
      </c>
      <c r="C11" s="93" t="s">
        <v>36</v>
      </c>
      <c r="D11" s="93" t="s">
        <v>36</v>
      </c>
      <c r="E11" s="93" t="s">
        <v>36</v>
      </c>
      <c r="F11" s="93" t="s">
        <v>36</v>
      </c>
      <c r="G11" s="93">
        <v>13.5</v>
      </c>
      <c r="H11" s="93">
        <v>13.7</v>
      </c>
      <c r="I11" s="93">
        <v>10.5</v>
      </c>
      <c r="J11" s="93">
        <v>14.2</v>
      </c>
      <c r="K11" s="93">
        <v>18.100000000000001</v>
      </c>
      <c r="L11" s="93">
        <v>12.3</v>
      </c>
      <c r="M11" s="93">
        <v>25.6</v>
      </c>
      <c r="N11" s="93">
        <v>29.9</v>
      </c>
      <c r="O11" s="96"/>
    </row>
    <row r="12" spans="1:21" x14ac:dyDescent="0.25">
      <c r="A12" s="80" t="s">
        <v>254</v>
      </c>
      <c r="B12" s="80" t="s">
        <v>253</v>
      </c>
      <c r="C12" s="93" t="s">
        <v>36</v>
      </c>
      <c r="D12" s="93" t="s">
        <v>36</v>
      </c>
      <c r="E12" s="93" t="s">
        <v>36</v>
      </c>
      <c r="F12" s="93">
        <v>-489</v>
      </c>
      <c r="G12" s="93">
        <v>650.29999999999995</v>
      </c>
      <c r="H12" s="93">
        <v>213.5</v>
      </c>
      <c r="I12" s="93" t="s">
        <v>36</v>
      </c>
      <c r="J12" s="93" t="s">
        <v>36</v>
      </c>
      <c r="K12" s="93">
        <v>-709.5</v>
      </c>
      <c r="L12" s="93">
        <v>130.9</v>
      </c>
      <c r="M12" s="93">
        <v>17.399999999999999</v>
      </c>
      <c r="N12" s="93">
        <v>3.1</v>
      </c>
      <c r="O12" s="96"/>
    </row>
    <row r="13" spans="1:21" s="167" customFormat="1" x14ac:dyDescent="0.25">
      <c r="A13" s="164" t="s">
        <v>252</v>
      </c>
      <c r="B13" s="164" t="s">
        <v>251</v>
      </c>
      <c r="C13" s="165">
        <v>-227.2</v>
      </c>
      <c r="D13" s="165">
        <v>-142.6</v>
      </c>
      <c r="E13" s="165">
        <v>590.6</v>
      </c>
      <c r="F13" s="165">
        <v>2324.1999999999998</v>
      </c>
      <c r="G13" s="165">
        <v>2324.9</v>
      </c>
      <c r="H13" s="165">
        <v>580.1</v>
      </c>
      <c r="I13" s="165">
        <v>71.099999999999994</v>
      </c>
      <c r="J13" s="165">
        <v>81.7</v>
      </c>
      <c r="K13" s="165">
        <v>-42.3</v>
      </c>
      <c r="L13" s="165">
        <v>88.9</v>
      </c>
      <c r="M13" s="165">
        <v>121.4</v>
      </c>
      <c r="N13" s="165">
        <v>-108.2</v>
      </c>
      <c r="O13" s="166"/>
    </row>
    <row r="14" spans="1:21" x14ac:dyDescent="0.25">
      <c r="A14" s="80" t="s">
        <v>250</v>
      </c>
      <c r="B14" s="80" t="s">
        <v>249</v>
      </c>
      <c r="C14" s="93">
        <v>-1220</v>
      </c>
      <c r="D14" s="93">
        <v>-2001.4</v>
      </c>
      <c r="E14" s="93">
        <v>-3071.2</v>
      </c>
      <c r="F14" s="93">
        <v>168.4</v>
      </c>
      <c r="G14" s="93">
        <v>1468.2</v>
      </c>
      <c r="H14" s="93">
        <v>858</v>
      </c>
      <c r="I14" s="93">
        <v>365.5</v>
      </c>
      <c r="J14" s="93">
        <v>-172.7</v>
      </c>
      <c r="K14" s="93">
        <v>-534.79999999999995</v>
      </c>
      <c r="L14" s="93">
        <v>-1946.8</v>
      </c>
      <c r="M14" s="93">
        <v>-1397.7</v>
      </c>
      <c r="N14" s="93">
        <v>-29.2</v>
      </c>
      <c r="O14" s="96">
        <f>O15*'DHI(IS)'!P$6</f>
        <v>-1255.5839999999998</v>
      </c>
      <c r="P14" s="96">
        <f>P15*'DHI(IS)'!Q$6</f>
        <v>-1456.4774399999997</v>
      </c>
      <c r="Q14" s="96">
        <f>Q15*'DHI(IS)'!R$6</f>
        <v>-1602.1251839999998</v>
      </c>
      <c r="R14" s="96">
        <f>R15*'DHI(IS)'!S$6</f>
        <v>-1682.2314432000001</v>
      </c>
      <c r="S14" s="96">
        <f>S15*'DHI(IS)'!T$6</f>
        <v>-1766.34301536</v>
      </c>
    </row>
    <row r="15" spans="1:21" s="15" customFormat="1" x14ac:dyDescent="0.25">
      <c r="A15" s="9" t="s">
        <v>527</v>
      </c>
      <c r="B15" s="9"/>
      <c r="C15" s="8">
        <f>C14/'DHI(IS)'!D$6</f>
        <v>-0.11253782008707845</v>
      </c>
      <c r="D15" s="8">
        <f>D14/'DHI(IS)'!E$6</f>
        <v>-0.14436261604045095</v>
      </c>
      <c r="E15" s="8">
        <f>E14/'DHI(IS)'!F$6</f>
        <v>-0.20404881970328145</v>
      </c>
      <c r="F15" s="8">
        <f>F14/'DHI(IS)'!G$6</f>
        <v>1.4907272163944585E-2</v>
      </c>
      <c r="G15" s="8">
        <f>G14/'DHI(IS)'!H$6</f>
        <v>0.22091151201456494</v>
      </c>
      <c r="H15" s="8">
        <f>H14/'DHI(IS)'!I$6</f>
        <v>0.23458005249343833</v>
      </c>
      <c r="I15" s="8">
        <f>I14/'DHI(IS)'!J$6</f>
        <v>8.3064406163356211E-2</v>
      </c>
      <c r="J15" s="8">
        <f>J14/'DHI(IS)'!K$6</f>
        <v>-4.748680158380994E-2</v>
      </c>
      <c r="K15" s="8">
        <f>K14/'DHI(IS)'!L$6</f>
        <v>-0.12282958199356912</v>
      </c>
      <c r="L15" s="8">
        <f>L14/'DHI(IS)'!M$6</f>
        <v>-0.31102519451056826</v>
      </c>
      <c r="M15" s="8">
        <f>M14/'DHI(IS)'!N$6</f>
        <v>-0.17417039464666229</v>
      </c>
      <c r="N15" s="8">
        <f>N14/'DHI(IS)'!O$6</f>
        <v>-2.6977087952697707E-3</v>
      </c>
      <c r="O15" s="8">
        <v>-0.1</v>
      </c>
      <c r="P15" s="8">
        <v>-0.1</v>
      </c>
      <c r="Q15" s="8">
        <v>-0.1</v>
      </c>
      <c r="R15" s="8">
        <v>-0.1</v>
      </c>
      <c r="S15" s="8">
        <v>-0.1</v>
      </c>
      <c r="T15" s="11">
        <f>(N14/J14)^(1/COUNT(J14:N14))-1</f>
        <v>-0.29916125577269781</v>
      </c>
      <c r="U15" s="11">
        <f>AVERAGE(J15,K15,M15,N15)</f>
        <v>-8.6796121754827774E-2</v>
      </c>
    </row>
    <row r="16" spans="1:21" x14ac:dyDescent="0.25">
      <c r="A16" s="80" t="s">
        <v>248</v>
      </c>
      <c r="B16" s="80" t="s">
        <v>247</v>
      </c>
      <c r="C16" s="93" t="s">
        <v>36</v>
      </c>
      <c r="D16" s="93" t="s">
        <v>36</v>
      </c>
      <c r="E16" s="93" t="s">
        <v>36</v>
      </c>
      <c r="F16" s="93">
        <v>0</v>
      </c>
      <c r="G16" s="93" t="s">
        <v>36</v>
      </c>
      <c r="H16" s="93" t="s">
        <v>36</v>
      </c>
      <c r="I16" s="93" t="s">
        <v>36</v>
      </c>
      <c r="J16" s="93" t="s">
        <v>36</v>
      </c>
      <c r="K16" s="93" t="s">
        <v>36</v>
      </c>
      <c r="L16" s="93" t="s">
        <v>36</v>
      </c>
      <c r="M16" s="93" t="s">
        <v>36</v>
      </c>
      <c r="N16" s="93" t="s">
        <v>36</v>
      </c>
      <c r="O16" s="96"/>
    </row>
    <row r="17" spans="1:21" x14ac:dyDescent="0.25">
      <c r="A17" s="80" t="s">
        <v>246</v>
      </c>
      <c r="B17" s="80" t="s">
        <v>245</v>
      </c>
      <c r="C17" s="93">
        <v>-1411.1</v>
      </c>
      <c r="D17" s="93">
        <v>-1855.2</v>
      </c>
      <c r="E17" s="93">
        <v>-3109</v>
      </c>
      <c r="F17" s="93">
        <v>737.6</v>
      </c>
      <c r="G17" s="93">
        <v>2139.6999999999998</v>
      </c>
      <c r="H17" s="93">
        <v>577</v>
      </c>
      <c r="I17" s="93">
        <v>144.80000000000001</v>
      </c>
      <c r="J17" s="93">
        <v>-74.5</v>
      </c>
      <c r="K17" s="93">
        <v>-646.4</v>
      </c>
      <c r="L17" s="93">
        <v>-2050.9</v>
      </c>
      <c r="M17" s="93">
        <v>-1431.8</v>
      </c>
      <c r="N17" s="93">
        <v>-89.5</v>
      </c>
      <c r="O17" s="96"/>
    </row>
    <row r="18" spans="1:21" x14ac:dyDescent="0.25">
      <c r="A18" s="80" t="s">
        <v>244</v>
      </c>
      <c r="B18" s="80" t="s">
        <v>243</v>
      </c>
      <c r="C18" s="93">
        <v>191.1</v>
      </c>
      <c r="D18" s="93">
        <v>-146.19999999999999</v>
      </c>
      <c r="E18" s="93">
        <v>37.799999999999997</v>
      </c>
      <c r="F18" s="93">
        <v>-569.20000000000005</v>
      </c>
      <c r="G18" s="93">
        <v>-671.5</v>
      </c>
      <c r="H18" s="93">
        <v>281</v>
      </c>
      <c r="I18" s="93">
        <v>220.7</v>
      </c>
      <c r="J18" s="93">
        <v>-98.2</v>
      </c>
      <c r="K18" s="93">
        <v>111.6</v>
      </c>
      <c r="L18" s="93">
        <v>104.1</v>
      </c>
      <c r="M18" s="93">
        <v>34.1</v>
      </c>
      <c r="N18" s="93">
        <v>60.3</v>
      </c>
      <c r="O18" s="96"/>
    </row>
    <row r="19" spans="1:21" x14ac:dyDescent="0.25">
      <c r="A19" s="80" t="s">
        <v>188</v>
      </c>
      <c r="B19" s="80" t="s">
        <v>242</v>
      </c>
      <c r="C19" s="93" t="s">
        <v>36</v>
      </c>
      <c r="D19" s="93" t="s">
        <v>36</v>
      </c>
      <c r="E19" s="93" t="s">
        <v>36</v>
      </c>
      <c r="F19" s="93" t="s">
        <v>36</v>
      </c>
      <c r="G19" s="93" t="s">
        <v>36</v>
      </c>
      <c r="H19" s="93">
        <v>0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  <c r="N19" s="93">
        <v>0</v>
      </c>
      <c r="O19" s="96"/>
    </row>
    <row r="20" spans="1:21" x14ac:dyDescent="0.25">
      <c r="A20" s="79" t="s">
        <v>241</v>
      </c>
      <c r="B20" s="79" t="s">
        <v>240</v>
      </c>
      <c r="C20" s="99">
        <v>-422.5</v>
      </c>
      <c r="D20" s="99">
        <v>-620.70000000000005</v>
      </c>
      <c r="E20" s="99">
        <v>-1190.8</v>
      </c>
      <c r="F20" s="99">
        <v>1355.5</v>
      </c>
      <c r="G20" s="99">
        <v>1876.5</v>
      </c>
      <c r="H20" s="99">
        <v>1141.2</v>
      </c>
      <c r="I20" s="99">
        <v>709.4</v>
      </c>
      <c r="J20" s="99">
        <v>14.9</v>
      </c>
      <c r="K20" s="99">
        <v>-293.39999999999998</v>
      </c>
      <c r="L20" s="99">
        <v>-1229.3</v>
      </c>
      <c r="M20" s="99">
        <v>-661.4</v>
      </c>
      <c r="N20" s="99">
        <v>700.4</v>
      </c>
      <c r="O20" s="102"/>
    </row>
    <row r="21" spans="1:21" x14ac:dyDescent="0.25">
      <c r="A21" s="79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101"/>
    </row>
    <row r="22" spans="1:21" x14ac:dyDescent="0.25">
      <c r="A22" s="79" t="s">
        <v>208</v>
      </c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101"/>
    </row>
    <row r="23" spans="1:21" x14ac:dyDescent="0.25">
      <c r="A23" s="80" t="s">
        <v>239</v>
      </c>
      <c r="B23" s="80" t="s">
        <v>238</v>
      </c>
      <c r="C23" s="93">
        <v>-55.2</v>
      </c>
      <c r="D23" s="93">
        <v>-68.2</v>
      </c>
      <c r="E23" s="93">
        <v>-83.3</v>
      </c>
      <c r="F23" s="93">
        <v>-39.799999999999997</v>
      </c>
      <c r="G23" s="93">
        <v>-6.6</v>
      </c>
      <c r="H23" s="93">
        <v>-6.2</v>
      </c>
      <c r="I23" s="93">
        <v>-19.2</v>
      </c>
      <c r="J23" s="93">
        <v>-16.3</v>
      </c>
      <c r="K23" s="93">
        <v>-33.6</v>
      </c>
      <c r="L23" s="93">
        <v>-58</v>
      </c>
      <c r="M23" s="93">
        <v>-100.2</v>
      </c>
      <c r="N23" s="93">
        <v>-0.1</v>
      </c>
      <c r="O23" s="96"/>
    </row>
    <row r="24" spans="1:21" x14ac:dyDescent="0.25">
      <c r="A24" s="80" t="s">
        <v>237</v>
      </c>
      <c r="B24" s="80" t="s">
        <v>236</v>
      </c>
      <c r="C24" s="93">
        <v>0</v>
      </c>
      <c r="D24" s="93">
        <v>0</v>
      </c>
      <c r="E24" s="93">
        <v>0</v>
      </c>
      <c r="F24" s="93">
        <v>0</v>
      </c>
      <c r="G24" s="93">
        <v>0</v>
      </c>
      <c r="H24" s="93">
        <v>0</v>
      </c>
      <c r="I24" s="93">
        <v>0</v>
      </c>
      <c r="J24" s="93">
        <v>0</v>
      </c>
      <c r="K24" s="93">
        <v>0</v>
      </c>
      <c r="L24" s="93">
        <v>0</v>
      </c>
      <c r="M24" s="93">
        <v>0</v>
      </c>
      <c r="N24" s="93">
        <v>56</v>
      </c>
      <c r="O24" s="96"/>
    </row>
    <row r="25" spans="1:21" x14ac:dyDescent="0.25">
      <c r="A25" s="78" t="s">
        <v>235</v>
      </c>
      <c r="B25" s="78" t="s">
        <v>234</v>
      </c>
      <c r="C25" s="104" t="s">
        <v>36</v>
      </c>
      <c r="D25" s="104" t="s">
        <v>36</v>
      </c>
      <c r="E25" s="104" t="s">
        <v>36</v>
      </c>
      <c r="F25" s="104" t="s">
        <v>36</v>
      </c>
      <c r="G25" s="104" t="s">
        <v>36</v>
      </c>
      <c r="H25" s="104" t="s">
        <v>36</v>
      </c>
      <c r="I25" s="104" t="s">
        <v>36</v>
      </c>
      <c r="J25" s="104" t="s">
        <v>36</v>
      </c>
      <c r="K25" s="104">
        <v>0</v>
      </c>
      <c r="L25" s="104">
        <v>0</v>
      </c>
      <c r="M25" s="104">
        <v>0</v>
      </c>
      <c r="N25" s="104">
        <v>56</v>
      </c>
      <c r="O25" s="105"/>
    </row>
    <row r="26" spans="1:21" x14ac:dyDescent="0.25">
      <c r="A26" s="78" t="s">
        <v>233</v>
      </c>
      <c r="B26" s="78" t="s">
        <v>232</v>
      </c>
      <c r="C26" s="104" t="s">
        <v>36</v>
      </c>
      <c r="D26" s="104" t="s">
        <v>36</v>
      </c>
      <c r="E26" s="104" t="s">
        <v>36</v>
      </c>
      <c r="F26" s="104" t="s">
        <v>36</v>
      </c>
      <c r="G26" s="104" t="s">
        <v>36</v>
      </c>
      <c r="H26" s="104">
        <v>0</v>
      </c>
      <c r="I26" s="104">
        <v>0</v>
      </c>
      <c r="J26" s="104">
        <v>0</v>
      </c>
      <c r="K26" s="104">
        <v>0</v>
      </c>
      <c r="L26" s="104">
        <v>0</v>
      </c>
      <c r="M26" s="104">
        <v>0</v>
      </c>
      <c r="N26" s="104">
        <v>0</v>
      </c>
      <c r="O26" s="105"/>
    </row>
    <row r="27" spans="1:21" x14ac:dyDescent="0.25">
      <c r="A27" s="80" t="s">
        <v>231</v>
      </c>
      <c r="B27" s="80" t="s">
        <v>230</v>
      </c>
      <c r="C27" s="93">
        <v>-55.2</v>
      </c>
      <c r="D27" s="93">
        <v>-68.2</v>
      </c>
      <c r="E27" s="93">
        <v>-83.3</v>
      </c>
      <c r="F27" s="93">
        <v>-39.799999999999997</v>
      </c>
      <c r="G27" s="93">
        <v>-6.6</v>
      </c>
      <c r="H27" s="93">
        <v>-6.2</v>
      </c>
      <c r="I27" s="93">
        <v>-19.2</v>
      </c>
      <c r="J27" s="93">
        <v>-16.3</v>
      </c>
      <c r="K27" s="93">
        <v>-33.6</v>
      </c>
      <c r="L27" s="93">
        <v>-58</v>
      </c>
      <c r="M27" s="93">
        <v>-100.2</v>
      </c>
      <c r="N27" s="93">
        <v>-56.1</v>
      </c>
      <c r="O27" s="96"/>
    </row>
    <row r="28" spans="1:21" x14ac:dyDescent="0.25">
      <c r="A28" s="78" t="s">
        <v>229</v>
      </c>
      <c r="B28" s="78" t="s">
        <v>228</v>
      </c>
      <c r="C28" s="104" t="s">
        <v>36</v>
      </c>
      <c r="D28" s="104" t="s">
        <v>36</v>
      </c>
      <c r="E28" s="104" t="s">
        <v>36</v>
      </c>
      <c r="F28" s="104" t="s">
        <v>36</v>
      </c>
      <c r="G28" s="104" t="s">
        <v>36</v>
      </c>
      <c r="H28" s="104">
        <v>-6.2</v>
      </c>
      <c r="I28" s="104">
        <v>-19.2</v>
      </c>
      <c r="J28" s="104">
        <v>-16.3</v>
      </c>
      <c r="K28" s="104">
        <v>-33.6</v>
      </c>
      <c r="L28" s="104">
        <v>-58</v>
      </c>
      <c r="M28" s="104">
        <v>-100.2</v>
      </c>
      <c r="N28" s="104">
        <v>-56.1</v>
      </c>
      <c r="O28" s="96">
        <f>O29*'DHI(IS)'!P$6</f>
        <v>-125.55839999999999</v>
      </c>
      <c r="P28" s="96">
        <f>P29*'DHI(IS)'!Q$6</f>
        <v>-145.64774399999996</v>
      </c>
      <c r="Q28" s="96">
        <f>Q29*'DHI(IS)'!R$6</f>
        <v>-160.21251839999996</v>
      </c>
      <c r="R28" s="96">
        <f>R29*'DHI(IS)'!S$6</f>
        <v>-168.22314431999999</v>
      </c>
      <c r="S28" s="96">
        <f>S29*'DHI(IS)'!T$6</f>
        <v>-176.63430153599998</v>
      </c>
    </row>
    <row r="29" spans="1:21" s="15" customFormat="1" x14ac:dyDescent="0.25">
      <c r="A29" s="9" t="s">
        <v>527</v>
      </c>
      <c r="B29" s="9"/>
      <c r="C29" s="8" t="e">
        <f>C28/'DHI(IS)'!D$6</f>
        <v>#VALUE!</v>
      </c>
      <c r="D29" s="8" t="e">
        <f>D28/'DHI(IS)'!E$6</f>
        <v>#VALUE!</v>
      </c>
      <c r="E29" s="8" t="e">
        <f>E28/'DHI(IS)'!F$6</f>
        <v>#VALUE!</v>
      </c>
      <c r="F29" s="8" t="e">
        <f>F28/'DHI(IS)'!G$6</f>
        <v>#VALUE!</v>
      </c>
      <c r="G29" s="8" t="e">
        <f>G28/'DHI(IS)'!H$6</f>
        <v>#VALUE!</v>
      </c>
      <c r="H29" s="8">
        <f>H28/'DHI(IS)'!I$6</f>
        <v>-1.6951006124234472E-3</v>
      </c>
      <c r="I29" s="8">
        <f>I28/'DHI(IS)'!J$6</f>
        <v>-4.3634380255442931E-3</v>
      </c>
      <c r="J29" s="8">
        <f>J28/'DHI(IS)'!K$6</f>
        <v>-4.4819621645402555E-3</v>
      </c>
      <c r="K29" s="8">
        <f>K28/'DHI(IS)'!L$6</f>
        <v>-7.7170418006430874E-3</v>
      </c>
      <c r="L29" s="8">
        <f>L28/'DHI(IS)'!M$6</f>
        <v>-9.2662118767274301E-3</v>
      </c>
      <c r="M29" s="8">
        <f>M28/'DHI(IS)'!N$6</f>
        <v>-1.2486136898902168E-2</v>
      </c>
      <c r="N29" s="8">
        <f>N28/'DHI(IS)'!O$6</f>
        <v>-5.1829268292682929E-3</v>
      </c>
      <c r="O29" s="8">
        <v>-0.01</v>
      </c>
      <c r="P29" s="8">
        <v>-0.01</v>
      </c>
      <c r="Q29" s="8">
        <v>-0.01</v>
      </c>
      <c r="R29" s="8">
        <v>-0.01</v>
      </c>
      <c r="S29" s="8">
        <v>-0.01</v>
      </c>
      <c r="T29" s="11">
        <f>(N28/J28)^(1/COUNT(J28:N28))-1</f>
        <v>0.28042767208566133</v>
      </c>
      <c r="U29" s="11">
        <f>AVERAGE(J29:N29)</f>
        <v>-7.826855914016247E-3</v>
      </c>
    </row>
    <row r="30" spans="1:21" x14ac:dyDescent="0.25">
      <c r="A30" s="78" t="s">
        <v>227</v>
      </c>
      <c r="B30" s="78" t="s">
        <v>226</v>
      </c>
      <c r="C30" s="104" t="s">
        <v>36</v>
      </c>
      <c r="D30" s="104" t="s">
        <v>36</v>
      </c>
      <c r="E30" s="104" t="s">
        <v>36</v>
      </c>
      <c r="F30" s="104" t="s">
        <v>36</v>
      </c>
      <c r="G30" s="104" t="s">
        <v>36</v>
      </c>
      <c r="H30" s="104">
        <v>0</v>
      </c>
      <c r="I30" s="104">
        <v>0</v>
      </c>
      <c r="J30" s="104">
        <v>0</v>
      </c>
      <c r="K30" s="104">
        <v>0</v>
      </c>
      <c r="L30" s="104">
        <v>0</v>
      </c>
      <c r="M30" s="104">
        <v>0</v>
      </c>
      <c r="N30" s="104">
        <v>0</v>
      </c>
      <c r="O30" s="105"/>
    </row>
    <row r="31" spans="1:21" x14ac:dyDescent="0.25">
      <c r="A31" s="80" t="s">
        <v>225</v>
      </c>
      <c r="B31" s="80" t="s">
        <v>224</v>
      </c>
      <c r="C31" s="93">
        <v>0</v>
      </c>
      <c r="D31" s="93">
        <v>0</v>
      </c>
      <c r="E31" s="93">
        <v>0</v>
      </c>
      <c r="F31" s="93">
        <v>0</v>
      </c>
      <c r="G31" s="93">
        <v>0</v>
      </c>
      <c r="H31" s="93">
        <v>0</v>
      </c>
      <c r="I31" s="93">
        <v>0</v>
      </c>
      <c r="J31" s="93">
        <v>0</v>
      </c>
      <c r="K31" s="93">
        <v>0</v>
      </c>
      <c r="L31" s="93">
        <v>-17.2</v>
      </c>
      <c r="M31" s="93">
        <v>0</v>
      </c>
      <c r="N31" s="93">
        <v>-14.8</v>
      </c>
      <c r="O31" s="96"/>
    </row>
    <row r="32" spans="1:21" x14ac:dyDescent="0.25">
      <c r="A32" s="80" t="s">
        <v>223</v>
      </c>
      <c r="B32" s="80" t="s">
        <v>222</v>
      </c>
      <c r="C32" s="93">
        <v>0</v>
      </c>
      <c r="D32" s="93">
        <v>0</v>
      </c>
      <c r="E32" s="93">
        <v>0</v>
      </c>
      <c r="F32" s="93">
        <v>0</v>
      </c>
      <c r="G32" s="93">
        <v>0</v>
      </c>
      <c r="H32" s="93">
        <v>0</v>
      </c>
      <c r="I32" s="93">
        <v>0</v>
      </c>
      <c r="J32" s="93">
        <v>0</v>
      </c>
      <c r="K32" s="93">
        <v>0</v>
      </c>
      <c r="L32" s="93">
        <v>1.4</v>
      </c>
      <c r="M32" s="93">
        <v>0</v>
      </c>
      <c r="N32" s="93">
        <v>0</v>
      </c>
      <c r="O32" s="96"/>
    </row>
    <row r="33" spans="1:15" x14ac:dyDescent="0.25">
      <c r="A33" s="80" t="s">
        <v>221</v>
      </c>
      <c r="B33" s="80" t="s">
        <v>220</v>
      </c>
      <c r="C33" s="93">
        <v>0</v>
      </c>
      <c r="D33" s="93">
        <v>0</v>
      </c>
      <c r="E33" s="93">
        <v>0</v>
      </c>
      <c r="F33" s="93">
        <v>0</v>
      </c>
      <c r="G33" s="93">
        <v>0</v>
      </c>
      <c r="H33" s="93">
        <v>0</v>
      </c>
      <c r="I33" s="93">
        <v>0</v>
      </c>
      <c r="J33" s="93">
        <v>0</v>
      </c>
      <c r="K33" s="93">
        <v>0</v>
      </c>
      <c r="L33" s="93">
        <v>-18.600000000000001</v>
      </c>
      <c r="M33" s="93">
        <v>0</v>
      </c>
      <c r="N33" s="93">
        <v>-14.8</v>
      </c>
      <c r="O33" s="96"/>
    </row>
    <row r="34" spans="1:15" s="167" customFormat="1" x14ac:dyDescent="0.25">
      <c r="A34" s="164" t="s">
        <v>219</v>
      </c>
      <c r="B34" s="164" t="s">
        <v>218</v>
      </c>
      <c r="C34" s="165" t="s">
        <v>36</v>
      </c>
      <c r="D34" s="165" t="s">
        <v>36</v>
      </c>
      <c r="E34" s="165" t="s">
        <v>36</v>
      </c>
      <c r="F34" s="165" t="s">
        <v>36</v>
      </c>
      <c r="G34" s="165" t="s">
        <v>36</v>
      </c>
      <c r="H34" s="165">
        <v>0</v>
      </c>
      <c r="I34" s="165">
        <v>0</v>
      </c>
      <c r="J34" s="165">
        <v>0</v>
      </c>
      <c r="K34" s="165">
        <v>-96.5</v>
      </c>
      <c r="L34" s="165">
        <v>-9.4</v>
      </c>
      <c r="M34" s="165">
        <v>-244.1</v>
      </c>
      <c r="N34" s="165">
        <v>-70.900000000000006</v>
      </c>
      <c r="O34" s="166"/>
    </row>
    <row r="35" spans="1:15" x14ac:dyDescent="0.25">
      <c r="A35" s="80" t="s">
        <v>217</v>
      </c>
      <c r="B35" s="80" t="s">
        <v>216</v>
      </c>
      <c r="C35" s="93" t="s">
        <v>36</v>
      </c>
      <c r="D35" s="93" t="s">
        <v>36</v>
      </c>
      <c r="E35" s="93" t="s">
        <v>36</v>
      </c>
      <c r="F35" s="93" t="s">
        <v>36</v>
      </c>
      <c r="G35" s="93" t="s">
        <v>36</v>
      </c>
      <c r="H35" s="93">
        <v>0</v>
      </c>
      <c r="I35" s="93">
        <v>0</v>
      </c>
      <c r="J35" s="93">
        <v>0</v>
      </c>
      <c r="K35" s="93">
        <v>0</v>
      </c>
      <c r="L35" s="93">
        <v>0</v>
      </c>
      <c r="M35" s="93">
        <v>0</v>
      </c>
      <c r="N35" s="93">
        <v>0</v>
      </c>
      <c r="O35" s="96"/>
    </row>
    <row r="36" spans="1:15" x14ac:dyDescent="0.25">
      <c r="A36" s="80" t="s">
        <v>215</v>
      </c>
      <c r="B36" s="80" t="s">
        <v>214</v>
      </c>
      <c r="C36" s="93" t="s">
        <v>36</v>
      </c>
      <c r="D36" s="93" t="s">
        <v>36</v>
      </c>
      <c r="E36" s="93" t="s">
        <v>36</v>
      </c>
      <c r="F36" s="93" t="s">
        <v>36</v>
      </c>
      <c r="G36" s="93" t="s">
        <v>36</v>
      </c>
      <c r="H36" s="93">
        <v>0</v>
      </c>
      <c r="I36" s="93">
        <v>0</v>
      </c>
      <c r="J36" s="93">
        <v>0</v>
      </c>
      <c r="K36" s="93">
        <v>-96.5</v>
      </c>
      <c r="L36" s="93">
        <v>-9.4</v>
      </c>
      <c r="M36" s="93">
        <v>-244.1</v>
      </c>
      <c r="N36" s="93">
        <v>-70.900000000000006</v>
      </c>
      <c r="O36" s="96"/>
    </row>
    <row r="37" spans="1:15" x14ac:dyDescent="0.25">
      <c r="A37" s="80" t="s">
        <v>213</v>
      </c>
      <c r="B37" s="80" t="s">
        <v>212</v>
      </c>
      <c r="C37" s="93" t="s">
        <v>36</v>
      </c>
      <c r="D37" s="93" t="s">
        <v>36</v>
      </c>
      <c r="E37" s="93" t="s">
        <v>36</v>
      </c>
      <c r="F37" s="93" t="s">
        <v>36</v>
      </c>
      <c r="G37" s="93" t="s">
        <v>36</v>
      </c>
      <c r="H37" s="93">
        <v>0</v>
      </c>
      <c r="I37" s="93">
        <v>0</v>
      </c>
      <c r="J37" s="93">
        <v>0</v>
      </c>
      <c r="K37" s="93">
        <v>0</v>
      </c>
      <c r="L37" s="93">
        <v>0</v>
      </c>
      <c r="M37" s="93">
        <v>0</v>
      </c>
      <c r="N37" s="93">
        <v>0</v>
      </c>
      <c r="O37" s="96"/>
    </row>
    <row r="38" spans="1:15" x14ac:dyDescent="0.25">
      <c r="A38" s="80" t="s">
        <v>211</v>
      </c>
      <c r="B38" s="80" t="s">
        <v>210</v>
      </c>
      <c r="C38" s="93">
        <v>0</v>
      </c>
      <c r="D38" s="93">
        <v>0</v>
      </c>
      <c r="E38" s="93">
        <v>0</v>
      </c>
      <c r="F38" s="93">
        <v>0</v>
      </c>
      <c r="G38" s="93">
        <v>3.4</v>
      </c>
      <c r="H38" s="93">
        <v>-53.2</v>
      </c>
      <c r="I38" s="93">
        <v>-298.8</v>
      </c>
      <c r="J38" s="93">
        <v>-3</v>
      </c>
      <c r="K38" s="93">
        <v>-12.9</v>
      </c>
      <c r="L38" s="93">
        <v>265.5</v>
      </c>
      <c r="M38" s="93">
        <v>62.2</v>
      </c>
      <c r="N38" s="93">
        <v>-9.6</v>
      </c>
      <c r="O38" s="96"/>
    </row>
    <row r="39" spans="1:15" x14ac:dyDescent="0.25">
      <c r="A39" s="80" t="s">
        <v>188</v>
      </c>
      <c r="B39" s="80" t="s">
        <v>209</v>
      </c>
      <c r="C39" s="93" t="s">
        <v>36</v>
      </c>
      <c r="D39" s="93" t="s">
        <v>36</v>
      </c>
      <c r="E39" s="93" t="s">
        <v>36</v>
      </c>
      <c r="F39" s="93" t="s">
        <v>36</v>
      </c>
      <c r="G39" s="93" t="s">
        <v>36</v>
      </c>
      <c r="H39" s="93">
        <v>0</v>
      </c>
      <c r="I39" s="93">
        <v>0</v>
      </c>
      <c r="J39" s="93">
        <v>0</v>
      </c>
      <c r="K39" s="93">
        <v>0</v>
      </c>
      <c r="L39" s="93">
        <v>0</v>
      </c>
      <c r="M39" s="93">
        <v>0</v>
      </c>
      <c r="N39" s="93">
        <v>0</v>
      </c>
      <c r="O39" s="96"/>
    </row>
    <row r="40" spans="1:15" x14ac:dyDescent="0.25">
      <c r="A40" s="79" t="s">
        <v>208</v>
      </c>
      <c r="B40" s="79" t="s">
        <v>207</v>
      </c>
      <c r="C40" s="99">
        <v>-55.2</v>
      </c>
      <c r="D40" s="99">
        <v>-68.2</v>
      </c>
      <c r="E40" s="99">
        <v>-83.3</v>
      </c>
      <c r="F40" s="99">
        <v>-39.799999999999997</v>
      </c>
      <c r="G40" s="99">
        <v>-3.2</v>
      </c>
      <c r="H40" s="99">
        <v>-59.4</v>
      </c>
      <c r="I40" s="99">
        <v>-318</v>
      </c>
      <c r="J40" s="99">
        <v>-19.3</v>
      </c>
      <c r="K40" s="99">
        <v>-143</v>
      </c>
      <c r="L40" s="99">
        <v>180.9</v>
      </c>
      <c r="M40" s="99">
        <v>-282.10000000000002</v>
      </c>
      <c r="N40" s="99">
        <v>-95.4</v>
      </c>
      <c r="O40" s="102"/>
    </row>
    <row r="41" spans="1:15" x14ac:dyDescent="0.25">
      <c r="A41" s="79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101"/>
    </row>
    <row r="42" spans="1:15" x14ac:dyDescent="0.25">
      <c r="A42" s="79" t="s">
        <v>186</v>
      </c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101"/>
    </row>
    <row r="43" spans="1:15" x14ac:dyDescent="0.25">
      <c r="A43" s="80" t="s">
        <v>206</v>
      </c>
      <c r="B43" s="80" t="s">
        <v>205</v>
      </c>
      <c r="C43" s="93">
        <v>-66.900000000000006</v>
      </c>
      <c r="D43" s="93">
        <v>-96.5</v>
      </c>
      <c r="E43" s="93">
        <v>-137.6</v>
      </c>
      <c r="F43" s="93">
        <v>-188.4</v>
      </c>
      <c r="G43" s="93">
        <v>-142</v>
      </c>
      <c r="H43" s="93">
        <v>-47.5</v>
      </c>
      <c r="I43" s="93">
        <v>-47.7</v>
      </c>
      <c r="J43" s="93">
        <v>-47.8</v>
      </c>
      <c r="K43" s="93">
        <v>-47.8</v>
      </c>
      <c r="L43" s="93">
        <v>-60.2</v>
      </c>
      <c r="M43" s="93">
        <v>-48.6</v>
      </c>
      <c r="N43" s="93">
        <v>-91.6</v>
      </c>
      <c r="O43" s="96"/>
    </row>
    <row r="44" spans="1:15" x14ac:dyDescent="0.25">
      <c r="A44" s="80" t="s">
        <v>204</v>
      </c>
      <c r="B44" s="80" t="s">
        <v>203</v>
      </c>
      <c r="C44" s="93">
        <v>464.3</v>
      </c>
      <c r="D44" s="93">
        <v>1392.4</v>
      </c>
      <c r="E44" s="93">
        <v>1112.8</v>
      </c>
      <c r="F44" s="93">
        <v>-1716.2</v>
      </c>
      <c r="G44" s="93">
        <v>-623.1</v>
      </c>
      <c r="H44" s="93">
        <v>-468.7</v>
      </c>
      <c r="I44" s="93">
        <v>-1002.1</v>
      </c>
      <c r="J44" s="93">
        <v>-489.3</v>
      </c>
      <c r="K44" s="93">
        <v>748.4</v>
      </c>
      <c r="L44" s="93">
        <v>962.8</v>
      </c>
      <c r="M44" s="93">
        <v>630.70000000000005</v>
      </c>
      <c r="N44" s="93">
        <v>134.5</v>
      </c>
      <c r="O44" s="96"/>
    </row>
    <row r="45" spans="1:15" x14ac:dyDescent="0.25">
      <c r="A45" s="80" t="s">
        <v>202</v>
      </c>
      <c r="B45" s="80" t="s">
        <v>201</v>
      </c>
      <c r="C45" s="93" t="s">
        <v>36</v>
      </c>
      <c r="D45" s="93" t="s">
        <v>36</v>
      </c>
      <c r="E45" s="93" t="s">
        <v>36</v>
      </c>
      <c r="F45" s="93" t="s">
        <v>36</v>
      </c>
      <c r="G45" s="93" t="s">
        <v>36</v>
      </c>
      <c r="H45" s="93" t="s">
        <v>36</v>
      </c>
      <c r="I45" s="93" t="s">
        <v>36</v>
      </c>
      <c r="J45" s="93" t="s">
        <v>36</v>
      </c>
      <c r="K45" s="93" t="s">
        <v>36</v>
      </c>
      <c r="L45" s="93" t="s">
        <v>36</v>
      </c>
      <c r="M45" s="93">
        <v>0</v>
      </c>
      <c r="N45" s="93" t="s">
        <v>36</v>
      </c>
      <c r="O45" s="96"/>
    </row>
    <row r="46" spans="1:15" x14ac:dyDescent="0.25">
      <c r="A46" s="80" t="s">
        <v>200</v>
      </c>
      <c r="B46" s="80" t="s">
        <v>199</v>
      </c>
      <c r="C46" s="93" t="s">
        <v>36</v>
      </c>
      <c r="D46" s="93" t="s">
        <v>36</v>
      </c>
      <c r="E46" s="93" t="s">
        <v>36</v>
      </c>
      <c r="F46" s="93" t="s">
        <v>36</v>
      </c>
      <c r="G46" s="93" t="s">
        <v>36</v>
      </c>
      <c r="H46" s="93">
        <v>487.5</v>
      </c>
      <c r="I46" s="93">
        <v>17.8</v>
      </c>
      <c r="J46" s="93">
        <v>30</v>
      </c>
      <c r="K46" s="93" t="s">
        <v>36</v>
      </c>
      <c r="L46" s="93">
        <v>1307.9000000000001</v>
      </c>
      <c r="M46" s="93">
        <v>1427.6</v>
      </c>
      <c r="N46" s="93" t="s">
        <v>36</v>
      </c>
      <c r="O46" s="96"/>
    </row>
    <row r="47" spans="1:15" x14ac:dyDescent="0.25">
      <c r="A47" s="80" t="s">
        <v>198</v>
      </c>
      <c r="B47" s="80" t="s">
        <v>197</v>
      </c>
      <c r="C47" s="93" t="s">
        <v>36</v>
      </c>
      <c r="D47" s="93" t="s">
        <v>36</v>
      </c>
      <c r="E47" s="93" t="s">
        <v>36</v>
      </c>
      <c r="F47" s="93" t="s">
        <v>36</v>
      </c>
      <c r="G47" s="93" t="s">
        <v>36</v>
      </c>
      <c r="H47" s="93">
        <v>-956.2</v>
      </c>
      <c r="I47" s="93">
        <v>-1019.9</v>
      </c>
      <c r="J47" s="93">
        <v>-519.29999999999995</v>
      </c>
      <c r="K47" s="93" t="s">
        <v>36</v>
      </c>
      <c r="L47" s="93">
        <v>-345.1</v>
      </c>
      <c r="M47" s="93">
        <v>-796.9</v>
      </c>
      <c r="N47" s="93" t="s">
        <v>36</v>
      </c>
      <c r="O47" s="96"/>
    </row>
    <row r="48" spans="1:15" x14ac:dyDescent="0.25">
      <c r="A48" s="80" t="s">
        <v>196</v>
      </c>
      <c r="B48" s="80" t="s">
        <v>195</v>
      </c>
      <c r="C48" s="93">
        <v>15.4</v>
      </c>
      <c r="D48" s="93">
        <v>24.8</v>
      </c>
      <c r="E48" s="93">
        <v>-15</v>
      </c>
      <c r="F48" s="93">
        <v>22.6</v>
      </c>
      <c r="G48" s="93">
        <v>9.5</v>
      </c>
      <c r="H48" s="93">
        <v>4.4000000000000004</v>
      </c>
      <c r="I48" s="93">
        <v>10.4</v>
      </c>
      <c r="J48" s="93">
        <v>-35.200000000000003</v>
      </c>
      <c r="K48" s="93">
        <v>50.9</v>
      </c>
      <c r="L48" s="93">
        <v>36.4</v>
      </c>
      <c r="M48" s="93">
        <v>45.8</v>
      </c>
      <c r="N48" s="93">
        <v>74.099999999999994</v>
      </c>
      <c r="O48" s="96"/>
    </row>
    <row r="49" spans="1:15" x14ac:dyDescent="0.25">
      <c r="A49" s="80" t="s">
        <v>194</v>
      </c>
      <c r="B49" s="80" t="s">
        <v>193</v>
      </c>
      <c r="C49" s="93">
        <v>15.4</v>
      </c>
      <c r="D49" s="93">
        <v>24.8</v>
      </c>
      <c r="E49" s="93">
        <v>21.8</v>
      </c>
      <c r="F49" s="93">
        <v>22.6</v>
      </c>
      <c r="G49" s="93">
        <v>9.5</v>
      </c>
      <c r="H49" s="93">
        <v>4.4000000000000004</v>
      </c>
      <c r="I49" s="93">
        <v>10.4</v>
      </c>
      <c r="J49" s="93">
        <v>3.4</v>
      </c>
      <c r="K49" s="93">
        <v>50.9</v>
      </c>
      <c r="L49" s="93">
        <v>36.4</v>
      </c>
      <c r="M49" s="93">
        <v>45.8</v>
      </c>
      <c r="N49" s="93">
        <v>74.099999999999994</v>
      </c>
      <c r="O49" s="96"/>
    </row>
    <row r="50" spans="1:15" x14ac:dyDescent="0.25">
      <c r="A50" s="80" t="s">
        <v>192</v>
      </c>
      <c r="B50" s="80" t="s">
        <v>191</v>
      </c>
      <c r="C50" s="93">
        <v>0</v>
      </c>
      <c r="D50" s="93">
        <v>0</v>
      </c>
      <c r="E50" s="93">
        <v>-36.799999999999997</v>
      </c>
      <c r="F50" s="93">
        <v>0</v>
      </c>
      <c r="G50" s="93">
        <v>0</v>
      </c>
      <c r="H50" s="93">
        <v>0</v>
      </c>
      <c r="I50" s="93">
        <v>0</v>
      </c>
      <c r="J50" s="93">
        <v>-38.6</v>
      </c>
      <c r="K50" s="93">
        <v>0</v>
      </c>
      <c r="L50" s="93">
        <v>0</v>
      </c>
      <c r="M50" s="93">
        <v>0</v>
      </c>
      <c r="N50" s="93">
        <v>0</v>
      </c>
      <c r="O50" s="96"/>
    </row>
    <row r="51" spans="1:15" x14ac:dyDescent="0.25">
      <c r="A51" s="80" t="s">
        <v>190</v>
      </c>
      <c r="B51" s="80" t="s">
        <v>189</v>
      </c>
      <c r="C51" s="93" t="s">
        <v>36</v>
      </c>
      <c r="D51" s="93" t="s">
        <v>36</v>
      </c>
      <c r="E51" s="93" t="s">
        <v>36</v>
      </c>
      <c r="F51" s="93" t="s">
        <v>36</v>
      </c>
      <c r="G51" s="93" t="s">
        <v>36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6"/>
    </row>
    <row r="52" spans="1:15" x14ac:dyDescent="0.25">
      <c r="A52" s="80" t="s">
        <v>188</v>
      </c>
      <c r="B52" s="80" t="s">
        <v>187</v>
      </c>
      <c r="C52" s="93" t="s">
        <v>36</v>
      </c>
      <c r="D52" s="93" t="s">
        <v>36</v>
      </c>
      <c r="E52" s="93" t="s">
        <v>36</v>
      </c>
      <c r="F52" s="93" t="s">
        <v>36</v>
      </c>
      <c r="G52" s="93" t="s">
        <v>36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0</v>
      </c>
      <c r="N52" s="93">
        <v>0</v>
      </c>
      <c r="O52" s="96"/>
    </row>
    <row r="53" spans="1:15" x14ac:dyDescent="0.25">
      <c r="A53" s="79" t="s">
        <v>186</v>
      </c>
      <c r="B53" s="79" t="s">
        <v>185</v>
      </c>
      <c r="C53" s="99">
        <v>412.8</v>
      </c>
      <c r="D53" s="99">
        <v>1320.7</v>
      </c>
      <c r="E53" s="99">
        <v>960.2</v>
      </c>
      <c r="F53" s="99">
        <v>-1882</v>
      </c>
      <c r="G53" s="99">
        <v>-755.6</v>
      </c>
      <c r="H53" s="99">
        <v>-511.8</v>
      </c>
      <c r="I53" s="99">
        <v>-1039.4000000000001</v>
      </c>
      <c r="J53" s="99">
        <v>-572.29999999999995</v>
      </c>
      <c r="K53" s="99">
        <v>751.5</v>
      </c>
      <c r="L53" s="99">
        <v>939</v>
      </c>
      <c r="M53" s="99">
        <v>627.9</v>
      </c>
      <c r="N53" s="99">
        <v>117</v>
      </c>
      <c r="O53" s="102"/>
    </row>
    <row r="54" spans="1:15" x14ac:dyDescent="0.25">
      <c r="A54" s="79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101"/>
    </row>
    <row r="55" spans="1:15" x14ac:dyDescent="0.25">
      <c r="A55" s="80" t="s">
        <v>184</v>
      </c>
      <c r="B55" s="80" t="s">
        <v>183</v>
      </c>
      <c r="C55" s="93" t="s">
        <v>36</v>
      </c>
      <c r="D55" s="93" t="s">
        <v>36</v>
      </c>
      <c r="E55" s="93" t="s">
        <v>36</v>
      </c>
      <c r="F55" s="93" t="s">
        <v>36</v>
      </c>
      <c r="G55" s="93" t="s">
        <v>36</v>
      </c>
      <c r="H55" s="93">
        <v>0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3">
        <v>0</v>
      </c>
      <c r="O55" s="96"/>
    </row>
    <row r="56" spans="1:15" x14ac:dyDescent="0.25">
      <c r="A56" s="79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101"/>
    </row>
    <row r="57" spans="1:15" x14ac:dyDescent="0.25">
      <c r="A57" s="79" t="s">
        <v>182</v>
      </c>
      <c r="B57" s="79" t="s">
        <v>181</v>
      </c>
      <c r="C57" s="99">
        <v>-64.900000000000006</v>
      </c>
      <c r="D57" s="99">
        <v>631.79999999999995</v>
      </c>
      <c r="E57" s="99">
        <v>-562.20000000000005</v>
      </c>
      <c r="F57" s="99">
        <v>-318</v>
      </c>
      <c r="G57" s="99">
        <v>1117.7</v>
      </c>
      <c r="H57" s="99">
        <v>570</v>
      </c>
      <c r="I57" s="99">
        <v>-648</v>
      </c>
      <c r="J57" s="99">
        <v>-576.70000000000005</v>
      </c>
      <c r="K57" s="99">
        <v>315.10000000000002</v>
      </c>
      <c r="L57" s="99">
        <v>-109.4</v>
      </c>
      <c r="M57" s="99">
        <v>-315.60000000000002</v>
      </c>
      <c r="N57" s="99">
        <v>722</v>
      </c>
      <c r="O57" s="102"/>
    </row>
    <row r="58" spans="1:15" x14ac:dyDescent="0.25">
      <c r="A58" s="79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101"/>
    </row>
    <row r="59" spans="1:15" x14ac:dyDescent="0.25">
      <c r="A59" s="79" t="s">
        <v>180</v>
      </c>
      <c r="B59" s="79" t="s">
        <v>179</v>
      </c>
      <c r="C59" s="99">
        <v>614.4</v>
      </c>
      <c r="D59" s="99">
        <v>895</v>
      </c>
      <c r="E59" s="99">
        <v>956.3</v>
      </c>
      <c r="F59" s="99">
        <v>325.60000000000002</v>
      </c>
      <c r="G59" s="99">
        <v>23</v>
      </c>
      <c r="H59" s="99">
        <v>-603.9</v>
      </c>
      <c r="I59" s="99">
        <v>-485.4</v>
      </c>
      <c r="J59" s="99">
        <v>-1.9</v>
      </c>
      <c r="K59" s="99">
        <v>6.1</v>
      </c>
      <c r="L59" s="99">
        <v>34.799999999999997</v>
      </c>
      <c r="M59" s="99">
        <v>279.8</v>
      </c>
      <c r="N59" s="99">
        <v>334</v>
      </c>
      <c r="O59" s="102"/>
    </row>
    <row r="60" spans="1:15" x14ac:dyDescent="0.25">
      <c r="A60" s="79" t="s">
        <v>178</v>
      </c>
      <c r="B60" s="79" t="s">
        <v>177</v>
      </c>
      <c r="C60" s="99">
        <v>8.5</v>
      </c>
      <c r="D60" s="99">
        <v>20.6</v>
      </c>
      <c r="E60" s="99">
        <v>11</v>
      </c>
      <c r="F60" s="99">
        <v>37.299999999999997</v>
      </c>
      <c r="G60" s="99">
        <v>49.8</v>
      </c>
      <c r="H60" s="99">
        <v>103.3</v>
      </c>
      <c r="I60" s="99">
        <v>101.8</v>
      </c>
      <c r="J60" s="99">
        <v>66.3</v>
      </c>
      <c r="K60" s="99">
        <v>19.5</v>
      </c>
      <c r="L60" s="99">
        <v>5.6</v>
      </c>
      <c r="M60" s="99">
        <v>0</v>
      </c>
      <c r="N60" s="99">
        <v>0</v>
      </c>
      <c r="O60" s="102"/>
    </row>
    <row r="61" spans="1:15" x14ac:dyDescent="0.25">
      <c r="A61" s="79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101"/>
    </row>
    <row r="62" spans="1:15" x14ac:dyDescent="0.25">
      <c r="A62" s="79" t="s">
        <v>2</v>
      </c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101"/>
    </row>
    <row r="63" spans="1:15" x14ac:dyDescent="0.25">
      <c r="A63" s="80" t="s">
        <v>136</v>
      </c>
      <c r="B63" s="80" t="s">
        <v>136</v>
      </c>
      <c r="C63" s="93">
        <v>1607.2</v>
      </c>
      <c r="D63" s="93">
        <v>2385.1999999999998</v>
      </c>
      <c r="E63" s="93">
        <v>2264.5</v>
      </c>
      <c r="F63" s="93">
        <v>886.4</v>
      </c>
      <c r="G63" s="93">
        <v>10.1</v>
      </c>
      <c r="H63" s="93">
        <v>-456.5</v>
      </c>
      <c r="I63" s="93">
        <v>190.6</v>
      </c>
      <c r="J63" s="93">
        <v>77.099999999999994</v>
      </c>
      <c r="K63" s="93">
        <v>266.2</v>
      </c>
      <c r="L63" s="93">
        <v>662.2</v>
      </c>
      <c r="M63" s="93">
        <v>829.3</v>
      </c>
      <c r="N63" s="93">
        <v>1146.5999999999999</v>
      </c>
      <c r="O63" s="96"/>
    </row>
    <row r="64" spans="1:15" x14ac:dyDescent="0.25">
      <c r="A64" s="80" t="s">
        <v>176</v>
      </c>
      <c r="B64" s="80" t="s">
        <v>138</v>
      </c>
      <c r="C64" s="94">
        <v>14.825474</v>
      </c>
      <c r="D64" s="94">
        <v>17.204642</v>
      </c>
      <c r="E64" s="94">
        <v>15.045211999999999</v>
      </c>
      <c r="F64" s="94">
        <v>7.8466779999999998</v>
      </c>
      <c r="G64" s="94">
        <v>0.15196899999999999</v>
      </c>
      <c r="H64" s="94">
        <v>-12.480862</v>
      </c>
      <c r="I64" s="94">
        <v>4.3316210000000002</v>
      </c>
      <c r="J64" s="94">
        <v>2.119996</v>
      </c>
      <c r="K64" s="94">
        <v>6.113918</v>
      </c>
      <c r="L64" s="94">
        <v>10.579458000000001</v>
      </c>
      <c r="M64" s="94">
        <v>10.334085</v>
      </c>
      <c r="N64" s="94">
        <v>10.593126</v>
      </c>
      <c r="O64" s="97"/>
    </row>
    <row r="65" spans="1:15" x14ac:dyDescent="0.25">
      <c r="A65" s="80" t="s">
        <v>175</v>
      </c>
      <c r="B65" s="80" t="s">
        <v>174</v>
      </c>
      <c r="C65" s="93">
        <v>0</v>
      </c>
      <c r="D65" s="93">
        <v>0</v>
      </c>
      <c r="E65" s="93">
        <v>0</v>
      </c>
      <c r="F65" s="93">
        <v>0</v>
      </c>
      <c r="G65" s="93" t="s">
        <v>36</v>
      </c>
      <c r="H65" s="93" t="s">
        <v>36</v>
      </c>
      <c r="I65" s="93" t="s">
        <v>36</v>
      </c>
      <c r="J65" s="93" t="s">
        <v>36</v>
      </c>
      <c r="K65" s="93">
        <v>96.5</v>
      </c>
      <c r="L65" s="93">
        <v>9.4</v>
      </c>
      <c r="M65" s="93">
        <v>244.1</v>
      </c>
      <c r="N65" s="93">
        <v>70.900000000000006</v>
      </c>
      <c r="O65" s="96"/>
    </row>
    <row r="66" spans="1:15" x14ac:dyDescent="0.25">
      <c r="A66" s="80" t="s">
        <v>173</v>
      </c>
      <c r="B66" s="80" t="s">
        <v>172</v>
      </c>
      <c r="C66" s="93" t="s">
        <v>36</v>
      </c>
      <c r="D66" s="93" t="s">
        <v>36</v>
      </c>
      <c r="E66" s="93">
        <v>9.4</v>
      </c>
      <c r="F66" s="93">
        <v>9.9</v>
      </c>
      <c r="G66" s="93" t="s">
        <v>36</v>
      </c>
      <c r="H66" s="93" t="s">
        <v>36</v>
      </c>
      <c r="I66" s="93">
        <v>2.8</v>
      </c>
      <c r="J66" s="93" t="s">
        <v>36</v>
      </c>
      <c r="K66" s="93" t="s">
        <v>36</v>
      </c>
      <c r="L66" s="93">
        <v>6.7</v>
      </c>
      <c r="M66" s="93">
        <v>0.6</v>
      </c>
      <c r="N66" s="93">
        <v>12.3</v>
      </c>
      <c r="O66" s="96"/>
    </row>
    <row r="67" spans="1:15" x14ac:dyDescent="0.25">
      <c r="A67" s="80" t="s">
        <v>171</v>
      </c>
      <c r="B67" s="80" t="s">
        <v>170</v>
      </c>
      <c r="C67" s="93">
        <v>-477.7</v>
      </c>
      <c r="D67" s="93">
        <v>-688.9</v>
      </c>
      <c r="E67" s="93">
        <v>-1274.0999999999999</v>
      </c>
      <c r="F67" s="93">
        <v>1315.7</v>
      </c>
      <c r="G67" s="93">
        <v>1869.9</v>
      </c>
      <c r="H67" s="93">
        <v>1135</v>
      </c>
      <c r="I67" s="93">
        <v>690.2</v>
      </c>
      <c r="J67" s="93">
        <v>-1.4</v>
      </c>
      <c r="K67" s="93">
        <v>-327</v>
      </c>
      <c r="L67" s="93">
        <v>-1287.3</v>
      </c>
      <c r="M67" s="93">
        <v>-761.6</v>
      </c>
      <c r="N67" s="93">
        <v>644.29999999999995</v>
      </c>
      <c r="O67" s="96"/>
    </row>
    <row r="68" spans="1:15" x14ac:dyDescent="0.25">
      <c r="A68" s="80" t="s">
        <v>169</v>
      </c>
      <c r="B68" s="80" t="s">
        <v>168</v>
      </c>
      <c r="C68" s="93">
        <v>-475.60552799999999</v>
      </c>
      <c r="D68" s="93">
        <v>-686.17982800000004</v>
      </c>
      <c r="E68" s="93">
        <v>-1262.990307</v>
      </c>
      <c r="F68" s="93" t="s">
        <v>36</v>
      </c>
      <c r="G68" s="93" t="s">
        <v>36</v>
      </c>
      <c r="H68" s="93" t="s">
        <v>36</v>
      </c>
      <c r="I68" s="93" t="s">
        <v>36</v>
      </c>
      <c r="J68" s="93" t="s">
        <v>36</v>
      </c>
      <c r="K68" s="93" t="s">
        <v>36</v>
      </c>
      <c r="L68" s="93">
        <v>-1283.7126330000001</v>
      </c>
      <c r="M68" s="93">
        <v>-761.6</v>
      </c>
      <c r="N68" s="93">
        <v>644.29999999999995</v>
      </c>
      <c r="O68" s="96"/>
    </row>
    <row r="69" spans="1:15" x14ac:dyDescent="0.25">
      <c r="A69" s="80" t="s">
        <v>167</v>
      </c>
      <c r="B69" s="80" t="s">
        <v>166</v>
      </c>
      <c r="C69" s="93">
        <v>-13.4</v>
      </c>
      <c r="D69" s="93">
        <v>703.5</v>
      </c>
      <c r="E69" s="93">
        <v>-161.30000000000001</v>
      </c>
      <c r="F69" s="93">
        <v>-400.5</v>
      </c>
      <c r="G69" s="93">
        <v>1246.8</v>
      </c>
      <c r="H69" s="93">
        <v>666.3</v>
      </c>
      <c r="I69" s="93">
        <v>-311.89999999999998</v>
      </c>
      <c r="J69" s="93">
        <v>-490.7</v>
      </c>
      <c r="K69" s="93">
        <v>421.4</v>
      </c>
      <c r="L69" s="93">
        <v>-324.5</v>
      </c>
      <c r="M69" s="93">
        <v>-130.9</v>
      </c>
      <c r="N69" s="93">
        <v>834.8</v>
      </c>
      <c r="O69" s="96"/>
    </row>
    <row r="70" spans="1:15" x14ac:dyDescent="0.25">
      <c r="A70" s="80" t="s">
        <v>165</v>
      </c>
      <c r="B70" s="80" t="s">
        <v>164</v>
      </c>
      <c r="C70" s="94">
        <v>-1.1538649999999999</v>
      </c>
      <c r="D70" s="94">
        <v>-2.2065980000000001</v>
      </c>
      <c r="E70" s="94">
        <v>-4.0732100000000004</v>
      </c>
      <c r="F70" s="94">
        <v>4.1887930000000004</v>
      </c>
      <c r="G70" s="94">
        <v>5.9230280000000004</v>
      </c>
      <c r="H70" s="94">
        <v>3.5815709999999998</v>
      </c>
      <c r="I70" s="94">
        <v>2.1697579999999999</v>
      </c>
      <c r="J70" s="94">
        <v>-4.398E-3</v>
      </c>
      <c r="K70" s="94">
        <v>-1.027979</v>
      </c>
      <c r="L70" s="94">
        <v>-3.9965850000000001</v>
      </c>
      <c r="M70" s="94">
        <v>-2.2367110000000001</v>
      </c>
      <c r="N70" s="94">
        <v>1.7589410000000001</v>
      </c>
      <c r="O70" s="97"/>
    </row>
    <row r="71" spans="1:15" x14ac:dyDescent="0.25">
      <c r="A71" s="80" t="s">
        <v>163</v>
      </c>
      <c r="B71" s="80" t="s">
        <v>162</v>
      </c>
      <c r="C71" s="94" t="s">
        <v>36</v>
      </c>
      <c r="D71" s="94" t="s">
        <v>36</v>
      </c>
      <c r="E71" s="94" t="s">
        <v>36</v>
      </c>
      <c r="F71" s="94">
        <v>3.05816</v>
      </c>
      <c r="G71" s="94">
        <v>2.1981999999999999</v>
      </c>
      <c r="H71" s="94">
        <v>3.1857519999999999</v>
      </c>
      <c r="I71" s="94">
        <v>5.1249960000000003</v>
      </c>
      <c r="J71" s="94" t="s">
        <v>36</v>
      </c>
      <c r="K71" s="94" t="s">
        <v>36</v>
      </c>
      <c r="L71" s="94" t="s">
        <v>36</v>
      </c>
      <c r="M71" s="94" t="s">
        <v>36</v>
      </c>
      <c r="N71" s="94">
        <v>16.691863999999999</v>
      </c>
      <c r="O71" s="97"/>
    </row>
    <row r="72" spans="1:15" x14ac:dyDescent="0.25">
      <c r="A72" s="80" t="s">
        <v>161</v>
      </c>
      <c r="B72" s="80" t="s">
        <v>160</v>
      </c>
      <c r="C72" s="94">
        <v>-0.43328899999999998</v>
      </c>
      <c r="D72" s="94">
        <v>-0.422101</v>
      </c>
      <c r="E72" s="94">
        <v>-0.96553999999999995</v>
      </c>
      <c r="F72" s="94" t="s">
        <v>36</v>
      </c>
      <c r="G72" s="94" t="s">
        <v>36</v>
      </c>
      <c r="H72" s="94" t="s">
        <v>36</v>
      </c>
      <c r="I72" s="94">
        <v>2.8943289999999999</v>
      </c>
      <c r="J72" s="94">
        <v>0.20752100000000001</v>
      </c>
      <c r="K72" s="94">
        <v>-0.306807</v>
      </c>
      <c r="L72" s="94">
        <v>-2.6567970000000001</v>
      </c>
      <c r="M72" s="94">
        <v>-1.239738</v>
      </c>
      <c r="N72" s="94">
        <v>0.93299600000000005</v>
      </c>
      <c r="O72" s="97"/>
    </row>
    <row r="73" spans="1:15" x14ac:dyDescent="0.25">
      <c r="A73" s="87" t="s">
        <v>159</v>
      </c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zoomScale="55" zoomScaleNormal="55" workbookViewId="0">
      <selection activeCell="R7" sqref="R7"/>
    </sheetView>
  </sheetViews>
  <sheetFormatPr defaultRowHeight="15" x14ac:dyDescent="0.25"/>
  <cols>
    <col min="1" max="1" width="35.140625" customWidth="1"/>
    <col min="2" max="2" width="0" hidden="1" customWidth="1"/>
    <col min="3" max="18" width="11.85546875" customWidth="1"/>
  </cols>
  <sheetData>
    <row r="1" spans="1:18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</row>
    <row r="2" spans="1:18" ht="20.25" x14ac:dyDescent="0.25">
      <c r="A2" s="88" t="s">
        <v>267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</row>
    <row r="3" spans="1:18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</row>
    <row r="4" spans="1:18" x14ac:dyDescent="0.25">
      <c r="A4" s="74" t="s">
        <v>5</v>
      </c>
      <c r="B4" s="74"/>
      <c r="C4" s="75" t="s">
        <v>459</v>
      </c>
      <c r="D4" s="75" t="s">
        <v>458</v>
      </c>
      <c r="E4" s="75" t="s">
        <v>457</v>
      </c>
      <c r="F4" s="75" t="s">
        <v>456</v>
      </c>
      <c r="G4" s="75" t="s">
        <v>455</v>
      </c>
      <c r="H4" s="75" t="s">
        <v>454</v>
      </c>
      <c r="I4" s="75" t="s">
        <v>453</v>
      </c>
      <c r="J4" s="75" t="s">
        <v>452</v>
      </c>
      <c r="K4" s="75" t="s">
        <v>451</v>
      </c>
      <c r="L4" s="75" t="s">
        <v>450</v>
      </c>
      <c r="M4" s="75" t="s">
        <v>449</v>
      </c>
      <c r="N4" s="75" t="s">
        <v>448</v>
      </c>
      <c r="O4" s="75" t="s">
        <v>447</v>
      </c>
      <c r="P4" s="75" t="s">
        <v>446</v>
      </c>
      <c r="Q4" s="75" t="s">
        <v>445</v>
      </c>
      <c r="R4" s="75" t="s">
        <v>444</v>
      </c>
    </row>
    <row r="5" spans="1:18" x14ac:dyDescent="0.25">
      <c r="A5" s="76" t="s">
        <v>443</v>
      </c>
      <c r="B5" s="76"/>
      <c r="C5" s="77" t="s">
        <v>28</v>
      </c>
      <c r="D5" s="77" t="s">
        <v>442</v>
      </c>
      <c r="E5" s="77" t="s">
        <v>441</v>
      </c>
      <c r="F5" s="77" t="s">
        <v>440</v>
      </c>
      <c r="G5" s="77" t="s">
        <v>29</v>
      </c>
      <c r="H5" s="77" t="s">
        <v>439</v>
      </c>
      <c r="I5" s="77" t="s">
        <v>438</v>
      </c>
      <c r="J5" s="77" t="s">
        <v>437</v>
      </c>
      <c r="K5" s="77" t="s">
        <v>30</v>
      </c>
      <c r="L5" s="77" t="s">
        <v>436</v>
      </c>
      <c r="M5" s="77" t="s">
        <v>435</v>
      </c>
      <c r="N5" s="77" t="s">
        <v>434</v>
      </c>
      <c r="O5" s="77" t="s">
        <v>31</v>
      </c>
      <c r="P5" s="77" t="s">
        <v>433</v>
      </c>
      <c r="Q5" s="77" t="s">
        <v>432</v>
      </c>
      <c r="R5" s="77" t="s">
        <v>32</v>
      </c>
    </row>
    <row r="6" spans="1:18" x14ac:dyDescent="0.25">
      <c r="A6" s="79" t="s">
        <v>368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</row>
    <row r="7" spans="1:18" x14ac:dyDescent="0.25">
      <c r="A7" s="80" t="s">
        <v>427</v>
      </c>
      <c r="B7" s="80" t="s">
        <v>426</v>
      </c>
      <c r="C7" s="93">
        <v>1345.7</v>
      </c>
      <c r="D7" s="93">
        <v>663.6</v>
      </c>
      <c r="E7" s="93">
        <v>1150.5</v>
      </c>
      <c r="F7" s="93">
        <v>638</v>
      </c>
      <c r="G7" s="93">
        <v>977.4</v>
      </c>
      <c r="H7" s="93">
        <v>820.1</v>
      </c>
      <c r="I7" s="93">
        <v>951.4</v>
      </c>
      <c r="J7" s="93">
        <v>575</v>
      </c>
      <c r="K7" s="93">
        <v>661.8</v>
      </c>
      <c r="L7" s="93">
        <v>541</v>
      </c>
      <c r="M7" s="93">
        <v>697.7</v>
      </c>
      <c r="N7" s="93">
        <v>805.6</v>
      </c>
      <c r="O7" s="93">
        <v>1383.8</v>
      </c>
      <c r="P7" s="93">
        <v>1268.7</v>
      </c>
      <c r="Q7" s="93">
        <v>1224.0999999999999</v>
      </c>
      <c r="R7" s="93">
        <v>906.8</v>
      </c>
    </row>
    <row r="8" spans="1:18" x14ac:dyDescent="0.25">
      <c r="A8" s="80" t="s">
        <v>425</v>
      </c>
      <c r="B8" s="80" t="s">
        <v>424</v>
      </c>
      <c r="C8" s="93">
        <v>1047.7</v>
      </c>
      <c r="D8" s="93">
        <v>566.9</v>
      </c>
      <c r="E8" s="93">
        <v>1150.5</v>
      </c>
      <c r="F8" s="93">
        <v>638</v>
      </c>
      <c r="G8" s="93">
        <v>977.4</v>
      </c>
      <c r="H8" s="93">
        <v>820.1</v>
      </c>
      <c r="I8" s="93">
        <v>951.4</v>
      </c>
      <c r="J8" s="93">
        <v>575</v>
      </c>
      <c r="K8" s="93">
        <v>661.8</v>
      </c>
      <c r="L8" s="93">
        <v>541</v>
      </c>
      <c r="M8" s="93">
        <v>697.7</v>
      </c>
      <c r="N8" s="93">
        <v>805.6</v>
      </c>
      <c r="O8" s="93">
        <v>1383.8</v>
      </c>
      <c r="P8" s="93">
        <v>1268.7</v>
      </c>
      <c r="Q8" s="93">
        <v>1224.0999999999999</v>
      </c>
      <c r="R8" s="93">
        <v>906.8</v>
      </c>
    </row>
    <row r="9" spans="1:18" x14ac:dyDescent="0.25">
      <c r="A9" s="80" t="s">
        <v>423</v>
      </c>
      <c r="B9" s="80" t="s">
        <v>422</v>
      </c>
      <c r="C9" s="93">
        <v>298</v>
      </c>
      <c r="D9" s="93">
        <v>96.7</v>
      </c>
      <c r="E9" s="93">
        <v>0</v>
      </c>
      <c r="F9" s="93">
        <v>0</v>
      </c>
      <c r="G9" s="93">
        <v>0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  <c r="P9" s="93">
        <v>0</v>
      </c>
      <c r="Q9" s="93">
        <v>0</v>
      </c>
      <c r="R9" s="93">
        <v>0</v>
      </c>
    </row>
    <row r="10" spans="1:18" x14ac:dyDescent="0.25">
      <c r="A10" s="80" t="s">
        <v>421</v>
      </c>
      <c r="B10" s="80" t="s">
        <v>420</v>
      </c>
      <c r="C10" s="93">
        <v>0</v>
      </c>
      <c r="D10" s="93">
        <v>0</v>
      </c>
      <c r="E10" s="93">
        <v>0</v>
      </c>
      <c r="F10" s="93">
        <v>0</v>
      </c>
      <c r="G10" s="93">
        <v>0</v>
      </c>
      <c r="H10" s="93">
        <v>0</v>
      </c>
      <c r="I10" s="93">
        <v>0</v>
      </c>
      <c r="J10" s="93">
        <v>0</v>
      </c>
      <c r="K10" s="93">
        <v>0</v>
      </c>
      <c r="L10" s="93">
        <v>0</v>
      </c>
      <c r="M10" s="93">
        <v>0</v>
      </c>
      <c r="N10" s="93">
        <v>0</v>
      </c>
      <c r="O10" s="93">
        <v>0</v>
      </c>
      <c r="P10" s="93">
        <v>0</v>
      </c>
      <c r="Q10" s="93">
        <v>0</v>
      </c>
      <c r="R10" s="93">
        <v>0</v>
      </c>
    </row>
    <row r="11" spans="1:18" x14ac:dyDescent="0.25">
      <c r="A11" s="80" t="s">
        <v>419</v>
      </c>
      <c r="B11" s="80" t="s">
        <v>418</v>
      </c>
      <c r="C11" s="93">
        <v>0</v>
      </c>
      <c r="D11" s="93">
        <v>0</v>
      </c>
      <c r="E11" s="93">
        <v>0</v>
      </c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</row>
    <row r="12" spans="1:18" x14ac:dyDescent="0.25">
      <c r="A12" s="80" t="s">
        <v>417</v>
      </c>
      <c r="B12" s="80" t="s">
        <v>416</v>
      </c>
      <c r="C12" s="93">
        <v>0</v>
      </c>
      <c r="D12" s="93">
        <v>0</v>
      </c>
      <c r="E12" s="93">
        <v>0</v>
      </c>
      <c r="F12" s="93">
        <v>0</v>
      </c>
      <c r="G12" s="93">
        <v>0</v>
      </c>
      <c r="H12" s="93">
        <v>0</v>
      </c>
      <c r="I12" s="93">
        <v>0</v>
      </c>
      <c r="J12" s="93">
        <v>0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  <c r="P12" s="93">
        <v>0</v>
      </c>
      <c r="Q12" s="93">
        <v>0</v>
      </c>
      <c r="R12" s="93">
        <v>0</v>
      </c>
    </row>
    <row r="13" spans="1:18" x14ac:dyDescent="0.25">
      <c r="A13" s="80" t="s">
        <v>415</v>
      </c>
      <c r="B13" s="80" t="s">
        <v>414</v>
      </c>
      <c r="C13" s="93">
        <v>4165.2</v>
      </c>
      <c r="D13" s="93">
        <v>5015.1000000000004</v>
      </c>
      <c r="E13" s="93">
        <v>5324.1</v>
      </c>
      <c r="F13" s="93">
        <v>5911.5</v>
      </c>
      <c r="G13" s="93">
        <v>6197.4</v>
      </c>
      <c r="H13" s="93">
        <v>6496.1</v>
      </c>
      <c r="I13" s="93">
        <v>6783.6</v>
      </c>
      <c r="J13" s="93">
        <v>7375.6</v>
      </c>
      <c r="K13" s="93">
        <v>7700.5</v>
      </c>
      <c r="L13" s="93">
        <v>7989.3</v>
      </c>
      <c r="M13" s="93">
        <v>8136.9</v>
      </c>
      <c r="N13" s="93">
        <v>8111.2</v>
      </c>
      <c r="O13" s="93">
        <v>7807</v>
      </c>
      <c r="P13" s="93">
        <v>8088.2</v>
      </c>
      <c r="Q13" s="93">
        <v>8216.6</v>
      </c>
      <c r="R13" s="93">
        <v>8504.2000000000007</v>
      </c>
    </row>
    <row r="14" spans="1:18" x14ac:dyDescent="0.25">
      <c r="A14" s="80" t="s">
        <v>413</v>
      </c>
      <c r="B14" s="80" t="s">
        <v>412</v>
      </c>
      <c r="C14" s="93">
        <v>2482.5</v>
      </c>
      <c r="D14" s="93">
        <v>3105.6</v>
      </c>
      <c r="E14" s="93">
        <v>3207.9</v>
      </c>
      <c r="F14" s="93">
        <v>3536.7</v>
      </c>
      <c r="G14" s="93">
        <v>3699.4</v>
      </c>
      <c r="H14" s="93">
        <v>3774.3</v>
      </c>
      <c r="I14" s="93">
        <v>3919.4</v>
      </c>
      <c r="J14" s="93">
        <v>3993.4</v>
      </c>
      <c r="K14" s="93">
        <v>4159.2</v>
      </c>
      <c r="L14" s="93">
        <v>4269.6000000000004</v>
      </c>
      <c r="M14" s="93">
        <v>4221.1000000000004</v>
      </c>
      <c r="N14" s="93">
        <v>4295.8999999999996</v>
      </c>
      <c r="O14" s="93">
        <v>4305.8</v>
      </c>
      <c r="P14" s="93">
        <v>4295.6000000000004</v>
      </c>
      <c r="Q14" s="93">
        <v>4062.8</v>
      </c>
      <c r="R14" s="93">
        <v>4132.8</v>
      </c>
    </row>
    <row r="15" spans="1:18" x14ac:dyDescent="0.25">
      <c r="A15" s="80" t="s">
        <v>411</v>
      </c>
      <c r="B15" s="80" t="s">
        <v>410</v>
      </c>
      <c r="C15" s="93">
        <v>1682.7</v>
      </c>
      <c r="D15" s="93">
        <v>1909.5</v>
      </c>
      <c r="E15" s="93">
        <v>2116.1999999999998</v>
      </c>
      <c r="F15" s="93">
        <v>2374.8000000000002</v>
      </c>
      <c r="G15" s="93">
        <v>2498</v>
      </c>
      <c r="H15" s="93">
        <v>2721.8</v>
      </c>
      <c r="I15" s="93">
        <v>2864.2</v>
      </c>
      <c r="J15" s="93">
        <v>3382.2</v>
      </c>
      <c r="K15" s="93">
        <v>3541.3</v>
      </c>
      <c r="L15" s="93">
        <v>3719.7</v>
      </c>
      <c r="M15" s="93">
        <v>3915.8</v>
      </c>
      <c r="N15" s="93">
        <v>3815.3</v>
      </c>
      <c r="O15" s="93">
        <v>3501.2</v>
      </c>
      <c r="P15" s="93">
        <v>3792.6</v>
      </c>
      <c r="Q15" s="93">
        <v>4153.8</v>
      </c>
      <c r="R15" s="93">
        <v>4371.3999999999996</v>
      </c>
    </row>
    <row r="16" spans="1:18" x14ac:dyDescent="0.25">
      <c r="A16" s="80" t="s">
        <v>409</v>
      </c>
      <c r="B16" s="80" t="s">
        <v>408</v>
      </c>
      <c r="C16" s="93">
        <v>0</v>
      </c>
      <c r="D16" s="93">
        <v>0</v>
      </c>
      <c r="E16" s="93">
        <v>0</v>
      </c>
      <c r="F16" s="93">
        <v>0</v>
      </c>
      <c r="G16" s="93">
        <v>0</v>
      </c>
      <c r="H16" s="93">
        <v>0</v>
      </c>
      <c r="I16" s="93">
        <v>0</v>
      </c>
      <c r="J16" s="93">
        <v>0</v>
      </c>
      <c r="K16" s="93">
        <v>0</v>
      </c>
      <c r="L16" s="93">
        <v>0</v>
      </c>
      <c r="M16" s="93">
        <v>0</v>
      </c>
      <c r="N16" s="93">
        <v>0</v>
      </c>
      <c r="O16" s="93">
        <v>0</v>
      </c>
      <c r="P16" s="93">
        <v>0</v>
      </c>
      <c r="Q16" s="93">
        <v>0</v>
      </c>
      <c r="R16" s="93">
        <v>0</v>
      </c>
    </row>
    <row r="17" spans="1:18" x14ac:dyDescent="0.25">
      <c r="A17" s="80" t="s">
        <v>407</v>
      </c>
      <c r="B17" s="80" t="s">
        <v>406</v>
      </c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3">
        <v>0</v>
      </c>
      <c r="R17" s="93">
        <v>0</v>
      </c>
    </row>
    <row r="18" spans="1:18" x14ac:dyDescent="0.25">
      <c r="A18" s="80" t="s">
        <v>405</v>
      </c>
      <c r="B18" s="80" t="s">
        <v>404</v>
      </c>
      <c r="C18" s="93">
        <v>63.7</v>
      </c>
      <c r="D18" s="93">
        <v>54.8</v>
      </c>
      <c r="E18" s="93">
        <v>54.5</v>
      </c>
      <c r="F18" s="93">
        <v>68.599999999999994</v>
      </c>
      <c r="G18" s="93">
        <v>77.8</v>
      </c>
      <c r="H18" s="93">
        <v>81.099999999999994</v>
      </c>
      <c r="I18" s="93">
        <v>79.8</v>
      </c>
      <c r="J18" s="93">
        <v>20.100000000000001</v>
      </c>
      <c r="K18" s="93">
        <v>10</v>
      </c>
      <c r="L18" s="93">
        <v>9.6</v>
      </c>
      <c r="M18" s="93">
        <v>10.4</v>
      </c>
      <c r="N18" s="93">
        <v>11.7</v>
      </c>
      <c r="O18" s="93">
        <v>9.6999999999999993</v>
      </c>
      <c r="P18" s="93">
        <v>9.6999999999999993</v>
      </c>
      <c r="Q18" s="93">
        <v>11.4</v>
      </c>
      <c r="R18" s="93">
        <v>11.8</v>
      </c>
    </row>
    <row r="19" spans="1:18" x14ac:dyDescent="0.25">
      <c r="A19" s="80" t="s">
        <v>431</v>
      </c>
      <c r="B19" s="80" t="s">
        <v>430</v>
      </c>
      <c r="C19" s="93" t="s">
        <v>36</v>
      </c>
      <c r="D19" s="93" t="s">
        <v>36</v>
      </c>
      <c r="E19" s="93">
        <v>34.4</v>
      </c>
      <c r="F19" s="93">
        <v>31.2</v>
      </c>
      <c r="G19" s="93" t="s">
        <v>36</v>
      </c>
      <c r="H19" s="93" t="s">
        <v>36</v>
      </c>
      <c r="I19" s="93" t="s">
        <v>36</v>
      </c>
      <c r="J19" s="93" t="s">
        <v>36</v>
      </c>
      <c r="K19" s="93" t="s">
        <v>36</v>
      </c>
      <c r="L19" s="93" t="s">
        <v>36</v>
      </c>
      <c r="M19" s="93" t="s">
        <v>36</v>
      </c>
      <c r="N19" s="93" t="s">
        <v>36</v>
      </c>
      <c r="O19" s="93" t="s">
        <v>36</v>
      </c>
      <c r="P19" s="93" t="s">
        <v>36</v>
      </c>
      <c r="Q19" s="93" t="s">
        <v>36</v>
      </c>
      <c r="R19" s="93" t="s">
        <v>36</v>
      </c>
    </row>
    <row r="20" spans="1:18" x14ac:dyDescent="0.25">
      <c r="A20" s="80" t="s">
        <v>374</v>
      </c>
      <c r="B20" s="80" t="s">
        <v>403</v>
      </c>
      <c r="C20" s="93">
        <v>0</v>
      </c>
      <c r="D20" s="93" t="s">
        <v>36</v>
      </c>
      <c r="E20" s="93" t="s">
        <v>36</v>
      </c>
      <c r="F20" s="93" t="s">
        <v>36</v>
      </c>
      <c r="G20" s="93">
        <v>0</v>
      </c>
      <c r="H20" s="93" t="s">
        <v>36</v>
      </c>
      <c r="I20" s="93" t="s">
        <v>36</v>
      </c>
      <c r="J20" s="93" t="s">
        <v>36</v>
      </c>
      <c r="K20" s="93">
        <v>0</v>
      </c>
      <c r="L20" s="93" t="s">
        <v>36</v>
      </c>
      <c r="M20" s="93" t="s">
        <v>36</v>
      </c>
      <c r="N20" s="93" t="s">
        <v>36</v>
      </c>
      <c r="O20" s="93" t="s">
        <v>36</v>
      </c>
      <c r="P20" s="93" t="s">
        <v>36</v>
      </c>
      <c r="Q20" s="93" t="s">
        <v>36</v>
      </c>
      <c r="R20" s="93" t="s">
        <v>36</v>
      </c>
    </row>
    <row r="21" spans="1:18" x14ac:dyDescent="0.25">
      <c r="A21" s="80" t="s">
        <v>402</v>
      </c>
      <c r="B21" s="80" t="s">
        <v>401</v>
      </c>
      <c r="C21" s="93">
        <v>14.4</v>
      </c>
      <c r="D21" s="93" t="s">
        <v>36</v>
      </c>
      <c r="E21" s="93" t="s">
        <v>36</v>
      </c>
      <c r="F21" s="93" t="s">
        <v>36</v>
      </c>
      <c r="G21" s="93" t="s">
        <v>36</v>
      </c>
      <c r="H21" s="93" t="s">
        <v>36</v>
      </c>
      <c r="I21" s="93" t="s">
        <v>36</v>
      </c>
      <c r="J21" s="93" t="s">
        <v>36</v>
      </c>
      <c r="K21" s="93" t="s">
        <v>36</v>
      </c>
      <c r="L21" s="93" t="s">
        <v>36</v>
      </c>
      <c r="M21" s="93" t="s">
        <v>36</v>
      </c>
      <c r="N21" s="93" t="s">
        <v>36</v>
      </c>
      <c r="O21" s="93" t="s">
        <v>36</v>
      </c>
      <c r="P21" s="93" t="s">
        <v>36</v>
      </c>
      <c r="Q21" s="93" t="s">
        <v>36</v>
      </c>
      <c r="R21" s="93" t="s">
        <v>36</v>
      </c>
    </row>
    <row r="22" spans="1:18" x14ac:dyDescent="0.25">
      <c r="A22" s="80" t="s">
        <v>400</v>
      </c>
      <c r="B22" s="80" t="s">
        <v>399</v>
      </c>
      <c r="C22" s="93">
        <v>49.3</v>
      </c>
      <c r="D22" s="93">
        <v>54.8</v>
      </c>
      <c r="E22" s="93">
        <v>20.100000000000001</v>
      </c>
      <c r="F22" s="93">
        <v>37.4</v>
      </c>
      <c r="G22" s="93">
        <v>77.8</v>
      </c>
      <c r="H22" s="93">
        <v>81.099999999999994</v>
      </c>
      <c r="I22" s="93">
        <v>79.8</v>
      </c>
      <c r="J22" s="93">
        <v>20.100000000000001</v>
      </c>
      <c r="K22" s="93">
        <v>10</v>
      </c>
      <c r="L22" s="93">
        <v>9.6</v>
      </c>
      <c r="M22" s="93">
        <v>10.4</v>
      </c>
      <c r="N22" s="93">
        <v>11.7</v>
      </c>
      <c r="O22" s="93">
        <v>9.6999999999999993</v>
      </c>
      <c r="P22" s="93">
        <v>9.6999999999999993</v>
      </c>
      <c r="Q22" s="93">
        <v>11.4</v>
      </c>
      <c r="R22" s="93">
        <v>11.8</v>
      </c>
    </row>
    <row r="23" spans="1:18" x14ac:dyDescent="0.25">
      <c r="A23" s="79" t="s">
        <v>398</v>
      </c>
      <c r="B23" s="79" t="s">
        <v>397</v>
      </c>
      <c r="C23" s="99">
        <v>5574.6</v>
      </c>
      <c r="D23" s="99">
        <v>5733.5</v>
      </c>
      <c r="E23" s="99">
        <v>6529.1</v>
      </c>
      <c r="F23" s="99">
        <v>6618.1</v>
      </c>
      <c r="G23" s="99">
        <v>7252.6</v>
      </c>
      <c r="H23" s="99">
        <v>7397.3</v>
      </c>
      <c r="I23" s="99">
        <v>7814.8</v>
      </c>
      <c r="J23" s="99">
        <v>7970.7</v>
      </c>
      <c r="K23" s="99">
        <v>8372.2999999999993</v>
      </c>
      <c r="L23" s="99">
        <v>8539.9</v>
      </c>
      <c r="M23" s="99">
        <v>8845</v>
      </c>
      <c r="N23" s="99">
        <v>8928.5</v>
      </c>
      <c r="O23" s="99">
        <v>9200.5</v>
      </c>
      <c r="P23" s="99">
        <v>9366.6</v>
      </c>
      <c r="Q23" s="99">
        <v>9452.1</v>
      </c>
      <c r="R23" s="99">
        <v>9422.7999999999993</v>
      </c>
    </row>
    <row r="24" spans="1:18" x14ac:dyDescent="0.25">
      <c r="A24" s="80" t="s">
        <v>396</v>
      </c>
      <c r="B24" s="80" t="s">
        <v>395</v>
      </c>
      <c r="C24" s="93">
        <v>72.599999999999994</v>
      </c>
      <c r="D24" s="93">
        <v>81.900000000000006</v>
      </c>
      <c r="E24" s="93">
        <v>87.1</v>
      </c>
      <c r="F24" s="93">
        <v>96.1</v>
      </c>
      <c r="G24" s="93">
        <v>106.7</v>
      </c>
      <c r="H24" s="93">
        <v>117.5</v>
      </c>
      <c r="I24" s="93">
        <v>123.3</v>
      </c>
      <c r="J24" s="93">
        <v>132.9</v>
      </c>
      <c r="K24" s="93">
        <v>190.8</v>
      </c>
      <c r="L24" s="93">
        <v>190.7</v>
      </c>
      <c r="M24" s="93">
        <v>193.8</v>
      </c>
      <c r="N24" s="93">
        <v>199.3</v>
      </c>
      <c r="O24" s="93">
        <v>144</v>
      </c>
      <c r="P24" s="93">
        <v>147.6</v>
      </c>
      <c r="Q24" s="93">
        <v>149.5</v>
      </c>
      <c r="R24" s="93">
        <v>151.69999999999999</v>
      </c>
    </row>
    <row r="25" spans="1:18" x14ac:dyDescent="0.25">
      <c r="A25" s="80" t="s">
        <v>394</v>
      </c>
      <c r="B25" s="80" t="s">
        <v>393</v>
      </c>
      <c r="C25" s="93">
        <v>194.2</v>
      </c>
      <c r="D25" s="93" t="s">
        <v>36</v>
      </c>
      <c r="E25" s="93" t="s">
        <v>36</v>
      </c>
      <c r="F25" s="93" t="s">
        <v>36</v>
      </c>
      <c r="G25" s="93">
        <v>233.9</v>
      </c>
      <c r="H25" s="93" t="s">
        <v>36</v>
      </c>
      <c r="I25" s="93" t="s">
        <v>36</v>
      </c>
      <c r="J25" s="93" t="s">
        <v>36</v>
      </c>
      <c r="K25" s="93">
        <v>331.9</v>
      </c>
      <c r="L25" s="93" t="s">
        <v>36</v>
      </c>
      <c r="M25" s="93" t="s">
        <v>36</v>
      </c>
      <c r="N25" s="93" t="s">
        <v>36</v>
      </c>
      <c r="O25" s="93">
        <v>310.89999999999998</v>
      </c>
      <c r="P25" s="93" t="s">
        <v>36</v>
      </c>
      <c r="Q25" s="93" t="s">
        <v>36</v>
      </c>
      <c r="R25" s="93" t="s">
        <v>36</v>
      </c>
    </row>
    <row r="26" spans="1:18" x14ac:dyDescent="0.25">
      <c r="A26" s="80" t="s">
        <v>392</v>
      </c>
      <c r="B26" s="80" t="s">
        <v>391</v>
      </c>
      <c r="C26" s="93">
        <v>121.6</v>
      </c>
      <c r="D26" s="93" t="s">
        <v>36</v>
      </c>
      <c r="E26" s="93" t="s">
        <v>36</v>
      </c>
      <c r="F26" s="93" t="s">
        <v>36</v>
      </c>
      <c r="G26" s="93">
        <v>127.2</v>
      </c>
      <c r="H26" s="93" t="s">
        <v>36</v>
      </c>
      <c r="I26" s="93" t="s">
        <v>36</v>
      </c>
      <c r="J26" s="93" t="s">
        <v>36</v>
      </c>
      <c r="K26" s="93">
        <v>141.1</v>
      </c>
      <c r="L26" s="93" t="s">
        <v>36</v>
      </c>
      <c r="M26" s="93" t="s">
        <v>36</v>
      </c>
      <c r="N26" s="93" t="s">
        <v>36</v>
      </c>
      <c r="O26" s="93">
        <v>166.9</v>
      </c>
      <c r="P26" s="93" t="s">
        <v>36</v>
      </c>
      <c r="Q26" s="93" t="s">
        <v>36</v>
      </c>
      <c r="R26" s="93" t="s">
        <v>36</v>
      </c>
    </row>
    <row r="27" spans="1:18" x14ac:dyDescent="0.25">
      <c r="A27" s="80" t="s">
        <v>390</v>
      </c>
      <c r="B27" s="80" t="s">
        <v>389</v>
      </c>
      <c r="C27" s="93">
        <v>345.3</v>
      </c>
      <c r="D27" s="93">
        <v>307.89999999999998</v>
      </c>
      <c r="E27" s="93">
        <v>394.3</v>
      </c>
      <c r="F27" s="93">
        <v>358.2</v>
      </c>
      <c r="G27" s="93">
        <v>395.1</v>
      </c>
      <c r="H27" s="93">
        <v>299.8</v>
      </c>
      <c r="I27" s="93">
        <v>342.5</v>
      </c>
      <c r="J27" s="93">
        <v>419.2</v>
      </c>
      <c r="K27" s="93">
        <v>476.9</v>
      </c>
      <c r="L27" s="93">
        <v>453.8</v>
      </c>
      <c r="M27" s="93">
        <v>517.6</v>
      </c>
      <c r="N27" s="93">
        <v>568.4</v>
      </c>
      <c r="O27" s="93">
        <v>631</v>
      </c>
      <c r="P27" s="93">
        <v>524.4</v>
      </c>
      <c r="Q27" s="93">
        <v>616.1</v>
      </c>
      <c r="R27" s="93">
        <v>634.5</v>
      </c>
    </row>
    <row r="28" spans="1:18" x14ac:dyDescent="0.25">
      <c r="A28" s="80" t="s">
        <v>388</v>
      </c>
      <c r="B28" s="80" t="s">
        <v>387</v>
      </c>
      <c r="C28" s="93">
        <v>345.3</v>
      </c>
      <c r="D28" s="93">
        <v>307.89999999999998</v>
      </c>
      <c r="E28" s="93">
        <v>394.3</v>
      </c>
      <c r="F28" s="93">
        <v>358.2</v>
      </c>
      <c r="G28" s="93">
        <v>395.1</v>
      </c>
      <c r="H28" s="93">
        <v>299.8</v>
      </c>
      <c r="I28" s="93">
        <v>342.5</v>
      </c>
      <c r="J28" s="93">
        <v>419.2</v>
      </c>
      <c r="K28" s="93">
        <v>476.9</v>
      </c>
      <c r="L28" s="93">
        <v>453.8</v>
      </c>
      <c r="M28" s="93">
        <v>517.6</v>
      </c>
      <c r="N28" s="93">
        <v>568.4</v>
      </c>
      <c r="O28" s="93">
        <v>631</v>
      </c>
      <c r="P28" s="93">
        <v>524.4</v>
      </c>
      <c r="Q28" s="93">
        <v>616.1</v>
      </c>
      <c r="R28" s="93">
        <v>634.5</v>
      </c>
    </row>
    <row r="29" spans="1:18" x14ac:dyDescent="0.25">
      <c r="A29" s="80" t="s">
        <v>386</v>
      </c>
      <c r="B29" s="80" t="s">
        <v>385</v>
      </c>
      <c r="C29" s="93">
        <v>1255.7</v>
      </c>
      <c r="D29" s="93">
        <v>1224</v>
      </c>
      <c r="E29" s="93">
        <v>1222</v>
      </c>
      <c r="F29" s="93">
        <v>1214.5999999999999</v>
      </c>
      <c r="G29" s="93">
        <v>1102</v>
      </c>
      <c r="H29" s="93">
        <v>1112.5999999999999</v>
      </c>
      <c r="I29" s="93">
        <v>1092.2</v>
      </c>
      <c r="J29" s="93">
        <v>1193.8</v>
      </c>
      <c r="K29" s="93">
        <v>1145.4000000000001</v>
      </c>
      <c r="L29" s="93">
        <v>1154.3</v>
      </c>
      <c r="M29" s="93">
        <v>1156.7</v>
      </c>
      <c r="N29" s="93">
        <v>1167.3</v>
      </c>
      <c r="O29" s="93">
        <v>1175.5</v>
      </c>
      <c r="P29" s="93">
        <v>1140.9000000000001</v>
      </c>
      <c r="Q29" s="93">
        <v>1082.5</v>
      </c>
      <c r="R29" s="93">
        <v>1124.2</v>
      </c>
    </row>
    <row r="30" spans="1:18" x14ac:dyDescent="0.25">
      <c r="A30" s="80" t="s">
        <v>384</v>
      </c>
      <c r="B30" s="80" t="s">
        <v>383</v>
      </c>
      <c r="C30" s="93">
        <v>38.9</v>
      </c>
      <c r="D30" s="93">
        <v>38.9</v>
      </c>
      <c r="E30" s="93">
        <v>38.9</v>
      </c>
      <c r="F30" s="93">
        <v>38.9</v>
      </c>
      <c r="G30" s="93">
        <v>38.9</v>
      </c>
      <c r="H30" s="93">
        <v>41.2</v>
      </c>
      <c r="I30" s="93">
        <v>41.2</v>
      </c>
      <c r="J30" s="93">
        <v>94.8</v>
      </c>
      <c r="K30" s="93">
        <v>94.8</v>
      </c>
      <c r="L30" s="93">
        <v>94.8</v>
      </c>
      <c r="M30" s="93">
        <v>94.8</v>
      </c>
      <c r="N30" s="93">
        <v>97</v>
      </c>
      <c r="O30" s="93">
        <v>87.2</v>
      </c>
      <c r="P30" s="93">
        <v>87.2</v>
      </c>
      <c r="Q30" s="93">
        <v>87.2</v>
      </c>
      <c r="R30" s="93">
        <v>87.2</v>
      </c>
    </row>
    <row r="31" spans="1:18" s="167" customFormat="1" x14ac:dyDescent="0.25">
      <c r="A31" s="168" t="s">
        <v>382</v>
      </c>
      <c r="B31" s="168" t="s">
        <v>381</v>
      </c>
      <c r="C31" s="169">
        <v>38.9</v>
      </c>
      <c r="D31" s="169">
        <v>38.9</v>
      </c>
      <c r="E31" s="169">
        <v>38.9</v>
      </c>
      <c r="F31" s="169">
        <v>38.9</v>
      </c>
      <c r="G31" s="169">
        <v>38.9</v>
      </c>
      <c r="H31" s="169">
        <v>41.2</v>
      </c>
      <c r="I31" s="169">
        <v>41.2</v>
      </c>
      <c r="J31" s="169">
        <v>94.8</v>
      </c>
      <c r="K31" s="169">
        <v>94.8</v>
      </c>
      <c r="L31" s="169">
        <v>94.8</v>
      </c>
      <c r="M31" s="169">
        <v>94.8</v>
      </c>
      <c r="N31" s="169">
        <v>97</v>
      </c>
      <c r="O31" s="169">
        <v>87.2</v>
      </c>
      <c r="P31" s="169">
        <v>87.2</v>
      </c>
      <c r="Q31" s="169">
        <v>87.2</v>
      </c>
      <c r="R31" s="169">
        <v>87.2</v>
      </c>
    </row>
    <row r="32" spans="1:18" x14ac:dyDescent="0.25">
      <c r="A32" s="78" t="s">
        <v>380</v>
      </c>
      <c r="B32" s="78" t="s">
        <v>379</v>
      </c>
      <c r="C32" s="104">
        <v>0</v>
      </c>
      <c r="D32" s="104">
        <v>0</v>
      </c>
      <c r="E32" s="104">
        <v>0</v>
      </c>
      <c r="F32" s="104">
        <v>0</v>
      </c>
      <c r="G32" s="104">
        <v>0</v>
      </c>
      <c r="H32" s="104">
        <v>0</v>
      </c>
      <c r="I32" s="104">
        <v>0</v>
      </c>
      <c r="J32" s="104">
        <v>0</v>
      </c>
      <c r="K32" s="104">
        <v>0</v>
      </c>
      <c r="L32" s="104">
        <v>0</v>
      </c>
      <c r="M32" s="104">
        <v>0</v>
      </c>
      <c r="N32" s="104">
        <v>0</v>
      </c>
      <c r="O32" s="104">
        <v>0</v>
      </c>
      <c r="P32" s="104">
        <v>0</v>
      </c>
      <c r="Q32" s="104">
        <v>0</v>
      </c>
      <c r="R32" s="104">
        <v>0</v>
      </c>
    </row>
    <row r="33" spans="1:18" x14ac:dyDescent="0.25">
      <c r="A33" s="80" t="s">
        <v>378</v>
      </c>
      <c r="B33" s="80" t="s">
        <v>377</v>
      </c>
      <c r="C33" s="93">
        <v>29.4</v>
      </c>
      <c r="D33" s="93">
        <v>31.7</v>
      </c>
      <c r="E33" s="93" t="s">
        <v>36</v>
      </c>
      <c r="F33" s="93" t="s">
        <v>36</v>
      </c>
      <c r="G33" s="93">
        <v>49.4</v>
      </c>
      <c r="H33" s="93">
        <v>47.5</v>
      </c>
      <c r="I33" s="93" t="s">
        <v>36</v>
      </c>
      <c r="J33" s="93">
        <v>43.9</v>
      </c>
      <c r="K33" s="93">
        <v>55.4</v>
      </c>
      <c r="L33" s="93">
        <v>53.2</v>
      </c>
      <c r="M33" s="93" t="s">
        <v>36</v>
      </c>
      <c r="N33" s="93">
        <v>46.9</v>
      </c>
      <c r="O33" s="93">
        <v>40.9</v>
      </c>
      <c r="P33" s="93">
        <v>31.8</v>
      </c>
      <c r="Q33" s="93">
        <v>25.7</v>
      </c>
      <c r="R33" s="93">
        <v>25.7</v>
      </c>
    </row>
    <row r="34" spans="1:18" x14ac:dyDescent="0.25">
      <c r="A34" s="80" t="s">
        <v>376</v>
      </c>
      <c r="B34" s="80" t="s">
        <v>375</v>
      </c>
      <c r="C34" s="93">
        <v>709.5</v>
      </c>
      <c r="D34" s="93">
        <v>683.5</v>
      </c>
      <c r="E34" s="93">
        <v>680</v>
      </c>
      <c r="F34" s="93">
        <v>638</v>
      </c>
      <c r="G34" s="93">
        <v>586.6</v>
      </c>
      <c r="H34" s="93">
        <v>578.5</v>
      </c>
      <c r="I34" s="93">
        <v>569.79999999999995</v>
      </c>
      <c r="J34" s="93">
        <v>582.6</v>
      </c>
      <c r="K34" s="93">
        <v>565</v>
      </c>
      <c r="L34" s="93">
        <v>552.70000000000005</v>
      </c>
      <c r="M34" s="93">
        <v>547.70000000000005</v>
      </c>
      <c r="N34" s="93">
        <v>544.29999999999995</v>
      </c>
      <c r="O34" s="93">
        <v>558.1</v>
      </c>
      <c r="P34" s="93">
        <v>542.20000000000005</v>
      </c>
      <c r="Q34" s="93">
        <v>526.6</v>
      </c>
      <c r="R34" s="93">
        <v>505.1</v>
      </c>
    </row>
    <row r="35" spans="1:18" x14ac:dyDescent="0.25">
      <c r="A35" s="80" t="s">
        <v>374</v>
      </c>
      <c r="B35" s="80" t="s">
        <v>373</v>
      </c>
      <c r="C35" s="93">
        <v>0</v>
      </c>
      <c r="D35" s="93">
        <v>2.2999999999999998</v>
      </c>
      <c r="E35" s="93">
        <v>3.3</v>
      </c>
      <c r="F35" s="93">
        <v>14.1</v>
      </c>
      <c r="G35" s="93">
        <v>0</v>
      </c>
      <c r="H35" s="93">
        <v>3.9</v>
      </c>
      <c r="I35" s="93" t="s">
        <v>36</v>
      </c>
      <c r="J35" s="93" t="s">
        <v>36</v>
      </c>
      <c r="K35" s="93">
        <v>0</v>
      </c>
      <c r="L35" s="93">
        <v>2.9</v>
      </c>
      <c r="M35" s="93" t="s">
        <v>36</v>
      </c>
      <c r="N35" s="93">
        <v>4.7</v>
      </c>
      <c r="O35" s="93">
        <v>3.6</v>
      </c>
      <c r="P35" s="93">
        <v>5.5</v>
      </c>
      <c r="Q35" s="93">
        <v>10.9</v>
      </c>
      <c r="R35" s="93">
        <v>14.1</v>
      </c>
    </row>
    <row r="36" spans="1:18" x14ac:dyDescent="0.25">
      <c r="A36" s="80" t="s">
        <v>372</v>
      </c>
      <c r="B36" s="80" t="s">
        <v>371</v>
      </c>
      <c r="C36" s="93">
        <v>477.9</v>
      </c>
      <c r="D36" s="93">
        <v>467.6</v>
      </c>
      <c r="E36" s="93">
        <v>499.8</v>
      </c>
      <c r="F36" s="93">
        <v>523.6</v>
      </c>
      <c r="G36" s="93">
        <v>427.1</v>
      </c>
      <c r="H36" s="93">
        <v>441.5</v>
      </c>
      <c r="I36" s="93">
        <v>481.2</v>
      </c>
      <c r="J36" s="93">
        <v>472.5</v>
      </c>
      <c r="K36" s="93">
        <v>430.2</v>
      </c>
      <c r="L36" s="93">
        <v>450.7</v>
      </c>
      <c r="M36" s="93">
        <v>514.20000000000005</v>
      </c>
      <c r="N36" s="93">
        <v>474.4</v>
      </c>
      <c r="O36" s="93">
        <v>485.7</v>
      </c>
      <c r="P36" s="93">
        <v>474.2</v>
      </c>
      <c r="Q36" s="93">
        <v>432.1</v>
      </c>
      <c r="R36" s="93">
        <v>492.1</v>
      </c>
    </row>
    <row r="37" spans="1:18" x14ac:dyDescent="0.25">
      <c r="A37" s="79" t="s">
        <v>370</v>
      </c>
      <c r="B37" s="79" t="s">
        <v>369</v>
      </c>
      <c r="C37" s="99">
        <v>1673.6</v>
      </c>
      <c r="D37" s="99">
        <v>1613.8</v>
      </c>
      <c r="E37" s="99">
        <v>1703.4</v>
      </c>
      <c r="F37" s="99">
        <v>1668.9</v>
      </c>
      <c r="G37" s="99">
        <v>1603.8</v>
      </c>
      <c r="H37" s="99">
        <v>1529.9</v>
      </c>
      <c r="I37" s="99">
        <v>1558</v>
      </c>
      <c r="J37" s="99">
        <v>1745.9</v>
      </c>
      <c r="K37" s="99">
        <v>1813.1</v>
      </c>
      <c r="L37" s="99">
        <v>1798.8</v>
      </c>
      <c r="M37" s="99">
        <v>1868.1</v>
      </c>
      <c r="N37" s="99">
        <v>1935</v>
      </c>
      <c r="O37" s="99">
        <v>1950.5</v>
      </c>
      <c r="P37" s="99">
        <v>1812.9</v>
      </c>
      <c r="Q37" s="99">
        <v>1848.1</v>
      </c>
      <c r="R37" s="99">
        <v>1910.4</v>
      </c>
    </row>
    <row r="38" spans="1:18" x14ac:dyDescent="0.25">
      <c r="A38" s="79" t="s">
        <v>368</v>
      </c>
      <c r="B38" s="79" t="s">
        <v>367</v>
      </c>
      <c r="C38" s="99">
        <v>7248.2</v>
      </c>
      <c r="D38" s="99">
        <v>7347.3</v>
      </c>
      <c r="E38" s="99">
        <v>8232.5</v>
      </c>
      <c r="F38" s="99">
        <v>8287</v>
      </c>
      <c r="G38" s="99">
        <v>8856.4</v>
      </c>
      <c r="H38" s="99">
        <v>8927.2000000000007</v>
      </c>
      <c r="I38" s="99">
        <v>9372.7999999999993</v>
      </c>
      <c r="J38" s="99">
        <v>9716.6</v>
      </c>
      <c r="K38" s="99">
        <v>10185.4</v>
      </c>
      <c r="L38" s="99">
        <v>10338.700000000001</v>
      </c>
      <c r="M38" s="99">
        <v>10713.1</v>
      </c>
      <c r="N38" s="99">
        <v>10863.5</v>
      </c>
      <c r="O38" s="99">
        <v>11151</v>
      </c>
      <c r="P38" s="99">
        <v>11179.5</v>
      </c>
      <c r="Q38" s="99">
        <v>11300.2</v>
      </c>
      <c r="R38" s="99">
        <v>11333.2</v>
      </c>
    </row>
    <row r="39" spans="1:18" x14ac:dyDescent="0.25">
      <c r="A39" s="79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</row>
    <row r="40" spans="1:18" x14ac:dyDescent="0.25">
      <c r="A40" s="79" t="s">
        <v>366</v>
      </c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</row>
    <row r="41" spans="1:18" x14ac:dyDescent="0.25">
      <c r="A41" s="80" t="s">
        <v>365</v>
      </c>
      <c r="B41" s="80" t="s">
        <v>364</v>
      </c>
      <c r="C41" s="93">
        <v>1160.4000000000001</v>
      </c>
      <c r="D41" s="93">
        <v>1140.5</v>
      </c>
      <c r="E41" s="93">
        <v>1215.8</v>
      </c>
      <c r="F41" s="93">
        <v>1295.9000000000001</v>
      </c>
      <c r="G41" s="93">
        <v>1286</v>
      </c>
      <c r="H41" s="93">
        <v>1265.4000000000001</v>
      </c>
      <c r="I41" s="93">
        <v>1161.0999999999999</v>
      </c>
      <c r="J41" s="93">
        <v>1301.4000000000001</v>
      </c>
      <c r="K41" s="93">
        <v>1400</v>
      </c>
      <c r="L41" s="93">
        <v>1348.1</v>
      </c>
      <c r="M41" s="93">
        <v>1346.6</v>
      </c>
      <c r="N41" s="93">
        <v>1411.4</v>
      </c>
      <c r="O41" s="93">
        <v>1444.1</v>
      </c>
      <c r="P41" s="93">
        <v>1384.7</v>
      </c>
      <c r="Q41" s="93">
        <v>1388.5</v>
      </c>
      <c r="R41" s="93">
        <v>1519.1</v>
      </c>
    </row>
    <row r="42" spans="1:18" x14ac:dyDescent="0.25">
      <c r="A42" s="80" t="s">
        <v>363</v>
      </c>
      <c r="B42" s="80" t="s">
        <v>362</v>
      </c>
      <c r="C42" s="93">
        <v>216.2</v>
      </c>
      <c r="D42" s="93">
        <v>283.89999999999998</v>
      </c>
      <c r="E42" s="93">
        <v>308.60000000000002</v>
      </c>
      <c r="F42" s="93">
        <v>357.3</v>
      </c>
      <c r="G42" s="93">
        <v>346.4</v>
      </c>
      <c r="H42" s="93">
        <v>342.1</v>
      </c>
      <c r="I42" s="93">
        <v>298.89999999999998</v>
      </c>
      <c r="J42" s="93">
        <v>422</v>
      </c>
      <c r="K42" s="93">
        <v>480.3</v>
      </c>
      <c r="L42" s="93">
        <v>400.4</v>
      </c>
      <c r="M42" s="93">
        <v>451.9</v>
      </c>
      <c r="N42" s="93">
        <v>462.1</v>
      </c>
      <c r="O42" s="93">
        <v>473</v>
      </c>
      <c r="P42" s="93">
        <v>415.6</v>
      </c>
      <c r="Q42" s="93">
        <v>499.8</v>
      </c>
      <c r="R42" s="93">
        <v>568.20000000000005</v>
      </c>
    </row>
    <row r="43" spans="1:18" x14ac:dyDescent="0.25">
      <c r="A43" s="80" t="s">
        <v>361</v>
      </c>
      <c r="B43" s="80" t="s">
        <v>360</v>
      </c>
      <c r="C43" s="93">
        <v>0</v>
      </c>
      <c r="D43" s="93" t="s">
        <v>36</v>
      </c>
      <c r="E43" s="93">
        <v>48.6</v>
      </c>
      <c r="F43" s="93" t="s">
        <v>36</v>
      </c>
      <c r="G43" s="93">
        <v>0</v>
      </c>
      <c r="H43" s="93" t="s">
        <v>36</v>
      </c>
      <c r="I43" s="93" t="s">
        <v>36</v>
      </c>
      <c r="J43" s="93" t="s">
        <v>36</v>
      </c>
      <c r="K43" s="93">
        <v>48.9</v>
      </c>
      <c r="L43" s="93">
        <v>63.9</v>
      </c>
      <c r="M43" s="93" t="s">
        <v>36</v>
      </c>
      <c r="N43" s="93">
        <v>66.599999999999994</v>
      </c>
      <c r="O43" s="93">
        <v>66.099999999999994</v>
      </c>
      <c r="P43" s="93">
        <v>90.5</v>
      </c>
      <c r="Q43" s="93">
        <v>38.5</v>
      </c>
      <c r="R43" s="93">
        <v>64.3</v>
      </c>
    </row>
    <row r="44" spans="1:18" x14ac:dyDescent="0.25">
      <c r="A44" s="80" t="s">
        <v>359</v>
      </c>
      <c r="B44" s="80" t="s">
        <v>358</v>
      </c>
      <c r="C44" s="93">
        <v>0</v>
      </c>
      <c r="D44" s="93" t="s">
        <v>36</v>
      </c>
      <c r="E44" s="93" t="s">
        <v>36</v>
      </c>
      <c r="F44" s="93" t="s">
        <v>36</v>
      </c>
      <c r="G44" s="93">
        <v>0</v>
      </c>
      <c r="H44" s="93" t="s">
        <v>36</v>
      </c>
      <c r="I44" s="93" t="s">
        <v>36</v>
      </c>
      <c r="J44" s="93" t="s">
        <v>36</v>
      </c>
      <c r="K44" s="93">
        <v>0</v>
      </c>
      <c r="L44" s="93">
        <v>44.8</v>
      </c>
      <c r="M44" s="93" t="s">
        <v>36</v>
      </c>
      <c r="N44" s="93" t="s">
        <v>36</v>
      </c>
      <c r="O44" s="93" t="s">
        <v>36</v>
      </c>
      <c r="P44" s="93" t="s">
        <v>36</v>
      </c>
      <c r="Q44" s="93" t="s">
        <v>36</v>
      </c>
      <c r="R44" s="93" t="s">
        <v>36</v>
      </c>
    </row>
    <row r="45" spans="1:18" x14ac:dyDescent="0.25">
      <c r="A45" s="80" t="s">
        <v>357</v>
      </c>
      <c r="B45" s="80" t="s">
        <v>356</v>
      </c>
      <c r="C45" s="93">
        <v>944.2</v>
      </c>
      <c r="D45" s="93">
        <v>856.6</v>
      </c>
      <c r="E45" s="93">
        <v>858.6</v>
      </c>
      <c r="F45" s="93">
        <v>938.6</v>
      </c>
      <c r="G45" s="93">
        <v>939.6</v>
      </c>
      <c r="H45" s="93">
        <v>923.3</v>
      </c>
      <c r="I45" s="93">
        <v>862.2</v>
      </c>
      <c r="J45" s="93">
        <v>879.4</v>
      </c>
      <c r="K45" s="93">
        <v>870.8</v>
      </c>
      <c r="L45" s="93">
        <v>839</v>
      </c>
      <c r="M45" s="93">
        <v>894.7</v>
      </c>
      <c r="N45" s="93">
        <v>882.7</v>
      </c>
      <c r="O45" s="93">
        <v>905</v>
      </c>
      <c r="P45" s="93">
        <v>878.6</v>
      </c>
      <c r="Q45" s="93">
        <v>850.2</v>
      </c>
      <c r="R45" s="93">
        <v>886.6</v>
      </c>
    </row>
    <row r="46" spans="1:18" s="73" customFormat="1" x14ac:dyDescent="0.25">
      <c r="A46" s="107" t="s">
        <v>355</v>
      </c>
      <c r="B46" s="107" t="s">
        <v>354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</row>
    <row r="47" spans="1:18" x14ac:dyDescent="0.25">
      <c r="A47" s="80" t="s">
        <v>353</v>
      </c>
      <c r="B47" s="80" t="s">
        <v>352</v>
      </c>
      <c r="C47" s="93">
        <v>0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3">
        <v>0</v>
      </c>
      <c r="P47" s="93">
        <v>0</v>
      </c>
      <c r="Q47" s="93">
        <v>0</v>
      </c>
      <c r="R47" s="93">
        <v>0</v>
      </c>
    </row>
    <row r="48" spans="1:18" x14ac:dyDescent="0.25">
      <c r="A48" s="80" t="s">
        <v>351</v>
      </c>
      <c r="B48" s="80" t="s">
        <v>350</v>
      </c>
      <c r="C48" s="93">
        <v>0</v>
      </c>
      <c r="D48" s="93" t="s">
        <v>36</v>
      </c>
      <c r="E48" s="93" t="s">
        <v>36</v>
      </c>
      <c r="F48" s="93" t="s">
        <v>36</v>
      </c>
      <c r="G48" s="93">
        <v>0</v>
      </c>
      <c r="H48" s="93" t="s">
        <v>36</v>
      </c>
      <c r="I48" s="93" t="s">
        <v>36</v>
      </c>
      <c r="J48" s="93" t="s">
        <v>36</v>
      </c>
      <c r="K48" s="93">
        <v>0</v>
      </c>
      <c r="L48" s="93" t="s">
        <v>36</v>
      </c>
      <c r="M48" s="93" t="s">
        <v>36</v>
      </c>
      <c r="N48" s="93" t="s">
        <v>36</v>
      </c>
      <c r="O48" s="93">
        <v>0</v>
      </c>
      <c r="P48" s="93" t="s">
        <v>36</v>
      </c>
      <c r="Q48" s="93" t="s">
        <v>36</v>
      </c>
      <c r="R48" s="93" t="s">
        <v>36</v>
      </c>
    </row>
    <row r="49" spans="1:18" x14ac:dyDescent="0.25">
      <c r="A49" s="80" t="s">
        <v>349</v>
      </c>
      <c r="B49" s="80" t="s">
        <v>348</v>
      </c>
      <c r="C49" s="93">
        <v>0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3">
        <v>0</v>
      </c>
      <c r="P49" s="93">
        <v>0</v>
      </c>
      <c r="Q49" s="93">
        <v>0</v>
      </c>
      <c r="R49" s="93">
        <v>0</v>
      </c>
    </row>
    <row r="50" spans="1:18" x14ac:dyDescent="0.25">
      <c r="A50" s="80" t="s">
        <v>323</v>
      </c>
      <c r="B50" s="80" t="s">
        <v>347</v>
      </c>
      <c r="C50" s="93">
        <v>0</v>
      </c>
      <c r="D50" s="93" t="s">
        <v>36</v>
      </c>
      <c r="E50" s="93" t="s">
        <v>36</v>
      </c>
      <c r="F50" s="93" t="s">
        <v>36</v>
      </c>
      <c r="G50" s="93">
        <v>0</v>
      </c>
      <c r="H50" s="93" t="s">
        <v>36</v>
      </c>
      <c r="I50" s="93" t="s">
        <v>36</v>
      </c>
      <c r="J50" s="93" t="s">
        <v>36</v>
      </c>
      <c r="K50" s="93">
        <v>0</v>
      </c>
      <c r="L50" s="93" t="s">
        <v>36</v>
      </c>
      <c r="M50" s="93" t="s">
        <v>36</v>
      </c>
      <c r="N50" s="93" t="s">
        <v>36</v>
      </c>
      <c r="O50" s="93">
        <v>0</v>
      </c>
      <c r="P50" s="93" t="s">
        <v>36</v>
      </c>
      <c r="Q50" s="93" t="s">
        <v>36</v>
      </c>
      <c r="R50" s="93" t="s">
        <v>36</v>
      </c>
    </row>
    <row r="51" spans="1:18" x14ac:dyDescent="0.25">
      <c r="A51" s="80" t="s">
        <v>321</v>
      </c>
      <c r="B51" s="80" t="s">
        <v>346</v>
      </c>
      <c r="C51" s="93">
        <v>0</v>
      </c>
      <c r="D51" s="93" t="s">
        <v>36</v>
      </c>
      <c r="E51" s="93" t="s">
        <v>36</v>
      </c>
      <c r="F51" s="93" t="s">
        <v>36</v>
      </c>
      <c r="G51" s="93">
        <v>0</v>
      </c>
      <c r="H51" s="93" t="s">
        <v>36</v>
      </c>
      <c r="I51" s="93" t="s">
        <v>36</v>
      </c>
      <c r="J51" s="93" t="s">
        <v>36</v>
      </c>
      <c r="K51" s="93">
        <v>0</v>
      </c>
      <c r="L51" s="93" t="s">
        <v>36</v>
      </c>
      <c r="M51" s="93" t="s">
        <v>36</v>
      </c>
      <c r="N51" s="93" t="s">
        <v>36</v>
      </c>
      <c r="O51" s="93">
        <v>0</v>
      </c>
      <c r="P51" s="93" t="s">
        <v>36</v>
      </c>
      <c r="Q51" s="93" t="s">
        <v>36</v>
      </c>
      <c r="R51" s="93" t="s">
        <v>36</v>
      </c>
    </row>
    <row r="52" spans="1:18" x14ac:dyDescent="0.25">
      <c r="A52" s="80" t="s">
        <v>345</v>
      </c>
      <c r="B52" s="80" t="s">
        <v>344</v>
      </c>
      <c r="C52" s="93">
        <v>0</v>
      </c>
      <c r="D52" s="93">
        <v>0</v>
      </c>
      <c r="E52" s="93">
        <v>0</v>
      </c>
      <c r="F52" s="93">
        <v>0</v>
      </c>
      <c r="G52" s="93">
        <v>0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0</v>
      </c>
      <c r="N52" s="93">
        <v>0</v>
      </c>
      <c r="O52" s="93">
        <v>0</v>
      </c>
      <c r="P52" s="93">
        <v>0</v>
      </c>
      <c r="Q52" s="93">
        <v>0</v>
      </c>
      <c r="R52" s="93">
        <v>0</v>
      </c>
    </row>
    <row r="53" spans="1:18" x14ac:dyDescent="0.25">
      <c r="A53" s="79" t="s">
        <v>343</v>
      </c>
      <c r="B53" s="79" t="s">
        <v>342</v>
      </c>
      <c r="C53" s="99">
        <v>1160.4000000000001</v>
      </c>
      <c r="D53" s="99">
        <v>1140.5</v>
      </c>
      <c r="E53" s="99">
        <v>1215.8</v>
      </c>
      <c r="F53" s="99">
        <v>1295.9000000000001</v>
      </c>
      <c r="G53" s="99">
        <v>1286</v>
      </c>
      <c r="H53" s="99">
        <v>1265.4000000000001</v>
      </c>
      <c r="I53" s="99">
        <v>1161.0999999999999</v>
      </c>
      <c r="J53" s="99">
        <v>1301.4000000000001</v>
      </c>
      <c r="K53" s="99">
        <v>1400</v>
      </c>
      <c r="L53" s="99">
        <v>1348.1</v>
      </c>
      <c r="M53" s="99">
        <v>1346.6</v>
      </c>
      <c r="N53" s="99">
        <v>1411.4</v>
      </c>
      <c r="O53" s="99">
        <v>1444.1</v>
      </c>
      <c r="P53" s="99">
        <v>1384.7</v>
      </c>
      <c r="Q53" s="99">
        <v>1388.5</v>
      </c>
      <c r="R53" s="99">
        <v>1519.1</v>
      </c>
    </row>
    <row r="54" spans="1:18" s="73" customFormat="1" x14ac:dyDescent="0.25">
      <c r="A54" s="107" t="s">
        <v>341</v>
      </c>
      <c r="B54" s="107" t="s">
        <v>340</v>
      </c>
      <c r="C54" s="6">
        <v>2305.3000000000002</v>
      </c>
      <c r="D54" s="6">
        <v>2424.3000000000002</v>
      </c>
      <c r="E54" s="6">
        <v>3027.2</v>
      </c>
      <c r="F54" s="6">
        <v>2863.9</v>
      </c>
      <c r="G54" s="6">
        <v>3270.4</v>
      </c>
      <c r="H54" s="6">
        <v>3276.1</v>
      </c>
      <c r="I54" s="6">
        <v>3638.3</v>
      </c>
      <c r="J54" s="6">
        <v>3142.4</v>
      </c>
      <c r="K54" s="6">
        <v>3306.5</v>
      </c>
      <c r="L54" s="6">
        <v>3403.1</v>
      </c>
      <c r="M54" s="6">
        <v>3548</v>
      </c>
      <c r="N54" s="6">
        <v>3373.1</v>
      </c>
      <c r="O54" s="6">
        <v>3333.6</v>
      </c>
      <c r="P54" s="6">
        <v>3337.2</v>
      </c>
      <c r="Q54" s="6">
        <v>3167.3</v>
      </c>
      <c r="R54" s="6">
        <v>2797.1</v>
      </c>
    </row>
    <row r="55" spans="1:18" x14ac:dyDescent="0.25">
      <c r="A55" s="80" t="s">
        <v>339</v>
      </c>
      <c r="B55" s="80" t="s">
        <v>338</v>
      </c>
      <c r="C55" s="93">
        <v>2305.3000000000002</v>
      </c>
      <c r="D55" s="93">
        <v>2424.3000000000002</v>
      </c>
      <c r="E55" s="93">
        <v>3027.2</v>
      </c>
      <c r="F55" s="93">
        <v>2863.9</v>
      </c>
      <c r="G55" s="93">
        <v>3270.4</v>
      </c>
      <c r="H55" s="93">
        <v>3276.1</v>
      </c>
      <c r="I55" s="93">
        <v>3638.3</v>
      </c>
      <c r="J55" s="93">
        <v>3142.4</v>
      </c>
      <c r="K55" s="93">
        <v>3306.5</v>
      </c>
      <c r="L55" s="93">
        <v>3403.1</v>
      </c>
      <c r="M55" s="93">
        <v>3548</v>
      </c>
      <c r="N55" s="93">
        <v>3373.1</v>
      </c>
      <c r="O55" s="93">
        <v>3333.6</v>
      </c>
      <c r="P55" s="93">
        <v>3337.2</v>
      </c>
      <c r="Q55" s="93">
        <v>3167.3</v>
      </c>
      <c r="R55" s="93">
        <v>2797.1</v>
      </c>
    </row>
    <row r="56" spans="1:18" x14ac:dyDescent="0.25">
      <c r="A56" s="80" t="s">
        <v>337</v>
      </c>
      <c r="B56" s="80" t="s">
        <v>336</v>
      </c>
      <c r="C56" s="93">
        <v>0</v>
      </c>
      <c r="D56" s="93" t="s">
        <v>36</v>
      </c>
      <c r="E56" s="93" t="s">
        <v>36</v>
      </c>
      <c r="F56" s="93" t="s">
        <v>36</v>
      </c>
      <c r="G56" s="93">
        <v>0</v>
      </c>
      <c r="H56" s="93" t="s">
        <v>36</v>
      </c>
      <c r="I56" s="93" t="s">
        <v>36</v>
      </c>
      <c r="J56" s="93" t="s">
        <v>36</v>
      </c>
      <c r="K56" s="93">
        <v>0</v>
      </c>
      <c r="L56" s="93" t="s">
        <v>36</v>
      </c>
      <c r="M56" s="93" t="s">
        <v>36</v>
      </c>
      <c r="N56" s="93" t="s">
        <v>36</v>
      </c>
      <c r="O56" s="93">
        <v>0</v>
      </c>
      <c r="P56" s="93" t="s">
        <v>36</v>
      </c>
      <c r="Q56" s="93" t="s">
        <v>36</v>
      </c>
      <c r="R56" s="93" t="s">
        <v>36</v>
      </c>
    </row>
    <row r="57" spans="1:18" x14ac:dyDescent="0.25">
      <c r="A57" s="80" t="s">
        <v>335</v>
      </c>
      <c r="B57" s="80" t="s">
        <v>334</v>
      </c>
      <c r="C57" s="93">
        <v>187.8</v>
      </c>
      <c r="D57" s="93">
        <v>169.4</v>
      </c>
      <c r="E57" s="93">
        <v>245.8</v>
      </c>
      <c r="F57" s="93">
        <v>219.7</v>
      </c>
      <c r="G57" s="93">
        <v>238.6</v>
      </c>
      <c r="H57" s="93">
        <v>185.8</v>
      </c>
      <c r="I57" s="93">
        <v>223.8</v>
      </c>
      <c r="J57" s="93">
        <v>302.89999999999998</v>
      </c>
      <c r="K57" s="93">
        <v>359.2</v>
      </c>
      <c r="L57" s="93">
        <v>323.7</v>
      </c>
      <c r="M57" s="93">
        <v>397.5</v>
      </c>
      <c r="N57" s="93">
        <v>448</v>
      </c>
      <c r="O57" s="93">
        <v>477.9</v>
      </c>
      <c r="P57" s="93">
        <v>397.1</v>
      </c>
      <c r="Q57" s="93">
        <v>495.4</v>
      </c>
      <c r="R57" s="93">
        <v>504.2</v>
      </c>
    </row>
    <row r="58" spans="1:18" x14ac:dyDescent="0.25">
      <c r="A58" s="80" t="s">
        <v>333</v>
      </c>
      <c r="B58" s="80" t="s">
        <v>332</v>
      </c>
      <c r="C58" s="93">
        <v>0</v>
      </c>
      <c r="D58" s="93" t="s">
        <v>36</v>
      </c>
      <c r="E58" s="93" t="s">
        <v>36</v>
      </c>
      <c r="F58" s="93" t="s">
        <v>36</v>
      </c>
      <c r="G58" s="93">
        <v>0</v>
      </c>
      <c r="H58" s="93" t="s">
        <v>36</v>
      </c>
      <c r="I58" s="93" t="s">
        <v>36</v>
      </c>
      <c r="J58" s="93" t="s">
        <v>36</v>
      </c>
      <c r="K58" s="93">
        <v>0</v>
      </c>
      <c r="L58" s="93" t="s">
        <v>36</v>
      </c>
      <c r="M58" s="93" t="s">
        <v>36</v>
      </c>
      <c r="N58" s="93" t="s">
        <v>36</v>
      </c>
      <c r="O58" s="93">
        <v>0</v>
      </c>
      <c r="P58" s="93" t="s">
        <v>36</v>
      </c>
      <c r="Q58" s="93" t="s">
        <v>36</v>
      </c>
      <c r="R58" s="93" t="s">
        <v>36</v>
      </c>
    </row>
    <row r="59" spans="1:18" x14ac:dyDescent="0.25">
      <c r="A59" s="80" t="s">
        <v>331</v>
      </c>
      <c r="B59" s="80" t="s">
        <v>330</v>
      </c>
      <c r="C59" s="93">
        <v>0</v>
      </c>
      <c r="D59" s="93" t="s">
        <v>36</v>
      </c>
      <c r="E59" s="93" t="s">
        <v>36</v>
      </c>
      <c r="F59" s="93" t="s">
        <v>36</v>
      </c>
      <c r="G59" s="93">
        <v>0</v>
      </c>
      <c r="H59" s="93" t="s">
        <v>36</v>
      </c>
      <c r="I59" s="93" t="s">
        <v>36</v>
      </c>
      <c r="J59" s="93" t="s">
        <v>36</v>
      </c>
      <c r="K59" s="93">
        <v>0</v>
      </c>
      <c r="L59" s="93" t="s">
        <v>36</v>
      </c>
      <c r="M59" s="93" t="s">
        <v>36</v>
      </c>
      <c r="N59" s="93" t="s">
        <v>36</v>
      </c>
      <c r="O59" s="93">
        <v>0</v>
      </c>
      <c r="P59" s="93" t="s">
        <v>36</v>
      </c>
      <c r="Q59" s="93" t="s">
        <v>36</v>
      </c>
      <c r="R59" s="93" t="s">
        <v>36</v>
      </c>
    </row>
    <row r="60" spans="1:18" x14ac:dyDescent="0.25">
      <c r="A60" s="78" t="s">
        <v>329</v>
      </c>
      <c r="B60" s="78" t="s">
        <v>328</v>
      </c>
      <c r="C60" s="104">
        <v>0</v>
      </c>
      <c r="D60" s="104" t="s">
        <v>36</v>
      </c>
      <c r="E60" s="104" t="s">
        <v>36</v>
      </c>
      <c r="F60" s="104" t="s">
        <v>36</v>
      </c>
      <c r="G60" s="104">
        <v>0</v>
      </c>
      <c r="H60" s="104" t="s">
        <v>36</v>
      </c>
      <c r="I60" s="104" t="s">
        <v>36</v>
      </c>
      <c r="J60" s="104" t="s">
        <v>36</v>
      </c>
      <c r="K60" s="104">
        <v>0</v>
      </c>
      <c r="L60" s="104" t="s">
        <v>36</v>
      </c>
      <c r="M60" s="104" t="s">
        <v>36</v>
      </c>
      <c r="N60" s="104" t="s">
        <v>36</v>
      </c>
      <c r="O60" s="104">
        <v>0</v>
      </c>
      <c r="P60" s="104" t="s">
        <v>36</v>
      </c>
      <c r="Q60" s="104" t="s">
        <v>36</v>
      </c>
      <c r="R60" s="104" t="s">
        <v>36</v>
      </c>
    </row>
    <row r="61" spans="1:18" x14ac:dyDescent="0.25">
      <c r="A61" s="78" t="s">
        <v>327</v>
      </c>
      <c r="B61" s="78" t="s">
        <v>326</v>
      </c>
      <c r="C61" s="104">
        <v>0</v>
      </c>
      <c r="D61" s="104" t="s">
        <v>36</v>
      </c>
      <c r="E61" s="104" t="s">
        <v>36</v>
      </c>
      <c r="F61" s="104" t="s">
        <v>36</v>
      </c>
      <c r="G61" s="104">
        <v>0</v>
      </c>
      <c r="H61" s="104" t="s">
        <v>36</v>
      </c>
      <c r="I61" s="104" t="s">
        <v>36</v>
      </c>
      <c r="J61" s="104" t="s">
        <v>36</v>
      </c>
      <c r="K61" s="104">
        <v>0</v>
      </c>
      <c r="L61" s="104" t="s">
        <v>36</v>
      </c>
      <c r="M61" s="104" t="s">
        <v>36</v>
      </c>
      <c r="N61" s="104" t="s">
        <v>36</v>
      </c>
      <c r="O61" s="104">
        <v>0</v>
      </c>
      <c r="P61" s="104" t="s">
        <v>36</v>
      </c>
      <c r="Q61" s="104" t="s">
        <v>36</v>
      </c>
      <c r="R61" s="104" t="s">
        <v>36</v>
      </c>
    </row>
    <row r="62" spans="1:18" x14ac:dyDescent="0.25">
      <c r="A62" s="80" t="s">
        <v>325</v>
      </c>
      <c r="B62" s="80" t="s">
        <v>324</v>
      </c>
      <c r="C62" s="93" t="s">
        <v>36</v>
      </c>
      <c r="D62" s="93" t="s">
        <v>36</v>
      </c>
      <c r="E62" s="93" t="s">
        <v>36</v>
      </c>
      <c r="F62" s="93">
        <v>116.7</v>
      </c>
      <c r="G62" s="93">
        <v>130.19999999999999</v>
      </c>
      <c r="H62" s="93" t="s">
        <v>36</v>
      </c>
      <c r="I62" s="93" t="s">
        <v>36</v>
      </c>
      <c r="J62" s="93">
        <v>138</v>
      </c>
      <c r="K62" s="93">
        <v>150.80000000000001</v>
      </c>
      <c r="L62" s="93">
        <v>129.5</v>
      </c>
      <c r="M62" s="93" t="s">
        <v>36</v>
      </c>
      <c r="N62" s="93">
        <v>152.9</v>
      </c>
      <c r="O62" s="93">
        <v>172.7</v>
      </c>
      <c r="P62" s="93">
        <v>142.19999999999999</v>
      </c>
      <c r="Q62" s="93">
        <v>151.30000000000001</v>
      </c>
      <c r="R62" s="93">
        <v>159.69999999999999</v>
      </c>
    </row>
    <row r="63" spans="1:18" x14ac:dyDescent="0.25">
      <c r="A63" s="80" t="s">
        <v>323</v>
      </c>
      <c r="B63" s="80" t="s">
        <v>322</v>
      </c>
      <c r="C63" s="93">
        <v>0</v>
      </c>
      <c r="D63" s="93" t="s">
        <v>36</v>
      </c>
      <c r="E63" s="93" t="s">
        <v>36</v>
      </c>
      <c r="F63" s="93" t="s">
        <v>36</v>
      </c>
      <c r="G63" s="93">
        <v>0</v>
      </c>
      <c r="H63" s="93" t="s">
        <v>36</v>
      </c>
      <c r="I63" s="93" t="s">
        <v>36</v>
      </c>
      <c r="J63" s="93" t="s">
        <v>36</v>
      </c>
      <c r="K63" s="93">
        <v>0</v>
      </c>
      <c r="L63" s="93" t="s">
        <v>36</v>
      </c>
      <c r="M63" s="93" t="s">
        <v>36</v>
      </c>
      <c r="N63" s="93" t="s">
        <v>36</v>
      </c>
      <c r="O63" s="93">
        <v>0</v>
      </c>
      <c r="P63" s="93" t="s">
        <v>36</v>
      </c>
      <c r="Q63" s="93" t="s">
        <v>36</v>
      </c>
      <c r="R63" s="93" t="s">
        <v>36</v>
      </c>
    </row>
    <row r="64" spans="1:18" x14ac:dyDescent="0.25">
      <c r="A64" s="80" t="s">
        <v>321</v>
      </c>
      <c r="B64" s="80" t="s">
        <v>320</v>
      </c>
      <c r="C64" s="93">
        <v>0</v>
      </c>
      <c r="D64" s="93">
        <v>0.7</v>
      </c>
      <c r="E64" s="93">
        <v>2.5</v>
      </c>
      <c r="F64" s="93">
        <v>2.8</v>
      </c>
      <c r="G64" s="93">
        <v>0</v>
      </c>
      <c r="H64" s="93" t="s">
        <v>36</v>
      </c>
      <c r="I64" s="93" t="s">
        <v>36</v>
      </c>
      <c r="J64" s="93" t="s">
        <v>36</v>
      </c>
      <c r="K64" s="93">
        <v>0</v>
      </c>
      <c r="L64" s="93">
        <v>4</v>
      </c>
      <c r="M64" s="93" t="s">
        <v>36</v>
      </c>
      <c r="N64" s="93" t="s">
        <v>36</v>
      </c>
      <c r="O64" s="93">
        <v>0</v>
      </c>
      <c r="P64" s="93">
        <v>0.5</v>
      </c>
      <c r="Q64" s="93">
        <v>5.5</v>
      </c>
      <c r="R64" s="93">
        <v>9.4</v>
      </c>
    </row>
    <row r="65" spans="1:18" x14ac:dyDescent="0.25">
      <c r="A65" s="80" t="s">
        <v>319</v>
      </c>
      <c r="B65" s="80" t="s">
        <v>318</v>
      </c>
      <c r="C65" s="93">
        <v>187.8</v>
      </c>
      <c r="D65" s="93">
        <v>168.7</v>
      </c>
      <c r="E65" s="93">
        <v>243.3</v>
      </c>
      <c r="F65" s="93">
        <v>100.2</v>
      </c>
      <c r="G65" s="93">
        <v>108.4</v>
      </c>
      <c r="H65" s="93">
        <v>185.8</v>
      </c>
      <c r="I65" s="93">
        <v>223.8</v>
      </c>
      <c r="J65" s="93">
        <v>164.9</v>
      </c>
      <c r="K65" s="93">
        <v>208.4</v>
      </c>
      <c r="L65" s="93">
        <v>190.2</v>
      </c>
      <c r="M65" s="93">
        <v>397.5</v>
      </c>
      <c r="N65" s="93">
        <v>295.10000000000002</v>
      </c>
      <c r="O65" s="93">
        <v>305.2</v>
      </c>
      <c r="P65" s="93">
        <v>254.4</v>
      </c>
      <c r="Q65" s="93">
        <v>338.6</v>
      </c>
      <c r="R65" s="93">
        <v>335.1</v>
      </c>
    </row>
    <row r="66" spans="1:18" x14ac:dyDescent="0.25">
      <c r="A66" s="79" t="s">
        <v>317</v>
      </c>
      <c r="B66" s="79" t="s">
        <v>316</v>
      </c>
      <c r="C66" s="99">
        <v>2493.1</v>
      </c>
      <c r="D66" s="99">
        <v>2593.6999999999998</v>
      </c>
      <c r="E66" s="99">
        <v>3273</v>
      </c>
      <c r="F66" s="99">
        <v>3083.6</v>
      </c>
      <c r="G66" s="99">
        <v>3509</v>
      </c>
      <c r="H66" s="99">
        <v>3461.9</v>
      </c>
      <c r="I66" s="99">
        <v>3862.1</v>
      </c>
      <c r="J66" s="99">
        <v>3445.3</v>
      </c>
      <c r="K66" s="99">
        <v>3665.7</v>
      </c>
      <c r="L66" s="99">
        <v>3726.8</v>
      </c>
      <c r="M66" s="99">
        <v>3945.5</v>
      </c>
      <c r="N66" s="99">
        <v>3821.1</v>
      </c>
      <c r="O66" s="99">
        <v>3811.5</v>
      </c>
      <c r="P66" s="99">
        <v>3734.3</v>
      </c>
      <c r="Q66" s="99">
        <v>3662.7</v>
      </c>
      <c r="R66" s="99">
        <v>3301.3</v>
      </c>
    </row>
    <row r="67" spans="1:18" x14ac:dyDescent="0.25">
      <c r="A67" s="79" t="s">
        <v>315</v>
      </c>
      <c r="B67" s="79" t="s">
        <v>314</v>
      </c>
      <c r="C67" s="99">
        <v>3653.5</v>
      </c>
      <c r="D67" s="99">
        <v>3734.2</v>
      </c>
      <c r="E67" s="99">
        <v>4488.8</v>
      </c>
      <c r="F67" s="99">
        <v>4379.5</v>
      </c>
      <c r="G67" s="99">
        <v>4795</v>
      </c>
      <c r="H67" s="99">
        <v>4727.3</v>
      </c>
      <c r="I67" s="99">
        <v>5023.2</v>
      </c>
      <c r="J67" s="99">
        <v>4746.7</v>
      </c>
      <c r="K67" s="99">
        <v>5065.7</v>
      </c>
      <c r="L67" s="99">
        <v>5074.8999999999996</v>
      </c>
      <c r="M67" s="99">
        <v>5292.1</v>
      </c>
      <c r="N67" s="99">
        <v>5232.5</v>
      </c>
      <c r="O67" s="99">
        <v>5255.6</v>
      </c>
      <c r="P67" s="99">
        <v>5119</v>
      </c>
      <c r="Q67" s="99">
        <v>5051.2</v>
      </c>
      <c r="R67" s="99">
        <v>4820.3999999999996</v>
      </c>
    </row>
    <row r="68" spans="1:18" x14ac:dyDescent="0.25">
      <c r="A68" s="80" t="s">
        <v>313</v>
      </c>
      <c r="B68" s="80" t="s">
        <v>312</v>
      </c>
      <c r="C68" s="93">
        <v>0</v>
      </c>
      <c r="D68" s="93">
        <v>0</v>
      </c>
      <c r="E68" s="93">
        <v>0</v>
      </c>
      <c r="F68" s="93">
        <v>0</v>
      </c>
      <c r="G68" s="93">
        <v>0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</row>
    <row r="69" spans="1:18" x14ac:dyDescent="0.25">
      <c r="A69" s="80" t="s">
        <v>311</v>
      </c>
      <c r="B69" s="80" t="s">
        <v>310</v>
      </c>
      <c r="C69" s="93">
        <v>1983.1</v>
      </c>
      <c r="D69" s="93">
        <v>1995.5</v>
      </c>
      <c r="E69" s="93">
        <v>2015.2</v>
      </c>
      <c r="F69" s="93">
        <v>2031</v>
      </c>
      <c r="G69" s="93">
        <v>2045.3</v>
      </c>
      <c r="H69" s="93">
        <v>2060.5</v>
      </c>
      <c r="I69" s="93">
        <v>2090.8000000000002</v>
      </c>
      <c r="J69" s="93">
        <v>2611.3000000000002</v>
      </c>
      <c r="K69" s="93">
        <v>2617.4</v>
      </c>
      <c r="L69" s="93">
        <v>2642.8</v>
      </c>
      <c r="M69" s="93">
        <v>2675</v>
      </c>
      <c r="N69" s="93">
        <v>2688</v>
      </c>
      <c r="O69" s="93">
        <v>2737.6</v>
      </c>
      <c r="P69" s="93">
        <v>2773.4</v>
      </c>
      <c r="Q69" s="93">
        <v>2799.4</v>
      </c>
      <c r="R69" s="93">
        <v>2843.1</v>
      </c>
    </row>
    <row r="70" spans="1:18" x14ac:dyDescent="0.25">
      <c r="A70" s="80" t="s">
        <v>309</v>
      </c>
      <c r="B70" s="80" t="s">
        <v>308</v>
      </c>
      <c r="C70" s="93">
        <v>3.3</v>
      </c>
      <c r="D70" s="93">
        <v>3.3</v>
      </c>
      <c r="E70" s="93">
        <v>3.3</v>
      </c>
      <c r="F70" s="93">
        <v>3.3</v>
      </c>
      <c r="G70" s="93">
        <v>3.3</v>
      </c>
      <c r="H70" s="93">
        <v>3.3</v>
      </c>
      <c r="I70" s="93">
        <v>3.3</v>
      </c>
      <c r="J70" s="93">
        <v>3.7</v>
      </c>
      <c r="K70" s="93">
        <v>3.7</v>
      </c>
      <c r="L70" s="93">
        <v>3.7</v>
      </c>
      <c r="M70" s="93">
        <v>3.7</v>
      </c>
      <c r="N70" s="93">
        <v>3.7</v>
      </c>
      <c r="O70" s="93">
        <v>3.8</v>
      </c>
      <c r="P70" s="93">
        <v>3.8</v>
      </c>
      <c r="Q70" s="93">
        <v>3.8</v>
      </c>
      <c r="R70" s="93">
        <v>3.8</v>
      </c>
    </row>
    <row r="71" spans="1:18" x14ac:dyDescent="0.25">
      <c r="A71" s="80" t="s">
        <v>307</v>
      </c>
      <c r="B71" s="80" t="s">
        <v>306</v>
      </c>
      <c r="C71" s="93">
        <v>1979.8</v>
      </c>
      <c r="D71" s="93">
        <v>1992.2</v>
      </c>
      <c r="E71" s="93">
        <v>2011.9</v>
      </c>
      <c r="F71" s="93">
        <v>2027.7</v>
      </c>
      <c r="G71" s="93">
        <v>2042</v>
      </c>
      <c r="H71" s="93">
        <v>2057.1999999999998</v>
      </c>
      <c r="I71" s="93">
        <v>2087.5</v>
      </c>
      <c r="J71" s="93">
        <v>2607.6</v>
      </c>
      <c r="K71" s="93">
        <v>2613.6999999999998</v>
      </c>
      <c r="L71" s="93">
        <v>2639.1</v>
      </c>
      <c r="M71" s="93">
        <v>2671.3</v>
      </c>
      <c r="N71" s="93">
        <v>2684.3</v>
      </c>
      <c r="O71" s="93">
        <v>2733.8</v>
      </c>
      <c r="P71" s="93">
        <v>2769.6</v>
      </c>
      <c r="Q71" s="93">
        <v>2795.6</v>
      </c>
      <c r="R71" s="93">
        <v>2839.3</v>
      </c>
    </row>
    <row r="72" spans="1:18" x14ac:dyDescent="0.25">
      <c r="A72" s="80" t="s">
        <v>305</v>
      </c>
      <c r="B72" s="80" t="s">
        <v>304</v>
      </c>
      <c r="C72" s="93">
        <v>134.30000000000001</v>
      </c>
      <c r="D72" s="93">
        <v>134.30000000000001</v>
      </c>
      <c r="E72" s="93">
        <v>134.30000000000001</v>
      </c>
      <c r="F72" s="93">
        <v>134.30000000000001</v>
      </c>
      <c r="G72" s="93">
        <v>134.30000000000001</v>
      </c>
      <c r="H72" s="93">
        <v>134.30000000000001</v>
      </c>
      <c r="I72" s="93">
        <v>134.30000000000001</v>
      </c>
      <c r="J72" s="93">
        <v>134.30000000000001</v>
      </c>
      <c r="K72" s="93">
        <v>134.30000000000001</v>
      </c>
      <c r="L72" s="93">
        <v>134.30000000000001</v>
      </c>
      <c r="M72" s="93">
        <v>134.30000000000001</v>
      </c>
      <c r="N72" s="93">
        <v>134.30000000000001</v>
      </c>
      <c r="O72" s="93">
        <v>134.30000000000001</v>
      </c>
      <c r="P72" s="93">
        <v>134.30000000000001</v>
      </c>
      <c r="Q72" s="93">
        <v>134.30000000000001</v>
      </c>
      <c r="R72" s="93">
        <v>134.30000000000001</v>
      </c>
    </row>
    <row r="73" spans="1:18" x14ac:dyDescent="0.25">
      <c r="A73" s="80" t="s">
        <v>303</v>
      </c>
      <c r="B73" s="80" t="s">
        <v>302</v>
      </c>
      <c r="C73" s="93">
        <v>1743.1</v>
      </c>
      <c r="D73" s="93">
        <v>1749.2</v>
      </c>
      <c r="E73" s="93">
        <v>1860.1</v>
      </c>
      <c r="F73" s="93">
        <v>2006.1</v>
      </c>
      <c r="G73" s="93">
        <v>2145.6</v>
      </c>
      <c r="H73" s="93">
        <v>2268.6999999999998</v>
      </c>
      <c r="I73" s="93">
        <v>2387.6</v>
      </c>
      <c r="J73" s="93">
        <v>2487</v>
      </c>
      <c r="K73" s="93">
        <v>2630.5</v>
      </c>
      <c r="L73" s="93">
        <v>2750.2</v>
      </c>
      <c r="M73" s="93">
        <v>2875.2</v>
      </c>
      <c r="N73" s="93">
        <v>3073.7</v>
      </c>
      <c r="O73" s="93">
        <v>3289.6</v>
      </c>
      <c r="P73" s="93">
        <v>3417.7</v>
      </c>
      <c r="Q73" s="93">
        <v>3583.3</v>
      </c>
      <c r="R73" s="93">
        <v>3803.4</v>
      </c>
    </row>
    <row r="74" spans="1:18" x14ac:dyDescent="0.25">
      <c r="A74" s="80" t="s">
        <v>301</v>
      </c>
      <c r="B74" s="80" t="s">
        <v>300</v>
      </c>
      <c r="C74" s="93">
        <v>0.2</v>
      </c>
      <c r="D74" s="93">
        <v>0</v>
      </c>
      <c r="E74" s="93">
        <v>0</v>
      </c>
      <c r="F74" s="93">
        <v>1.9</v>
      </c>
      <c r="G74" s="93">
        <v>1.9</v>
      </c>
      <c r="H74" s="93">
        <v>1.9</v>
      </c>
      <c r="I74" s="93">
        <v>2.2000000000000002</v>
      </c>
      <c r="J74" s="93">
        <v>2.2000000000000002</v>
      </c>
      <c r="K74" s="93">
        <v>2.2000000000000002</v>
      </c>
      <c r="L74" s="93">
        <v>2.2000000000000002</v>
      </c>
      <c r="M74" s="93">
        <v>2.2000000000000002</v>
      </c>
      <c r="N74" s="93">
        <v>2.2000000000000002</v>
      </c>
      <c r="O74" s="93">
        <v>1.4</v>
      </c>
      <c r="P74" s="93">
        <v>2.6</v>
      </c>
      <c r="Q74" s="93">
        <v>0</v>
      </c>
      <c r="R74" s="93">
        <v>0</v>
      </c>
    </row>
    <row r="75" spans="1:18" x14ac:dyDescent="0.25">
      <c r="A75" s="79" t="s">
        <v>299</v>
      </c>
      <c r="B75" s="79" t="s">
        <v>298</v>
      </c>
      <c r="C75" s="99">
        <v>3592.1</v>
      </c>
      <c r="D75" s="99">
        <v>3610.4</v>
      </c>
      <c r="E75" s="99">
        <v>3741</v>
      </c>
      <c r="F75" s="99">
        <v>3904.7</v>
      </c>
      <c r="G75" s="99">
        <v>4058.5</v>
      </c>
      <c r="H75" s="99">
        <v>4196.8</v>
      </c>
      <c r="I75" s="99">
        <v>4346.3</v>
      </c>
      <c r="J75" s="99">
        <v>4966.2</v>
      </c>
      <c r="K75" s="99">
        <v>5115.8</v>
      </c>
      <c r="L75" s="99">
        <v>5260.9</v>
      </c>
      <c r="M75" s="99">
        <v>5418.1</v>
      </c>
      <c r="N75" s="99">
        <v>5629.6</v>
      </c>
      <c r="O75" s="99">
        <v>5894.3</v>
      </c>
      <c r="P75" s="99">
        <v>6059.4</v>
      </c>
      <c r="Q75" s="99">
        <v>6248.4</v>
      </c>
      <c r="R75" s="99">
        <v>6512.2</v>
      </c>
    </row>
    <row r="76" spans="1:18" x14ac:dyDescent="0.25">
      <c r="A76" s="80" t="s">
        <v>297</v>
      </c>
      <c r="B76" s="80" t="s">
        <v>296</v>
      </c>
      <c r="C76" s="93">
        <v>2.6</v>
      </c>
      <c r="D76" s="93">
        <v>2.7</v>
      </c>
      <c r="E76" s="93">
        <v>2.7</v>
      </c>
      <c r="F76" s="93">
        <v>2.8</v>
      </c>
      <c r="G76" s="93">
        <v>2.9</v>
      </c>
      <c r="H76" s="93">
        <v>3.1</v>
      </c>
      <c r="I76" s="93">
        <v>3.3</v>
      </c>
      <c r="J76" s="93">
        <v>3.7</v>
      </c>
      <c r="K76" s="93">
        <v>3.9</v>
      </c>
      <c r="L76" s="93">
        <v>2.9</v>
      </c>
      <c r="M76" s="93">
        <v>2.9</v>
      </c>
      <c r="N76" s="93">
        <v>1.4</v>
      </c>
      <c r="O76" s="93">
        <v>1.1000000000000001</v>
      </c>
      <c r="P76" s="93">
        <v>1.1000000000000001</v>
      </c>
      <c r="Q76" s="93">
        <v>0.6</v>
      </c>
      <c r="R76" s="93">
        <v>0.6</v>
      </c>
    </row>
    <row r="77" spans="1:18" x14ac:dyDescent="0.25">
      <c r="A77" s="79" t="s">
        <v>295</v>
      </c>
      <c r="B77" s="79" t="s">
        <v>294</v>
      </c>
      <c r="C77" s="99">
        <v>3594.7</v>
      </c>
      <c r="D77" s="99">
        <v>3613.1</v>
      </c>
      <c r="E77" s="99">
        <v>3743.7</v>
      </c>
      <c r="F77" s="99">
        <v>3907.5</v>
      </c>
      <c r="G77" s="99">
        <v>4061.4</v>
      </c>
      <c r="H77" s="99">
        <v>4199.8999999999996</v>
      </c>
      <c r="I77" s="99">
        <v>4349.6000000000004</v>
      </c>
      <c r="J77" s="99">
        <v>4969.8999999999996</v>
      </c>
      <c r="K77" s="99">
        <v>5119.7</v>
      </c>
      <c r="L77" s="99">
        <v>5263.8</v>
      </c>
      <c r="M77" s="99">
        <v>5421</v>
      </c>
      <c r="N77" s="99">
        <v>5631</v>
      </c>
      <c r="O77" s="99">
        <v>5895.4</v>
      </c>
      <c r="P77" s="99">
        <v>6060.5</v>
      </c>
      <c r="Q77" s="99">
        <v>6249</v>
      </c>
      <c r="R77" s="99">
        <v>6512.8</v>
      </c>
    </row>
    <row r="78" spans="1:18" x14ac:dyDescent="0.25">
      <c r="A78" s="79" t="s">
        <v>293</v>
      </c>
      <c r="B78" s="79" t="s">
        <v>292</v>
      </c>
      <c r="C78" s="99">
        <v>7248.2</v>
      </c>
      <c r="D78" s="99">
        <v>7347.3</v>
      </c>
      <c r="E78" s="99">
        <v>8232.5</v>
      </c>
      <c r="F78" s="99">
        <v>8287</v>
      </c>
      <c r="G78" s="99">
        <v>8856.4</v>
      </c>
      <c r="H78" s="99">
        <v>8927.2000000000007</v>
      </c>
      <c r="I78" s="99">
        <v>9372.7999999999993</v>
      </c>
      <c r="J78" s="99">
        <v>9716.6</v>
      </c>
      <c r="K78" s="99">
        <v>10185.4</v>
      </c>
      <c r="L78" s="99">
        <v>10338.700000000001</v>
      </c>
      <c r="M78" s="99">
        <v>10713.1</v>
      </c>
      <c r="N78" s="99">
        <v>10863.5</v>
      </c>
      <c r="O78" s="99">
        <v>11151</v>
      </c>
      <c r="P78" s="99">
        <v>11179.5</v>
      </c>
      <c r="Q78" s="99">
        <v>11300.2</v>
      </c>
      <c r="R78" s="99">
        <v>11333.2</v>
      </c>
    </row>
    <row r="79" spans="1:18" x14ac:dyDescent="0.25">
      <c r="A79" s="79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</row>
    <row r="80" spans="1:18" x14ac:dyDescent="0.25">
      <c r="A80" s="79" t="s">
        <v>2</v>
      </c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</row>
    <row r="81" spans="1:18" x14ac:dyDescent="0.25">
      <c r="A81" s="80" t="s">
        <v>133</v>
      </c>
      <c r="B81" s="80" t="s">
        <v>134</v>
      </c>
      <c r="C81" s="92" t="s">
        <v>135</v>
      </c>
      <c r="D81" s="92" t="s">
        <v>135</v>
      </c>
      <c r="E81" s="92" t="s">
        <v>135</v>
      </c>
      <c r="F81" s="92" t="s">
        <v>135</v>
      </c>
      <c r="G81" s="92" t="s">
        <v>135</v>
      </c>
      <c r="H81" s="92" t="s">
        <v>135</v>
      </c>
      <c r="I81" s="92" t="s">
        <v>135</v>
      </c>
      <c r="J81" s="92" t="s">
        <v>135</v>
      </c>
      <c r="K81" s="92" t="s">
        <v>135</v>
      </c>
      <c r="L81" s="92" t="s">
        <v>135</v>
      </c>
      <c r="M81" s="92" t="s">
        <v>135</v>
      </c>
      <c r="N81" s="92" t="s">
        <v>135</v>
      </c>
      <c r="O81" s="92" t="s">
        <v>135</v>
      </c>
      <c r="P81" s="92" t="s">
        <v>135</v>
      </c>
      <c r="Q81" s="92" t="s">
        <v>135</v>
      </c>
      <c r="R81" s="92" t="s">
        <v>135</v>
      </c>
    </row>
    <row r="82" spans="1:18" s="73" customFormat="1" x14ac:dyDescent="0.25">
      <c r="A82" s="107" t="s">
        <v>291</v>
      </c>
      <c r="B82" s="107" t="s">
        <v>290</v>
      </c>
      <c r="C82" s="6">
        <v>320.891976</v>
      </c>
      <c r="D82" s="6">
        <v>321.26435099999998</v>
      </c>
      <c r="E82" s="6">
        <v>322.255379</v>
      </c>
      <c r="F82" s="6">
        <v>322.80065999999999</v>
      </c>
      <c r="G82" s="6">
        <v>322.94361800000001</v>
      </c>
      <c r="H82" s="6">
        <v>323.49282399999998</v>
      </c>
      <c r="I82" s="6">
        <v>325.059709</v>
      </c>
      <c r="J82" s="6">
        <v>364.41375399999998</v>
      </c>
      <c r="K82" s="6">
        <v>364.58669400000002</v>
      </c>
      <c r="L82" s="6">
        <v>365.34067700000003</v>
      </c>
      <c r="M82" s="6">
        <v>366.54137800000001</v>
      </c>
      <c r="N82" s="6">
        <v>366.73630200000002</v>
      </c>
      <c r="O82" s="6">
        <v>368.64737100000002</v>
      </c>
      <c r="P82" s="6">
        <v>369.72717699999998</v>
      </c>
      <c r="Q82" s="6">
        <v>370.73109299999999</v>
      </c>
      <c r="R82" s="6">
        <v>372.17175600000002</v>
      </c>
    </row>
    <row r="83" spans="1:18" x14ac:dyDescent="0.25">
      <c r="A83" s="80" t="s">
        <v>289</v>
      </c>
      <c r="B83" s="80" t="s">
        <v>288</v>
      </c>
      <c r="C83" s="93">
        <v>7.2000710000000003</v>
      </c>
      <c r="D83" s="93">
        <v>7.2000710000000003</v>
      </c>
      <c r="E83" s="93">
        <v>7.2000710000000003</v>
      </c>
      <c r="F83" s="93">
        <v>7.2000710000000003</v>
      </c>
      <c r="G83" s="93">
        <v>7.2000710000000003</v>
      </c>
      <c r="H83" s="93">
        <v>7.2000710000000003</v>
      </c>
      <c r="I83" s="93">
        <v>7.2000710000000003</v>
      </c>
      <c r="J83" s="93">
        <v>7.2000710000000003</v>
      </c>
      <c r="K83" s="93">
        <v>7.2000710000000003</v>
      </c>
      <c r="L83" s="93">
        <v>7.2000710000000003</v>
      </c>
      <c r="M83" s="93">
        <v>7.2000710000000003</v>
      </c>
      <c r="N83" s="93">
        <v>7.2000710000000003</v>
      </c>
      <c r="O83" s="93">
        <v>7.2000710000000003</v>
      </c>
      <c r="P83" s="93">
        <v>7.2000710000000003</v>
      </c>
      <c r="Q83" s="93">
        <v>7.2000710000000003</v>
      </c>
      <c r="R83" s="93">
        <v>7.2000710000000003</v>
      </c>
    </row>
    <row r="84" spans="1:18" x14ac:dyDescent="0.25">
      <c r="A84" s="80" t="s">
        <v>287</v>
      </c>
      <c r="B84" s="80" t="s">
        <v>286</v>
      </c>
      <c r="C84" s="93">
        <v>0</v>
      </c>
      <c r="D84" s="93">
        <v>0</v>
      </c>
      <c r="E84" s="93">
        <v>0</v>
      </c>
      <c r="F84" s="93">
        <v>0</v>
      </c>
      <c r="G84" s="93">
        <v>0</v>
      </c>
      <c r="H84" s="93">
        <v>0</v>
      </c>
      <c r="I84" s="93">
        <v>0</v>
      </c>
      <c r="J84" s="93">
        <v>0</v>
      </c>
      <c r="K84" s="93">
        <v>0</v>
      </c>
      <c r="L84" s="93">
        <v>0</v>
      </c>
      <c r="M84" s="93">
        <v>0</v>
      </c>
      <c r="N84" s="93">
        <v>0</v>
      </c>
      <c r="O84" s="93">
        <v>0</v>
      </c>
      <c r="P84" s="93">
        <v>0</v>
      </c>
      <c r="Q84" s="93">
        <v>0</v>
      </c>
      <c r="R84" s="93">
        <v>0</v>
      </c>
    </row>
    <row r="85" spans="1:18" x14ac:dyDescent="0.25">
      <c r="A85" s="80" t="s">
        <v>285</v>
      </c>
      <c r="B85" s="80" t="s">
        <v>284</v>
      </c>
      <c r="C85" s="93">
        <v>23.3</v>
      </c>
      <c r="D85" s="93" t="s">
        <v>36</v>
      </c>
      <c r="E85" s="93" t="s">
        <v>36</v>
      </c>
      <c r="F85" s="93" t="s">
        <v>36</v>
      </c>
      <c r="G85" s="93">
        <v>23.3</v>
      </c>
      <c r="H85" s="93" t="s">
        <v>36</v>
      </c>
      <c r="I85" s="93" t="s">
        <v>36</v>
      </c>
      <c r="J85" s="93" t="s">
        <v>36</v>
      </c>
      <c r="K85" s="93">
        <v>33.299999999999997</v>
      </c>
      <c r="L85" s="93" t="s">
        <v>36</v>
      </c>
      <c r="M85" s="93" t="s">
        <v>36</v>
      </c>
      <c r="N85" s="93" t="s">
        <v>36</v>
      </c>
      <c r="O85" s="93">
        <v>28.4</v>
      </c>
      <c r="P85" s="93" t="s">
        <v>36</v>
      </c>
      <c r="Q85" s="93" t="s">
        <v>36</v>
      </c>
      <c r="R85" s="93" t="s">
        <v>36</v>
      </c>
    </row>
    <row r="86" spans="1:18" x14ac:dyDescent="0.25">
      <c r="A86" s="80" t="s">
        <v>283</v>
      </c>
      <c r="B86" s="80" t="s">
        <v>282</v>
      </c>
      <c r="C86" s="93">
        <v>0</v>
      </c>
      <c r="D86" s="93" t="s">
        <v>36</v>
      </c>
      <c r="E86" s="93" t="s">
        <v>36</v>
      </c>
      <c r="F86" s="93" t="s">
        <v>36</v>
      </c>
      <c r="G86" s="93">
        <v>0</v>
      </c>
      <c r="H86" s="93" t="s">
        <v>36</v>
      </c>
      <c r="I86" s="93" t="s">
        <v>36</v>
      </c>
      <c r="J86" s="93" t="s">
        <v>36</v>
      </c>
      <c r="K86" s="93">
        <v>0</v>
      </c>
      <c r="L86" s="93" t="s">
        <v>36</v>
      </c>
      <c r="M86" s="93" t="s">
        <v>36</v>
      </c>
      <c r="N86" s="93" t="s">
        <v>36</v>
      </c>
      <c r="O86" s="93">
        <v>0</v>
      </c>
      <c r="P86" s="93" t="s">
        <v>36</v>
      </c>
      <c r="Q86" s="93" t="s">
        <v>36</v>
      </c>
      <c r="R86" s="93" t="s">
        <v>36</v>
      </c>
    </row>
    <row r="87" spans="1:18" x14ac:dyDescent="0.25">
      <c r="A87" s="80" t="s">
        <v>279</v>
      </c>
      <c r="B87" s="80" t="s">
        <v>278</v>
      </c>
      <c r="C87" s="93">
        <v>17.580031000000002</v>
      </c>
      <c r="D87" s="93" t="s">
        <v>36</v>
      </c>
      <c r="E87" s="93" t="s">
        <v>36</v>
      </c>
      <c r="F87" s="93" t="s">
        <v>36</v>
      </c>
      <c r="G87" s="93">
        <v>18.962536</v>
      </c>
      <c r="H87" s="93" t="s">
        <v>36</v>
      </c>
      <c r="I87" s="93" t="s">
        <v>36</v>
      </c>
      <c r="J87" s="93" t="s">
        <v>36</v>
      </c>
      <c r="K87" s="93">
        <v>19.478811</v>
      </c>
      <c r="L87" s="93" t="s">
        <v>36</v>
      </c>
      <c r="M87" s="93" t="s">
        <v>36</v>
      </c>
      <c r="N87" s="93" t="s">
        <v>36</v>
      </c>
      <c r="O87" s="93">
        <v>15.337656000000001</v>
      </c>
      <c r="P87" s="93" t="s">
        <v>36</v>
      </c>
      <c r="Q87" s="93" t="s">
        <v>36</v>
      </c>
      <c r="R87" s="93" t="s">
        <v>36</v>
      </c>
    </row>
    <row r="88" spans="1:18" x14ac:dyDescent="0.25">
      <c r="A88" s="80" t="s">
        <v>277</v>
      </c>
      <c r="B88" s="80" t="s">
        <v>276</v>
      </c>
      <c r="C88" s="93">
        <v>959.6</v>
      </c>
      <c r="D88" s="93">
        <v>1760.7</v>
      </c>
      <c r="E88" s="93">
        <v>1876.7</v>
      </c>
      <c r="F88" s="93">
        <v>2225.9</v>
      </c>
      <c r="G88" s="93">
        <v>2293</v>
      </c>
      <c r="H88" s="93">
        <v>2456</v>
      </c>
      <c r="I88" s="93">
        <v>2686.9</v>
      </c>
      <c r="J88" s="93">
        <v>2567.4</v>
      </c>
      <c r="K88" s="93">
        <v>2644.7</v>
      </c>
      <c r="L88" s="93">
        <v>2862.1</v>
      </c>
      <c r="M88" s="93">
        <v>2850.3</v>
      </c>
      <c r="N88" s="93">
        <v>2567.5</v>
      </c>
      <c r="O88" s="93">
        <v>1949.8</v>
      </c>
      <c r="P88" s="93">
        <v>2068.5</v>
      </c>
      <c r="Q88" s="93">
        <v>1943.2</v>
      </c>
      <c r="R88" s="93">
        <v>1890.3</v>
      </c>
    </row>
    <row r="89" spans="1:18" x14ac:dyDescent="0.25">
      <c r="A89" s="80" t="s">
        <v>275</v>
      </c>
      <c r="B89" s="80" t="s">
        <v>274</v>
      </c>
      <c r="C89" s="94">
        <v>26.694856000000001</v>
      </c>
      <c r="D89" s="94">
        <v>48.731006999999998</v>
      </c>
      <c r="E89" s="94">
        <v>50.129550999999999</v>
      </c>
      <c r="F89" s="94">
        <v>56.964810999999997</v>
      </c>
      <c r="G89" s="94">
        <v>56.458364000000003</v>
      </c>
      <c r="H89" s="94">
        <v>58.477583000000003</v>
      </c>
      <c r="I89" s="94">
        <v>61.773496000000002</v>
      </c>
      <c r="J89" s="94">
        <v>51.658987000000003</v>
      </c>
      <c r="K89" s="94">
        <v>51.657324000000003</v>
      </c>
      <c r="L89" s="94">
        <v>54.373266000000001</v>
      </c>
      <c r="M89" s="94">
        <v>52.578859999999999</v>
      </c>
      <c r="N89" s="94">
        <v>45.595809000000003</v>
      </c>
      <c r="O89" s="94">
        <v>33.073244000000003</v>
      </c>
      <c r="P89" s="94">
        <v>34.130847000000003</v>
      </c>
      <c r="Q89" s="94">
        <v>31.096174999999999</v>
      </c>
      <c r="R89" s="94">
        <v>29.024383</v>
      </c>
    </row>
    <row r="90" spans="1:18" x14ac:dyDescent="0.25">
      <c r="A90" s="80" t="s">
        <v>273</v>
      </c>
      <c r="B90" s="80" t="s">
        <v>272</v>
      </c>
      <c r="C90" s="94">
        <v>49.286338000000001</v>
      </c>
      <c r="D90" s="94">
        <v>48.868425000000002</v>
      </c>
      <c r="E90" s="94">
        <v>45.182825999999999</v>
      </c>
      <c r="F90" s="94">
        <v>46.868976000000004</v>
      </c>
      <c r="G90" s="94">
        <v>45.586618000000001</v>
      </c>
      <c r="H90" s="94">
        <v>46.765698999999998</v>
      </c>
      <c r="I90" s="94">
        <v>46.134639</v>
      </c>
      <c r="J90" s="94">
        <v>50.628779999999999</v>
      </c>
      <c r="K90" s="94">
        <v>49.759182000000003</v>
      </c>
      <c r="L90" s="94">
        <v>50.430987999999999</v>
      </c>
      <c r="M90" s="94">
        <v>50.133260999999997</v>
      </c>
      <c r="N90" s="94">
        <v>51.387172999999997</v>
      </c>
      <c r="O90" s="94">
        <v>52.487391000000002</v>
      </c>
      <c r="P90" s="94">
        <v>53.840952999999999</v>
      </c>
      <c r="Q90" s="94">
        <v>54.946936999999998</v>
      </c>
      <c r="R90" s="94">
        <v>57.131425</v>
      </c>
    </row>
    <row r="91" spans="1:18" x14ac:dyDescent="0.25">
      <c r="A91" s="80" t="s">
        <v>271</v>
      </c>
      <c r="B91" s="80" t="s">
        <v>270</v>
      </c>
      <c r="C91" s="94">
        <v>4.8040330000000004</v>
      </c>
      <c r="D91" s="94">
        <v>5.0271809999999997</v>
      </c>
      <c r="E91" s="94">
        <v>5.370209</v>
      </c>
      <c r="F91" s="94">
        <v>5.1069529999999999</v>
      </c>
      <c r="G91" s="94">
        <v>5.6396579999999998</v>
      </c>
      <c r="H91" s="94">
        <v>5.8458199999999998</v>
      </c>
      <c r="I91" s="94">
        <v>6.7305140000000003</v>
      </c>
      <c r="J91" s="94">
        <v>6.1247119999999997</v>
      </c>
      <c r="K91" s="94">
        <v>5.9802140000000001</v>
      </c>
      <c r="L91" s="94">
        <v>6.3347670000000003</v>
      </c>
      <c r="M91" s="94">
        <v>6.5683939999999996</v>
      </c>
      <c r="N91" s="94">
        <v>6.3259879999999997</v>
      </c>
      <c r="O91" s="94">
        <v>6.3710959999999996</v>
      </c>
      <c r="P91" s="94">
        <v>6.7643529999999998</v>
      </c>
      <c r="Q91" s="94">
        <v>6.8074180000000002</v>
      </c>
      <c r="R91" s="94">
        <v>6.2028829999999999</v>
      </c>
    </row>
    <row r="92" spans="1:18" x14ac:dyDescent="0.25">
      <c r="A92" s="80" t="s">
        <v>269</v>
      </c>
      <c r="B92" s="80" t="s">
        <v>268</v>
      </c>
      <c r="C92" s="94">
        <v>3477</v>
      </c>
      <c r="D92" s="94" t="s">
        <v>36</v>
      </c>
      <c r="E92" s="94" t="s">
        <v>36</v>
      </c>
      <c r="F92" s="94" t="s">
        <v>36</v>
      </c>
      <c r="G92" s="94">
        <v>4609</v>
      </c>
      <c r="H92" s="94" t="s">
        <v>36</v>
      </c>
      <c r="I92" s="94" t="s">
        <v>36</v>
      </c>
      <c r="J92" s="94" t="s">
        <v>36</v>
      </c>
      <c r="K92" s="94">
        <v>5621</v>
      </c>
      <c r="L92" s="94" t="s">
        <v>36</v>
      </c>
      <c r="M92" s="94" t="s">
        <v>36</v>
      </c>
      <c r="N92" s="94" t="s">
        <v>36</v>
      </c>
      <c r="O92" s="94">
        <v>6230</v>
      </c>
      <c r="P92" s="94" t="s">
        <v>36</v>
      </c>
      <c r="Q92" s="94" t="s">
        <v>36</v>
      </c>
      <c r="R92" s="94" t="s">
        <v>36</v>
      </c>
    </row>
    <row r="93" spans="1:18" x14ac:dyDescent="0.25">
      <c r="A93" s="87" t="s">
        <v>159</v>
      </c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opLeftCell="A64" workbookViewId="0">
      <selection activeCell="H42" sqref="H42"/>
    </sheetView>
  </sheetViews>
  <sheetFormatPr defaultRowHeight="15" x14ac:dyDescent="0.25"/>
  <cols>
    <col min="1" max="1" width="35.140625" customWidth="1"/>
    <col min="2" max="2" width="0" hidden="1" customWidth="1"/>
    <col min="3" max="5" width="11.85546875" customWidth="1"/>
    <col min="6" max="6" width="11.85546875" style="73" customWidth="1"/>
    <col min="7" max="18" width="11.85546875" customWidth="1"/>
  </cols>
  <sheetData>
    <row r="1" spans="1:18" x14ac:dyDescent="0.25">
      <c r="A1" s="81"/>
      <c r="B1" s="81"/>
      <c r="C1" s="81"/>
      <c r="D1" s="81"/>
      <c r="E1" s="81"/>
      <c r="F1" s="195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</row>
    <row r="2" spans="1:18" ht="20.25" x14ac:dyDescent="0.25">
      <c r="A2" s="88" t="s">
        <v>267</v>
      </c>
      <c r="B2" s="88"/>
      <c r="C2" s="88"/>
      <c r="D2" s="88"/>
      <c r="E2" s="88"/>
      <c r="F2" s="196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</row>
    <row r="3" spans="1:18" x14ac:dyDescent="0.25">
      <c r="A3" s="82"/>
      <c r="B3" s="82"/>
      <c r="C3" s="82"/>
      <c r="D3" s="82"/>
      <c r="E3" s="82"/>
      <c r="F3" s="197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</row>
    <row r="4" spans="1:18" x14ac:dyDescent="0.25">
      <c r="A4" s="74" t="s">
        <v>5</v>
      </c>
      <c r="B4" s="74"/>
      <c r="C4" s="75" t="s">
        <v>429</v>
      </c>
      <c r="D4" s="75" t="s">
        <v>266</v>
      </c>
      <c r="E4" s="75" t="s">
        <v>265</v>
      </c>
      <c r="F4" s="198" t="s">
        <v>6</v>
      </c>
      <c r="G4" s="75" t="s">
        <v>7</v>
      </c>
      <c r="H4" s="75" t="s">
        <v>3</v>
      </c>
      <c r="I4" s="75" t="s">
        <v>8</v>
      </c>
      <c r="J4" s="75" t="s">
        <v>9</v>
      </c>
      <c r="K4" s="75" t="s">
        <v>10</v>
      </c>
      <c r="L4" s="75" t="s">
        <v>11</v>
      </c>
      <c r="M4" s="75" t="s">
        <v>12</v>
      </c>
      <c r="N4" s="75" t="s">
        <v>13</v>
      </c>
      <c r="O4" s="75" t="s">
        <v>14</v>
      </c>
      <c r="P4" s="75" t="s">
        <v>15</v>
      </c>
      <c r="Q4" s="75" t="s">
        <v>16</v>
      </c>
      <c r="R4" s="75" t="s">
        <v>17</v>
      </c>
    </row>
    <row r="5" spans="1:18" x14ac:dyDescent="0.25">
      <c r="A5" s="76" t="s">
        <v>18</v>
      </c>
      <c r="B5" s="76"/>
      <c r="C5" s="77" t="s">
        <v>428</v>
      </c>
      <c r="D5" s="77" t="s">
        <v>264</v>
      </c>
      <c r="E5" s="77" t="s">
        <v>263</v>
      </c>
      <c r="F5" s="199" t="s">
        <v>19</v>
      </c>
      <c r="G5" s="77" t="s">
        <v>20</v>
      </c>
      <c r="H5" s="77" t="s">
        <v>21</v>
      </c>
      <c r="I5" s="77" t="s">
        <v>22</v>
      </c>
      <c r="J5" s="77" t="s">
        <v>23</v>
      </c>
      <c r="K5" s="77" t="s">
        <v>24</v>
      </c>
      <c r="L5" s="77" t="s">
        <v>25</v>
      </c>
      <c r="M5" s="77" t="s">
        <v>26</v>
      </c>
      <c r="N5" s="77" t="s">
        <v>27</v>
      </c>
      <c r="O5" s="77" t="s">
        <v>28</v>
      </c>
      <c r="P5" s="77" t="s">
        <v>29</v>
      </c>
      <c r="Q5" s="77" t="s">
        <v>30</v>
      </c>
      <c r="R5" s="77" t="s">
        <v>31</v>
      </c>
    </row>
    <row r="6" spans="1:18" x14ac:dyDescent="0.25">
      <c r="A6" s="79" t="s">
        <v>368</v>
      </c>
      <c r="B6" s="98"/>
      <c r="C6" s="98"/>
      <c r="D6" s="98"/>
      <c r="E6" s="98"/>
      <c r="F6" s="200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</row>
    <row r="7" spans="1:18" x14ac:dyDescent="0.25">
      <c r="A7" s="80" t="s">
        <v>427</v>
      </c>
      <c r="B7" s="80" t="s">
        <v>426</v>
      </c>
      <c r="C7" s="93">
        <v>72.525000000000006</v>
      </c>
      <c r="D7" s="93">
        <v>239.28</v>
      </c>
      <c r="E7" s="93">
        <v>104.34399999999999</v>
      </c>
      <c r="F7" s="6">
        <v>582.90499999999997</v>
      </c>
      <c r="G7" s="93">
        <v>518</v>
      </c>
      <c r="H7" s="93">
        <v>1149.8</v>
      </c>
      <c r="I7" s="93">
        <v>587.6</v>
      </c>
      <c r="J7" s="93">
        <v>269.60000000000002</v>
      </c>
      <c r="K7" s="93">
        <v>1387.3</v>
      </c>
      <c r="L7" s="93">
        <v>1957.3</v>
      </c>
      <c r="M7" s="93">
        <v>1607</v>
      </c>
      <c r="N7" s="93">
        <v>1030.2</v>
      </c>
      <c r="O7" s="93">
        <v>1345.7</v>
      </c>
      <c r="P7" s="93">
        <v>977.4</v>
      </c>
      <c r="Q7" s="93">
        <v>661.8</v>
      </c>
      <c r="R7" s="93">
        <v>1383.8</v>
      </c>
    </row>
    <row r="8" spans="1:18" x14ac:dyDescent="0.25">
      <c r="A8" s="80" t="s">
        <v>425</v>
      </c>
      <c r="B8" s="80" t="s">
        <v>424</v>
      </c>
      <c r="C8" s="93">
        <v>72.525000000000006</v>
      </c>
      <c r="D8" s="93">
        <v>239.28</v>
      </c>
      <c r="E8" s="93">
        <v>104.34399999999999</v>
      </c>
      <c r="F8" s="6">
        <v>582.90499999999997</v>
      </c>
      <c r="G8" s="93">
        <v>518</v>
      </c>
      <c r="H8" s="93">
        <v>1149.8</v>
      </c>
      <c r="I8" s="93">
        <v>587.6</v>
      </c>
      <c r="J8" s="93">
        <v>269.60000000000002</v>
      </c>
      <c r="K8" s="93">
        <v>1387.3</v>
      </c>
      <c r="L8" s="93">
        <v>1957.3</v>
      </c>
      <c r="M8" s="93">
        <v>1309.3</v>
      </c>
      <c r="N8" s="93">
        <v>732.6</v>
      </c>
      <c r="O8" s="93">
        <v>1047.7</v>
      </c>
      <c r="P8" s="93">
        <v>977.4</v>
      </c>
      <c r="Q8" s="93">
        <v>661.8</v>
      </c>
      <c r="R8" s="93">
        <v>1383.8</v>
      </c>
    </row>
    <row r="9" spans="1:18" x14ac:dyDescent="0.25">
      <c r="A9" s="80" t="s">
        <v>423</v>
      </c>
      <c r="B9" s="80" t="s">
        <v>422</v>
      </c>
      <c r="C9" s="93">
        <v>0</v>
      </c>
      <c r="D9" s="93">
        <v>0</v>
      </c>
      <c r="E9" s="93">
        <v>0</v>
      </c>
      <c r="F9" s="6">
        <v>0</v>
      </c>
      <c r="G9" s="93">
        <v>0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297.7</v>
      </c>
      <c r="N9" s="93">
        <v>297.60000000000002</v>
      </c>
      <c r="O9" s="93">
        <v>298</v>
      </c>
      <c r="P9" s="93">
        <v>0</v>
      </c>
      <c r="Q9" s="93">
        <v>0</v>
      </c>
      <c r="R9" s="93">
        <v>0</v>
      </c>
    </row>
    <row r="10" spans="1:18" x14ac:dyDescent="0.25">
      <c r="A10" s="80" t="s">
        <v>421</v>
      </c>
      <c r="B10" s="80" t="s">
        <v>420</v>
      </c>
      <c r="C10" s="93">
        <v>0</v>
      </c>
      <c r="D10" s="93">
        <v>0</v>
      </c>
      <c r="E10" s="93">
        <v>0</v>
      </c>
      <c r="F10" s="6">
        <v>0</v>
      </c>
      <c r="G10" s="93">
        <v>0</v>
      </c>
      <c r="H10" s="93">
        <v>0</v>
      </c>
      <c r="I10" s="93">
        <v>0</v>
      </c>
      <c r="J10" s="93">
        <v>0</v>
      </c>
      <c r="K10" s="93">
        <v>0</v>
      </c>
      <c r="L10" s="93">
        <v>0</v>
      </c>
      <c r="M10" s="93">
        <v>0</v>
      </c>
      <c r="N10" s="93">
        <v>0</v>
      </c>
      <c r="O10" s="93">
        <v>0</v>
      </c>
      <c r="P10" s="93">
        <v>0</v>
      </c>
      <c r="Q10" s="93">
        <v>0</v>
      </c>
      <c r="R10" s="93">
        <v>0</v>
      </c>
    </row>
    <row r="11" spans="1:18" x14ac:dyDescent="0.25">
      <c r="A11" s="80" t="s">
        <v>419</v>
      </c>
      <c r="B11" s="80" t="s">
        <v>418</v>
      </c>
      <c r="C11" s="93" t="s">
        <v>36</v>
      </c>
      <c r="D11" s="93" t="s">
        <v>36</v>
      </c>
      <c r="E11" s="93" t="s">
        <v>36</v>
      </c>
      <c r="F11" s="6" t="s">
        <v>36</v>
      </c>
      <c r="G11" s="93" t="s">
        <v>36</v>
      </c>
      <c r="H11" s="93" t="s">
        <v>36</v>
      </c>
      <c r="I11" s="93" t="s">
        <v>36</v>
      </c>
      <c r="J11" s="93" t="s">
        <v>36</v>
      </c>
      <c r="K11" s="93" t="s">
        <v>36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</row>
    <row r="12" spans="1:18" ht="15.75" thickBot="1" x14ac:dyDescent="0.3">
      <c r="A12" s="80" t="s">
        <v>417</v>
      </c>
      <c r="B12" s="80" t="s">
        <v>416</v>
      </c>
      <c r="C12" s="93" t="s">
        <v>36</v>
      </c>
      <c r="D12" s="93" t="s">
        <v>36</v>
      </c>
      <c r="E12" s="93" t="s">
        <v>36</v>
      </c>
      <c r="F12" s="6" t="s">
        <v>36</v>
      </c>
      <c r="G12" s="93" t="s">
        <v>36</v>
      </c>
      <c r="H12" s="93" t="s">
        <v>36</v>
      </c>
      <c r="I12" s="93" t="s">
        <v>36</v>
      </c>
      <c r="J12" s="93" t="s">
        <v>36</v>
      </c>
      <c r="K12" s="93" t="s">
        <v>36</v>
      </c>
      <c r="L12" s="93">
        <v>0</v>
      </c>
      <c r="M12" s="93">
        <v>0</v>
      </c>
      <c r="N12" s="93">
        <v>0</v>
      </c>
      <c r="O12" s="93">
        <v>0</v>
      </c>
      <c r="P12" s="93">
        <v>0</v>
      </c>
      <c r="Q12" s="93">
        <v>0</v>
      </c>
      <c r="R12" s="93">
        <v>0</v>
      </c>
    </row>
    <row r="13" spans="1:18" s="172" customFormat="1" ht="15.75" thickBot="1" x14ac:dyDescent="0.3">
      <c r="A13" s="170" t="s">
        <v>415</v>
      </c>
      <c r="B13" s="170" t="s">
        <v>414</v>
      </c>
      <c r="C13" s="171">
        <v>2191.0309999999999</v>
      </c>
      <c r="D13" s="171">
        <v>2804.377</v>
      </c>
      <c r="E13" s="171">
        <v>4343.0690000000004</v>
      </c>
      <c r="F13" s="201">
        <v>5082.2950000000001</v>
      </c>
      <c r="G13" s="171">
        <v>6567.4</v>
      </c>
      <c r="H13" s="171">
        <v>8486.7999999999993</v>
      </c>
      <c r="I13" s="171">
        <v>11343.1</v>
      </c>
      <c r="J13" s="171">
        <v>9343.5</v>
      </c>
      <c r="K13" s="171">
        <v>4683.2</v>
      </c>
      <c r="L13" s="171">
        <v>3666.7</v>
      </c>
      <c r="M13" s="171">
        <v>3449</v>
      </c>
      <c r="N13" s="171">
        <v>3449.7</v>
      </c>
      <c r="O13" s="173">
        <v>4165.2</v>
      </c>
      <c r="P13" s="175">
        <v>6197.4</v>
      </c>
      <c r="Q13" s="176">
        <v>7700.5</v>
      </c>
      <c r="R13" s="177">
        <v>7807</v>
      </c>
    </row>
    <row r="14" spans="1:18" s="167" customFormat="1" x14ac:dyDescent="0.25">
      <c r="A14" s="164" t="s">
        <v>413</v>
      </c>
      <c r="B14" s="164" t="s">
        <v>412</v>
      </c>
      <c r="C14" s="165">
        <v>2.8239999999999998</v>
      </c>
      <c r="D14" s="165">
        <v>2.8239999999999998</v>
      </c>
      <c r="E14" s="165">
        <v>10.303000000000001</v>
      </c>
      <c r="F14" s="6">
        <v>6.4909999999999997</v>
      </c>
      <c r="G14" s="165">
        <v>3535.2</v>
      </c>
      <c r="H14" s="165">
        <v>5180.5</v>
      </c>
      <c r="I14" s="165">
        <v>6919.9</v>
      </c>
      <c r="J14" s="165">
        <v>5874.8</v>
      </c>
      <c r="K14" s="165">
        <v>2941.3</v>
      </c>
      <c r="L14" s="165">
        <v>2205.8000000000002</v>
      </c>
      <c r="M14" s="165">
        <v>2155.4</v>
      </c>
      <c r="N14" s="174">
        <v>2080.5</v>
      </c>
      <c r="O14" s="178">
        <v>2482.5</v>
      </c>
      <c r="P14" s="179">
        <v>3699.4</v>
      </c>
      <c r="Q14" s="179">
        <v>4159.2</v>
      </c>
      <c r="R14" s="180">
        <v>4305.8</v>
      </c>
    </row>
    <row r="15" spans="1:18" s="167" customFormat="1" ht="15.75" thickBot="1" x14ac:dyDescent="0.3">
      <c r="A15" s="164" t="s">
        <v>411</v>
      </c>
      <c r="B15" s="164" t="s">
        <v>410</v>
      </c>
      <c r="C15" s="165">
        <v>0</v>
      </c>
      <c r="D15" s="165">
        <v>0</v>
      </c>
      <c r="E15" s="165">
        <v>0</v>
      </c>
      <c r="F15" s="6">
        <v>0</v>
      </c>
      <c r="G15" s="165">
        <v>0</v>
      </c>
      <c r="H15" s="165">
        <v>3105.9</v>
      </c>
      <c r="I15" s="165">
        <v>8645.6</v>
      </c>
      <c r="J15" s="165">
        <v>3346.8</v>
      </c>
      <c r="K15" s="165">
        <v>1681.6</v>
      </c>
      <c r="L15" s="165">
        <v>1446.6</v>
      </c>
      <c r="M15" s="165">
        <v>1286</v>
      </c>
      <c r="N15" s="174">
        <v>1369.2</v>
      </c>
      <c r="O15" s="181">
        <v>1682.7</v>
      </c>
      <c r="P15" s="182">
        <v>2498</v>
      </c>
      <c r="Q15" s="182">
        <v>3541.3</v>
      </c>
      <c r="R15" s="183">
        <v>3501.2</v>
      </c>
    </row>
    <row r="16" spans="1:18" x14ac:dyDescent="0.25">
      <c r="A16" s="80" t="s">
        <v>409</v>
      </c>
      <c r="B16" s="80" t="s">
        <v>408</v>
      </c>
      <c r="C16" s="93">
        <v>2188.2069999999999</v>
      </c>
      <c r="D16" s="93">
        <v>2801.5529999999999</v>
      </c>
      <c r="E16" s="93">
        <v>4332.7659999999996</v>
      </c>
      <c r="F16" s="6">
        <v>5075.8040000000001</v>
      </c>
      <c r="G16" s="93">
        <v>6561.2</v>
      </c>
      <c r="H16" s="93">
        <v>0</v>
      </c>
      <c r="I16" s="93">
        <v>0</v>
      </c>
      <c r="J16" s="93">
        <v>0</v>
      </c>
      <c r="K16" s="93">
        <v>0</v>
      </c>
      <c r="L16" s="93">
        <v>0</v>
      </c>
      <c r="M16" s="93">
        <v>0</v>
      </c>
      <c r="N16" s="93">
        <v>0</v>
      </c>
      <c r="O16" s="93">
        <v>0</v>
      </c>
      <c r="P16" s="93">
        <v>0</v>
      </c>
      <c r="Q16" s="93">
        <v>0</v>
      </c>
      <c r="R16" s="93">
        <v>0</v>
      </c>
    </row>
    <row r="17" spans="1:18" x14ac:dyDescent="0.25">
      <c r="A17" s="80" t="s">
        <v>407</v>
      </c>
      <c r="B17" s="80" t="s">
        <v>406</v>
      </c>
      <c r="C17" s="93">
        <v>0</v>
      </c>
      <c r="D17" s="93">
        <v>0</v>
      </c>
      <c r="E17" s="93">
        <v>0</v>
      </c>
      <c r="F17" s="6">
        <v>0</v>
      </c>
      <c r="G17" s="93">
        <v>0</v>
      </c>
      <c r="H17" s="93">
        <v>200.4</v>
      </c>
      <c r="I17" s="93">
        <v>100.4</v>
      </c>
      <c r="J17" s="93">
        <v>121.9</v>
      </c>
      <c r="K17" s="93">
        <v>60.3</v>
      </c>
      <c r="L17" s="93">
        <v>14.3</v>
      </c>
      <c r="M17" s="93">
        <v>7.6</v>
      </c>
      <c r="N17" s="93">
        <v>0</v>
      </c>
      <c r="O17" s="93">
        <v>0</v>
      </c>
      <c r="P17" s="93">
        <v>0</v>
      </c>
      <c r="Q17" s="93">
        <v>0</v>
      </c>
      <c r="R17" s="93">
        <v>0</v>
      </c>
    </row>
    <row r="18" spans="1:18" x14ac:dyDescent="0.25">
      <c r="A18" s="80" t="s">
        <v>405</v>
      </c>
      <c r="B18" s="80" t="s">
        <v>404</v>
      </c>
      <c r="C18" s="93">
        <v>0</v>
      </c>
      <c r="D18" s="93">
        <v>0</v>
      </c>
      <c r="E18" s="93">
        <v>0</v>
      </c>
      <c r="F18" s="6">
        <v>0</v>
      </c>
      <c r="G18" s="93">
        <v>0</v>
      </c>
      <c r="H18" s="93">
        <v>0</v>
      </c>
      <c r="I18" s="93">
        <v>248.3</v>
      </c>
      <c r="J18" s="93">
        <v>0</v>
      </c>
      <c r="K18" s="93">
        <v>678.2</v>
      </c>
      <c r="L18" s="93">
        <v>348.3</v>
      </c>
      <c r="M18" s="93">
        <v>69.7</v>
      </c>
      <c r="N18" s="93">
        <v>61.5</v>
      </c>
      <c r="O18" s="93">
        <v>63.7</v>
      </c>
      <c r="P18" s="93">
        <v>77.8</v>
      </c>
      <c r="Q18" s="93">
        <v>10</v>
      </c>
      <c r="R18" s="93">
        <v>9.6999999999999993</v>
      </c>
    </row>
    <row r="19" spans="1:18" x14ac:dyDescent="0.25">
      <c r="A19" s="80" t="s">
        <v>374</v>
      </c>
      <c r="B19" s="80" t="s">
        <v>403</v>
      </c>
      <c r="C19" s="93" t="s">
        <v>36</v>
      </c>
      <c r="D19" s="93" t="s">
        <v>36</v>
      </c>
      <c r="E19" s="93" t="s">
        <v>36</v>
      </c>
      <c r="F19" s="6" t="s">
        <v>36</v>
      </c>
      <c r="G19" s="93" t="s">
        <v>36</v>
      </c>
      <c r="H19" s="93" t="s">
        <v>36</v>
      </c>
      <c r="I19" s="93" t="s">
        <v>36</v>
      </c>
      <c r="J19" s="93" t="s">
        <v>36</v>
      </c>
      <c r="K19" s="93" t="s">
        <v>36</v>
      </c>
      <c r="L19" s="93">
        <v>0</v>
      </c>
      <c r="M19" s="93">
        <v>0</v>
      </c>
      <c r="N19" s="93">
        <v>0</v>
      </c>
      <c r="O19" s="93">
        <v>0</v>
      </c>
      <c r="P19" s="93">
        <v>0</v>
      </c>
      <c r="Q19" s="93">
        <v>0</v>
      </c>
      <c r="R19" s="93">
        <v>0</v>
      </c>
    </row>
    <row r="20" spans="1:18" x14ac:dyDescent="0.25">
      <c r="A20" s="80" t="s">
        <v>402</v>
      </c>
      <c r="B20" s="80" t="s">
        <v>401</v>
      </c>
      <c r="C20" s="93" t="s">
        <v>36</v>
      </c>
      <c r="D20" s="93" t="s">
        <v>36</v>
      </c>
      <c r="E20" s="93" t="s">
        <v>36</v>
      </c>
      <c r="F20" s="6" t="s">
        <v>36</v>
      </c>
      <c r="G20" s="93" t="s">
        <v>36</v>
      </c>
      <c r="H20" s="93" t="s">
        <v>36</v>
      </c>
      <c r="I20" s="93" t="s">
        <v>36</v>
      </c>
      <c r="J20" s="93" t="s">
        <v>36</v>
      </c>
      <c r="K20" s="93" t="s">
        <v>36</v>
      </c>
      <c r="L20" s="93">
        <v>293.10000000000002</v>
      </c>
      <c r="M20" s="93">
        <v>16</v>
      </c>
      <c r="N20" s="93">
        <v>12.4</v>
      </c>
      <c r="O20" s="93">
        <v>14.4</v>
      </c>
      <c r="P20" s="93" t="s">
        <v>36</v>
      </c>
      <c r="Q20" s="93" t="s">
        <v>36</v>
      </c>
      <c r="R20" s="93" t="s">
        <v>36</v>
      </c>
    </row>
    <row r="21" spans="1:18" x14ac:dyDescent="0.25">
      <c r="A21" s="80" t="s">
        <v>400</v>
      </c>
      <c r="B21" s="80" t="s">
        <v>399</v>
      </c>
      <c r="C21" s="93" t="s">
        <v>36</v>
      </c>
      <c r="D21" s="93" t="s">
        <v>36</v>
      </c>
      <c r="E21" s="93" t="s">
        <v>36</v>
      </c>
      <c r="F21" s="6" t="s">
        <v>36</v>
      </c>
      <c r="G21" s="93" t="s">
        <v>36</v>
      </c>
      <c r="H21" s="93" t="s">
        <v>36</v>
      </c>
      <c r="I21" s="93" t="s">
        <v>36</v>
      </c>
      <c r="J21" s="93" t="s">
        <v>36</v>
      </c>
      <c r="K21" s="93" t="s">
        <v>36</v>
      </c>
      <c r="L21" s="93">
        <v>55.2</v>
      </c>
      <c r="M21" s="93">
        <v>53.7</v>
      </c>
      <c r="N21" s="93">
        <v>49.1</v>
      </c>
      <c r="O21" s="93">
        <v>49.3</v>
      </c>
      <c r="P21" s="93">
        <v>77.8</v>
      </c>
      <c r="Q21" s="93">
        <v>10</v>
      </c>
      <c r="R21" s="93">
        <v>9.6999999999999993</v>
      </c>
    </row>
    <row r="22" spans="1:18" x14ac:dyDescent="0.25">
      <c r="A22" s="79" t="s">
        <v>398</v>
      </c>
      <c r="B22" s="79" t="s">
        <v>397</v>
      </c>
      <c r="C22" s="99">
        <v>2263.556</v>
      </c>
      <c r="D22" s="99">
        <v>3043.6570000000002</v>
      </c>
      <c r="E22" s="99">
        <v>4447.4129999999996</v>
      </c>
      <c r="F22" s="202">
        <v>5665.2</v>
      </c>
      <c r="G22" s="99">
        <v>7085.4</v>
      </c>
      <c r="H22" s="99">
        <v>9636.6</v>
      </c>
      <c r="I22" s="99">
        <v>12179</v>
      </c>
      <c r="J22" s="99">
        <v>9613.1</v>
      </c>
      <c r="K22" s="99">
        <v>6748.7</v>
      </c>
      <c r="L22" s="99">
        <v>5972.3</v>
      </c>
      <c r="M22" s="99">
        <v>5125.7</v>
      </c>
      <c r="N22" s="99">
        <v>4541.3999999999996</v>
      </c>
      <c r="O22" s="99">
        <v>5574.6</v>
      </c>
      <c r="P22" s="99">
        <v>7252.6</v>
      </c>
      <c r="Q22" s="99">
        <v>8372.2999999999993</v>
      </c>
      <c r="R22" s="99">
        <v>9200.5</v>
      </c>
    </row>
    <row r="23" spans="1:18" x14ac:dyDescent="0.25">
      <c r="A23" s="80" t="s">
        <v>396</v>
      </c>
      <c r="B23" s="80" t="s">
        <v>395</v>
      </c>
      <c r="C23" s="93">
        <v>38.96</v>
      </c>
      <c r="D23" s="93">
        <v>53.095999999999997</v>
      </c>
      <c r="E23" s="93">
        <v>71.894999999999996</v>
      </c>
      <c r="F23" s="6">
        <v>81.674999999999997</v>
      </c>
      <c r="G23" s="93">
        <v>91.9</v>
      </c>
      <c r="H23" s="93">
        <v>107.2</v>
      </c>
      <c r="I23" s="93">
        <v>131.4</v>
      </c>
      <c r="J23" s="93">
        <v>110.2</v>
      </c>
      <c r="K23" s="93">
        <v>65.900000000000006</v>
      </c>
      <c r="L23" s="93">
        <v>57.8</v>
      </c>
      <c r="M23" s="93">
        <v>60.5</v>
      </c>
      <c r="N23" s="93">
        <v>57.6</v>
      </c>
      <c r="O23" s="93">
        <v>72.599999999999994</v>
      </c>
      <c r="P23" s="93">
        <v>106.7</v>
      </c>
      <c r="Q23" s="93">
        <v>190.8</v>
      </c>
      <c r="R23" s="93">
        <v>144</v>
      </c>
    </row>
    <row r="24" spans="1:18" x14ac:dyDescent="0.25">
      <c r="A24" s="80" t="s">
        <v>394</v>
      </c>
      <c r="B24" s="80" t="s">
        <v>393</v>
      </c>
      <c r="C24" s="93">
        <v>77.245000000000005</v>
      </c>
      <c r="D24" s="93">
        <v>107.134</v>
      </c>
      <c r="E24" s="93">
        <v>143.70699999999999</v>
      </c>
      <c r="F24" s="6">
        <v>171.875</v>
      </c>
      <c r="G24" s="93">
        <v>210</v>
      </c>
      <c r="H24" s="93">
        <v>248.5</v>
      </c>
      <c r="I24" s="93">
        <v>261.39999999999998</v>
      </c>
      <c r="J24" s="93">
        <v>268.10000000000002</v>
      </c>
      <c r="K24" s="93">
        <v>222.4</v>
      </c>
      <c r="L24" s="93">
        <v>215.2</v>
      </c>
      <c r="M24" s="93">
        <v>211.3</v>
      </c>
      <c r="N24" s="93">
        <v>186.8</v>
      </c>
      <c r="O24" s="93">
        <v>194.2</v>
      </c>
      <c r="P24" s="93">
        <v>233.9</v>
      </c>
      <c r="Q24" s="93">
        <v>331.9</v>
      </c>
      <c r="R24" s="93">
        <v>310.89999999999998</v>
      </c>
    </row>
    <row r="25" spans="1:18" x14ac:dyDescent="0.25">
      <c r="A25" s="80" t="s">
        <v>392</v>
      </c>
      <c r="B25" s="80" t="s">
        <v>391</v>
      </c>
      <c r="C25" s="93">
        <v>38.284999999999997</v>
      </c>
      <c r="D25" s="93">
        <v>54.037999999999997</v>
      </c>
      <c r="E25" s="93">
        <v>71.811999999999998</v>
      </c>
      <c r="F25" s="6">
        <v>90.2</v>
      </c>
      <c r="G25" s="93">
        <v>118.1</v>
      </c>
      <c r="H25" s="93">
        <v>141.30000000000001</v>
      </c>
      <c r="I25" s="93">
        <v>130</v>
      </c>
      <c r="J25" s="93">
        <v>157.9</v>
      </c>
      <c r="K25" s="93">
        <v>156.5</v>
      </c>
      <c r="L25" s="93">
        <v>157.4</v>
      </c>
      <c r="M25" s="93">
        <v>150.80000000000001</v>
      </c>
      <c r="N25" s="93">
        <v>129.19999999999999</v>
      </c>
      <c r="O25" s="93">
        <v>121.6</v>
      </c>
      <c r="P25" s="93">
        <v>127.2</v>
      </c>
      <c r="Q25" s="93">
        <v>141.1</v>
      </c>
      <c r="R25" s="93">
        <v>166.9</v>
      </c>
    </row>
    <row r="26" spans="1:18" x14ac:dyDescent="0.25">
      <c r="A26" s="80" t="s">
        <v>390</v>
      </c>
      <c r="B26" s="80" t="s">
        <v>389</v>
      </c>
      <c r="C26" s="93">
        <v>119.581</v>
      </c>
      <c r="D26" s="93">
        <v>222.81800000000001</v>
      </c>
      <c r="E26" s="93">
        <v>464.08800000000002</v>
      </c>
      <c r="F26" s="6">
        <v>485.48500000000001</v>
      </c>
      <c r="G26" s="93">
        <v>623.29999999999995</v>
      </c>
      <c r="H26" s="93">
        <v>1358.7</v>
      </c>
      <c r="I26" s="93">
        <v>1022.9</v>
      </c>
      <c r="J26" s="93">
        <v>523.5</v>
      </c>
      <c r="K26" s="93">
        <v>352.1</v>
      </c>
      <c r="L26" s="93">
        <v>220.8</v>
      </c>
      <c r="M26" s="93">
        <v>253.8</v>
      </c>
      <c r="N26" s="93">
        <v>294.10000000000002</v>
      </c>
      <c r="O26" s="93">
        <v>345.3</v>
      </c>
      <c r="P26" s="93">
        <v>395.1</v>
      </c>
      <c r="Q26" s="93">
        <v>476.9</v>
      </c>
      <c r="R26" s="93">
        <v>631</v>
      </c>
    </row>
    <row r="27" spans="1:18" x14ac:dyDescent="0.25">
      <c r="A27" s="80" t="s">
        <v>388</v>
      </c>
      <c r="B27" s="80" t="s">
        <v>387</v>
      </c>
      <c r="C27" s="93" t="s">
        <v>36</v>
      </c>
      <c r="D27" s="93" t="s">
        <v>36</v>
      </c>
      <c r="E27" s="93" t="s">
        <v>36</v>
      </c>
      <c r="F27" s="6" t="s">
        <v>36</v>
      </c>
      <c r="G27" s="93" t="s">
        <v>36</v>
      </c>
      <c r="H27" s="93" t="s">
        <v>36</v>
      </c>
      <c r="I27" s="93" t="s">
        <v>36</v>
      </c>
      <c r="J27" s="93" t="s">
        <v>36</v>
      </c>
      <c r="K27" s="93" t="s">
        <v>36</v>
      </c>
      <c r="L27" s="93">
        <v>220.8</v>
      </c>
      <c r="M27" s="93">
        <v>253.8</v>
      </c>
      <c r="N27" s="93">
        <v>294.10000000000002</v>
      </c>
      <c r="O27" s="93">
        <v>345.3</v>
      </c>
      <c r="P27" s="93">
        <v>395.1</v>
      </c>
      <c r="Q27" s="93">
        <v>476.9</v>
      </c>
      <c r="R27" s="93">
        <v>631</v>
      </c>
    </row>
    <row r="28" spans="1:18" x14ac:dyDescent="0.25">
      <c r="A28" s="80" t="s">
        <v>386</v>
      </c>
      <c r="B28" s="80" t="s">
        <v>385</v>
      </c>
      <c r="C28" s="93">
        <v>272.48</v>
      </c>
      <c r="D28" s="93">
        <v>332.61900000000003</v>
      </c>
      <c r="E28" s="93">
        <v>1034.1310000000001</v>
      </c>
      <c r="F28" s="6">
        <v>1047.0170000000001</v>
      </c>
      <c r="G28" s="93">
        <v>1184.5999999999999</v>
      </c>
      <c r="H28" s="93">
        <v>1412.3</v>
      </c>
      <c r="I28" s="93">
        <v>1487.4</v>
      </c>
      <c r="J28" s="93">
        <v>1309.5</v>
      </c>
      <c r="K28" s="93">
        <v>783.9</v>
      </c>
      <c r="L28" s="93">
        <v>505.9</v>
      </c>
      <c r="M28" s="93">
        <v>498.6</v>
      </c>
      <c r="N28" s="93">
        <v>465.3</v>
      </c>
      <c r="O28" s="93">
        <v>1255.7</v>
      </c>
      <c r="P28" s="93">
        <v>1102</v>
      </c>
      <c r="Q28" s="93">
        <v>1145.4000000000001</v>
      </c>
      <c r="R28" s="93">
        <v>1175.5</v>
      </c>
    </row>
    <row r="29" spans="1:18" x14ac:dyDescent="0.25">
      <c r="A29" s="80" t="s">
        <v>384</v>
      </c>
      <c r="B29" s="80" t="s">
        <v>383</v>
      </c>
      <c r="C29" s="93">
        <v>115.96599999999999</v>
      </c>
      <c r="D29" s="93">
        <v>136.22300000000001</v>
      </c>
      <c r="E29" s="93">
        <v>579.23</v>
      </c>
      <c r="F29" s="6">
        <v>578.9</v>
      </c>
      <c r="G29" s="93">
        <v>578.9</v>
      </c>
      <c r="H29" s="93">
        <v>578.9</v>
      </c>
      <c r="I29" s="93">
        <v>578.9</v>
      </c>
      <c r="J29" s="93">
        <v>95.3</v>
      </c>
      <c r="K29" s="93">
        <v>15.9</v>
      </c>
      <c r="L29" s="93">
        <v>15.9</v>
      </c>
      <c r="M29" s="93">
        <v>15.9</v>
      </c>
      <c r="N29" s="93">
        <v>15.9</v>
      </c>
      <c r="O29" s="93">
        <v>38.9</v>
      </c>
      <c r="P29" s="93">
        <v>38.9</v>
      </c>
      <c r="Q29" s="93">
        <v>94.8</v>
      </c>
      <c r="R29" s="93">
        <v>87.2</v>
      </c>
    </row>
    <row r="30" spans="1:18" s="167" customFormat="1" x14ac:dyDescent="0.25">
      <c r="A30" s="168" t="s">
        <v>382</v>
      </c>
      <c r="B30" s="168" t="s">
        <v>381</v>
      </c>
      <c r="C30" s="169">
        <v>115.96599999999999</v>
      </c>
      <c r="D30" s="169">
        <v>136.22300000000001</v>
      </c>
      <c r="E30" s="169">
        <v>579.23</v>
      </c>
      <c r="F30" s="203">
        <v>578.9</v>
      </c>
      <c r="G30" s="169">
        <v>578.9</v>
      </c>
      <c r="H30" s="169">
        <v>578.9</v>
      </c>
      <c r="I30" s="169">
        <v>578.9</v>
      </c>
      <c r="J30" s="169">
        <v>95.3</v>
      </c>
      <c r="K30" s="169">
        <v>15.9</v>
      </c>
      <c r="L30" s="169">
        <v>15.9</v>
      </c>
      <c r="M30" s="169">
        <v>15.9</v>
      </c>
      <c r="N30" s="169">
        <v>15.9</v>
      </c>
      <c r="O30" s="169">
        <v>38.9</v>
      </c>
      <c r="P30" s="169">
        <v>38.9</v>
      </c>
      <c r="Q30" s="169">
        <v>94.8</v>
      </c>
      <c r="R30" s="169">
        <v>87.2</v>
      </c>
    </row>
    <row r="31" spans="1:18" x14ac:dyDescent="0.25">
      <c r="A31" s="78" t="s">
        <v>380</v>
      </c>
      <c r="B31" s="78" t="s">
        <v>379</v>
      </c>
      <c r="C31" s="104">
        <v>0</v>
      </c>
      <c r="D31" s="104">
        <v>0</v>
      </c>
      <c r="E31" s="104">
        <v>0</v>
      </c>
      <c r="F31" s="203">
        <v>0</v>
      </c>
      <c r="G31" s="104">
        <v>0</v>
      </c>
      <c r="H31" s="104">
        <v>0</v>
      </c>
      <c r="I31" s="104">
        <v>0</v>
      </c>
      <c r="J31" s="104">
        <v>0</v>
      </c>
      <c r="K31" s="104">
        <v>0</v>
      </c>
      <c r="L31" s="104">
        <v>0</v>
      </c>
      <c r="M31" s="104">
        <v>0</v>
      </c>
      <c r="N31" s="104">
        <v>0</v>
      </c>
      <c r="O31" s="104">
        <v>0</v>
      </c>
      <c r="P31" s="104">
        <v>0</v>
      </c>
      <c r="Q31" s="104">
        <v>0</v>
      </c>
      <c r="R31" s="104">
        <v>0</v>
      </c>
    </row>
    <row r="32" spans="1:18" x14ac:dyDescent="0.25">
      <c r="A32" s="80" t="s">
        <v>378</v>
      </c>
      <c r="B32" s="80" t="s">
        <v>377</v>
      </c>
      <c r="C32" s="93" t="s">
        <v>36</v>
      </c>
      <c r="D32" s="93" t="s">
        <v>36</v>
      </c>
      <c r="E32" s="93" t="s">
        <v>36</v>
      </c>
      <c r="F32" s="6" t="s">
        <v>36</v>
      </c>
      <c r="G32" s="93" t="s">
        <v>36</v>
      </c>
      <c r="H32" s="93" t="s">
        <v>36</v>
      </c>
      <c r="I32" s="93" t="s">
        <v>36</v>
      </c>
      <c r="J32" s="93" t="s">
        <v>36</v>
      </c>
      <c r="K32" s="93" t="s">
        <v>36</v>
      </c>
      <c r="L32" s="93" t="s">
        <v>36</v>
      </c>
      <c r="M32" s="93" t="s">
        <v>36</v>
      </c>
      <c r="N32" s="93" t="s">
        <v>36</v>
      </c>
      <c r="O32" s="93">
        <v>29.4</v>
      </c>
      <c r="P32" s="93">
        <v>49.4</v>
      </c>
      <c r="Q32" s="93">
        <v>55.4</v>
      </c>
      <c r="R32" s="93">
        <v>40.9</v>
      </c>
    </row>
    <row r="33" spans="1:18" x14ac:dyDescent="0.25">
      <c r="A33" s="80" t="s">
        <v>376</v>
      </c>
      <c r="B33" s="80" t="s">
        <v>375</v>
      </c>
      <c r="C33" s="93" t="s">
        <v>36</v>
      </c>
      <c r="D33" s="93" t="s">
        <v>36</v>
      </c>
      <c r="E33" s="93" t="s">
        <v>36</v>
      </c>
      <c r="F33" s="6" t="s">
        <v>36</v>
      </c>
      <c r="G33" s="93" t="s">
        <v>36</v>
      </c>
      <c r="H33" s="93" t="s">
        <v>36</v>
      </c>
      <c r="I33" s="93" t="s">
        <v>36</v>
      </c>
      <c r="J33" s="93" t="s">
        <v>36</v>
      </c>
      <c r="K33" s="93" t="s">
        <v>36</v>
      </c>
      <c r="L33" s="93" t="s">
        <v>36</v>
      </c>
      <c r="M33" s="93" t="s">
        <v>36</v>
      </c>
      <c r="N33" s="93" t="s">
        <v>36</v>
      </c>
      <c r="O33" s="93">
        <v>709.5</v>
      </c>
      <c r="P33" s="93">
        <v>586.6</v>
      </c>
      <c r="Q33" s="93">
        <v>565</v>
      </c>
      <c r="R33" s="93">
        <v>558.1</v>
      </c>
    </row>
    <row r="34" spans="1:18" x14ac:dyDescent="0.25">
      <c r="A34" s="80" t="s">
        <v>374</v>
      </c>
      <c r="B34" s="80" t="s">
        <v>373</v>
      </c>
      <c r="C34" s="93" t="s">
        <v>36</v>
      </c>
      <c r="D34" s="93" t="s">
        <v>36</v>
      </c>
      <c r="E34" s="93" t="s">
        <v>36</v>
      </c>
      <c r="F34" s="6" t="s">
        <v>36</v>
      </c>
      <c r="G34" s="93" t="s">
        <v>36</v>
      </c>
      <c r="H34" s="93" t="s">
        <v>36</v>
      </c>
      <c r="I34" s="93" t="s">
        <v>36</v>
      </c>
      <c r="J34" s="93" t="s">
        <v>36</v>
      </c>
      <c r="K34" s="93" t="s">
        <v>36</v>
      </c>
      <c r="L34" s="93">
        <v>0</v>
      </c>
      <c r="M34" s="93">
        <v>0</v>
      </c>
      <c r="N34" s="93">
        <v>0</v>
      </c>
      <c r="O34" s="93">
        <v>0</v>
      </c>
      <c r="P34" s="93">
        <v>0</v>
      </c>
      <c r="Q34" s="93">
        <v>0</v>
      </c>
      <c r="R34" s="93">
        <v>3.6</v>
      </c>
    </row>
    <row r="35" spans="1:18" x14ac:dyDescent="0.25">
      <c r="A35" s="80" t="s">
        <v>372</v>
      </c>
      <c r="B35" s="80" t="s">
        <v>371</v>
      </c>
      <c r="C35" s="93">
        <v>156.51400000000001</v>
      </c>
      <c r="D35" s="93">
        <v>196.39599999999999</v>
      </c>
      <c r="E35" s="93">
        <v>454.90100000000001</v>
      </c>
      <c r="F35" s="6">
        <v>468.11700000000002</v>
      </c>
      <c r="G35" s="93">
        <v>605.70000000000005</v>
      </c>
      <c r="H35" s="93">
        <v>833.4</v>
      </c>
      <c r="I35" s="93">
        <v>908.5</v>
      </c>
      <c r="J35" s="93">
        <v>1214.2</v>
      </c>
      <c r="K35" s="93">
        <v>768</v>
      </c>
      <c r="L35" s="93">
        <v>490</v>
      </c>
      <c r="M35" s="93">
        <v>482.7</v>
      </c>
      <c r="N35" s="93">
        <v>449.4</v>
      </c>
      <c r="O35" s="93">
        <v>477.9</v>
      </c>
      <c r="P35" s="93">
        <v>427.1</v>
      </c>
      <c r="Q35" s="93">
        <v>430.2</v>
      </c>
      <c r="R35" s="93">
        <v>485.7</v>
      </c>
    </row>
    <row r="36" spans="1:18" x14ac:dyDescent="0.25">
      <c r="A36" s="79" t="s">
        <v>370</v>
      </c>
      <c r="B36" s="79" t="s">
        <v>369</v>
      </c>
      <c r="C36" s="99">
        <v>431.02100000000002</v>
      </c>
      <c r="D36" s="99">
        <v>608.53300000000002</v>
      </c>
      <c r="E36" s="99">
        <v>1570.114</v>
      </c>
      <c r="F36" s="202">
        <v>1614.1769999999999</v>
      </c>
      <c r="G36" s="99">
        <v>1899.8</v>
      </c>
      <c r="H36" s="99">
        <v>2878.2</v>
      </c>
      <c r="I36" s="99">
        <v>2641.7</v>
      </c>
      <c r="J36" s="99">
        <v>1943.2</v>
      </c>
      <c r="K36" s="99">
        <v>1201.9000000000001</v>
      </c>
      <c r="L36" s="99">
        <v>784.5</v>
      </c>
      <c r="M36" s="99">
        <v>812.9</v>
      </c>
      <c r="N36" s="99">
        <v>817</v>
      </c>
      <c r="O36" s="99">
        <v>1673.6</v>
      </c>
      <c r="P36" s="99">
        <v>1603.8</v>
      </c>
      <c r="Q36" s="99">
        <v>1813.1</v>
      </c>
      <c r="R36" s="99">
        <v>1950.5</v>
      </c>
    </row>
    <row r="37" spans="1:18" x14ac:dyDescent="0.25">
      <c r="A37" s="79" t="s">
        <v>368</v>
      </c>
      <c r="B37" s="79" t="s">
        <v>367</v>
      </c>
      <c r="C37" s="99">
        <v>2694.5770000000002</v>
      </c>
      <c r="D37" s="99">
        <v>3652.19</v>
      </c>
      <c r="E37" s="99">
        <v>6017.527</v>
      </c>
      <c r="F37" s="202">
        <v>7279.3770000000004</v>
      </c>
      <c r="G37" s="99">
        <v>8985.2000000000007</v>
      </c>
      <c r="H37" s="99">
        <v>12514.8</v>
      </c>
      <c r="I37" s="99">
        <v>14820.7</v>
      </c>
      <c r="J37" s="99">
        <v>11556.3</v>
      </c>
      <c r="K37" s="99">
        <v>7950.6</v>
      </c>
      <c r="L37" s="99">
        <v>6756.8</v>
      </c>
      <c r="M37" s="99">
        <v>5938.6</v>
      </c>
      <c r="N37" s="99">
        <v>5358.4</v>
      </c>
      <c r="O37" s="99">
        <v>7248.2</v>
      </c>
      <c r="P37" s="99">
        <v>8856.4</v>
      </c>
      <c r="Q37" s="99">
        <v>10185.4</v>
      </c>
      <c r="R37" s="99">
        <v>11151</v>
      </c>
    </row>
    <row r="38" spans="1:18" x14ac:dyDescent="0.25">
      <c r="A38" s="79"/>
      <c r="B38" s="98"/>
      <c r="C38" s="98"/>
      <c r="D38" s="98"/>
      <c r="E38" s="98"/>
      <c r="F38" s="200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</row>
    <row r="39" spans="1:18" x14ac:dyDescent="0.25">
      <c r="A39" s="79" t="s">
        <v>366</v>
      </c>
      <c r="B39" s="98"/>
      <c r="C39" s="98"/>
      <c r="D39" s="98"/>
      <c r="E39" s="98"/>
      <c r="F39" s="200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</row>
    <row r="40" spans="1:18" x14ac:dyDescent="0.25">
      <c r="A40" s="80" t="s">
        <v>365</v>
      </c>
      <c r="B40" s="80" t="s">
        <v>364</v>
      </c>
      <c r="C40" s="93">
        <v>375.34699999999998</v>
      </c>
      <c r="D40" s="93">
        <v>508.74900000000002</v>
      </c>
      <c r="E40" s="93">
        <v>848.38800000000003</v>
      </c>
      <c r="F40" s="6">
        <v>439.59300000000002</v>
      </c>
      <c r="G40" s="93">
        <v>470.7</v>
      </c>
      <c r="H40" s="93">
        <v>820.7</v>
      </c>
      <c r="I40" s="93">
        <v>1041.0999999999999</v>
      </c>
      <c r="J40" s="93">
        <v>590.9</v>
      </c>
      <c r="K40" s="93">
        <v>281.5</v>
      </c>
      <c r="L40" s="93">
        <v>1210.9000000000001</v>
      </c>
      <c r="M40" s="93">
        <v>1143.9000000000001</v>
      </c>
      <c r="N40" s="93">
        <v>1030.3</v>
      </c>
      <c r="O40" s="93">
        <v>1160.4000000000001</v>
      </c>
      <c r="P40" s="93">
        <v>1286</v>
      </c>
      <c r="Q40" s="93">
        <v>1400</v>
      </c>
      <c r="R40" s="93">
        <v>1444.1</v>
      </c>
    </row>
    <row r="41" spans="1:18" x14ac:dyDescent="0.25">
      <c r="A41" s="80" t="s">
        <v>363</v>
      </c>
      <c r="B41" s="80" t="s">
        <v>362</v>
      </c>
      <c r="C41" s="93">
        <v>375.34699999999998</v>
      </c>
      <c r="D41" s="93">
        <v>508.74900000000002</v>
      </c>
      <c r="E41" s="93">
        <v>848.38800000000003</v>
      </c>
      <c r="F41" s="6">
        <v>439.59300000000002</v>
      </c>
      <c r="G41" s="93">
        <v>470.7</v>
      </c>
      <c r="H41" s="93">
        <v>820.7</v>
      </c>
      <c r="I41" s="93">
        <v>1041.0999999999999</v>
      </c>
      <c r="J41" s="93">
        <v>590.9</v>
      </c>
      <c r="K41" s="93">
        <v>281.5</v>
      </c>
      <c r="L41" s="93">
        <v>278.89999999999998</v>
      </c>
      <c r="M41" s="93">
        <v>186.7</v>
      </c>
      <c r="N41" s="93">
        <v>200.5</v>
      </c>
      <c r="O41" s="93">
        <v>216.2</v>
      </c>
      <c r="P41" s="93">
        <v>346.4</v>
      </c>
      <c r="Q41" s="93">
        <v>480.3</v>
      </c>
      <c r="R41" s="93">
        <v>473</v>
      </c>
    </row>
    <row r="42" spans="1:18" x14ac:dyDescent="0.25">
      <c r="A42" s="80" t="s">
        <v>361</v>
      </c>
      <c r="B42" s="80" t="s">
        <v>360</v>
      </c>
      <c r="C42" s="93" t="s">
        <v>36</v>
      </c>
      <c r="D42" s="93" t="s">
        <v>36</v>
      </c>
      <c r="E42" s="93" t="s">
        <v>36</v>
      </c>
      <c r="F42" s="6" t="s">
        <v>36</v>
      </c>
      <c r="G42" s="93" t="s">
        <v>36</v>
      </c>
      <c r="H42" s="93" t="s">
        <v>36</v>
      </c>
      <c r="I42" s="93" t="s">
        <v>36</v>
      </c>
      <c r="J42" s="93" t="s">
        <v>36</v>
      </c>
      <c r="K42" s="93" t="s">
        <v>36</v>
      </c>
      <c r="L42" s="93">
        <v>0</v>
      </c>
      <c r="M42" s="93">
        <v>0</v>
      </c>
      <c r="N42" s="93">
        <v>0</v>
      </c>
      <c r="O42" s="93">
        <v>0</v>
      </c>
      <c r="P42" s="93">
        <v>0</v>
      </c>
      <c r="Q42" s="93">
        <v>48.9</v>
      </c>
      <c r="R42" s="93">
        <v>66.099999999999994</v>
      </c>
    </row>
    <row r="43" spans="1:18" x14ac:dyDescent="0.25">
      <c r="A43" s="80" t="s">
        <v>359</v>
      </c>
      <c r="B43" s="80" t="s">
        <v>358</v>
      </c>
      <c r="C43" s="93" t="s">
        <v>36</v>
      </c>
      <c r="D43" s="93" t="s">
        <v>36</v>
      </c>
      <c r="E43" s="93" t="s">
        <v>36</v>
      </c>
      <c r="F43" s="6" t="s">
        <v>36</v>
      </c>
      <c r="G43" s="93" t="s">
        <v>36</v>
      </c>
      <c r="H43" s="93" t="s">
        <v>36</v>
      </c>
      <c r="I43" s="93" t="s">
        <v>36</v>
      </c>
      <c r="J43" s="93" t="s">
        <v>36</v>
      </c>
      <c r="K43" s="93" t="s">
        <v>36</v>
      </c>
      <c r="L43" s="93">
        <v>0</v>
      </c>
      <c r="M43" s="93">
        <v>0</v>
      </c>
      <c r="N43" s="93">
        <v>0</v>
      </c>
      <c r="O43" s="93">
        <v>0</v>
      </c>
      <c r="P43" s="93">
        <v>0</v>
      </c>
      <c r="Q43" s="93">
        <v>0</v>
      </c>
      <c r="R43" s="93">
        <v>0</v>
      </c>
    </row>
    <row r="44" spans="1:18" x14ac:dyDescent="0.25">
      <c r="A44" s="80" t="s">
        <v>357</v>
      </c>
      <c r="B44" s="80" t="s">
        <v>356</v>
      </c>
      <c r="C44" s="93" t="s">
        <v>36</v>
      </c>
      <c r="D44" s="93" t="s">
        <v>36</v>
      </c>
      <c r="E44" s="93" t="s">
        <v>36</v>
      </c>
      <c r="F44" s="6" t="s">
        <v>36</v>
      </c>
      <c r="G44" s="93" t="s">
        <v>36</v>
      </c>
      <c r="H44" s="93" t="s">
        <v>36</v>
      </c>
      <c r="I44" s="93" t="s">
        <v>36</v>
      </c>
      <c r="J44" s="93" t="s">
        <v>36</v>
      </c>
      <c r="K44" s="93" t="s">
        <v>36</v>
      </c>
      <c r="L44" s="93">
        <v>932</v>
      </c>
      <c r="M44" s="93">
        <v>957.2</v>
      </c>
      <c r="N44" s="93">
        <v>829.8</v>
      </c>
      <c r="O44" s="93">
        <v>944.2</v>
      </c>
      <c r="P44" s="93">
        <v>939.6</v>
      </c>
      <c r="Q44" s="93">
        <v>870.8</v>
      </c>
      <c r="R44" s="93">
        <v>905</v>
      </c>
    </row>
    <row r="45" spans="1:18" x14ac:dyDescent="0.25">
      <c r="A45" s="80" t="s">
        <v>355</v>
      </c>
      <c r="B45" s="80" t="s">
        <v>354</v>
      </c>
      <c r="C45" s="93">
        <v>0</v>
      </c>
      <c r="D45" s="93">
        <v>0</v>
      </c>
      <c r="E45" s="93">
        <v>0</v>
      </c>
      <c r="F45" s="6">
        <v>0</v>
      </c>
      <c r="G45" s="93">
        <v>0</v>
      </c>
      <c r="H45" s="93">
        <v>0</v>
      </c>
      <c r="I45" s="93">
        <v>0</v>
      </c>
      <c r="J45" s="93">
        <v>0</v>
      </c>
      <c r="K45" s="93">
        <v>0</v>
      </c>
      <c r="L45" s="93">
        <v>0</v>
      </c>
      <c r="M45" s="93">
        <v>0</v>
      </c>
      <c r="N45" s="93">
        <v>0</v>
      </c>
      <c r="O45" s="93">
        <v>0</v>
      </c>
      <c r="P45" s="93">
        <v>0</v>
      </c>
      <c r="Q45" s="93">
        <v>0</v>
      </c>
      <c r="R45" s="93">
        <v>0</v>
      </c>
    </row>
    <row r="46" spans="1:18" x14ac:dyDescent="0.25">
      <c r="A46" s="80" t="s">
        <v>353</v>
      </c>
      <c r="B46" s="80" t="s">
        <v>352</v>
      </c>
      <c r="C46" s="93">
        <v>0</v>
      </c>
      <c r="D46" s="93">
        <v>0</v>
      </c>
      <c r="E46" s="93">
        <v>0</v>
      </c>
      <c r="F46" s="6">
        <v>0</v>
      </c>
      <c r="G46" s="93">
        <v>0</v>
      </c>
      <c r="H46" s="93">
        <v>0</v>
      </c>
      <c r="I46" s="93">
        <v>0</v>
      </c>
      <c r="J46" s="93">
        <v>0</v>
      </c>
      <c r="K46" s="93" t="s">
        <v>36</v>
      </c>
      <c r="L46" s="93">
        <v>0</v>
      </c>
      <c r="M46" s="93">
        <v>0</v>
      </c>
      <c r="N46" s="93">
        <v>0</v>
      </c>
      <c r="O46" s="93">
        <v>0</v>
      </c>
      <c r="P46" s="93">
        <v>0</v>
      </c>
      <c r="Q46" s="93">
        <v>0</v>
      </c>
      <c r="R46" s="93">
        <v>0</v>
      </c>
    </row>
    <row r="47" spans="1:18" x14ac:dyDescent="0.25">
      <c r="A47" s="80" t="s">
        <v>351</v>
      </c>
      <c r="B47" s="80" t="s">
        <v>350</v>
      </c>
      <c r="C47" s="93">
        <v>0</v>
      </c>
      <c r="D47" s="93">
        <v>0</v>
      </c>
      <c r="E47" s="93">
        <v>0</v>
      </c>
      <c r="F47" s="6">
        <v>0</v>
      </c>
      <c r="G47" s="93">
        <v>0</v>
      </c>
      <c r="H47" s="93">
        <v>0</v>
      </c>
      <c r="I47" s="93">
        <v>0</v>
      </c>
      <c r="J47" s="93">
        <v>0</v>
      </c>
      <c r="K47" s="93" t="s">
        <v>36</v>
      </c>
      <c r="L47" s="93">
        <v>0</v>
      </c>
      <c r="M47" s="93">
        <v>0</v>
      </c>
      <c r="N47" s="93">
        <v>0</v>
      </c>
      <c r="O47" s="93">
        <v>0</v>
      </c>
      <c r="P47" s="93">
        <v>0</v>
      </c>
      <c r="Q47" s="93">
        <v>0</v>
      </c>
      <c r="R47" s="93">
        <v>0</v>
      </c>
    </row>
    <row r="48" spans="1:18" x14ac:dyDescent="0.25">
      <c r="A48" s="80" t="s">
        <v>349</v>
      </c>
      <c r="B48" s="80" t="s">
        <v>348</v>
      </c>
      <c r="C48" s="93">
        <v>0</v>
      </c>
      <c r="D48" s="93">
        <v>0</v>
      </c>
      <c r="E48" s="93">
        <v>0</v>
      </c>
      <c r="F48" s="6">
        <v>709.5</v>
      </c>
      <c r="G48" s="93">
        <v>888.2</v>
      </c>
      <c r="H48" s="93">
        <v>1220.9000000000001</v>
      </c>
      <c r="I48" s="93">
        <v>1143</v>
      </c>
      <c r="J48" s="93">
        <v>933.3</v>
      </c>
      <c r="K48" s="93">
        <v>1055.9000000000001</v>
      </c>
      <c r="L48" s="93">
        <v>0</v>
      </c>
      <c r="M48" s="93">
        <v>0</v>
      </c>
      <c r="N48" s="93">
        <v>0</v>
      </c>
      <c r="O48" s="93">
        <v>0</v>
      </c>
      <c r="P48" s="93">
        <v>0</v>
      </c>
      <c r="Q48" s="93">
        <v>0</v>
      </c>
      <c r="R48" s="93">
        <v>0</v>
      </c>
    </row>
    <row r="49" spans="1:18" x14ac:dyDescent="0.25">
      <c r="A49" s="80" t="s">
        <v>323</v>
      </c>
      <c r="B49" s="80" t="s">
        <v>347</v>
      </c>
      <c r="C49" s="93" t="s">
        <v>36</v>
      </c>
      <c r="D49" s="93" t="s">
        <v>36</v>
      </c>
      <c r="E49" s="93" t="s">
        <v>36</v>
      </c>
      <c r="F49" s="6" t="s">
        <v>36</v>
      </c>
      <c r="G49" s="93" t="s">
        <v>36</v>
      </c>
      <c r="H49" s="93" t="s">
        <v>36</v>
      </c>
      <c r="I49" s="93" t="s">
        <v>36</v>
      </c>
      <c r="J49" s="93" t="s">
        <v>36</v>
      </c>
      <c r="K49" s="93" t="s">
        <v>36</v>
      </c>
      <c r="L49" s="93">
        <v>0</v>
      </c>
      <c r="M49" s="93">
        <v>0</v>
      </c>
      <c r="N49" s="93">
        <v>0</v>
      </c>
      <c r="O49" s="93">
        <v>0</v>
      </c>
      <c r="P49" s="93">
        <v>0</v>
      </c>
      <c r="Q49" s="93">
        <v>0</v>
      </c>
      <c r="R49" s="93">
        <v>0</v>
      </c>
    </row>
    <row r="50" spans="1:18" x14ac:dyDescent="0.25">
      <c r="A50" s="80" t="s">
        <v>321</v>
      </c>
      <c r="B50" s="80" t="s">
        <v>346</v>
      </c>
      <c r="C50" s="93" t="s">
        <v>36</v>
      </c>
      <c r="D50" s="93" t="s">
        <v>36</v>
      </c>
      <c r="E50" s="93" t="s">
        <v>36</v>
      </c>
      <c r="F50" s="6" t="s">
        <v>36</v>
      </c>
      <c r="G50" s="93" t="s">
        <v>36</v>
      </c>
      <c r="H50" s="93" t="s">
        <v>36</v>
      </c>
      <c r="I50" s="93" t="s">
        <v>36</v>
      </c>
      <c r="J50" s="93" t="s">
        <v>36</v>
      </c>
      <c r="K50" s="93" t="s">
        <v>36</v>
      </c>
      <c r="L50" s="93">
        <v>0</v>
      </c>
      <c r="M50" s="93">
        <v>0</v>
      </c>
      <c r="N50" s="93">
        <v>0</v>
      </c>
      <c r="O50" s="93">
        <v>0</v>
      </c>
      <c r="P50" s="93">
        <v>0</v>
      </c>
      <c r="Q50" s="93">
        <v>0</v>
      </c>
      <c r="R50" s="93">
        <v>0</v>
      </c>
    </row>
    <row r="51" spans="1:18" x14ac:dyDescent="0.25">
      <c r="A51" s="80" t="s">
        <v>345</v>
      </c>
      <c r="B51" s="80" t="s">
        <v>344</v>
      </c>
      <c r="C51" s="93">
        <v>0</v>
      </c>
      <c r="D51" s="93">
        <v>0</v>
      </c>
      <c r="E51" s="93">
        <v>0</v>
      </c>
      <c r="F51" s="6">
        <v>709.5</v>
      </c>
      <c r="G51" s="93">
        <v>888.2</v>
      </c>
      <c r="H51" s="93">
        <v>1220.9000000000001</v>
      </c>
      <c r="I51" s="93">
        <v>1143</v>
      </c>
      <c r="J51" s="93">
        <v>933.3</v>
      </c>
      <c r="K51" s="93">
        <v>1055.9000000000001</v>
      </c>
      <c r="L51" s="93">
        <v>0</v>
      </c>
      <c r="M51" s="93">
        <v>0</v>
      </c>
      <c r="N51" s="93">
        <v>0</v>
      </c>
      <c r="O51" s="93">
        <v>0</v>
      </c>
      <c r="P51" s="93">
        <v>0</v>
      </c>
      <c r="Q51" s="93">
        <v>0</v>
      </c>
      <c r="R51" s="93">
        <v>0</v>
      </c>
    </row>
    <row r="52" spans="1:18" x14ac:dyDescent="0.25">
      <c r="A52" s="79" t="s">
        <v>343</v>
      </c>
      <c r="B52" s="79" t="s">
        <v>342</v>
      </c>
      <c r="C52" s="99">
        <v>375.34699999999998</v>
      </c>
      <c r="D52" s="99">
        <v>508.74900000000002</v>
      </c>
      <c r="E52" s="99">
        <v>848.38800000000003</v>
      </c>
      <c r="F52" s="202">
        <v>1149.0930000000001</v>
      </c>
      <c r="G52" s="99">
        <v>1358.9</v>
      </c>
      <c r="H52" s="99">
        <v>2041.6</v>
      </c>
      <c r="I52" s="99">
        <v>2184.1</v>
      </c>
      <c r="J52" s="99">
        <v>1524.2</v>
      </c>
      <c r="K52" s="99">
        <v>1337.4</v>
      </c>
      <c r="L52" s="99">
        <v>1210.9000000000001</v>
      </c>
      <c r="M52" s="99">
        <v>1143.9000000000001</v>
      </c>
      <c r="N52" s="99">
        <v>1030.3</v>
      </c>
      <c r="O52" s="99">
        <v>1160.4000000000001</v>
      </c>
      <c r="P52" s="99">
        <v>1286</v>
      </c>
      <c r="Q52" s="99">
        <v>1400</v>
      </c>
      <c r="R52" s="99">
        <v>1444.1</v>
      </c>
    </row>
    <row r="53" spans="1:18" x14ac:dyDescent="0.25">
      <c r="A53" s="80" t="s">
        <v>341</v>
      </c>
      <c r="B53" s="80" t="s">
        <v>340</v>
      </c>
      <c r="C53" s="93">
        <v>1344.403</v>
      </c>
      <c r="D53" s="93">
        <v>1884.33</v>
      </c>
      <c r="E53" s="93">
        <v>2878.3310000000001</v>
      </c>
      <c r="F53" s="6">
        <v>2963.123</v>
      </c>
      <c r="G53" s="93">
        <v>3499.2</v>
      </c>
      <c r="H53" s="93">
        <v>4909.6000000000004</v>
      </c>
      <c r="I53" s="93">
        <v>6078.6</v>
      </c>
      <c r="J53" s="93">
        <v>4376.8</v>
      </c>
      <c r="K53" s="93">
        <v>3544.9</v>
      </c>
      <c r="L53" s="93">
        <v>3076.6</v>
      </c>
      <c r="M53" s="93">
        <v>2085.3000000000002</v>
      </c>
      <c r="N53" s="93">
        <v>1588.1</v>
      </c>
      <c r="O53" s="93">
        <v>2305.3000000000002</v>
      </c>
      <c r="P53" s="93">
        <v>3270.4</v>
      </c>
      <c r="Q53" s="93">
        <v>3306.5</v>
      </c>
      <c r="R53" s="93">
        <v>3333.6</v>
      </c>
    </row>
    <row r="54" spans="1:18" x14ac:dyDescent="0.25">
      <c r="A54" s="80" t="s">
        <v>339</v>
      </c>
      <c r="B54" s="80" t="s">
        <v>338</v>
      </c>
      <c r="C54" s="93">
        <v>1344.403</v>
      </c>
      <c r="D54" s="93">
        <v>1884.33</v>
      </c>
      <c r="E54" s="93">
        <v>2878.3310000000001</v>
      </c>
      <c r="F54" s="6">
        <v>2963.123</v>
      </c>
      <c r="G54" s="93">
        <v>3499.2</v>
      </c>
      <c r="H54" s="93">
        <v>4909.6000000000004</v>
      </c>
      <c r="I54" s="93">
        <v>6078.6</v>
      </c>
      <c r="J54" s="93">
        <v>4376.8</v>
      </c>
      <c r="K54" s="93" t="s">
        <v>36</v>
      </c>
      <c r="L54" s="93">
        <v>3076.6</v>
      </c>
      <c r="M54" s="93">
        <v>2085.3000000000002</v>
      </c>
      <c r="N54" s="93">
        <v>1588.1</v>
      </c>
      <c r="O54" s="93">
        <v>2305.3000000000002</v>
      </c>
      <c r="P54" s="93">
        <v>3270.4</v>
      </c>
      <c r="Q54" s="93">
        <v>3306.5</v>
      </c>
      <c r="R54" s="93">
        <v>3333.6</v>
      </c>
    </row>
    <row r="55" spans="1:18" x14ac:dyDescent="0.25">
      <c r="A55" s="80" t="s">
        <v>337</v>
      </c>
      <c r="B55" s="80" t="s">
        <v>336</v>
      </c>
      <c r="C55" s="93">
        <v>0</v>
      </c>
      <c r="D55" s="93">
        <v>0</v>
      </c>
      <c r="E55" s="93">
        <v>0</v>
      </c>
      <c r="F55" s="6">
        <v>0</v>
      </c>
      <c r="G55" s="93">
        <v>0</v>
      </c>
      <c r="H55" s="93">
        <v>0</v>
      </c>
      <c r="I55" s="93">
        <v>0</v>
      </c>
      <c r="J55" s="93">
        <v>0</v>
      </c>
      <c r="K55" s="93" t="s">
        <v>36</v>
      </c>
      <c r="L55" s="93">
        <v>0</v>
      </c>
      <c r="M55" s="93">
        <v>0</v>
      </c>
      <c r="N55" s="93">
        <v>0</v>
      </c>
      <c r="O55" s="93">
        <v>0</v>
      </c>
      <c r="P55" s="93">
        <v>0</v>
      </c>
      <c r="Q55" s="93">
        <v>0</v>
      </c>
      <c r="R55" s="93">
        <v>0</v>
      </c>
    </row>
    <row r="56" spans="1:18" x14ac:dyDescent="0.25">
      <c r="A56" s="80" t="s">
        <v>335</v>
      </c>
      <c r="B56" s="80" t="s">
        <v>334</v>
      </c>
      <c r="C56" s="93">
        <v>0</v>
      </c>
      <c r="D56" s="93">
        <v>0</v>
      </c>
      <c r="E56" s="93">
        <v>0</v>
      </c>
      <c r="F56" s="6">
        <v>0</v>
      </c>
      <c r="G56" s="93">
        <v>0</v>
      </c>
      <c r="H56" s="93">
        <v>0</v>
      </c>
      <c r="I56" s="93">
        <v>0</v>
      </c>
      <c r="J56" s="93">
        <v>0</v>
      </c>
      <c r="K56" s="93">
        <v>203.5</v>
      </c>
      <c r="L56" s="93">
        <v>68.7</v>
      </c>
      <c r="M56" s="93">
        <v>86.5</v>
      </c>
      <c r="N56" s="93">
        <v>116.5</v>
      </c>
      <c r="O56" s="93">
        <v>187.8</v>
      </c>
      <c r="P56" s="93">
        <v>238.6</v>
      </c>
      <c r="Q56" s="93">
        <v>359.2</v>
      </c>
      <c r="R56" s="93">
        <v>477.9</v>
      </c>
    </row>
    <row r="57" spans="1:18" x14ac:dyDescent="0.25">
      <c r="A57" s="80" t="s">
        <v>333</v>
      </c>
      <c r="B57" s="80" t="s">
        <v>332</v>
      </c>
      <c r="C57" s="93" t="s">
        <v>36</v>
      </c>
      <c r="D57" s="93" t="s">
        <v>36</v>
      </c>
      <c r="E57" s="93" t="s">
        <v>36</v>
      </c>
      <c r="F57" s="6" t="s">
        <v>36</v>
      </c>
      <c r="G57" s="93" t="s">
        <v>36</v>
      </c>
      <c r="H57" s="93" t="s">
        <v>36</v>
      </c>
      <c r="I57" s="93" t="s">
        <v>36</v>
      </c>
      <c r="J57" s="93" t="s">
        <v>36</v>
      </c>
      <c r="K57" s="93" t="s">
        <v>36</v>
      </c>
      <c r="L57" s="93">
        <v>0</v>
      </c>
      <c r="M57" s="93">
        <v>0</v>
      </c>
      <c r="N57" s="93">
        <v>0</v>
      </c>
      <c r="O57" s="93">
        <v>0</v>
      </c>
      <c r="P57" s="93">
        <v>0</v>
      </c>
      <c r="Q57" s="93">
        <v>0</v>
      </c>
      <c r="R57" s="93">
        <v>0</v>
      </c>
    </row>
    <row r="58" spans="1:18" x14ac:dyDescent="0.25">
      <c r="A58" s="80" t="s">
        <v>331</v>
      </c>
      <c r="B58" s="80" t="s">
        <v>330</v>
      </c>
      <c r="C58" s="93" t="s">
        <v>36</v>
      </c>
      <c r="D58" s="93" t="s">
        <v>36</v>
      </c>
      <c r="E58" s="93" t="s">
        <v>36</v>
      </c>
      <c r="F58" s="6" t="s">
        <v>36</v>
      </c>
      <c r="G58" s="93" t="s">
        <v>36</v>
      </c>
      <c r="H58" s="93" t="s">
        <v>36</v>
      </c>
      <c r="I58" s="93" t="s">
        <v>36</v>
      </c>
      <c r="J58" s="93" t="s">
        <v>36</v>
      </c>
      <c r="K58" s="93" t="s">
        <v>36</v>
      </c>
      <c r="L58" s="93">
        <v>0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</row>
    <row r="59" spans="1:18" x14ac:dyDescent="0.25">
      <c r="A59" s="78" t="s">
        <v>329</v>
      </c>
      <c r="B59" s="78" t="s">
        <v>328</v>
      </c>
      <c r="C59" s="104" t="s">
        <v>36</v>
      </c>
      <c r="D59" s="104" t="s">
        <v>36</v>
      </c>
      <c r="E59" s="104" t="s">
        <v>36</v>
      </c>
      <c r="F59" s="203" t="s">
        <v>36</v>
      </c>
      <c r="G59" s="104" t="s">
        <v>36</v>
      </c>
      <c r="H59" s="104" t="s">
        <v>36</v>
      </c>
      <c r="I59" s="104" t="s">
        <v>36</v>
      </c>
      <c r="J59" s="104" t="s">
        <v>36</v>
      </c>
      <c r="K59" s="104" t="s">
        <v>36</v>
      </c>
      <c r="L59" s="104">
        <v>0</v>
      </c>
      <c r="M59" s="104">
        <v>0</v>
      </c>
      <c r="N59" s="104">
        <v>0</v>
      </c>
      <c r="O59" s="104">
        <v>0</v>
      </c>
      <c r="P59" s="104">
        <v>0</v>
      </c>
      <c r="Q59" s="104">
        <v>0</v>
      </c>
      <c r="R59" s="104">
        <v>0</v>
      </c>
    </row>
    <row r="60" spans="1:18" x14ac:dyDescent="0.25">
      <c r="A60" s="78" t="s">
        <v>327</v>
      </c>
      <c r="B60" s="78" t="s">
        <v>326</v>
      </c>
      <c r="C60" s="104" t="s">
        <v>36</v>
      </c>
      <c r="D60" s="104" t="s">
        <v>36</v>
      </c>
      <c r="E60" s="104" t="s">
        <v>36</v>
      </c>
      <c r="F60" s="203" t="s">
        <v>36</v>
      </c>
      <c r="G60" s="104" t="s">
        <v>36</v>
      </c>
      <c r="H60" s="104" t="s">
        <v>36</v>
      </c>
      <c r="I60" s="104" t="s">
        <v>36</v>
      </c>
      <c r="J60" s="104" t="s">
        <v>36</v>
      </c>
      <c r="K60" s="104" t="s">
        <v>36</v>
      </c>
      <c r="L60" s="104">
        <v>0</v>
      </c>
      <c r="M60" s="104">
        <v>0</v>
      </c>
      <c r="N60" s="104">
        <v>0</v>
      </c>
      <c r="O60" s="104">
        <v>0</v>
      </c>
      <c r="P60" s="104">
        <v>0</v>
      </c>
      <c r="Q60" s="104">
        <v>0</v>
      </c>
      <c r="R60" s="104">
        <v>0</v>
      </c>
    </row>
    <row r="61" spans="1:18" x14ac:dyDescent="0.25">
      <c r="A61" s="80" t="s">
        <v>325</v>
      </c>
      <c r="B61" s="80" t="s">
        <v>324</v>
      </c>
      <c r="C61" s="93" t="s">
        <v>36</v>
      </c>
      <c r="D61" s="93" t="s">
        <v>36</v>
      </c>
      <c r="E61" s="93" t="s">
        <v>36</v>
      </c>
      <c r="F61" s="6" t="s">
        <v>36</v>
      </c>
      <c r="G61" s="93" t="s">
        <v>36</v>
      </c>
      <c r="H61" s="93" t="s">
        <v>36</v>
      </c>
      <c r="I61" s="93" t="s">
        <v>36</v>
      </c>
      <c r="J61" s="93" t="s">
        <v>36</v>
      </c>
      <c r="K61" s="93" t="s">
        <v>36</v>
      </c>
      <c r="L61" s="93" t="s">
        <v>36</v>
      </c>
      <c r="M61" s="93" t="s">
        <v>36</v>
      </c>
      <c r="N61" s="93" t="s">
        <v>36</v>
      </c>
      <c r="O61" s="93" t="s">
        <v>36</v>
      </c>
      <c r="P61" s="93">
        <v>130.19999999999999</v>
      </c>
      <c r="Q61" s="93">
        <v>150.80000000000001</v>
      </c>
      <c r="R61" s="93">
        <v>172.7</v>
      </c>
    </row>
    <row r="62" spans="1:18" x14ac:dyDescent="0.25">
      <c r="A62" s="80" t="s">
        <v>323</v>
      </c>
      <c r="B62" s="80" t="s">
        <v>322</v>
      </c>
      <c r="C62" s="93" t="s">
        <v>36</v>
      </c>
      <c r="D62" s="93" t="s">
        <v>36</v>
      </c>
      <c r="E62" s="93" t="s">
        <v>36</v>
      </c>
      <c r="F62" s="6" t="s">
        <v>36</v>
      </c>
      <c r="G62" s="93" t="s">
        <v>36</v>
      </c>
      <c r="H62" s="93" t="s">
        <v>36</v>
      </c>
      <c r="I62" s="93" t="s">
        <v>36</v>
      </c>
      <c r="J62" s="93" t="s">
        <v>36</v>
      </c>
      <c r="K62" s="93" t="s">
        <v>36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</row>
    <row r="63" spans="1:18" x14ac:dyDescent="0.25">
      <c r="A63" s="80" t="s">
        <v>321</v>
      </c>
      <c r="B63" s="80" t="s">
        <v>320</v>
      </c>
      <c r="C63" s="93" t="s">
        <v>36</v>
      </c>
      <c r="D63" s="93" t="s">
        <v>36</v>
      </c>
      <c r="E63" s="93" t="s">
        <v>36</v>
      </c>
      <c r="F63" s="6" t="s">
        <v>36</v>
      </c>
      <c r="G63" s="93" t="s">
        <v>36</v>
      </c>
      <c r="H63" s="93" t="s">
        <v>36</v>
      </c>
      <c r="I63" s="93" t="s">
        <v>36</v>
      </c>
      <c r="J63" s="93" t="s">
        <v>36</v>
      </c>
      <c r="K63" s="93" t="s">
        <v>36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</row>
    <row r="64" spans="1:18" x14ac:dyDescent="0.25">
      <c r="A64" s="80" t="s">
        <v>319</v>
      </c>
      <c r="B64" s="80" t="s">
        <v>318</v>
      </c>
      <c r="C64" s="93">
        <v>0</v>
      </c>
      <c r="D64" s="93">
        <v>0</v>
      </c>
      <c r="E64" s="93">
        <v>0</v>
      </c>
      <c r="F64" s="6">
        <v>0</v>
      </c>
      <c r="G64" s="93">
        <v>0</v>
      </c>
      <c r="H64" s="93">
        <v>0</v>
      </c>
      <c r="I64" s="93">
        <v>0</v>
      </c>
      <c r="J64" s="93">
        <v>0</v>
      </c>
      <c r="K64" s="93">
        <v>203.5</v>
      </c>
      <c r="L64" s="93">
        <v>68.7</v>
      </c>
      <c r="M64" s="93">
        <v>86.5</v>
      </c>
      <c r="N64" s="93">
        <v>116.5</v>
      </c>
      <c r="O64" s="93">
        <v>187.8</v>
      </c>
      <c r="P64" s="93">
        <v>108.4</v>
      </c>
      <c r="Q64" s="93">
        <v>208.4</v>
      </c>
      <c r="R64" s="93">
        <v>305.2</v>
      </c>
    </row>
    <row r="65" spans="1:18" x14ac:dyDescent="0.25">
      <c r="A65" s="79" t="s">
        <v>317</v>
      </c>
      <c r="B65" s="79" t="s">
        <v>316</v>
      </c>
      <c r="C65" s="99">
        <v>1344.403</v>
      </c>
      <c r="D65" s="99">
        <v>1884.33</v>
      </c>
      <c r="E65" s="99">
        <v>2878.3310000000001</v>
      </c>
      <c r="F65" s="202">
        <v>2963.123</v>
      </c>
      <c r="G65" s="99">
        <v>3499.2</v>
      </c>
      <c r="H65" s="99">
        <v>4909.6000000000004</v>
      </c>
      <c r="I65" s="99">
        <v>6078.6</v>
      </c>
      <c r="J65" s="99">
        <v>4376.8</v>
      </c>
      <c r="K65" s="99">
        <v>3748.4</v>
      </c>
      <c r="L65" s="99">
        <v>3145.3</v>
      </c>
      <c r="M65" s="99">
        <v>2171.8000000000002</v>
      </c>
      <c r="N65" s="99">
        <v>1704.6</v>
      </c>
      <c r="O65" s="99">
        <v>2493.1</v>
      </c>
      <c r="P65" s="99">
        <v>3509</v>
      </c>
      <c r="Q65" s="99">
        <v>3665.7</v>
      </c>
      <c r="R65" s="99">
        <v>3811.5</v>
      </c>
    </row>
    <row r="66" spans="1:18" x14ac:dyDescent="0.25">
      <c r="A66" s="79" t="s">
        <v>315</v>
      </c>
      <c r="B66" s="79" t="s">
        <v>314</v>
      </c>
      <c r="C66" s="99">
        <v>1719.75</v>
      </c>
      <c r="D66" s="99">
        <v>2393.0790000000002</v>
      </c>
      <c r="E66" s="99">
        <v>3726.7190000000001</v>
      </c>
      <c r="F66" s="202">
        <v>4112.2160000000003</v>
      </c>
      <c r="G66" s="99">
        <v>4858.1000000000004</v>
      </c>
      <c r="H66" s="99">
        <v>6951.2</v>
      </c>
      <c r="I66" s="99">
        <v>8262.7000000000007</v>
      </c>
      <c r="J66" s="99">
        <v>5901</v>
      </c>
      <c r="K66" s="99">
        <v>5085.8</v>
      </c>
      <c r="L66" s="99">
        <v>4356.2</v>
      </c>
      <c r="M66" s="99">
        <v>3315.7</v>
      </c>
      <c r="N66" s="99">
        <v>2734.9</v>
      </c>
      <c r="O66" s="99">
        <v>3653.5</v>
      </c>
      <c r="P66" s="99">
        <v>4795</v>
      </c>
      <c r="Q66" s="99">
        <v>5065.7</v>
      </c>
      <c r="R66" s="99">
        <v>5255.6</v>
      </c>
    </row>
    <row r="67" spans="1:18" x14ac:dyDescent="0.25">
      <c r="A67" s="80" t="s">
        <v>313</v>
      </c>
      <c r="B67" s="80" t="s">
        <v>312</v>
      </c>
      <c r="C67" s="93">
        <v>0</v>
      </c>
      <c r="D67" s="93">
        <v>0</v>
      </c>
      <c r="E67" s="93">
        <v>0</v>
      </c>
      <c r="F67" s="6">
        <v>0</v>
      </c>
      <c r="G67" s="93">
        <v>0</v>
      </c>
      <c r="H67" s="93">
        <v>0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</row>
    <row r="68" spans="1:18" x14ac:dyDescent="0.25">
      <c r="A68" s="80" t="s">
        <v>311</v>
      </c>
      <c r="B68" s="80" t="s">
        <v>310</v>
      </c>
      <c r="C68" s="93">
        <v>537.846</v>
      </c>
      <c r="D68" s="93">
        <v>705.61099999999999</v>
      </c>
      <c r="E68" s="93">
        <v>1351.095</v>
      </c>
      <c r="F68" s="6">
        <v>1583.203</v>
      </c>
      <c r="G68" s="93">
        <v>1602.3</v>
      </c>
      <c r="H68" s="93">
        <v>1628</v>
      </c>
      <c r="I68" s="93">
        <v>1661.6</v>
      </c>
      <c r="J68" s="93">
        <v>1696.5</v>
      </c>
      <c r="K68" s="93">
        <v>1719.5</v>
      </c>
      <c r="L68" s="93">
        <v>1874.3</v>
      </c>
      <c r="M68" s="93">
        <v>1898</v>
      </c>
      <c r="N68" s="93">
        <v>1920.2</v>
      </c>
      <c r="O68" s="93">
        <v>1983.1</v>
      </c>
      <c r="P68" s="93">
        <v>2045.3</v>
      </c>
      <c r="Q68" s="93">
        <v>2617.4</v>
      </c>
      <c r="R68" s="93">
        <v>2737.6</v>
      </c>
    </row>
    <row r="69" spans="1:18" x14ac:dyDescent="0.25">
      <c r="A69" s="80" t="s">
        <v>309</v>
      </c>
      <c r="B69" s="80" t="s">
        <v>308</v>
      </c>
      <c r="C69" s="93" t="s">
        <v>36</v>
      </c>
      <c r="D69" s="93" t="s">
        <v>36</v>
      </c>
      <c r="E69" s="93" t="s">
        <v>36</v>
      </c>
      <c r="F69" s="6" t="s">
        <v>36</v>
      </c>
      <c r="G69" s="93" t="s">
        <v>36</v>
      </c>
      <c r="H69" s="93" t="s">
        <v>36</v>
      </c>
      <c r="I69" s="93" t="s">
        <v>36</v>
      </c>
      <c r="J69" s="93" t="s">
        <v>36</v>
      </c>
      <c r="K69" s="93" t="s">
        <v>36</v>
      </c>
      <c r="L69" s="93">
        <v>3.2</v>
      </c>
      <c r="M69" s="93">
        <v>3.2</v>
      </c>
      <c r="N69" s="93">
        <v>3.2</v>
      </c>
      <c r="O69" s="93">
        <v>3.3</v>
      </c>
      <c r="P69" s="93">
        <v>3.3</v>
      </c>
      <c r="Q69" s="93">
        <v>3.7</v>
      </c>
      <c r="R69" s="93">
        <v>3.8</v>
      </c>
    </row>
    <row r="70" spans="1:18" x14ac:dyDescent="0.25">
      <c r="A70" s="80" t="s">
        <v>307</v>
      </c>
      <c r="B70" s="80" t="s">
        <v>306</v>
      </c>
      <c r="C70" s="93" t="s">
        <v>36</v>
      </c>
      <c r="D70" s="93" t="s">
        <v>36</v>
      </c>
      <c r="E70" s="93" t="s">
        <v>36</v>
      </c>
      <c r="F70" s="6" t="s">
        <v>36</v>
      </c>
      <c r="G70" s="93" t="s">
        <v>36</v>
      </c>
      <c r="H70" s="93" t="s">
        <v>36</v>
      </c>
      <c r="I70" s="93" t="s">
        <v>36</v>
      </c>
      <c r="J70" s="93" t="s">
        <v>36</v>
      </c>
      <c r="K70" s="93" t="s">
        <v>36</v>
      </c>
      <c r="L70" s="93">
        <v>1871.1</v>
      </c>
      <c r="M70" s="93">
        <v>1894.8</v>
      </c>
      <c r="N70" s="93">
        <v>1917</v>
      </c>
      <c r="O70" s="93">
        <v>1979.8</v>
      </c>
      <c r="P70" s="93">
        <v>2042</v>
      </c>
      <c r="Q70" s="93">
        <v>2613.6999999999998</v>
      </c>
      <c r="R70" s="93">
        <v>2733.8</v>
      </c>
    </row>
    <row r="71" spans="1:18" x14ac:dyDescent="0.25">
      <c r="A71" s="80" t="s">
        <v>305</v>
      </c>
      <c r="B71" s="80" t="s">
        <v>304</v>
      </c>
      <c r="C71" s="93">
        <v>36.947000000000003</v>
      </c>
      <c r="D71" s="93">
        <v>0</v>
      </c>
      <c r="E71" s="93">
        <v>0</v>
      </c>
      <c r="F71" s="6">
        <v>58.859000000000002</v>
      </c>
      <c r="G71" s="93">
        <v>58.9</v>
      </c>
      <c r="H71" s="93">
        <v>58.9</v>
      </c>
      <c r="I71" s="93">
        <v>95.7</v>
      </c>
      <c r="J71" s="93">
        <v>95.7</v>
      </c>
      <c r="K71" s="93">
        <v>95.7</v>
      </c>
      <c r="L71" s="93">
        <v>95.7</v>
      </c>
      <c r="M71" s="93">
        <v>95.7</v>
      </c>
      <c r="N71" s="93">
        <v>134.30000000000001</v>
      </c>
      <c r="O71" s="93">
        <v>134.30000000000001</v>
      </c>
      <c r="P71" s="93">
        <v>134.30000000000001</v>
      </c>
      <c r="Q71" s="93">
        <v>134.30000000000001</v>
      </c>
      <c r="R71" s="93">
        <v>134.30000000000001</v>
      </c>
    </row>
    <row r="72" spans="1:18" x14ac:dyDescent="0.25">
      <c r="A72" s="80" t="s">
        <v>303</v>
      </c>
      <c r="B72" s="80" t="s">
        <v>302</v>
      </c>
      <c r="C72" s="93">
        <v>468.66399999999999</v>
      </c>
      <c r="D72" s="93">
        <v>544.63599999999997</v>
      </c>
      <c r="E72" s="93">
        <v>923.221</v>
      </c>
      <c r="F72" s="6">
        <v>1509.079</v>
      </c>
      <c r="G72" s="93">
        <v>2417.3000000000002</v>
      </c>
      <c r="H72" s="93">
        <v>3791.3</v>
      </c>
      <c r="I72" s="93">
        <v>4887</v>
      </c>
      <c r="J72" s="93">
        <v>3986.1</v>
      </c>
      <c r="K72" s="93">
        <v>1210.5</v>
      </c>
      <c r="L72" s="93">
        <v>613.20000000000005</v>
      </c>
      <c r="M72" s="93">
        <v>810.6</v>
      </c>
      <c r="N72" s="93">
        <v>834.6</v>
      </c>
      <c r="O72" s="93">
        <v>1743.1</v>
      </c>
      <c r="P72" s="93">
        <v>2145.6</v>
      </c>
      <c r="Q72" s="93">
        <v>2630.5</v>
      </c>
      <c r="R72" s="93">
        <v>3289.6</v>
      </c>
    </row>
    <row r="73" spans="1:18" x14ac:dyDescent="0.25">
      <c r="A73" s="80" t="s">
        <v>301</v>
      </c>
      <c r="B73" s="80" t="s">
        <v>300</v>
      </c>
      <c r="C73" s="93">
        <v>0</v>
      </c>
      <c r="D73" s="93">
        <v>0</v>
      </c>
      <c r="E73" s="93">
        <v>-4.4530000000000003</v>
      </c>
      <c r="F73" s="6">
        <v>-2.1629999999999998</v>
      </c>
      <c r="G73" s="93">
        <v>0</v>
      </c>
      <c r="H73" s="93">
        <v>0</v>
      </c>
      <c r="I73" s="93">
        <v>0</v>
      </c>
      <c r="J73" s="93">
        <v>0</v>
      </c>
      <c r="K73" s="93">
        <v>0</v>
      </c>
      <c r="L73" s="93">
        <v>0</v>
      </c>
      <c r="M73" s="93">
        <v>0.3</v>
      </c>
      <c r="N73" s="93">
        <v>0.1</v>
      </c>
      <c r="O73" s="93">
        <v>0.2</v>
      </c>
      <c r="P73" s="93">
        <v>1.9</v>
      </c>
      <c r="Q73" s="93">
        <v>2.2000000000000002</v>
      </c>
      <c r="R73" s="93">
        <v>1.4</v>
      </c>
    </row>
    <row r="74" spans="1:18" x14ac:dyDescent="0.25">
      <c r="A74" s="79" t="s">
        <v>299</v>
      </c>
      <c r="B74" s="79" t="s">
        <v>298</v>
      </c>
      <c r="C74" s="99">
        <v>969.56299999999999</v>
      </c>
      <c r="D74" s="99">
        <v>1250.2470000000001</v>
      </c>
      <c r="E74" s="99">
        <v>2269.8629999999998</v>
      </c>
      <c r="F74" s="202">
        <v>3031.26</v>
      </c>
      <c r="G74" s="99">
        <v>3960.7</v>
      </c>
      <c r="H74" s="99">
        <v>5360.4</v>
      </c>
      <c r="I74" s="99">
        <v>6452.9</v>
      </c>
      <c r="J74" s="99">
        <v>5586.9</v>
      </c>
      <c r="K74" s="99">
        <v>2834.3</v>
      </c>
      <c r="L74" s="99">
        <v>2391.8000000000002</v>
      </c>
      <c r="M74" s="99">
        <v>2613.1999999999998</v>
      </c>
      <c r="N74" s="99">
        <v>2620.6</v>
      </c>
      <c r="O74" s="99">
        <v>3592.1</v>
      </c>
      <c r="P74" s="99">
        <v>4058.5</v>
      </c>
      <c r="Q74" s="99">
        <v>5115.8</v>
      </c>
      <c r="R74" s="99">
        <v>5894.3</v>
      </c>
    </row>
    <row r="75" spans="1:18" x14ac:dyDescent="0.25">
      <c r="A75" s="80" t="s">
        <v>297</v>
      </c>
      <c r="B75" s="80" t="s">
        <v>296</v>
      </c>
      <c r="C75" s="93">
        <v>5.2640000000000002</v>
      </c>
      <c r="D75" s="93">
        <v>8.8640000000000008</v>
      </c>
      <c r="E75" s="93">
        <v>20.945</v>
      </c>
      <c r="F75" s="6">
        <v>135.90100000000001</v>
      </c>
      <c r="G75" s="93">
        <v>166.4</v>
      </c>
      <c r="H75" s="93">
        <v>203.2</v>
      </c>
      <c r="I75" s="93">
        <v>105.1</v>
      </c>
      <c r="J75" s="93">
        <v>68.400000000000006</v>
      </c>
      <c r="K75" s="93">
        <v>30.5</v>
      </c>
      <c r="L75" s="93">
        <v>8.8000000000000007</v>
      </c>
      <c r="M75" s="93">
        <v>9.6999999999999993</v>
      </c>
      <c r="N75" s="93">
        <v>2.9</v>
      </c>
      <c r="O75" s="93">
        <v>2.6</v>
      </c>
      <c r="P75" s="93">
        <v>2.9</v>
      </c>
      <c r="Q75" s="93">
        <v>3.9</v>
      </c>
      <c r="R75" s="93">
        <v>1.1000000000000001</v>
      </c>
    </row>
    <row r="76" spans="1:18" x14ac:dyDescent="0.25">
      <c r="A76" s="79" t="s">
        <v>295</v>
      </c>
      <c r="B76" s="79" t="s">
        <v>294</v>
      </c>
      <c r="C76" s="99">
        <v>974.827</v>
      </c>
      <c r="D76" s="99">
        <v>1259.1110000000001</v>
      </c>
      <c r="E76" s="99">
        <v>2290.808</v>
      </c>
      <c r="F76" s="202">
        <v>3167.1610000000001</v>
      </c>
      <c r="G76" s="99">
        <v>4127.1000000000004</v>
      </c>
      <c r="H76" s="99">
        <v>5563.6</v>
      </c>
      <c r="I76" s="99">
        <v>6558</v>
      </c>
      <c r="J76" s="99">
        <v>5655.3</v>
      </c>
      <c r="K76" s="99">
        <v>2864.8</v>
      </c>
      <c r="L76" s="99">
        <v>2400.6</v>
      </c>
      <c r="M76" s="99">
        <v>2622.9</v>
      </c>
      <c r="N76" s="99">
        <v>2623.5</v>
      </c>
      <c r="O76" s="99">
        <v>3594.7</v>
      </c>
      <c r="P76" s="99">
        <v>4061.4</v>
      </c>
      <c r="Q76" s="99">
        <v>5119.7</v>
      </c>
      <c r="R76" s="99">
        <v>5895.4</v>
      </c>
    </row>
    <row r="77" spans="1:18" x14ac:dyDescent="0.25">
      <c r="A77" s="79" t="s">
        <v>293</v>
      </c>
      <c r="B77" s="79" t="s">
        <v>292</v>
      </c>
      <c r="C77" s="99">
        <v>2694.5770000000002</v>
      </c>
      <c r="D77" s="99">
        <v>3652.19</v>
      </c>
      <c r="E77" s="99">
        <v>6017.527</v>
      </c>
      <c r="F77" s="202">
        <v>7279.3770000000004</v>
      </c>
      <c r="G77" s="99">
        <v>8985.2000000000007</v>
      </c>
      <c r="H77" s="99">
        <v>12514.8</v>
      </c>
      <c r="I77" s="99">
        <v>14820.7</v>
      </c>
      <c r="J77" s="99">
        <v>11556.3</v>
      </c>
      <c r="K77" s="99">
        <v>7950.6</v>
      </c>
      <c r="L77" s="99">
        <v>6756.8</v>
      </c>
      <c r="M77" s="99">
        <v>5938.6</v>
      </c>
      <c r="N77" s="99">
        <v>5358.4</v>
      </c>
      <c r="O77" s="99">
        <v>7248.2</v>
      </c>
      <c r="P77" s="99">
        <v>8856.4</v>
      </c>
      <c r="Q77" s="99">
        <v>10185.4</v>
      </c>
      <c r="R77" s="99">
        <v>11151</v>
      </c>
    </row>
    <row r="78" spans="1:18" x14ac:dyDescent="0.25">
      <c r="A78" s="79"/>
      <c r="B78" s="98"/>
      <c r="C78" s="98"/>
      <c r="D78" s="98"/>
      <c r="E78" s="98"/>
      <c r="F78" s="200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</row>
    <row r="79" spans="1:18" x14ac:dyDescent="0.25">
      <c r="A79" s="79" t="s">
        <v>2</v>
      </c>
      <c r="B79" s="98"/>
      <c r="C79" s="98"/>
      <c r="D79" s="98"/>
      <c r="E79" s="98"/>
      <c r="F79" s="200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</row>
    <row r="80" spans="1:18" x14ac:dyDescent="0.25">
      <c r="A80" s="80" t="s">
        <v>133</v>
      </c>
      <c r="B80" s="80" t="s">
        <v>134</v>
      </c>
      <c r="C80" s="92" t="s">
        <v>135</v>
      </c>
      <c r="D80" s="92" t="s">
        <v>135</v>
      </c>
      <c r="E80" s="92" t="s">
        <v>135</v>
      </c>
      <c r="F80" s="204" t="s">
        <v>135</v>
      </c>
      <c r="G80" s="92" t="s">
        <v>135</v>
      </c>
      <c r="H80" s="92" t="s">
        <v>135</v>
      </c>
      <c r="I80" s="92" t="s">
        <v>135</v>
      </c>
      <c r="J80" s="92" t="s">
        <v>135</v>
      </c>
      <c r="K80" s="92" t="s">
        <v>135</v>
      </c>
      <c r="L80" s="92" t="s">
        <v>135</v>
      </c>
      <c r="M80" s="92" t="s">
        <v>135</v>
      </c>
      <c r="N80" s="92" t="s">
        <v>135</v>
      </c>
      <c r="O80" s="92" t="s">
        <v>135</v>
      </c>
      <c r="P80" s="92" t="s">
        <v>135</v>
      </c>
      <c r="Q80" s="92" t="s">
        <v>135</v>
      </c>
      <c r="R80" s="92" t="s">
        <v>135</v>
      </c>
    </row>
    <row r="81" spans="1:18" x14ac:dyDescent="0.25">
      <c r="A81" s="80" t="s">
        <v>291</v>
      </c>
      <c r="B81" s="80" t="s">
        <v>290</v>
      </c>
      <c r="C81" s="93">
        <v>224.72499400000001</v>
      </c>
      <c r="D81" s="93">
        <v>230.70594199999999</v>
      </c>
      <c r="E81" s="93">
        <v>293.009927</v>
      </c>
      <c r="F81" s="6">
        <v>309.53192300000001</v>
      </c>
      <c r="G81" s="93">
        <v>311.16792199999998</v>
      </c>
      <c r="H81" s="93">
        <v>312.93886800000001</v>
      </c>
      <c r="I81" s="93">
        <v>313.24674499999998</v>
      </c>
      <c r="J81" s="93">
        <v>314.91444000000001</v>
      </c>
      <c r="K81" s="93">
        <v>316.66027500000001</v>
      </c>
      <c r="L81" s="93">
        <v>317.480886</v>
      </c>
      <c r="M81" s="93">
        <v>318.82323400000001</v>
      </c>
      <c r="N81" s="93">
        <v>316.04309899999998</v>
      </c>
      <c r="O81" s="93">
        <v>320.891976</v>
      </c>
      <c r="P81" s="93">
        <v>322.94361800000001</v>
      </c>
      <c r="Q81" s="93">
        <v>364.58669400000002</v>
      </c>
      <c r="R81" s="93">
        <v>368.64737100000002</v>
      </c>
    </row>
    <row r="82" spans="1:18" x14ac:dyDescent="0.25">
      <c r="A82" s="80" t="s">
        <v>289</v>
      </c>
      <c r="B82" s="80" t="s">
        <v>288</v>
      </c>
      <c r="C82" s="93">
        <v>8.6213680000000004</v>
      </c>
      <c r="D82" s="93">
        <v>0</v>
      </c>
      <c r="E82" s="93">
        <v>0</v>
      </c>
      <c r="F82" s="6">
        <v>5.3059989999999999</v>
      </c>
      <c r="G82" s="93">
        <v>3.5373320000000001</v>
      </c>
      <c r="H82" s="93">
        <v>2.6528</v>
      </c>
      <c r="I82" s="93">
        <v>3.6528</v>
      </c>
      <c r="J82" s="93">
        <v>3.655233</v>
      </c>
      <c r="K82" s="93">
        <v>3.655233</v>
      </c>
      <c r="L82" s="93">
        <v>3.655233</v>
      </c>
      <c r="M82" s="93">
        <v>3.655233</v>
      </c>
      <c r="N82" s="93">
        <v>7.2000710000000003</v>
      </c>
      <c r="O82" s="93">
        <v>7.2000710000000003</v>
      </c>
      <c r="P82" s="93">
        <v>7.2000710000000003</v>
      </c>
      <c r="Q82" s="93">
        <v>7.2000710000000003</v>
      </c>
      <c r="R82" s="93">
        <v>7.2000710000000003</v>
      </c>
    </row>
    <row r="83" spans="1:18" x14ac:dyDescent="0.25">
      <c r="A83" s="80" t="s">
        <v>287</v>
      </c>
      <c r="B83" s="80" t="s">
        <v>286</v>
      </c>
      <c r="C83" s="93" t="s">
        <v>36</v>
      </c>
      <c r="D83" s="93">
        <v>0</v>
      </c>
      <c r="E83" s="93">
        <v>0</v>
      </c>
      <c r="F83" s="6">
        <v>0</v>
      </c>
      <c r="G83" s="93">
        <v>0</v>
      </c>
      <c r="H83" s="93">
        <v>0</v>
      </c>
      <c r="I83" s="93">
        <v>0</v>
      </c>
      <c r="J83" s="93">
        <v>0</v>
      </c>
      <c r="K83" s="93" t="s">
        <v>36</v>
      </c>
      <c r="L83" s="93">
        <v>0</v>
      </c>
      <c r="M83" s="93">
        <v>0</v>
      </c>
      <c r="N83" s="93">
        <v>0</v>
      </c>
      <c r="O83" s="93">
        <v>0</v>
      </c>
      <c r="P83" s="93">
        <v>0</v>
      </c>
      <c r="Q83" s="93">
        <v>0</v>
      </c>
      <c r="R83" s="93">
        <v>0</v>
      </c>
    </row>
    <row r="84" spans="1:18" x14ac:dyDescent="0.25">
      <c r="A84" s="80" t="s">
        <v>285</v>
      </c>
      <c r="B84" s="80" t="s">
        <v>284</v>
      </c>
      <c r="C84" s="93">
        <v>13.041</v>
      </c>
      <c r="D84" s="93">
        <v>31.173999999999999</v>
      </c>
      <c r="E84" s="93">
        <v>41.158999999999999</v>
      </c>
      <c r="F84" s="6">
        <v>54.335999999999999</v>
      </c>
      <c r="G84" s="93">
        <v>95.1</v>
      </c>
      <c r="H84" s="93">
        <v>101.7</v>
      </c>
      <c r="I84" s="93">
        <v>119.7</v>
      </c>
      <c r="J84" s="93">
        <v>92.8</v>
      </c>
      <c r="K84" s="93">
        <v>66.400000000000006</v>
      </c>
      <c r="L84" s="93">
        <v>45.5</v>
      </c>
      <c r="M84" s="93">
        <v>40.9</v>
      </c>
      <c r="N84" s="93">
        <v>30</v>
      </c>
      <c r="O84" s="93">
        <v>23.3</v>
      </c>
      <c r="P84" s="93">
        <v>23.3</v>
      </c>
      <c r="Q84" s="93">
        <v>33.299999999999997</v>
      </c>
      <c r="R84" s="93">
        <v>28.4</v>
      </c>
    </row>
    <row r="85" spans="1:18" x14ac:dyDescent="0.25">
      <c r="A85" s="80" t="s">
        <v>283</v>
      </c>
      <c r="B85" s="80" t="s">
        <v>282</v>
      </c>
      <c r="C85" s="93">
        <v>0</v>
      </c>
      <c r="D85" s="93">
        <v>0</v>
      </c>
      <c r="E85" s="93">
        <v>0</v>
      </c>
      <c r="F85" s="6">
        <v>0</v>
      </c>
      <c r="G85" s="93">
        <v>0</v>
      </c>
      <c r="H85" s="93">
        <v>0</v>
      </c>
      <c r="I85" s="93">
        <v>0</v>
      </c>
      <c r="J85" s="93">
        <v>0</v>
      </c>
      <c r="K85" s="93" t="s">
        <v>36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</row>
    <row r="86" spans="1:18" x14ac:dyDescent="0.25">
      <c r="A86" s="80" t="s">
        <v>281</v>
      </c>
      <c r="B86" s="80" t="s">
        <v>280</v>
      </c>
      <c r="C86" s="93">
        <v>1.1510609999999999</v>
      </c>
      <c r="D86" s="93">
        <v>2.8010389999999998</v>
      </c>
      <c r="E86" s="93">
        <v>6.5269459999999997</v>
      </c>
      <c r="F86" s="6">
        <v>0.12</v>
      </c>
      <c r="G86" s="93">
        <v>7.054424</v>
      </c>
      <c r="H86" s="93">
        <v>0.03</v>
      </c>
      <c r="I86" s="93">
        <v>3.0055000000000001</v>
      </c>
      <c r="J86" s="93">
        <v>0</v>
      </c>
      <c r="K86" s="93">
        <v>6.5475000000000003</v>
      </c>
      <c r="L86" s="93">
        <v>6.1150000000000002</v>
      </c>
      <c r="M86" s="93">
        <v>0</v>
      </c>
      <c r="N86" s="93">
        <v>6.1725000000000003</v>
      </c>
      <c r="O86" s="93">
        <v>0</v>
      </c>
      <c r="P86" s="93">
        <v>3.6760000000000002</v>
      </c>
      <c r="Q86" s="93">
        <v>3.856166</v>
      </c>
      <c r="R86" s="93">
        <v>0</v>
      </c>
    </row>
    <row r="87" spans="1:18" x14ac:dyDescent="0.25">
      <c r="A87" s="80" t="s">
        <v>279</v>
      </c>
      <c r="B87" s="80" t="s">
        <v>278</v>
      </c>
      <c r="C87" s="93">
        <v>13.764129000000001</v>
      </c>
      <c r="D87" s="93">
        <v>13.021478999999999</v>
      </c>
      <c r="E87" s="93">
        <v>17.572375999999998</v>
      </c>
      <c r="F87" s="6">
        <v>14.61022</v>
      </c>
      <c r="G87" s="93">
        <v>17.572512</v>
      </c>
      <c r="H87" s="93">
        <v>13.965643999999999</v>
      </c>
      <c r="I87" s="93">
        <v>14.453713</v>
      </c>
      <c r="J87" s="93">
        <v>11.838031000000001</v>
      </c>
      <c r="K87" s="93">
        <v>15.623148</v>
      </c>
      <c r="L87" s="93">
        <v>19.479417000000002</v>
      </c>
      <c r="M87" s="93">
        <v>17.658871999999999</v>
      </c>
      <c r="N87" s="93">
        <v>22.705963000000001</v>
      </c>
      <c r="O87" s="93">
        <v>17.580031000000002</v>
      </c>
      <c r="P87" s="93">
        <v>18.962536</v>
      </c>
      <c r="Q87" s="93">
        <v>19.478811</v>
      </c>
      <c r="R87" s="93">
        <v>15.337656000000001</v>
      </c>
    </row>
    <row r="88" spans="1:18" x14ac:dyDescent="0.25">
      <c r="A88" s="80" t="s">
        <v>277</v>
      </c>
      <c r="B88" s="80" t="s">
        <v>276</v>
      </c>
      <c r="C88" s="93">
        <v>1271.8779999999999</v>
      </c>
      <c r="D88" s="93">
        <v>1645.05</v>
      </c>
      <c r="E88" s="93">
        <v>2773.9870000000001</v>
      </c>
      <c r="F88" s="6">
        <v>2380.2179999999998</v>
      </c>
      <c r="G88" s="93">
        <v>2981.2</v>
      </c>
      <c r="H88" s="93">
        <v>3759.8</v>
      </c>
      <c r="I88" s="93">
        <v>5491</v>
      </c>
      <c r="J88" s="93">
        <v>4107.2</v>
      </c>
      <c r="K88" s="93">
        <v>2157.6</v>
      </c>
      <c r="L88" s="93">
        <v>1119.3</v>
      </c>
      <c r="M88" s="93">
        <v>478.3</v>
      </c>
      <c r="N88" s="93">
        <v>557.9</v>
      </c>
      <c r="O88" s="93">
        <v>959.6</v>
      </c>
      <c r="P88" s="93">
        <v>2293</v>
      </c>
      <c r="Q88" s="93">
        <v>2644.7</v>
      </c>
      <c r="R88" s="93">
        <v>1949.8</v>
      </c>
    </row>
    <row r="89" spans="1:18" x14ac:dyDescent="0.25">
      <c r="A89" s="80" t="s">
        <v>275</v>
      </c>
      <c r="B89" s="80" t="s">
        <v>274</v>
      </c>
      <c r="C89" s="94">
        <v>130.47217599999999</v>
      </c>
      <c r="D89" s="94">
        <v>130.65170599999999</v>
      </c>
      <c r="E89" s="94">
        <v>121.092078</v>
      </c>
      <c r="F89" s="205">
        <v>75.153047000000001</v>
      </c>
      <c r="G89" s="94">
        <v>72.234741</v>
      </c>
      <c r="H89" s="94">
        <v>67.578546000000003</v>
      </c>
      <c r="I89" s="94">
        <v>83.729795999999993</v>
      </c>
      <c r="J89" s="94">
        <v>72.625679000000005</v>
      </c>
      <c r="K89" s="94">
        <v>75.314158000000006</v>
      </c>
      <c r="L89" s="94">
        <v>46.625844000000001</v>
      </c>
      <c r="M89" s="94">
        <v>18.235541000000001</v>
      </c>
      <c r="N89" s="94">
        <v>21.265485000000002</v>
      </c>
      <c r="O89" s="94">
        <v>26.694856000000001</v>
      </c>
      <c r="P89" s="94">
        <v>56.458364000000003</v>
      </c>
      <c r="Q89" s="94">
        <v>51.657324000000003</v>
      </c>
      <c r="R89" s="94">
        <v>33.073244000000003</v>
      </c>
    </row>
    <row r="90" spans="1:18" x14ac:dyDescent="0.25">
      <c r="A90" s="80" t="s">
        <v>273</v>
      </c>
      <c r="B90" s="80" t="s">
        <v>272</v>
      </c>
      <c r="C90" s="94">
        <v>33.102977000000003</v>
      </c>
      <c r="D90" s="94">
        <v>31.684711</v>
      </c>
      <c r="E90" s="94">
        <v>31.087544999999999</v>
      </c>
      <c r="F90" s="205">
        <v>36.599781999999998</v>
      </c>
      <c r="G90" s="94">
        <v>40.229351999999999</v>
      </c>
      <c r="H90" s="94">
        <v>40.059820000000002</v>
      </c>
      <c r="I90" s="94">
        <v>41.244785999999998</v>
      </c>
      <c r="J90" s="94">
        <v>47.91554</v>
      </c>
      <c r="K90" s="94">
        <v>35.519931</v>
      </c>
      <c r="L90" s="94">
        <v>35.246034999999999</v>
      </c>
      <c r="M90" s="94">
        <v>43.85331</v>
      </c>
      <c r="N90" s="94">
        <v>48.754328000000001</v>
      </c>
      <c r="O90" s="94">
        <v>49.286338000000001</v>
      </c>
      <c r="P90" s="94">
        <v>45.586618000000001</v>
      </c>
      <c r="Q90" s="94">
        <v>49.759182000000003</v>
      </c>
      <c r="R90" s="94">
        <v>52.487391000000002</v>
      </c>
    </row>
    <row r="91" spans="1:18" x14ac:dyDescent="0.25">
      <c r="A91" s="80" t="s">
        <v>271</v>
      </c>
      <c r="B91" s="80" t="s">
        <v>270</v>
      </c>
      <c r="C91" s="94">
        <v>6.0305689999999998</v>
      </c>
      <c r="D91" s="94">
        <v>5.9826300000000003</v>
      </c>
      <c r="E91" s="94">
        <v>5.2421920000000002</v>
      </c>
      <c r="F91" s="205">
        <v>4.9301490000000001</v>
      </c>
      <c r="G91" s="94">
        <v>5.2140700000000004</v>
      </c>
      <c r="H91" s="94">
        <v>4.7201209999999998</v>
      </c>
      <c r="I91" s="94">
        <v>5.5762099999999997</v>
      </c>
      <c r="J91" s="94">
        <v>6.3069810000000004</v>
      </c>
      <c r="K91" s="94">
        <v>5.0461340000000003</v>
      </c>
      <c r="L91" s="94">
        <v>4.9321169999999999</v>
      </c>
      <c r="M91" s="94">
        <v>4.480899</v>
      </c>
      <c r="N91" s="94">
        <v>4.4078419999999996</v>
      </c>
      <c r="O91" s="94">
        <v>4.8040330000000004</v>
      </c>
      <c r="P91" s="94">
        <v>5.6396579999999998</v>
      </c>
      <c r="Q91" s="94">
        <v>5.9802140000000001</v>
      </c>
      <c r="R91" s="94">
        <v>6.3710959999999996</v>
      </c>
    </row>
    <row r="92" spans="1:18" x14ac:dyDescent="0.25">
      <c r="A92" s="80" t="s">
        <v>269</v>
      </c>
      <c r="B92" s="80" t="s">
        <v>268</v>
      </c>
      <c r="C92" s="94">
        <v>3631</v>
      </c>
      <c r="D92" s="94">
        <v>4342</v>
      </c>
      <c r="E92" s="94">
        <v>5701</v>
      </c>
      <c r="F92" s="205">
        <v>6348</v>
      </c>
      <c r="G92" s="94">
        <v>7466</v>
      </c>
      <c r="H92" s="94">
        <v>8900</v>
      </c>
      <c r="I92" s="94">
        <v>8772</v>
      </c>
      <c r="J92" s="94">
        <v>6231</v>
      </c>
      <c r="K92" s="94">
        <v>3800</v>
      </c>
      <c r="L92" s="94">
        <v>2926</v>
      </c>
      <c r="M92" s="94">
        <v>3214</v>
      </c>
      <c r="N92" s="94">
        <v>3010</v>
      </c>
      <c r="O92" s="94">
        <v>3477</v>
      </c>
      <c r="P92" s="94">
        <v>4609</v>
      </c>
      <c r="Q92" s="94">
        <v>5621</v>
      </c>
      <c r="R92" s="94">
        <v>6230</v>
      </c>
    </row>
    <row r="93" spans="1:18" x14ac:dyDescent="0.25">
      <c r="A93" s="87" t="s">
        <v>159</v>
      </c>
      <c r="B93" s="87"/>
      <c r="C93" s="87"/>
      <c r="D93" s="87"/>
      <c r="E93" s="87"/>
      <c r="F93" s="206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topLeftCell="A4" zoomScale="70" zoomScaleNormal="70" workbookViewId="0">
      <selection activeCell="T20" sqref="T20"/>
    </sheetView>
  </sheetViews>
  <sheetFormatPr defaultRowHeight="15" x14ac:dyDescent="0.25"/>
  <cols>
    <col min="1" max="1" width="56.5703125" bestFit="1" customWidth="1"/>
    <col min="2" max="2" width="25.5703125" customWidth="1"/>
    <col min="3" max="3" width="11" bestFit="1" customWidth="1"/>
    <col min="4" max="4" width="12.140625" bestFit="1" customWidth="1"/>
    <col min="6" max="6" width="18" bestFit="1" customWidth="1"/>
    <col min="7" max="7" width="13.5703125" customWidth="1"/>
    <col min="8" max="9" width="18" bestFit="1" customWidth="1"/>
    <col min="20" max="20" width="15.85546875" bestFit="1" customWidth="1"/>
    <col min="22" max="22" width="11.28515625" customWidth="1"/>
    <col min="23" max="23" width="10" bestFit="1" customWidth="1"/>
  </cols>
  <sheetData>
    <row r="1" spans="1:29" ht="18.75" x14ac:dyDescent="0.3">
      <c r="A1" s="47" t="s">
        <v>521</v>
      </c>
    </row>
    <row r="3" spans="1:29" s="73" customFormat="1" x14ac:dyDescent="0.25">
      <c r="A3" s="17" t="s">
        <v>520</v>
      </c>
      <c r="C3" s="73">
        <v>2004</v>
      </c>
      <c r="D3" s="73">
        <v>2005</v>
      </c>
      <c r="E3" s="73">
        <v>2006</v>
      </c>
      <c r="F3" s="73">
        <v>2007</v>
      </c>
      <c r="G3" s="73">
        <v>2008</v>
      </c>
      <c r="H3" s="73">
        <v>2009</v>
      </c>
      <c r="I3" s="73">
        <v>2010</v>
      </c>
      <c r="J3" s="73">
        <v>2011</v>
      </c>
      <c r="K3" s="73">
        <v>2012</v>
      </c>
      <c r="L3" s="73">
        <v>2013</v>
      </c>
      <c r="M3" s="73">
        <v>2014</v>
      </c>
      <c r="N3" s="73">
        <v>2015</v>
      </c>
      <c r="O3" s="18">
        <v>2016</v>
      </c>
      <c r="P3" s="18">
        <v>2017</v>
      </c>
      <c r="Q3" s="18">
        <v>2018</v>
      </c>
      <c r="R3" s="18">
        <v>2019</v>
      </c>
      <c r="S3" s="18">
        <v>2020</v>
      </c>
      <c r="T3" s="73" t="s">
        <v>519</v>
      </c>
    </row>
    <row r="4" spans="1:29" x14ac:dyDescent="0.25">
      <c r="A4" s="21" t="s">
        <v>518</v>
      </c>
      <c r="C4" s="23">
        <f>'DHI(IS)'!D23</f>
        <v>1557.6</v>
      </c>
      <c r="D4" s="23">
        <f>'DHI(IS)'!E23</f>
        <v>2332.4</v>
      </c>
      <c r="E4" s="23">
        <f>'DHI(IS)'!F23</f>
        <v>2208</v>
      </c>
      <c r="F4" s="23">
        <f>'DHI(IS)'!G23</f>
        <v>822</v>
      </c>
      <c r="G4" s="23">
        <f>'DHI(IS)'!H23</f>
        <v>-43.1</v>
      </c>
      <c r="H4" s="23">
        <f>'DHI(IS)'!I23</f>
        <v>-452.3</v>
      </c>
      <c r="I4" s="23">
        <f>'DHI(IS)'!J23</f>
        <v>175.8</v>
      </c>
      <c r="J4" s="23">
        <f>'DHI(IS)'!K23</f>
        <v>65.3</v>
      </c>
      <c r="K4" s="23">
        <f>'DHI(IS)'!L23</f>
        <v>250.4</v>
      </c>
      <c r="L4" s="23">
        <f>'DHI(IS)'!M23</f>
        <v>670.6</v>
      </c>
      <c r="M4" s="23">
        <f>'DHI(IS)'!N23</f>
        <v>849.5</v>
      </c>
      <c r="N4" s="23">
        <f>'DHI(IS)'!O23</f>
        <v>1162.5999999999999</v>
      </c>
      <c r="O4" s="3">
        <f>'DHI(IS)'!P23</f>
        <v>963.03292799999986</v>
      </c>
      <c r="P4" s="3">
        <f>'DHI(IS)'!Q23</f>
        <v>1117.1181964799996</v>
      </c>
      <c r="Q4" s="3">
        <f>'DHI(IS)'!R23</f>
        <v>1228.8300161279994</v>
      </c>
      <c r="R4" s="3">
        <f>'DHI(IS)'!S23</f>
        <v>1290.2715169343992</v>
      </c>
      <c r="S4" s="3">
        <f>'DHI(IS)'!T23</f>
        <v>1354.7850927811187</v>
      </c>
    </row>
    <row r="5" spans="1:29" x14ac:dyDescent="0.25">
      <c r="A5" s="21" t="s">
        <v>517</v>
      </c>
      <c r="C5" s="19">
        <v>0.4</v>
      </c>
      <c r="D5" s="19">
        <v>0.4</v>
      </c>
      <c r="E5" s="19">
        <v>0.4</v>
      </c>
      <c r="F5" s="19">
        <v>0.4</v>
      </c>
      <c r="G5" s="19">
        <v>0.4</v>
      </c>
      <c r="H5" s="19">
        <v>0.4</v>
      </c>
      <c r="I5" s="19">
        <v>0.4</v>
      </c>
      <c r="J5" s="19">
        <v>0.4</v>
      </c>
      <c r="K5" s="19">
        <v>0.4</v>
      </c>
      <c r="L5" s="19">
        <v>0.4</v>
      </c>
      <c r="M5" s="19">
        <v>0.4</v>
      </c>
      <c r="N5" s="19">
        <v>0.4</v>
      </c>
      <c r="O5" s="2">
        <v>0.4</v>
      </c>
      <c r="P5" s="2">
        <v>0.4</v>
      </c>
      <c r="Q5" s="2">
        <v>0.4</v>
      </c>
      <c r="R5" s="2">
        <v>0.4</v>
      </c>
      <c r="S5" s="2">
        <v>0.4</v>
      </c>
      <c r="U5" s="20"/>
    </row>
    <row r="6" spans="1:29" x14ac:dyDescent="0.25">
      <c r="A6" s="21" t="s">
        <v>516</v>
      </c>
      <c r="C6" s="23">
        <f t="shared" ref="C6:S6" si="0">C4*(1-C5)</f>
        <v>934.56</v>
      </c>
      <c r="D6" s="23">
        <f t="shared" si="0"/>
        <v>1399.44</v>
      </c>
      <c r="E6" s="23">
        <f t="shared" si="0"/>
        <v>1324.8</v>
      </c>
      <c r="F6" s="23">
        <f t="shared" si="0"/>
        <v>493.2</v>
      </c>
      <c r="G6" s="23">
        <f t="shared" si="0"/>
        <v>-25.86</v>
      </c>
      <c r="H6" s="23">
        <f t="shared" si="0"/>
        <v>-271.38</v>
      </c>
      <c r="I6" s="23">
        <f t="shared" si="0"/>
        <v>105.48</v>
      </c>
      <c r="J6" s="23">
        <f t="shared" si="0"/>
        <v>39.18</v>
      </c>
      <c r="K6" s="23">
        <f t="shared" si="0"/>
        <v>150.24</v>
      </c>
      <c r="L6" s="23">
        <f t="shared" si="0"/>
        <v>402.36</v>
      </c>
      <c r="M6" s="23">
        <f t="shared" si="0"/>
        <v>509.7</v>
      </c>
      <c r="N6" s="23">
        <f t="shared" si="0"/>
        <v>697.56</v>
      </c>
      <c r="O6" s="3">
        <f t="shared" si="0"/>
        <v>577.81975679999994</v>
      </c>
      <c r="P6" s="3">
        <f t="shared" si="0"/>
        <v>670.27091788799976</v>
      </c>
      <c r="Q6" s="3">
        <f t="shared" si="0"/>
        <v>737.29800967679967</v>
      </c>
      <c r="R6" s="3">
        <f t="shared" si="0"/>
        <v>774.16291016063951</v>
      </c>
      <c r="S6" s="3">
        <f t="shared" si="0"/>
        <v>812.87105566867115</v>
      </c>
    </row>
    <row r="7" spans="1:29" x14ac:dyDescent="0.25">
      <c r="A7" s="22" t="s">
        <v>515</v>
      </c>
      <c r="C7" s="23">
        <f>'DHI)CF)'!C8</f>
        <v>49.6</v>
      </c>
      <c r="D7" s="23">
        <f>'DHI)CF)'!D8</f>
        <v>52.8</v>
      </c>
      <c r="E7" s="23">
        <f>'DHI)CF)'!E8</f>
        <v>56.5</v>
      </c>
      <c r="F7" s="23">
        <f>'DHI)CF)'!F8</f>
        <v>64.400000000000006</v>
      </c>
      <c r="G7" s="23">
        <f>'DHI)CF)'!G8</f>
        <v>53.2</v>
      </c>
      <c r="H7" s="23">
        <f>'DHI)CF)'!H8</f>
        <v>25.7</v>
      </c>
      <c r="I7" s="23">
        <f>'DHI)CF)'!I8</f>
        <v>17.2</v>
      </c>
      <c r="J7" s="23">
        <f>'DHI)CF)'!J8</f>
        <v>19.899999999999999</v>
      </c>
      <c r="K7" s="23">
        <f>'DHI)CF)'!K8</f>
        <v>18.8</v>
      </c>
      <c r="L7" s="23">
        <f>'DHI)CF)'!L8</f>
        <v>22.7</v>
      </c>
      <c r="M7" s="23">
        <f>'DHI)CF)'!M8</f>
        <v>38.4</v>
      </c>
      <c r="N7" s="23">
        <f>'DHI)CF)'!N8</f>
        <v>54.1</v>
      </c>
      <c r="O7" s="3">
        <f>'DHI)CF)'!O8</f>
        <v>62.779199999999996</v>
      </c>
      <c r="P7" s="3">
        <f>'DHI)CF)'!P8</f>
        <v>72.82387199999998</v>
      </c>
      <c r="Q7" s="3">
        <f>'DHI)CF)'!Q8</f>
        <v>80.106259199999982</v>
      </c>
      <c r="R7" s="3">
        <f>'DHI)CF)'!R8</f>
        <v>84.111572159999994</v>
      </c>
      <c r="S7" s="3">
        <f>'DHI)CF)'!S8</f>
        <v>88.317150767999991</v>
      </c>
    </row>
    <row r="8" spans="1:29" x14ac:dyDescent="0.25">
      <c r="A8" s="22" t="s">
        <v>514</v>
      </c>
      <c r="C8" s="23" t="e">
        <f>'DHI)CF)'!C28*-1</f>
        <v>#VALUE!</v>
      </c>
      <c r="D8" s="23" t="e">
        <f>'DHI)CF)'!D28*-1</f>
        <v>#VALUE!</v>
      </c>
      <c r="E8" s="23" t="e">
        <f>'DHI)CF)'!E28*-1</f>
        <v>#VALUE!</v>
      </c>
      <c r="F8" s="23" t="e">
        <f>'DHI)CF)'!F28*-1</f>
        <v>#VALUE!</v>
      </c>
      <c r="G8" s="23" t="e">
        <f>'DHI)CF)'!G28*-1</f>
        <v>#VALUE!</v>
      </c>
      <c r="H8" s="23">
        <f>'DHI)CF)'!H28*-1</f>
        <v>6.2</v>
      </c>
      <c r="I8" s="23">
        <f>'DHI)CF)'!I28*-1</f>
        <v>19.2</v>
      </c>
      <c r="J8" s="23">
        <f>'DHI)CF)'!J28*-1</f>
        <v>16.3</v>
      </c>
      <c r="K8" s="23">
        <f>'DHI)CF)'!K28*-1</f>
        <v>33.6</v>
      </c>
      <c r="L8" s="23">
        <f>'DHI)CF)'!L28*-1</f>
        <v>58</v>
      </c>
      <c r="M8" s="23">
        <f>'DHI)CF)'!M28*-1</f>
        <v>100.2</v>
      </c>
      <c r="N8" s="23">
        <f>'DHI)CF)'!N28*-1</f>
        <v>56.1</v>
      </c>
      <c r="O8" s="3">
        <f>'DHI)CF)'!O28*-1</f>
        <v>125.55839999999999</v>
      </c>
      <c r="P8" s="3">
        <f>'DHI)CF)'!P28*-1</f>
        <v>145.64774399999996</v>
      </c>
      <c r="Q8" s="3">
        <f>'DHI)CF)'!Q28*-1</f>
        <v>160.21251839999996</v>
      </c>
      <c r="R8" s="3">
        <f>'DHI)CF)'!R28*-1</f>
        <v>168.22314431999999</v>
      </c>
      <c r="S8" s="3">
        <f>'DHI)CF)'!S28*-1</f>
        <v>176.63430153599998</v>
      </c>
    </row>
    <row r="9" spans="1:29" x14ac:dyDescent="0.25">
      <c r="A9" s="22" t="s">
        <v>513</v>
      </c>
      <c r="C9" s="23">
        <f>'DHI)CF)'!C14</f>
        <v>-1220</v>
      </c>
      <c r="D9" s="23">
        <f>'DHI)CF)'!D14</f>
        <v>-2001.4</v>
      </c>
      <c r="E9" s="23">
        <f>'DHI)CF)'!E14</f>
        <v>-3071.2</v>
      </c>
      <c r="F9" s="23">
        <f>'DHI)CF)'!F14</f>
        <v>168.4</v>
      </c>
      <c r="G9" s="23">
        <f>'DHI)CF)'!G14</f>
        <v>1468.2</v>
      </c>
      <c r="H9" s="23">
        <f>'DHI)CF)'!H14</f>
        <v>858</v>
      </c>
      <c r="I9" s="23">
        <f>'DHI)CF)'!I14</f>
        <v>365.5</v>
      </c>
      <c r="J9" s="23">
        <f>'DHI)CF)'!J14</f>
        <v>-172.7</v>
      </c>
      <c r="K9" s="23">
        <f>'DHI)CF)'!K14</f>
        <v>-534.79999999999995</v>
      </c>
      <c r="L9" s="23">
        <f>'DHI)CF)'!L14</f>
        <v>-1946.8</v>
      </c>
      <c r="M9" s="23">
        <f>'DHI)CF)'!M14</f>
        <v>-1397.7</v>
      </c>
      <c r="N9" s="23">
        <f>'DHI)CF)'!N14</f>
        <v>-29.2</v>
      </c>
      <c r="O9" s="3">
        <f>'DHI)CF)'!O14</f>
        <v>-1255.5839999999998</v>
      </c>
      <c r="P9" s="3">
        <f>'DHI)CF)'!P14</f>
        <v>-1456.4774399999997</v>
      </c>
      <c r="Q9" s="3">
        <f>'DHI)CF)'!Q14</f>
        <v>-1602.1251839999998</v>
      </c>
      <c r="R9" s="3">
        <f>'DHI)CF)'!R14</f>
        <v>-1682.2314432000001</v>
      </c>
      <c r="S9" s="3">
        <f>'DHI)CF)'!S14</f>
        <v>-1766.34301536</v>
      </c>
      <c r="U9" s="24" t="s">
        <v>512</v>
      </c>
      <c r="V9" s="24" t="s">
        <v>511</v>
      </c>
    </row>
    <row r="10" spans="1:29" s="30" customFormat="1" ht="15.75" x14ac:dyDescent="0.25">
      <c r="A10" s="25" t="s">
        <v>510</v>
      </c>
      <c r="B10" s="26"/>
      <c r="C10" s="26" t="e">
        <f t="shared" ref="C10:S10" si="1">C6+C7-C8-C9</f>
        <v>#VALUE!</v>
      </c>
      <c r="D10" s="26" t="e">
        <f t="shared" si="1"/>
        <v>#VALUE!</v>
      </c>
      <c r="E10" s="26" t="e">
        <f t="shared" si="1"/>
        <v>#VALUE!</v>
      </c>
      <c r="F10" s="26" t="e">
        <f t="shared" si="1"/>
        <v>#VALUE!</v>
      </c>
      <c r="G10" s="26" t="e">
        <f t="shared" si="1"/>
        <v>#VALUE!</v>
      </c>
      <c r="H10" s="26">
        <f t="shared" si="1"/>
        <v>-1109.8800000000001</v>
      </c>
      <c r="I10" s="26">
        <f t="shared" si="1"/>
        <v>-262.02</v>
      </c>
      <c r="J10" s="26">
        <f t="shared" si="1"/>
        <v>215.48</v>
      </c>
      <c r="K10" s="26">
        <f t="shared" si="1"/>
        <v>670.24</v>
      </c>
      <c r="L10" s="26">
        <f t="shared" si="1"/>
        <v>2313.86</v>
      </c>
      <c r="M10" s="26">
        <f t="shared" si="1"/>
        <v>1845.6000000000001</v>
      </c>
      <c r="N10" s="26">
        <f t="shared" si="1"/>
        <v>724.76</v>
      </c>
      <c r="O10" s="27">
        <f t="shared" si="1"/>
        <v>1770.6245567999997</v>
      </c>
      <c r="P10" s="27">
        <f t="shared" si="1"/>
        <v>2053.9244858879993</v>
      </c>
      <c r="Q10" s="27">
        <f t="shared" si="1"/>
        <v>2259.3169344767994</v>
      </c>
      <c r="R10" s="27">
        <f t="shared" si="1"/>
        <v>2372.2827812006399</v>
      </c>
      <c r="S10" s="27">
        <f t="shared" si="1"/>
        <v>2490.8969202606713</v>
      </c>
      <c r="T10" s="28"/>
      <c r="U10" s="29">
        <f>AVERAGE(O11:S11)</f>
        <v>0.36060990032562495</v>
      </c>
      <c r="V10" s="29">
        <f>(S10/O10)^(1/COUNT(O10:S10))-1</f>
        <v>7.0645890834131864E-2</v>
      </c>
    </row>
    <row r="11" spans="1:29" x14ac:dyDescent="0.25">
      <c r="A11" s="31" t="s">
        <v>509</v>
      </c>
      <c r="C11" s="35"/>
      <c r="D11" s="35" t="e">
        <f t="shared" ref="D11:S11" si="2">(D10-C10)/C10</f>
        <v>#VALUE!</v>
      </c>
      <c r="E11" s="35" t="e">
        <f t="shared" si="2"/>
        <v>#VALUE!</v>
      </c>
      <c r="F11" s="35" t="e">
        <f t="shared" si="2"/>
        <v>#VALUE!</v>
      </c>
      <c r="G11" s="35" t="e">
        <f t="shared" si="2"/>
        <v>#VALUE!</v>
      </c>
      <c r="H11" s="35" t="e">
        <f t="shared" si="2"/>
        <v>#VALUE!</v>
      </c>
      <c r="I11" s="35">
        <f t="shared" si="2"/>
        <v>-0.76392042382960323</v>
      </c>
      <c r="J11" s="35">
        <f t="shared" si="2"/>
        <v>-1.8223799709945807</v>
      </c>
      <c r="K11" s="35">
        <f t="shared" si="2"/>
        <v>2.110451085947652</v>
      </c>
      <c r="L11" s="35">
        <f t="shared" si="2"/>
        <v>2.4522857483886371</v>
      </c>
      <c r="M11" s="35">
        <f t="shared" si="2"/>
        <v>-0.20237179431772015</v>
      </c>
      <c r="N11" s="35">
        <f t="shared" si="2"/>
        <v>-0.60730385782401386</v>
      </c>
      <c r="O11" s="35">
        <f t="shared" si="2"/>
        <v>1.4430495016281248</v>
      </c>
      <c r="P11" s="35">
        <f t="shared" si="2"/>
        <v>0.15999999999999978</v>
      </c>
      <c r="Q11" s="35">
        <f t="shared" si="2"/>
        <v>0.10000000000000009</v>
      </c>
      <c r="R11" s="35">
        <f t="shared" si="2"/>
        <v>5.0000000000000239E-2</v>
      </c>
      <c r="S11" s="35">
        <f t="shared" si="2"/>
        <v>4.9999999999999767E-2</v>
      </c>
    </row>
    <row r="12" spans="1:29" x14ac:dyDescent="0.25">
      <c r="A12" s="31" t="s">
        <v>508</v>
      </c>
      <c r="C12" s="35"/>
      <c r="D12" s="35"/>
      <c r="E12" s="35"/>
      <c r="F12" s="35" t="e">
        <f t="shared" ref="F12:S12" si="3">AVERAGE(D11:F11)</f>
        <v>#VALUE!</v>
      </c>
      <c r="G12" s="35" t="e">
        <f t="shared" si="3"/>
        <v>#VALUE!</v>
      </c>
      <c r="H12" s="35" t="e">
        <f t="shared" si="3"/>
        <v>#VALUE!</v>
      </c>
      <c r="I12" s="35" t="e">
        <f t="shared" si="3"/>
        <v>#VALUE!</v>
      </c>
      <c r="J12" s="35" t="e">
        <f t="shared" si="3"/>
        <v>#VALUE!</v>
      </c>
      <c r="K12" s="35">
        <f t="shared" si="3"/>
        <v>-0.15861643629217737</v>
      </c>
      <c r="L12" s="35">
        <f t="shared" si="3"/>
        <v>0.91345228778056953</v>
      </c>
      <c r="M12" s="35">
        <f t="shared" si="3"/>
        <v>1.453455013339523</v>
      </c>
      <c r="N12" s="35">
        <f t="shared" si="3"/>
        <v>0.5475366987489676</v>
      </c>
      <c r="O12" s="35">
        <f t="shared" si="3"/>
        <v>0.21112461649546363</v>
      </c>
      <c r="P12" s="35">
        <f t="shared" si="3"/>
        <v>0.33191521460137025</v>
      </c>
      <c r="Q12" s="35">
        <f t="shared" si="3"/>
        <v>0.56768316720937484</v>
      </c>
      <c r="R12" s="35">
        <f t="shared" si="3"/>
        <v>0.10333333333333339</v>
      </c>
      <c r="S12" s="35">
        <f t="shared" si="3"/>
        <v>6.6666666666666693E-2</v>
      </c>
    </row>
    <row r="13" spans="1:29" x14ac:dyDescent="0.25">
      <c r="A13" t="s">
        <v>507</v>
      </c>
      <c r="C13" s="35"/>
      <c r="D13" s="35"/>
      <c r="E13" s="35"/>
      <c r="F13" s="35"/>
      <c r="G13" s="35"/>
      <c r="H13" s="35" t="e">
        <f t="shared" ref="H13:S13" si="4">AVERAGE(D11:H11)</f>
        <v>#VALUE!</v>
      </c>
      <c r="I13" s="35" t="e">
        <f t="shared" si="4"/>
        <v>#VALUE!</v>
      </c>
      <c r="J13" s="35" t="e">
        <f t="shared" si="4"/>
        <v>#VALUE!</v>
      </c>
      <c r="K13" s="35" t="e">
        <f t="shared" si="4"/>
        <v>#VALUE!</v>
      </c>
      <c r="L13" s="35" t="e">
        <f t="shared" si="4"/>
        <v>#VALUE!</v>
      </c>
      <c r="M13" s="35">
        <f t="shared" si="4"/>
        <v>0.35481292903887696</v>
      </c>
      <c r="N13" s="35">
        <f t="shared" si="4"/>
        <v>0.38613624223999488</v>
      </c>
      <c r="O13" s="35">
        <f t="shared" si="4"/>
        <v>1.0392221367645358</v>
      </c>
      <c r="P13" s="35">
        <f t="shared" si="4"/>
        <v>0.64913191957500538</v>
      </c>
      <c r="Q13" s="35">
        <f t="shared" si="4"/>
        <v>0.17867476989727815</v>
      </c>
      <c r="R13" s="35">
        <f t="shared" si="4"/>
        <v>0.22914912876082222</v>
      </c>
      <c r="S13" s="35">
        <f t="shared" si="4"/>
        <v>0.36060990032562495</v>
      </c>
    </row>
    <row r="15" spans="1:29" ht="15.75" thickBot="1" x14ac:dyDescent="0.3">
      <c r="V15" s="73" t="s">
        <v>531</v>
      </c>
      <c r="W15" s="73"/>
      <c r="Y15" s="73" t="s">
        <v>529</v>
      </c>
      <c r="Z15" s="73"/>
      <c r="AB15" s="73" t="s">
        <v>530</v>
      </c>
      <c r="AC15" s="73"/>
    </row>
    <row r="16" spans="1:29" ht="18.75" x14ac:dyDescent="0.3">
      <c r="A16" s="32" t="s">
        <v>506</v>
      </c>
      <c r="V16" s="33" t="s">
        <v>505</v>
      </c>
      <c r="W16" s="34">
        <f>MAX(U53:AA65)</f>
        <v>64.287798789622713</v>
      </c>
      <c r="Y16" s="33" t="s">
        <v>505</v>
      </c>
      <c r="Z16" s="34">
        <f>MAX(Y53:AA57)</f>
        <v>64.287798789622713</v>
      </c>
      <c r="AB16" s="33" t="s">
        <v>505</v>
      </c>
      <c r="AC16" s="34">
        <f>MAX(U61:W65)</f>
        <v>43.867712140902775</v>
      </c>
    </row>
    <row r="17" spans="1:42" x14ac:dyDescent="0.25">
      <c r="V17" s="57" t="s">
        <v>504</v>
      </c>
      <c r="W17" s="69">
        <f>MIN(U53:AA65)</f>
        <v>38.114589697472496</v>
      </c>
      <c r="Y17" s="57" t="s">
        <v>504</v>
      </c>
      <c r="Z17" s="69">
        <f>MIN(Y53:AA57)</f>
        <v>51.958196688395589</v>
      </c>
      <c r="AB17" s="57" t="s">
        <v>504</v>
      </c>
      <c r="AC17" s="69">
        <f>MIN(U61:W65)</f>
        <v>38.114589697472496</v>
      </c>
    </row>
    <row r="18" spans="1:42" ht="15.75" thickBot="1" x14ac:dyDescent="0.3">
      <c r="A18" t="s">
        <v>503</v>
      </c>
      <c r="B18" s="16">
        <v>1.7500000000000002E-2</v>
      </c>
      <c r="V18" s="118" t="s">
        <v>502</v>
      </c>
      <c r="W18" s="119">
        <f>AVERAGE(U53:AA65)</f>
        <v>48.348744278582544</v>
      </c>
      <c r="Y18" s="118" t="s">
        <v>502</v>
      </c>
      <c r="Z18" s="119">
        <f>AVERAGE(Y53:AA57)</f>
        <v>57.621022254895372</v>
      </c>
      <c r="AB18" s="118" t="s">
        <v>502</v>
      </c>
      <c r="AC18" s="119">
        <f>AVERAGE(U61:W65)</f>
        <v>40.83816345826304</v>
      </c>
    </row>
    <row r="19" spans="1:42" ht="15.75" thickBot="1" x14ac:dyDescent="0.3">
      <c r="A19" t="s">
        <v>501</v>
      </c>
      <c r="B19" s="16">
        <v>9.5000000000000001E-2</v>
      </c>
      <c r="P19" s="73" t="s">
        <v>500</v>
      </c>
      <c r="Q19" s="73"/>
      <c r="R19" s="73"/>
      <c r="S19" s="73"/>
      <c r="AC19" s="46"/>
    </row>
    <row r="20" spans="1:42" ht="15.75" thickBot="1" x14ac:dyDescent="0.3">
      <c r="A20" t="s">
        <v>499</v>
      </c>
      <c r="B20">
        <v>1.01</v>
      </c>
      <c r="P20" s="36">
        <f>B55</f>
        <v>48.028615054963481</v>
      </c>
      <c r="Q20" s="149">
        <v>0</v>
      </c>
      <c r="R20" s="150">
        <v>2.5000000000000001E-3</v>
      </c>
      <c r="S20" s="150">
        <v>5.0000000000000001E-3</v>
      </c>
      <c r="T20" s="150">
        <v>7.4999999999999997E-3</v>
      </c>
      <c r="U20" s="151">
        <v>0.01</v>
      </c>
      <c r="V20" s="151">
        <v>1.2500000000000001E-2</v>
      </c>
      <c r="W20" s="151">
        <v>1.4999999999999999E-2</v>
      </c>
      <c r="X20" s="151">
        <v>1.7500000000000002E-2</v>
      </c>
      <c r="Y20" s="151">
        <v>0.02</v>
      </c>
      <c r="Z20" s="151">
        <v>2.2499999999999999E-2</v>
      </c>
      <c r="AA20" s="151">
        <v>2.5000000000000001E-2</v>
      </c>
      <c r="AB20" s="153">
        <v>2.75E-2</v>
      </c>
      <c r="AC20" s="153">
        <v>0.03</v>
      </c>
      <c r="AD20" s="150">
        <v>3.2500000000000001E-2</v>
      </c>
      <c r="AE20" s="150">
        <v>3.5000000000000003E-2</v>
      </c>
      <c r="AF20" s="150">
        <v>3.7499999999999999E-2</v>
      </c>
      <c r="AG20" s="150">
        <v>0.04</v>
      </c>
      <c r="AH20" s="150">
        <v>4.2500000000000003E-2</v>
      </c>
      <c r="AI20" s="150">
        <v>4.4999999999999998E-2</v>
      </c>
      <c r="AJ20" s="150">
        <v>4.7500000000000001E-2</v>
      </c>
      <c r="AK20" s="150">
        <v>0.05</v>
      </c>
      <c r="AL20" s="150">
        <v>5.2499999999999998E-2</v>
      </c>
      <c r="AM20" s="150">
        <v>5.5E-2</v>
      </c>
      <c r="AN20" s="150">
        <v>5.7500000000000002E-2</v>
      </c>
      <c r="AO20" s="152">
        <v>0.06</v>
      </c>
      <c r="AP20" s="73" t="s">
        <v>498</v>
      </c>
    </row>
    <row r="21" spans="1:42" x14ac:dyDescent="0.25">
      <c r="A21" t="s">
        <v>497</v>
      </c>
      <c r="B21">
        <v>1.3</v>
      </c>
      <c r="P21" s="37">
        <v>0</v>
      </c>
      <c r="Q21" s="68" t="e">
        <f t="dataTable" ref="Q21:AO79" dt2D="1" dtr="1" r1="B40" r2="B33"/>
        <v>#DIV/0!</v>
      </c>
      <c r="R21" s="68">
        <v>-1435.3912351333895</v>
      </c>
      <c r="S21" s="68">
        <v>-707.34829746290234</v>
      </c>
      <c r="T21" s="68">
        <v>-464.66731823940671</v>
      </c>
      <c r="U21" s="111">
        <v>-343.32682862765887</v>
      </c>
      <c r="V21" s="111">
        <v>-270.52253486061016</v>
      </c>
      <c r="W21" s="111">
        <v>-221.986339015911</v>
      </c>
      <c r="X21" s="111">
        <v>-187.31762769826878</v>
      </c>
      <c r="Y21" s="111">
        <v>-161.31609421003711</v>
      </c>
      <c r="Z21" s="111">
        <v>-141.09267927474582</v>
      </c>
      <c r="AA21" s="111">
        <v>-124.91394732651271</v>
      </c>
      <c r="AB21" s="154">
        <v>-111.67680300523116</v>
      </c>
      <c r="AC21" s="154">
        <v>-100.64584940416317</v>
      </c>
      <c r="AD21" s="68">
        <v>-91.311965587874866</v>
      </c>
      <c r="AE21" s="68">
        <v>-83.311493745342048</v>
      </c>
      <c r="AF21" s="68">
        <v>-76.377751481813632</v>
      </c>
      <c r="AG21" s="68">
        <v>-70.310727001226226</v>
      </c>
      <c r="AH21" s="68">
        <v>-64.957470106590279</v>
      </c>
      <c r="AI21" s="68">
        <v>-60.199019533580561</v>
      </c>
      <c r="AJ21" s="68">
        <v>-55.941458494571876</v>
      </c>
      <c r="AK21" s="68">
        <v>-52.10965355946405</v>
      </c>
      <c r="AL21" s="68">
        <v>-48.642782427699828</v>
      </c>
      <c r="AM21" s="68">
        <v>-45.491081398823255</v>
      </c>
      <c r="AN21" s="68">
        <v>-42.613441328979434</v>
      </c>
      <c r="AO21" s="69">
        <v>-39.975604598289273</v>
      </c>
    </row>
    <row r="22" spans="1:42" x14ac:dyDescent="0.25">
      <c r="A22" s="38" t="s">
        <v>496</v>
      </c>
      <c r="B22">
        <f>SUM(B20:B21)/2</f>
        <v>1.155</v>
      </c>
      <c r="P22" s="67">
        <v>2.5000000000000001E-3</v>
      </c>
      <c r="Q22" s="68">
        <v>1462.1243323855247</v>
      </c>
      <c r="R22" s="68" t="e">
        <v>#DIV/0!</v>
      </c>
      <c r="S22" s="68">
        <v>-1421.1068054359682</v>
      </c>
      <c r="T22" s="68">
        <v>-700.29902098059529</v>
      </c>
      <c r="U22" s="111">
        <v>-460.02975949547061</v>
      </c>
      <c r="V22" s="111">
        <v>-339.89512875290836</v>
      </c>
      <c r="W22" s="111">
        <v>-267.81435030737106</v>
      </c>
      <c r="X22" s="111">
        <v>-219.76049801034617</v>
      </c>
      <c r="Y22" s="111">
        <v>-185.43631779818551</v>
      </c>
      <c r="Z22" s="111">
        <v>-159.69318263906504</v>
      </c>
      <c r="AA22" s="111">
        <v>-139.67074418197132</v>
      </c>
      <c r="AB22" s="154">
        <v>-123.65279341629638</v>
      </c>
      <c r="AC22" s="154">
        <v>-110.5471973352896</v>
      </c>
      <c r="AD22" s="68">
        <v>-99.625867267783931</v>
      </c>
      <c r="AE22" s="68">
        <v>-90.384741826048398</v>
      </c>
      <c r="AF22" s="68">
        <v>-82.463777161703646</v>
      </c>
      <c r="AG22" s="68">
        <v>-75.598941119271529</v>
      </c>
      <c r="AH22" s="68">
        <v>-69.592209582143383</v>
      </c>
      <c r="AI22" s="68">
        <v>-64.292152343500945</v>
      </c>
      <c r="AJ22" s="68">
        <v>-59.580990353596562</v>
      </c>
      <c r="AK22" s="68">
        <v>-55.365740152103143</v>
      </c>
      <c r="AL22" s="68">
        <v>-51.572014970759064</v>
      </c>
      <c r="AM22" s="68">
        <v>-48.139596949542998</v>
      </c>
      <c r="AN22" s="68">
        <v>-45.019216930255674</v>
      </c>
      <c r="AO22" s="69">
        <v>-42.170174303949857</v>
      </c>
    </row>
    <row r="23" spans="1:42" x14ac:dyDescent="0.25">
      <c r="A23" s="45" t="s">
        <v>495</v>
      </c>
      <c r="B23" s="1">
        <f>B18+B22*(B19-B18)</f>
        <v>0.1070125</v>
      </c>
      <c r="P23" s="67">
        <v>5.0000000000000001E-3</v>
      </c>
      <c r="Q23" s="68">
        <v>733.9872330772273</v>
      </c>
      <c r="R23" s="68">
        <v>1447.6495184208595</v>
      </c>
      <c r="S23" s="68" t="e">
        <v>#DIV/0!</v>
      </c>
      <c r="T23" s="68">
        <v>-1406.9996229536689</v>
      </c>
      <c r="U23" s="111">
        <v>-693.33733761003623</v>
      </c>
      <c r="V23" s="111">
        <v>-455.44990916215897</v>
      </c>
      <c r="W23" s="111">
        <v>-336.50619493822046</v>
      </c>
      <c r="X23" s="111">
        <v>-265.13996640385727</v>
      </c>
      <c r="Y23" s="111">
        <v>-217.5624807142818</v>
      </c>
      <c r="Z23" s="111">
        <v>-183.57856236458505</v>
      </c>
      <c r="AA23" s="111">
        <v>-158.09062360231241</v>
      </c>
      <c r="AB23" s="154">
        <v>-138.26667123165603</v>
      </c>
      <c r="AC23" s="154">
        <v>-122.40750933513085</v>
      </c>
      <c r="AD23" s="68">
        <v>-109.43183141979208</v>
      </c>
      <c r="AE23" s="68">
        <v>-98.61876649034312</v>
      </c>
      <c r="AF23" s="68">
        <v>-89.469250011578623</v>
      </c>
      <c r="AG23" s="68">
        <v>-81.626807315494744</v>
      </c>
      <c r="AH23" s="68">
        <v>-74.830023645555372</v>
      </c>
      <c r="AI23" s="68">
        <v>-68.882837934358449</v>
      </c>
      <c r="AJ23" s="68">
        <v>-63.635321130361163</v>
      </c>
      <c r="AK23" s="68">
        <v>-58.970861749030256</v>
      </c>
      <c r="AL23" s="68">
        <v>-54.797398092049953</v>
      </c>
      <c r="AM23" s="68">
        <v>-51.041280800767659</v>
      </c>
      <c r="AN23" s="68">
        <v>-47.642888965797994</v>
      </c>
      <c r="AO23" s="69">
        <v>-44.553441843098291</v>
      </c>
    </row>
    <row r="24" spans="1:42" x14ac:dyDescent="0.25">
      <c r="A24" t="s">
        <v>494</v>
      </c>
      <c r="B24" s="16">
        <v>0.03</v>
      </c>
      <c r="P24" s="67">
        <v>7.4999999999999997E-3</v>
      </c>
      <c r="Q24" s="68">
        <v>491.21323724976617</v>
      </c>
      <c r="R24" s="68">
        <v>726.74827408271994</v>
      </c>
      <c r="S24" s="68">
        <v>1433.3533845815809</v>
      </c>
      <c r="T24" s="68" t="e">
        <v>#DIV/0!</v>
      </c>
      <c r="U24" s="111">
        <v>-1393.0670574138626</v>
      </c>
      <c r="V24" s="111">
        <v>-686.46194691500182</v>
      </c>
      <c r="W24" s="111">
        <v>-450.92691008204827</v>
      </c>
      <c r="X24" s="111">
        <v>-333.15939166557155</v>
      </c>
      <c r="Y24" s="111">
        <v>-262.49888061568538</v>
      </c>
      <c r="Z24" s="111">
        <v>-215.39187324909469</v>
      </c>
      <c r="AA24" s="111">
        <v>-181.74401084438699</v>
      </c>
      <c r="AB24" s="154">
        <v>-156.5081140408563</v>
      </c>
      <c r="AC24" s="154">
        <v>-136.88019430477684</v>
      </c>
      <c r="AD24" s="68">
        <v>-121.17785851591326</v>
      </c>
      <c r="AE24" s="68">
        <v>-108.33049287047939</v>
      </c>
      <c r="AF24" s="68">
        <v>-97.624354832617925</v>
      </c>
      <c r="AG24" s="68">
        <v>-88.565314954427379</v>
      </c>
      <c r="AH24" s="68">
        <v>-80.800423630264049</v>
      </c>
      <c r="AI24" s="68">
        <v>-74.070851149322522</v>
      </c>
      <c r="AJ24" s="68">
        <v>-68.182475228498703</v>
      </c>
      <c r="AK24" s="68">
        <v>-62.986849416007061</v>
      </c>
      <c r="AL24" s="68">
        <v>-58.368515360458957</v>
      </c>
      <c r="AM24" s="68">
        <v>-54.236321731810641</v>
      </c>
      <c r="AN24" s="68">
        <v>-50.517347466027168</v>
      </c>
      <c r="AO24" s="69">
        <v>-47.152561225556397</v>
      </c>
    </row>
    <row r="25" spans="1:42" x14ac:dyDescent="0.25">
      <c r="A25" s="45" t="s">
        <v>493</v>
      </c>
      <c r="B25" s="1">
        <f>B24*(1-N5)</f>
        <v>1.7999999999999999E-2</v>
      </c>
      <c r="P25" s="67">
        <v>0.01</v>
      </c>
      <c r="Q25" s="68">
        <v>369.78085865026708</v>
      </c>
      <c r="R25" s="68">
        <v>486.38668415707809</v>
      </c>
      <c r="S25" s="68">
        <v>719.59833517070024</v>
      </c>
      <c r="T25" s="68">
        <v>1419.2332882115663</v>
      </c>
      <c r="U25" s="111" t="e">
        <v>#DIV/0!</v>
      </c>
      <c r="V25" s="111">
        <v>-1379.306523951898</v>
      </c>
      <c r="W25" s="111">
        <v>-679.67157091103229</v>
      </c>
      <c r="X25" s="111">
        <v>-446.45991989741032</v>
      </c>
      <c r="Y25" s="111">
        <v>-329.85409439059924</v>
      </c>
      <c r="Z25" s="111">
        <v>-259.89059908651257</v>
      </c>
      <c r="AA25" s="111">
        <v>-213.24826888378809</v>
      </c>
      <c r="AB25" s="154">
        <v>-179.932318738985</v>
      </c>
      <c r="AC25" s="154">
        <v>-154.94535613038266</v>
      </c>
      <c r="AD25" s="68">
        <v>-135.51105187924745</v>
      </c>
      <c r="AE25" s="68">
        <v>-119.9636084783393</v>
      </c>
      <c r="AF25" s="68">
        <v>-107.24297296850544</v>
      </c>
      <c r="AG25" s="68">
        <v>-96.642443376977141</v>
      </c>
      <c r="AH25" s="68">
        <v>-87.672764491837796</v>
      </c>
      <c r="AI25" s="68">
        <v>-79.984468304575543</v>
      </c>
      <c r="AJ25" s="68">
        <v>-73.321278275614944</v>
      </c>
      <c r="AK25" s="68">
        <v>-67.490987000274373</v>
      </c>
      <c r="AL25" s="68">
        <v>-62.346612345562122</v>
      </c>
      <c r="AM25" s="68">
        <v>-57.773834874706786</v>
      </c>
      <c r="AN25" s="68">
        <v>-53.682402400783587</v>
      </c>
      <c r="AO25" s="69">
        <v>-50.000113174252718</v>
      </c>
    </row>
    <row r="26" spans="1:42" x14ac:dyDescent="0.25">
      <c r="A26" s="43" t="s">
        <v>492</v>
      </c>
      <c r="B26" s="39">
        <f>'DHI(BS)'!R82*1000000</f>
        <v>372171756</v>
      </c>
      <c r="P26" s="67">
        <v>1.2500000000000001E-2</v>
      </c>
      <c r="Q26" s="68">
        <v>296.88578640774182</v>
      </c>
      <c r="R26" s="68">
        <v>366.16083926712952</v>
      </c>
      <c r="S26" s="68">
        <v>481.61926069944229</v>
      </c>
      <c r="T26" s="68">
        <v>712.53610356406818</v>
      </c>
      <c r="U26" s="111">
        <v>1405.2866321579452</v>
      </c>
      <c r="V26" s="111" t="e">
        <v>#DIV/0!</v>
      </c>
      <c r="W26" s="111">
        <v>-1365.7154822175642</v>
      </c>
      <c r="X26" s="111">
        <v>-672.96495362368637</v>
      </c>
      <c r="Y26" s="111">
        <v>-442.04811075906065</v>
      </c>
      <c r="Z26" s="111">
        <v>-326.58968932674787</v>
      </c>
      <c r="AA26" s="111">
        <v>-257.31463646736</v>
      </c>
      <c r="AB26" s="154">
        <v>-211.1312678944349</v>
      </c>
      <c r="AC26" s="154">
        <v>-178.14314748520263</v>
      </c>
      <c r="AD26" s="68">
        <v>-153.40205717827843</v>
      </c>
      <c r="AE26" s="68">
        <v>-134.15898693955958</v>
      </c>
      <c r="AF26" s="68">
        <v>-118.7645307485846</v>
      </c>
      <c r="AG26" s="68">
        <v>-106.1690665923323</v>
      </c>
      <c r="AH26" s="68">
        <v>-95.672846462121981</v>
      </c>
      <c r="AI26" s="68">
        <v>-86.791429428867147</v>
      </c>
      <c r="AJ26" s="68">
        <v>-79.178786257505891</v>
      </c>
      <c r="AK26" s="68">
        <v>-72.581162175659415</v>
      </c>
      <c r="AL26" s="68">
        <v>-66.808241104043802</v>
      </c>
      <c r="AM26" s="68">
        <v>-61.714487217324105</v>
      </c>
      <c r="AN26" s="68">
        <v>-57.186705984684387</v>
      </c>
      <c r="AO26" s="69">
        <v>-53.135533302848842</v>
      </c>
    </row>
    <row r="27" spans="1:42" x14ac:dyDescent="0.25">
      <c r="A27" s="43" t="s">
        <v>491</v>
      </c>
      <c r="B27" s="106">
        <v>29.29</v>
      </c>
      <c r="P27" s="67">
        <v>1.4999999999999999E-2</v>
      </c>
      <c r="Q27" s="68">
        <v>248.25990580311162</v>
      </c>
      <c r="R27" s="68">
        <v>293.98994412609522</v>
      </c>
      <c r="S27" s="68">
        <v>362.58500161057066</v>
      </c>
      <c r="T27" s="68">
        <v>476.91009741802958</v>
      </c>
      <c r="U27" s="111">
        <v>705.56028903294748</v>
      </c>
      <c r="V27" s="111">
        <v>1391.5108638777017</v>
      </c>
      <c r="W27" s="111" t="e">
        <v>#DIV/0!</v>
      </c>
      <c r="X27" s="111">
        <v>-1352.2914355013124</v>
      </c>
      <c r="Y27" s="111">
        <v>-666.34086065655981</v>
      </c>
      <c r="Z27" s="111">
        <v>-437.69066904164202</v>
      </c>
      <c r="AA27" s="111">
        <v>-323.36557323418305</v>
      </c>
      <c r="AB27" s="154">
        <v>-254.7705157497077</v>
      </c>
      <c r="AC27" s="154">
        <v>-209.04047742672418</v>
      </c>
      <c r="AD27" s="68">
        <v>-176.37616433887874</v>
      </c>
      <c r="AE27" s="68">
        <v>-151.87792952299461</v>
      </c>
      <c r="AF27" s="68">
        <v>-132.82374688841821</v>
      </c>
      <c r="AG27" s="68">
        <v>-117.580400780757</v>
      </c>
      <c r="AH27" s="68">
        <v>-105.10857214721599</v>
      </c>
      <c r="AI27" s="68">
        <v>-94.715381619265216</v>
      </c>
      <c r="AJ27" s="68">
        <v>-85.921143480229915</v>
      </c>
      <c r="AK27" s="68">
        <v>-78.383225075342509</v>
      </c>
      <c r="AL27" s="68">
        <v>-71.850362457773429</v>
      </c>
      <c r="AM27" s="68">
        <v>-66.134107667400457</v>
      </c>
      <c r="AN27" s="68">
        <v>-61.090353440600829</v>
      </c>
      <c r="AO27" s="69">
        <v>-56.607016350112239</v>
      </c>
    </row>
    <row r="28" spans="1:42" x14ac:dyDescent="0.25">
      <c r="A28" s="43" t="s">
        <v>490</v>
      </c>
      <c r="B28" s="39">
        <f>'DHI(BS)'!R46*1000000</f>
        <v>0</v>
      </c>
      <c r="P28" s="67">
        <v>1.7500000000000002E-2</v>
      </c>
      <c r="Q28" s="68">
        <v>213.50258694522822</v>
      </c>
      <c r="R28" s="68">
        <v>245.84705604574805</v>
      </c>
      <c r="S28" s="68">
        <v>291.12931278647585</v>
      </c>
      <c r="T28" s="68">
        <v>359.05269789756761</v>
      </c>
      <c r="U28" s="111">
        <v>472.25833974938706</v>
      </c>
      <c r="V28" s="111">
        <v>698.66962345302591</v>
      </c>
      <c r="W28" s="111">
        <v>1377.9034745639419</v>
      </c>
      <c r="X28" s="111" t="e">
        <v>#DIV/0!</v>
      </c>
      <c r="Y28" s="111">
        <v>-1339.0319298797256</v>
      </c>
      <c r="Z28" s="111">
        <v>-659.7980787688083</v>
      </c>
      <c r="AA28" s="111">
        <v>-433.38679506516888</v>
      </c>
      <c r="AB28" s="154">
        <v>-320.18115321334949</v>
      </c>
      <c r="AC28" s="154">
        <v>-252.25776810225778</v>
      </c>
      <c r="AD28" s="68">
        <v>-206.9755113615299</v>
      </c>
      <c r="AE28" s="68">
        <v>-174.63104226101004</v>
      </c>
      <c r="AF28" s="68">
        <v>-150.37269043562023</v>
      </c>
      <c r="AG28" s="68">
        <v>-131.50508346031697</v>
      </c>
      <c r="AH28" s="68">
        <v>-116.41099788007431</v>
      </c>
      <c r="AI28" s="68">
        <v>-104.06129149623946</v>
      </c>
      <c r="AJ28" s="68">
        <v>-93.769869509710446</v>
      </c>
      <c r="AK28" s="68">
        <v>-85.061743213416634</v>
      </c>
      <c r="AL28" s="68">
        <v>-77.597634959450531</v>
      </c>
      <c r="AM28" s="68">
        <v>-71.128741139346531</v>
      </c>
      <c r="AN28" s="68">
        <v>-65.468459046755555</v>
      </c>
      <c r="AO28" s="69">
        <v>-60.474092494469396</v>
      </c>
    </row>
    <row r="29" spans="1:42" x14ac:dyDescent="0.25">
      <c r="A29" s="43" t="s">
        <v>489</v>
      </c>
      <c r="B29" s="39">
        <f>'DHI(BS)'!R54*1000000</f>
        <v>2797100000</v>
      </c>
      <c r="P29" s="67">
        <v>0.02</v>
      </c>
      <c r="Q29" s="68">
        <v>187.4135069352769</v>
      </c>
      <c r="R29" s="68">
        <v>211.43490471805492</v>
      </c>
      <c r="S29" s="68">
        <v>243.46343509509245</v>
      </c>
      <c r="T29" s="68">
        <v>288.30337762294482</v>
      </c>
      <c r="U29" s="111">
        <v>355.56329141472344</v>
      </c>
      <c r="V29" s="111">
        <v>467.66314773435448</v>
      </c>
      <c r="W29" s="111">
        <v>691.86286037361629</v>
      </c>
      <c r="X29" s="111">
        <v>1364.461998291403</v>
      </c>
      <c r="Y29" s="111" t="e">
        <v>#DIV/0!</v>
      </c>
      <c r="Z29" s="111">
        <v>-1325.9345533797425</v>
      </c>
      <c r="AA29" s="111">
        <v>-653.33541546195556</v>
      </c>
      <c r="AB29" s="154">
        <v>-429.13570282269364</v>
      </c>
      <c r="AC29" s="154">
        <v>-317.03584650306266</v>
      </c>
      <c r="AD29" s="68">
        <v>-249.77593271128396</v>
      </c>
      <c r="AE29" s="68">
        <v>-204.93599018343153</v>
      </c>
      <c r="AF29" s="68">
        <v>-172.90745980639423</v>
      </c>
      <c r="AG29" s="68">
        <v>-148.88606202361612</v>
      </c>
      <c r="AH29" s="68">
        <v>-130.20275263701092</v>
      </c>
      <c r="AI29" s="68">
        <v>-115.25610512772678</v>
      </c>
      <c r="AJ29" s="68">
        <v>-103.02702989285798</v>
      </c>
      <c r="AK29" s="68">
        <v>-92.836133863800626</v>
      </c>
      <c r="AL29" s="68">
        <v>-84.213067993059767</v>
      </c>
      <c r="AM29" s="68">
        <v>-76.821868675281877</v>
      </c>
      <c r="AN29" s="68">
        <v>-70.416162599874397</v>
      </c>
      <c r="AO29" s="69">
        <v>-64.811169783892879</v>
      </c>
    </row>
    <row r="30" spans="1:42" x14ac:dyDescent="0.25">
      <c r="A30" s="45" t="s">
        <v>488</v>
      </c>
      <c r="B30" s="40">
        <f>SUM(B28:B29)</f>
        <v>2797100000</v>
      </c>
      <c r="C30" s="41">
        <f>B30/(B30+B31)</f>
        <v>0.20419753309233976</v>
      </c>
      <c r="P30" s="67">
        <v>2.2499999999999999E-2</v>
      </c>
      <c r="Q30" s="68">
        <v>167.10359058425982</v>
      </c>
      <c r="R30" s="68">
        <v>185.60484715607834</v>
      </c>
      <c r="S30" s="68">
        <v>209.3921770341307</v>
      </c>
      <c r="T30" s="68">
        <v>241.10861687153383</v>
      </c>
      <c r="U30" s="111">
        <v>285.51163264389822</v>
      </c>
      <c r="V30" s="111">
        <v>352.11615630244484</v>
      </c>
      <c r="W30" s="111">
        <v>463.1236957333557</v>
      </c>
      <c r="X30" s="111">
        <v>685.13877459517789</v>
      </c>
      <c r="Y30" s="111">
        <v>1351.1840111806439</v>
      </c>
      <c r="Z30" s="111" t="e">
        <v>#DIV/0!</v>
      </c>
      <c r="AA30" s="111">
        <v>-1312.9969351612183</v>
      </c>
      <c r="AB30" s="154">
        <v>-646.95169857575388</v>
      </c>
      <c r="AC30" s="154">
        <v>-424.93661971393198</v>
      </c>
      <c r="AD30" s="68">
        <v>-313.92908028302088</v>
      </c>
      <c r="AE30" s="68">
        <v>-247.3245566244743</v>
      </c>
      <c r="AF30" s="68">
        <v>-202.9215408521101</v>
      </c>
      <c r="AG30" s="68">
        <v>-171.20510101470691</v>
      </c>
      <c r="AH30" s="68">
        <v>-147.41777113665452</v>
      </c>
      <c r="AI30" s="68">
        <v>-128.91651456483606</v>
      </c>
      <c r="AJ30" s="68">
        <v>-114.11550930738129</v>
      </c>
      <c r="AK30" s="68">
        <v>-102.00559591491825</v>
      </c>
      <c r="AL30" s="68">
        <v>-91.914001421199117</v>
      </c>
      <c r="AM30" s="68">
        <v>-83.374959926513625</v>
      </c>
      <c r="AN30" s="68">
        <v>-76.055781502497524</v>
      </c>
      <c r="AO30" s="69">
        <v>-69.712493535016876</v>
      </c>
    </row>
    <row r="31" spans="1:42" x14ac:dyDescent="0.25">
      <c r="A31" s="45" t="s">
        <v>487</v>
      </c>
      <c r="B31" s="40">
        <f>B26*B27</f>
        <v>10900910733.24</v>
      </c>
      <c r="C31" s="41">
        <f>1-C30</f>
        <v>0.79580246690766021</v>
      </c>
      <c r="P31" s="67">
        <v>2.5000000000000001E-2</v>
      </c>
      <c r="Q31" s="68">
        <v>150.83938669650399</v>
      </c>
      <c r="R31" s="68">
        <v>165.49651933704808</v>
      </c>
      <c r="S31" s="68">
        <v>183.81793513772828</v>
      </c>
      <c r="T31" s="68">
        <v>207.3740411671742</v>
      </c>
      <c r="U31" s="111">
        <v>238.78218253976874</v>
      </c>
      <c r="V31" s="111">
        <v>282.7535804614011</v>
      </c>
      <c r="W31" s="111">
        <v>348.71067734384962</v>
      </c>
      <c r="X31" s="111">
        <v>458.63917214793065</v>
      </c>
      <c r="Y31" s="111">
        <v>678.49616175609242</v>
      </c>
      <c r="Z31" s="111">
        <v>1338.067130580577</v>
      </c>
      <c r="AA31" s="111" t="e">
        <v>#DIV/0!</v>
      </c>
      <c r="AB31" s="154">
        <v>-1300.2167447173651</v>
      </c>
      <c r="AC31" s="154">
        <v>-640.64577589287921</v>
      </c>
      <c r="AD31" s="68">
        <v>-420.78878628471688</v>
      </c>
      <c r="AE31" s="68">
        <v>-310.86029148063591</v>
      </c>
      <c r="AF31" s="68">
        <v>-244.90319459818755</v>
      </c>
      <c r="AG31" s="68">
        <v>-200.93179667655511</v>
      </c>
      <c r="AH31" s="68">
        <v>-169.52365530396048</v>
      </c>
      <c r="AI31" s="68">
        <v>-145.9675492745146</v>
      </c>
      <c r="AJ31" s="68">
        <v>-127.64613347383447</v>
      </c>
      <c r="AK31" s="68">
        <v>-112.98900083329032</v>
      </c>
      <c r="AL31" s="68">
        <v>-100.99680140011787</v>
      </c>
      <c r="AM31" s="68">
        <v>-91.003301872474097</v>
      </c>
      <c r="AN31" s="68">
        <v>-82.547263810621729</v>
      </c>
      <c r="AO31" s="69">
        <v>-75.29923118617684</v>
      </c>
    </row>
    <row r="32" spans="1:42" x14ac:dyDescent="0.25">
      <c r="A32" s="43"/>
      <c r="K32" s="46"/>
      <c r="L32" s="46"/>
      <c r="M32" s="46"/>
      <c r="P32" s="67">
        <v>2.75E-2</v>
      </c>
      <c r="Q32" s="68">
        <v>137.51778455907888</v>
      </c>
      <c r="R32" s="68">
        <v>149.39369685617623</v>
      </c>
      <c r="S32" s="68">
        <v>163.90870077485076</v>
      </c>
      <c r="T32" s="68">
        <v>182.05245567319389</v>
      </c>
      <c r="U32" s="111">
        <v>205.38014054249217</v>
      </c>
      <c r="V32" s="111">
        <v>236.48372036822335</v>
      </c>
      <c r="W32" s="111">
        <v>280.0287321242468</v>
      </c>
      <c r="X32" s="111">
        <v>345.34624975828217</v>
      </c>
      <c r="Y32" s="111">
        <v>454.20877914834102</v>
      </c>
      <c r="Z32" s="111">
        <v>671.93383792845862</v>
      </c>
      <c r="AA32" s="111">
        <v>1325.1090142688126</v>
      </c>
      <c r="AB32" s="154" t="e">
        <v>#DIV/0!</v>
      </c>
      <c r="AC32" s="154">
        <v>-1287.5916910926012</v>
      </c>
      <c r="AD32" s="68">
        <v>-634.41651475224739</v>
      </c>
      <c r="AE32" s="68">
        <v>-416.69145597212963</v>
      </c>
      <c r="AF32" s="68">
        <v>-307.82892658207112</v>
      </c>
      <c r="AG32" s="68">
        <v>-242.51140894803572</v>
      </c>
      <c r="AH32" s="68">
        <v>-198.9663971920121</v>
      </c>
      <c r="AI32" s="68">
        <v>-167.86281736628101</v>
      </c>
      <c r="AJ32" s="68">
        <v>-144.53513249698275</v>
      </c>
      <c r="AK32" s="68">
        <v>-126.39137759863956</v>
      </c>
      <c r="AL32" s="68">
        <v>-111.87637367996507</v>
      </c>
      <c r="AM32" s="68">
        <v>-100.00046138286771</v>
      </c>
      <c r="AN32" s="68">
        <v>-90.103867801953285</v>
      </c>
      <c r="AO32" s="69">
        <v>-81.729827079641083</v>
      </c>
    </row>
    <row r="33" spans="1:41" ht="18.75" x14ac:dyDescent="0.3">
      <c r="A33" s="42" t="s">
        <v>486</v>
      </c>
      <c r="B33" s="108">
        <f>(B23*C31)+(B25*C30)</f>
        <v>8.8836367085618095E-2</v>
      </c>
      <c r="C33" t="s">
        <v>528</v>
      </c>
      <c r="K33" s="46"/>
      <c r="L33" s="46"/>
      <c r="M33" s="46"/>
      <c r="P33" s="67">
        <v>0.03</v>
      </c>
      <c r="Q33" s="68">
        <v>126.40337218375382</v>
      </c>
      <c r="R33" s="68">
        <v>136.20423158446164</v>
      </c>
      <c r="S33" s="68">
        <v>147.96526286531105</v>
      </c>
      <c r="T33" s="68">
        <v>162.33985665301589</v>
      </c>
      <c r="U33" s="111">
        <v>180.30809888764691</v>
      </c>
      <c r="V33" s="111">
        <v>203.41012461788679</v>
      </c>
      <c r="W33" s="111">
        <v>234.21282559153997</v>
      </c>
      <c r="X33" s="111">
        <v>277.33660695465454</v>
      </c>
      <c r="Y33" s="111">
        <v>342.02227899932626</v>
      </c>
      <c r="Z33" s="111">
        <v>449.83173240711227</v>
      </c>
      <c r="AA33" s="111">
        <v>665.45063922268491</v>
      </c>
      <c r="AB33" s="154">
        <v>1312.3073596694023</v>
      </c>
      <c r="AC33" s="154" t="e">
        <v>#DIV/0!</v>
      </c>
      <c r="AD33" s="68">
        <v>-1275.1195221174653</v>
      </c>
      <c r="AE33" s="68">
        <v>-628.2628016707489</v>
      </c>
      <c r="AF33" s="68">
        <v>-412.64389485517728</v>
      </c>
      <c r="AG33" s="68">
        <v>-304.83444144739087</v>
      </c>
      <c r="AH33" s="68">
        <v>-240.14876940271907</v>
      </c>
      <c r="AI33" s="68">
        <v>-197.02498803960469</v>
      </c>
      <c r="AJ33" s="68">
        <v>-166.22228706595155</v>
      </c>
      <c r="AK33" s="68">
        <v>-143.12026133571163</v>
      </c>
      <c r="AL33" s="68">
        <v>-125.1520191010806</v>
      </c>
      <c r="AM33" s="68">
        <v>-110.77742531337577</v>
      </c>
      <c r="AN33" s="68">
        <v>-99.016394032526392</v>
      </c>
      <c r="AO33" s="69">
        <v>-89.215534631818571</v>
      </c>
    </row>
    <row r="34" spans="1:41" x14ac:dyDescent="0.25">
      <c r="A34" s="43"/>
      <c r="K34" s="46"/>
      <c r="L34" s="46"/>
      <c r="M34" s="46"/>
      <c r="P34" s="67">
        <v>3.2500000000000001E-2</v>
      </c>
      <c r="Q34" s="68">
        <v>116.98701381942419</v>
      </c>
      <c r="R34" s="68">
        <v>125.20001999489759</v>
      </c>
      <c r="S34" s="68">
        <v>134.90630002045705</v>
      </c>
      <c r="T34" s="68">
        <v>146.5538360511284</v>
      </c>
      <c r="U34" s="111">
        <v>160.78971342194893</v>
      </c>
      <c r="V34" s="111">
        <v>178.58456013547465</v>
      </c>
      <c r="W34" s="111">
        <v>201.46364876715049</v>
      </c>
      <c r="X34" s="111">
        <v>231.96910027605168</v>
      </c>
      <c r="Y34" s="111">
        <v>274.6767323885133</v>
      </c>
      <c r="Z34" s="111">
        <v>338.73818055720562</v>
      </c>
      <c r="AA34" s="111">
        <v>445.50726083835974</v>
      </c>
      <c r="AB34" s="154">
        <v>659.04542140066781</v>
      </c>
      <c r="AC34" s="154">
        <v>1299.6599030875911</v>
      </c>
      <c r="AD34" s="68" t="e">
        <v>#DIV/0!</v>
      </c>
      <c r="AE34" s="68">
        <v>-1262.7980236601038</v>
      </c>
      <c r="AF34" s="68">
        <v>-622.18354197318126</v>
      </c>
      <c r="AG34" s="68">
        <v>-408.64538141087286</v>
      </c>
      <c r="AH34" s="68">
        <v>-301.87630112971863</v>
      </c>
      <c r="AI34" s="68">
        <v>-237.81485296102628</v>
      </c>
      <c r="AJ34" s="68">
        <v>-195.10722084856465</v>
      </c>
      <c r="AK34" s="68">
        <v>-164.60176933966341</v>
      </c>
      <c r="AL34" s="68">
        <v>-141.72268070798759</v>
      </c>
      <c r="AM34" s="68">
        <v>-123.92783399446189</v>
      </c>
      <c r="AN34" s="68">
        <v>-109.69195662364136</v>
      </c>
      <c r="AO34" s="69">
        <v>-98.044420592970013</v>
      </c>
    </row>
    <row r="35" spans="1:41" x14ac:dyDescent="0.25">
      <c r="A35" s="43"/>
      <c r="K35" s="46"/>
      <c r="L35" s="46"/>
      <c r="M35" s="46"/>
      <c r="P35" s="67">
        <v>3.5000000000000003E-2</v>
      </c>
      <c r="Q35" s="68">
        <v>108.90503709983641</v>
      </c>
      <c r="R35" s="68">
        <v>115.87698610493294</v>
      </c>
      <c r="S35" s="68">
        <v>124.01092661087884</v>
      </c>
      <c r="T35" s="68">
        <v>133.62376539063311</v>
      </c>
      <c r="U35" s="111">
        <v>145.15917192633827</v>
      </c>
      <c r="V35" s="111">
        <v>159.25800213664451</v>
      </c>
      <c r="W35" s="111">
        <v>176.88153989952735</v>
      </c>
      <c r="X35" s="111">
        <v>199.54037416609103</v>
      </c>
      <c r="Y35" s="111">
        <v>229.75215318817584</v>
      </c>
      <c r="Z35" s="111">
        <v>272.04864381909459</v>
      </c>
      <c r="AA35" s="111">
        <v>335.49337976547292</v>
      </c>
      <c r="AB35" s="154">
        <v>441.23460634276978</v>
      </c>
      <c r="AC35" s="154">
        <v>652.71705949736349</v>
      </c>
      <c r="AD35" s="68">
        <v>1287.1644189611452</v>
      </c>
      <c r="AE35" s="68" t="e">
        <v>#DIV/0!</v>
      </c>
      <c r="AF35" s="68">
        <v>-1250.6250188939853</v>
      </c>
      <c r="AG35" s="68">
        <v>-616.17765943020083</v>
      </c>
      <c r="AH35" s="68">
        <v>-404.69520627560632</v>
      </c>
      <c r="AI35" s="68">
        <v>-298.95397969830941</v>
      </c>
      <c r="AJ35" s="68">
        <v>-235.50924375193119</v>
      </c>
      <c r="AK35" s="68">
        <v>-193.2127531210123</v>
      </c>
      <c r="AL35" s="68">
        <v>-163.00097409892751</v>
      </c>
      <c r="AM35" s="68">
        <v>-140.34213983236376</v>
      </c>
      <c r="AN35" s="68">
        <v>-122.71860206948095</v>
      </c>
      <c r="AO35" s="69">
        <v>-108.61977185917472</v>
      </c>
    </row>
    <row r="36" spans="1:41" ht="18.75" x14ac:dyDescent="0.3">
      <c r="A36" s="47" t="s">
        <v>485</v>
      </c>
      <c r="K36" s="46"/>
      <c r="L36" s="46"/>
      <c r="M36" s="46"/>
      <c r="P36" s="67">
        <v>3.7499999999999999E-2</v>
      </c>
      <c r="Q36" s="68">
        <v>101.89074533019127</v>
      </c>
      <c r="R36" s="68">
        <v>107.87507172711805</v>
      </c>
      <c r="S36" s="68">
        <v>114.78006372357201</v>
      </c>
      <c r="T36" s="68">
        <v>122.83588771943502</v>
      </c>
      <c r="U36" s="111">
        <v>132.35640698727309</v>
      </c>
      <c r="V36" s="111">
        <v>143.78103010867881</v>
      </c>
      <c r="W36" s="111">
        <v>157.74445836817463</v>
      </c>
      <c r="X36" s="111">
        <v>175.19874369254447</v>
      </c>
      <c r="Y36" s="111">
        <v>197.63996768101995</v>
      </c>
      <c r="Z36" s="111">
        <v>227.56159966565386</v>
      </c>
      <c r="AA36" s="111">
        <v>269.4518844441414</v>
      </c>
      <c r="AB36" s="154">
        <v>332.28731161187272</v>
      </c>
      <c r="AC36" s="154">
        <v>437.01302355809156</v>
      </c>
      <c r="AD36" s="68">
        <v>646.46444745052952</v>
      </c>
      <c r="AE36" s="68">
        <v>1274.8187191278444</v>
      </c>
      <c r="AF36" s="68" t="e">
        <v>#DIV/0!</v>
      </c>
      <c r="AG36" s="68">
        <v>-1238.5983675814091</v>
      </c>
      <c r="AH36" s="68">
        <v>-610.2440959040963</v>
      </c>
      <c r="AI36" s="68">
        <v>-400.79267201165919</v>
      </c>
      <c r="AJ36" s="68">
        <v>-296.06696006544036</v>
      </c>
      <c r="AK36" s="68">
        <v>-233.23153289770895</v>
      </c>
      <c r="AL36" s="68">
        <v>-191.34124811922158</v>
      </c>
      <c r="AM36" s="68">
        <v>-161.41961613458756</v>
      </c>
      <c r="AN36" s="68">
        <v>-138.9783921461121</v>
      </c>
      <c r="AO36" s="69">
        <v>-121.52410682174231</v>
      </c>
    </row>
    <row r="37" spans="1:41" x14ac:dyDescent="0.25">
      <c r="A37" s="43"/>
      <c r="K37" s="46"/>
      <c r="L37" s="46"/>
      <c r="M37" s="46"/>
      <c r="P37" s="67">
        <v>0.04</v>
      </c>
      <c r="Q37" s="68">
        <v>95.744112664419504</v>
      </c>
      <c r="R37" s="68">
        <v>100.93023061750556</v>
      </c>
      <c r="S37" s="68">
        <v>106.85722256388962</v>
      </c>
      <c r="T37" s="68">
        <v>113.69605942510198</v>
      </c>
      <c r="U37" s="111">
        <v>121.67470242984973</v>
      </c>
      <c r="V37" s="111">
        <v>131.10400779909708</v>
      </c>
      <c r="W37" s="111">
        <v>142.41917424219392</v>
      </c>
      <c r="X37" s="111">
        <v>156.24882211709007</v>
      </c>
      <c r="Y37" s="111">
        <v>173.53588196071021</v>
      </c>
      <c r="Z37" s="111">
        <v>195.76210175965042</v>
      </c>
      <c r="AA37" s="111">
        <v>225.39706149157067</v>
      </c>
      <c r="AB37" s="154">
        <v>266.88600511625907</v>
      </c>
      <c r="AC37" s="154">
        <v>329.1194205532916</v>
      </c>
      <c r="AD37" s="68">
        <v>432.84177961501257</v>
      </c>
      <c r="AE37" s="68">
        <v>640.28649773845473</v>
      </c>
      <c r="AF37" s="68">
        <v>1262.6206521087793</v>
      </c>
      <c r="AG37" s="68" t="e">
        <v>#DIV/0!</v>
      </c>
      <c r="AH37" s="68">
        <v>-1226.7159653725214</v>
      </c>
      <c r="AI37" s="68">
        <v>-604.38181100219708</v>
      </c>
      <c r="AJ37" s="68">
        <v>-396.93709287875498</v>
      </c>
      <c r="AK37" s="68">
        <v>-293.21473381703396</v>
      </c>
      <c r="AL37" s="68">
        <v>-230.98131838000151</v>
      </c>
      <c r="AM37" s="68">
        <v>-189.49237475531311</v>
      </c>
      <c r="AN37" s="68">
        <v>-159.8574150233928</v>
      </c>
      <c r="AO37" s="69">
        <v>-137.63119522445265</v>
      </c>
    </row>
    <row r="38" spans="1:41" x14ac:dyDescent="0.25">
      <c r="A38" s="43" t="s">
        <v>484</v>
      </c>
      <c r="P38" s="67">
        <v>4.2500000000000003E-2</v>
      </c>
      <c r="Q38" s="68">
        <v>90.312175100543939</v>
      </c>
      <c r="R38" s="68">
        <v>94.844424816585075</v>
      </c>
      <c r="S38" s="68">
        <v>99.980974494765078</v>
      </c>
      <c r="T38" s="68">
        <v>105.85131698411364</v>
      </c>
      <c r="U38" s="111">
        <v>112.62478908720816</v>
      </c>
      <c r="V38" s="111">
        <v>120.52717320748505</v>
      </c>
      <c r="W38" s="111">
        <v>129.86635444053957</v>
      </c>
      <c r="X38" s="111">
        <v>141.07337192020501</v>
      </c>
      <c r="Y38" s="111">
        <v>154.77083772868497</v>
      </c>
      <c r="Z38" s="111">
        <v>171.89266998928491</v>
      </c>
      <c r="AA38" s="111">
        <v>193.90645432434206</v>
      </c>
      <c r="AB38" s="154">
        <v>223.25816677108486</v>
      </c>
      <c r="AC38" s="154">
        <v>264.35056419652472</v>
      </c>
      <c r="AD38" s="68">
        <v>325.98916033468464</v>
      </c>
      <c r="AE38" s="68">
        <v>428.72015389828454</v>
      </c>
      <c r="AF38" s="68">
        <v>634.18214102548382</v>
      </c>
      <c r="AG38" s="68">
        <v>1250.5681024070825</v>
      </c>
      <c r="AH38" s="68" t="e">
        <v>#DIV/0!</v>
      </c>
      <c r="AI38" s="68">
        <v>-1214.9757431193148</v>
      </c>
      <c r="AJ38" s="68">
        <v>-598.58978173771413</v>
      </c>
      <c r="AK38" s="68">
        <v>-393.12779461051423</v>
      </c>
      <c r="AL38" s="68">
        <v>-290.39680104691445</v>
      </c>
      <c r="AM38" s="68">
        <v>-228.75820490875441</v>
      </c>
      <c r="AN38" s="68">
        <v>-187.6658074833145</v>
      </c>
      <c r="AO38" s="69">
        <v>-158.3140950365717</v>
      </c>
    </row>
    <row r="39" spans="1:41" x14ac:dyDescent="0.25">
      <c r="A39" t="s">
        <v>483</v>
      </c>
      <c r="B39" s="44">
        <f>V10</f>
        <v>7.0645890834131864E-2</v>
      </c>
      <c r="P39" s="67">
        <v>4.4999999999999998E-2</v>
      </c>
      <c r="Q39" s="68">
        <v>85.475957809360594</v>
      </c>
      <c r="R39" s="68">
        <v>89.466210515285525</v>
      </c>
      <c r="S39" s="68">
        <v>93.955244809451059</v>
      </c>
      <c r="T39" s="68">
        <v>99.042817009505384</v>
      </c>
      <c r="U39" s="111">
        <v>104.85718523813885</v>
      </c>
      <c r="V39" s="111">
        <v>111.56607165579284</v>
      </c>
      <c r="W39" s="111">
        <v>119.39310580972254</v>
      </c>
      <c r="X39" s="111">
        <v>128.64323708254855</v>
      </c>
      <c r="Y39" s="111">
        <v>139.74339460993971</v>
      </c>
      <c r="Z39" s="111">
        <v>153.31025381008448</v>
      </c>
      <c r="AA39" s="111">
        <v>170.26882781026544</v>
      </c>
      <c r="AB39" s="154">
        <v>192.072708667641</v>
      </c>
      <c r="AC39" s="154">
        <v>221.14454981080837</v>
      </c>
      <c r="AD39" s="68">
        <v>261.84512741124269</v>
      </c>
      <c r="AE39" s="68">
        <v>322.8959938118943</v>
      </c>
      <c r="AF39" s="68">
        <v>424.64743781298012</v>
      </c>
      <c r="AG39" s="68">
        <v>628.15032581515197</v>
      </c>
      <c r="AH39" s="68">
        <v>1238.6589898216687</v>
      </c>
      <c r="AI39" s="68" t="e">
        <v>#DIV/0!</v>
      </c>
      <c r="AJ39" s="68">
        <v>-1203.3756662043922</v>
      </c>
      <c r="AK39" s="68">
        <v>-592.8670021978777</v>
      </c>
      <c r="AL39" s="68">
        <v>-389.36411419570658</v>
      </c>
      <c r="AM39" s="68">
        <v>-287.61267019462065</v>
      </c>
      <c r="AN39" s="68">
        <v>-226.56180379396923</v>
      </c>
      <c r="AO39" s="69">
        <v>-185.86122619353495</v>
      </c>
    </row>
    <row r="40" spans="1:41" x14ac:dyDescent="0.25">
      <c r="A40" s="45" t="s">
        <v>533</v>
      </c>
      <c r="B40" s="1">
        <v>0.01</v>
      </c>
      <c r="P40" s="67">
        <v>4.7500000000000001E-2</v>
      </c>
      <c r="Q40" s="68">
        <v>81.141530673675589</v>
      </c>
      <c r="R40" s="68">
        <v>84.677795297447233</v>
      </c>
      <c r="S40" s="68">
        <v>88.630091053427307</v>
      </c>
      <c r="T40" s="68">
        <v>93.076423778904868</v>
      </c>
      <c r="U40" s="111">
        <v>98.115600867779477</v>
      </c>
      <c r="V40" s="111">
        <v>103.87466039792183</v>
      </c>
      <c r="W40" s="111">
        <v>110.51972908654764</v>
      </c>
      <c r="X40" s="111">
        <v>118.27230922327777</v>
      </c>
      <c r="Y40" s="111">
        <v>127.43444938486793</v>
      </c>
      <c r="Z40" s="111">
        <v>138.4290175787761</v>
      </c>
      <c r="AA40" s="111">
        <v>151.86682314910831</v>
      </c>
      <c r="AB40" s="154">
        <v>168.66408011202358</v>
      </c>
      <c r="AC40" s="154">
        <v>190.26055335005751</v>
      </c>
      <c r="AD40" s="68">
        <v>219.05585100076939</v>
      </c>
      <c r="AE40" s="68">
        <v>259.3692677117661</v>
      </c>
      <c r="AF40" s="68">
        <v>319.83939277826101</v>
      </c>
      <c r="AG40" s="68">
        <v>420.62293455575275</v>
      </c>
      <c r="AH40" s="68">
        <v>622.19001811073622</v>
      </c>
      <c r="AI40" s="68">
        <v>1226.8912687756845</v>
      </c>
      <c r="AJ40" s="68" t="e">
        <v>#DIV/0!</v>
      </c>
      <c r="AK40" s="68">
        <v>-1191.9137338841126</v>
      </c>
      <c r="AL40" s="68">
        <v>-587.21248321916403</v>
      </c>
      <c r="AM40" s="68">
        <v>-385.64539966418033</v>
      </c>
      <c r="AN40" s="68">
        <v>-284.86185788668877</v>
      </c>
      <c r="AO40" s="69">
        <v>-224.39173282019382</v>
      </c>
    </row>
    <row r="41" spans="1:41" x14ac:dyDescent="0.25">
      <c r="A41" s="45" t="s">
        <v>482</v>
      </c>
      <c r="B41" s="40">
        <f>(S4*(1+B40))/(B33-B40)*1000000</f>
        <v>17356620989.687271</v>
      </c>
      <c r="J41" s="43"/>
      <c r="O41" s="46"/>
      <c r="P41" s="67">
        <v>0.05</v>
      </c>
      <c r="Q41" s="68">
        <v>77.233747164439336</v>
      </c>
      <c r="R41" s="68">
        <v>80.386182567472275</v>
      </c>
      <c r="S41" s="68">
        <v>83.888888570842226</v>
      </c>
      <c r="T41" s="68">
        <v>87.803677633432173</v>
      </c>
      <c r="U41" s="111">
        <v>92.207815328845868</v>
      </c>
      <c r="V41" s="111">
        <v>97.19917138364805</v>
      </c>
      <c r="W41" s="111">
        <v>102.90357830342195</v>
      </c>
      <c r="X41" s="111">
        <v>109.4855862877765</v>
      </c>
      <c r="Y41" s="111">
        <v>117.16459560285676</v>
      </c>
      <c r="Z41" s="111">
        <v>126.23978842976979</v>
      </c>
      <c r="AA41" s="111">
        <v>137.13001982206549</v>
      </c>
      <c r="AB41" s="154">
        <v>150.44030263487127</v>
      </c>
      <c r="AC41" s="154">
        <v>167.07815615087856</v>
      </c>
      <c r="AD41" s="68">
        <v>188.46968210003072</v>
      </c>
      <c r="AE41" s="68">
        <v>216.99171669890038</v>
      </c>
      <c r="AF41" s="68">
        <v>256.92256513731775</v>
      </c>
      <c r="AG41" s="68">
        <v>316.81883779494387</v>
      </c>
      <c r="AH41" s="68">
        <v>416.64595889098752</v>
      </c>
      <c r="AI41" s="68">
        <v>616.30020108307417</v>
      </c>
      <c r="AJ41" s="68">
        <v>1215.2629276593352</v>
      </c>
      <c r="AK41" s="68" t="e">
        <v>#DIV/0!</v>
      </c>
      <c r="AL41" s="68">
        <v>-1180.5879786457124</v>
      </c>
      <c r="AM41" s="68">
        <v>-581.62525206944883</v>
      </c>
      <c r="AN41" s="68">
        <v>-381.97100987736133</v>
      </c>
      <c r="AO41" s="69">
        <v>-282.14388878131774</v>
      </c>
    </row>
    <row r="42" spans="1:41" x14ac:dyDescent="0.25">
      <c r="A42" t="s">
        <v>481</v>
      </c>
      <c r="B42" s="62">
        <f>B41/B26</f>
        <v>46.636050989552444</v>
      </c>
      <c r="P42" s="67">
        <v>5.2499999999999998E-2</v>
      </c>
      <c r="Q42" s="68">
        <v>73.691772108178071</v>
      </c>
      <c r="R42" s="68">
        <v>76.516972648374221</v>
      </c>
      <c r="S42" s="68">
        <v>79.639562719117322</v>
      </c>
      <c r="T42" s="68">
        <v>83.109107242165251</v>
      </c>
      <c r="U42" s="111">
        <v>86.98683347380701</v>
      </c>
      <c r="V42" s="111">
        <v>91.349275484404032</v>
      </c>
      <c r="W42" s="111">
        <v>96.293376429747269</v>
      </c>
      <c r="X42" s="111">
        <v>101.9437775101396</v>
      </c>
      <c r="Y42" s="111">
        <v>108.46347106443839</v>
      </c>
      <c r="Z42" s="111">
        <v>116.06978021112035</v>
      </c>
      <c r="AA42" s="111">
        <v>125.05905465719901</v>
      </c>
      <c r="AB42" s="154">
        <v>135.84618399249342</v>
      </c>
      <c r="AC42" s="154">
        <v>149.03045318007545</v>
      </c>
      <c r="AD42" s="68">
        <v>165.51078966455307</v>
      </c>
      <c r="AE42" s="68">
        <v>186.6997937160242</v>
      </c>
      <c r="AF42" s="68">
        <v>214.95179911798579</v>
      </c>
      <c r="AG42" s="68">
        <v>254.50460668073197</v>
      </c>
      <c r="AH42" s="68">
        <v>313.83381802485121</v>
      </c>
      <c r="AI42" s="68">
        <v>412.71583693171647</v>
      </c>
      <c r="AJ42" s="68">
        <v>610.47987474544755</v>
      </c>
      <c r="AK42" s="68">
        <v>1203.7719881866415</v>
      </c>
      <c r="AL42" s="68" t="e">
        <v>#DIV/0!</v>
      </c>
      <c r="AM42" s="68">
        <v>-1169.3964655781281</v>
      </c>
      <c r="AN42" s="68">
        <v>-576.10435213693665</v>
      </c>
      <c r="AO42" s="69">
        <v>-378.34031432320648</v>
      </c>
    </row>
    <row r="43" spans="1:41" x14ac:dyDescent="0.25">
      <c r="P43" s="67">
        <v>5.5E-2</v>
      </c>
      <c r="Q43" s="68">
        <v>70.465829153069748</v>
      </c>
      <c r="R43" s="68">
        <v>73.009934993461698</v>
      </c>
      <c r="S43" s="68">
        <v>75.808451417892826</v>
      </c>
      <c r="T43" s="68">
        <v>78.901548518579887</v>
      </c>
      <c r="U43" s="111">
        <v>82.33832307489881</v>
      </c>
      <c r="V43" s="111">
        <v>86.179424049608215</v>
      </c>
      <c r="W43" s="111">
        <v>90.500662646156314</v>
      </c>
      <c r="X43" s="111">
        <v>95.398066388910792</v>
      </c>
      <c r="Y43" s="111">
        <v>100.99509923777305</v>
      </c>
      <c r="Z43" s="111">
        <v>107.45321406338336</v>
      </c>
      <c r="AA43" s="111">
        <v>114.98768135992871</v>
      </c>
      <c r="AB43" s="154">
        <v>123.89205180130054</v>
      </c>
      <c r="AC43" s="154">
        <v>134.57729633094664</v>
      </c>
      <c r="AD43" s="68">
        <v>147.63703964495863</v>
      </c>
      <c r="AE43" s="68">
        <v>163.96171878747359</v>
      </c>
      <c r="AF43" s="68">
        <v>184.95059197070711</v>
      </c>
      <c r="AG43" s="68">
        <v>212.9357562150185</v>
      </c>
      <c r="AH43" s="68">
        <v>252.1149861570544</v>
      </c>
      <c r="AI43" s="68">
        <v>310.8838310701081</v>
      </c>
      <c r="AJ43" s="68">
        <v>408.83190592519793</v>
      </c>
      <c r="AK43" s="68">
        <v>604.72805563537781</v>
      </c>
      <c r="AL43" s="68">
        <v>1192.4165047659146</v>
      </c>
      <c r="AM43" s="68" t="e">
        <v>#DIV/0!</v>
      </c>
      <c r="AN43" s="68">
        <v>-1158.3372917562367</v>
      </c>
      <c r="AO43" s="69">
        <v>-570.64884262569967</v>
      </c>
    </row>
    <row r="44" spans="1:41" x14ac:dyDescent="0.25">
      <c r="P44" s="67">
        <v>5.7500000000000002E-2</v>
      </c>
      <c r="Q44" s="68">
        <v>67.514796721060662</v>
      </c>
      <c r="R44" s="68">
        <v>69.815787975528721</v>
      </c>
      <c r="S44" s="68">
        <v>72.33592125423182</v>
      </c>
      <c r="T44" s="68">
        <v>75.108067860805249</v>
      </c>
      <c r="U44" s="111">
        <v>78.172019373333768</v>
      </c>
      <c r="V44" s="111">
        <v>81.576409942809903</v>
      </c>
      <c r="W44" s="111">
        <v>85.381317049871441</v>
      </c>
      <c r="X44" s="111">
        <v>89.661837545315692</v>
      </c>
      <c r="Y44" s="111">
        <v>94.513094106819167</v>
      </c>
      <c r="Z44" s="111">
        <v>100.05738731996601</v>
      </c>
      <c r="AA44" s="111">
        <v>106.45464871975082</v>
      </c>
      <c r="AB44" s="154">
        <v>113.9181203528331</v>
      </c>
      <c r="AC44" s="154">
        <v>122.73858682829399</v>
      </c>
      <c r="AD44" s="68">
        <v>133.32314659884702</v>
      </c>
      <c r="AE44" s="68">
        <v>146.25983076285632</v>
      </c>
      <c r="AF44" s="68">
        <v>162.43068596786793</v>
      </c>
      <c r="AG44" s="68">
        <v>183.2217855171686</v>
      </c>
      <c r="AH44" s="68">
        <v>210.94325158290277</v>
      </c>
      <c r="AI44" s="68">
        <v>249.75330407493053</v>
      </c>
      <c r="AJ44" s="68">
        <v>307.96838281297244</v>
      </c>
      <c r="AK44" s="68">
        <v>404.99351404304213</v>
      </c>
      <c r="AL44" s="68">
        <v>599.04377650318099</v>
      </c>
      <c r="AM44" s="68">
        <v>1181.1945638835984</v>
      </c>
      <c r="AN44" s="68" t="e">
        <v>#DIV/0!</v>
      </c>
      <c r="AO44" s="69">
        <v>-1147.408585638075</v>
      </c>
    </row>
    <row r="45" spans="1:41" ht="18.75" x14ac:dyDescent="0.3">
      <c r="A45" s="47" t="s">
        <v>480</v>
      </c>
      <c r="B45" s="48">
        <v>2016</v>
      </c>
      <c r="C45" s="48">
        <v>2017</v>
      </c>
      <c r="D45" s="48">
        <v>2018</v>
      </c>
      <c r="E45" s="48">
        <v>2019</v>
      </c>
      <c r="F45" s="48">
        <v>2020</v>
      </c>
      <c r="G45" s="48" t="s">
        <v>479</v>
      </c>
      <c r="P45" s="67">
        <v>0.06</v>
      </c>
      <c r="Q45" s="68">
        <v>64.804404970954963</v>
      </c>
      <c r="R45" s="68">
        <v>66.893818729991139</v>
      </c>
      <c r="S45" s="68">
        <v>69.173179194394251</v>
      </c>
      <c r="T45" s="68">
        <v>71.66962160778813</v>
      </c>
      <c r="U45" s="111">
        <v>74.415708262521406</v>
      </c>
      <c r="V45" s="111">
        <v>77.450856670384468</v>
      </c>
      <c r="W45" s="111">
        <v>80.82324379023234</v>
      </c>
      <c r="X45" s="111">
        <v>84.592382335944677</v>
      </c>
      <c r="Y45" s="111">
        <v>88.83266319987105</v>
      </c>
      <c r="Z45" s="111">
        <v>93.638314845654264</v>
      </c>
      <c r="AA45" s="111">
        <v>99.130488155120773</v>
      </c>
      <c r="AB45" s="154">
        <v>105.46761120450523</v>
      </c>
      <c r="AC45" s="154">
        <v>112.86092142878712</v>
      </c>
      <c r="AD45" s="68">
        <v>121.59846987566567</v>
      </c>
      <c r="AE45" s="68">
        <v>132.08352801191998</v>
      </c>
      <c r="AF45" s="68">
        <v>144.89859906734191</v>
      </c>
      <c r="AG45" s="68">
        <v>160.91743788661927</v>
      </c>
      <c r="AH45" s="68">
        <v>181.51308779711883</v>
      </c>
      <c r="AI45" s="68">
        <v>208.97395434445139</v>
      </c>
      <c r="AJ45" s="68">
        <v>247.41916751071722</v>
      </c>
      <c r="AK45" s="68">
        <v>305.0869872601159</v>
      </c>
      <c r="AL45" s="68">
        <v>401.20002017578008</v>
      </c>
      <c r="AM45" s="68">
        <v>593.42608600710889</v>
      </c>
      <c r="AN45" s="68">
        <v>1170.1042835010969</v>
      </c>
      <c r="AO45" s="69" t="e">
        <v>#DIV/0!</v>
      </c>
    </row>
    <row r="46" spans="1:41" x14ac:dyDescent="0.25">
      <c r="P46" s="67">
        <v>6.25E-2</v>
      </c>
      <c r="Q46" s="68">
        <v>62.305865489429173</v>
      </c>
      <c r="R46" s="68">
        <v>64.210098036260632</v>
      </c>
      <c r="S46" s="68">
        <v>66.279916021946988</v>
      </c>
      <c r="T46" s="68">
        <v>68.537899279059403</v>
      </c>
      <c r="U46" s="111">
        <v>71.010928560658684</v>
      </c>
      <c r="V46" s="111">
        <v>73.731260770417904</v>
      </c>
      <c r="W46" s="111">
        <v>76.737943739099151</v>
      </c>
      <c r="X46" s="111">
        <v>80.078702593189448</v>
      </c>
      <c r="Y46" s="111">
        <v>83.812491900702113</v>
      </c>
      <c r="Z46" s="111">
        <v>88.013004871653834</v>
      </c>
      <c r="AA46" s="111">
        <v>92.773586238732491</v>
      </c>
      <c r="AB46" s="154">
        <v>98.214250658250933</v>
      </c>
      <c r="AC46" s="154">
        <v>104.49194037307991</v>
      </c>
      <c r="AD46" s="68">
        <v>111.81591170704704</v>
      </c>
      <c r="AE46" s="68">
        <v>120.47151419264459</v>
      </c>
      <c r="AF46" s="68">
        <v>130.85823717536164</v>
      </c>
      <c r="AG46" s="68">
        <v>143.5531208209047</v>
      </c>
      <c r="AH46" s="68">
        <v>159.4217253778335</v>
      </c>
      <c r="AI46" s="68">
        <v>179.82421695102764</v>
      </c>
      <c r="AJ46" s="68">
        <v>207.02753904861999</v>
      </c>
      <c r="AK46" s="68">
        <v>245.11218998524916</v>
      </c>
      <c r="AL46" s="68">
        <v>302.23916639019268</v>
      </c>
      <c r="AM46" s="68">
        <v>397.45079373176566</v>
      </c>
      <c r="AN46" s="68">
        <v>587.87404841491173</v>
      </c>
      <c r="AO46" s="69">
        <v>1159.1438124643473</v>
      </c>
    </row>
    <row r="47" spans="1:41" ht="15.75" thickBot="1" x14ac:dyDescent="0.3">
      <c r="A47" t="s">
        <v>478</v>
      </c>
      <c r="B47">
        <f>O10</f>
        <v>1770.6245567999997</v>
      </c>
      <c r="C47">
        <f>P10</f>
        <v>2053.9244858879993</v>
      </c>
      <c r="D47">
        <f>Q10</f>
        <v>2259.3169344767994</v>
      </c>
      <c r="E47">
        <f>R10</f>
        <v>2372.2827812006399</v>
      </c>
      <c r="F47">
        <f>S10</f>
        <v>2490.8969202606713</v>
      </c>
      <c r="G47" s="62">
        <f>B41/1000000</f>
        <v>17356.620989687272</v>
      </c>
      <c r="P47" s="67">
        <v>6.5000000000000002E-2</v>
      </c>
      <c r="Q47" s="68">
        <v>59.994817206323397</v>
      </c>
      <c r="R47" s="68">
        <v>61.736123626674683</v>
      </c>
      <c r="S47" s="68">
        <v>63.62253891538856</v>
      </c>
      <c r="T47" s="68">
        <v>65.67299031616453</v>
      </c>
      <c r="U47" s="111">
        <v>67.909846389738306</v>
      </c>
      <c r="V47" s="111">
        <v>70.359736375081013</v>
      </c>
      <c r="W47" s="111">
        <v>73.054615358957989</v>
      </c>
      <c r="X47" s="111">
        <v>76.033165814822027</v>
      </c>
      <c r="Y47" s="111">
        <v>79.342666321337617</v>
      </c>
      <c r="Z47" s="111">
        <v>83.041519828619712</v>
      </c>
      <c r="AA47" s="111">
        <v>87.202730024312118</v>
      </c>
      <c r="AB47" s="154">
        <v>91.918768246096832</v>
      </c>
      <c r="AC47" s="154">
        <v>97.308526213850797</v>
      </c>
      <c r="AD47" s="68">
        <v>103.52747771510538</v>
      </c>
      <c r="AE47" s="68">
        <v>110.7829211332357</v>
      </c>
      <c r="AF47" s="123">
        <v>119.35753608193519</v>
      </c>
      <c r="AG47" s="68">
        <v>129.64707402037459</v>
      </c>
      <c r="AH47" s="68">
        <v>142.22317594513382</v>
      </c>
      <c r="AI47" s="68">
        <v>157.94330335108279</v>
      </c>
      <c r="AJ47" s="68">
        <v>178.15489573016018</v>
      </c>
      <c r="AK47" s="68">
        <v>205.10368556893002</v>
      </c>
      <c r="AL47" s="68">
        <v>242.83199134320762</v>
      </c>
      <c r="AM47" s="68">
        <v>299.42445000462425</v>
      </c>
      <c r="AN47" s="68">
        <v>393.74521444031853</v>
      </c>
      <c r="AO47" s="69">
        <v>582.38674331170648</v>
      </c>
    </row>
    <row r="48" spans="1:41" ht="15.75" thickTop="1" x14ac:dyDescent="0.25">
      <c r="A48" t="s">
        <v>477</v>
      </c>
      <c r="B48">
        <f>B47/(1+$B$33)^1</f>
        <v>1626.1622134639547</v>
      </c>
      <c r="C48">
        <f>C47/(1+$B$33)^2</f>
        <v>1732.444125343821</v>
      </c>
      <c r="D48">
        <f>D47/(1+$B$33)^3</f>
        <v>1750.2065466264444</v>
      </c>
      <c r="E48">
        <f>E47/(1+$B$33)^4</f>
        <v>1687.7805788913945</v>
      </c>
      <c r="F48">
        <f>F47/(1+$B$33)^5</f>
        <v>1627.5812063288784</v>
      </c>
      <c r="G48">
        <f>G47/(1+$B$33)^5</f>
        <v>11341.019332599304</v>
      </c>
      <c r="P48" s="67">
        <v>6.7500000000000004E-2</v>
      </c>
      <c r="Q48" s="68">
        <v>57.850506550158947</v>
      </c>
      <c r="R48" s="68">
        <v>59.447776577124529</v>
      </c>
      <c r="S48" s="68">
        <v>61.17282820624736</v>
      </c>
      <c r="T48" s="68">
        <v>63.041634137797097</v>
      </c>
      <c r="U48" s="111">
        <v>65.072944932959857</v>
      </c>
      <c r="V48" s="111">
        <v>67.288920345864682</v>
      </c>
      <c r="W48" s="111">
        <v>69.715941036189008</v>
      </c>
      <c r="X48" s="111">
        <v>72.385663795545767</v>
      </c>
      <c r="Y48" s="111">
        <v>75.336410003255892</v>
      </c>
      <c r="Z48" s="111">
        <v>78.615016900711552</v>
      </c>
      <c r="AA48" s="111">
        <v>82.279342256691407</v>
      </c>
      <c r="AB48" s="154">
        <v>86.401708282168784</v>
      </c>
      <c r="AC48" s="154">
        <v>91.073723111043108</v>
      </c>
      <c r="AD48" s="68">
        <v>96.413168629756655</v>
      </c>
      <c r="AE48" s="68">
        <v>102.57406730519531</v>
      </c>
      <c r="AF48" s="68">
        <v>109.76178242654048</v>
      </c>
      <c r="AG48" s="68">
        <v>118.25635484267563</v>
      </c>
      <c r="AH48" s="68">
        <v>128.44984174203782</v>
      </c>
      <c r="AI48" s="68">
        <v>140.90854795236933</v>
      </c>
      <c r="AJ48" s="68">
        <v>156.48193071528385</v>
      </c>
      <c r="AK48" s="68">
        <v>176.50485141045957</v>
      </c>
      <c r="AL48" s="68">
        <v>203.20207900402718</v>
      </c>
      <c r="AM48" s="68">
        <v>240.57819763502184</v>
      </c>
      <c r="AN48" s="68">
        <v>296.64237558151399</v>
      </c>
      <c r="AO48" s="69">
        <v>390.08267215900042</v>
      </c>
    </row>
    <row r="49" spans="1:41" x14ac:dyDescent="0.25">
      <c r="P49" s="67">
        <v>7.0000000000000007E-2</v>
      </c>
      <c r="Q49" s="68">
        <v>55.855143283846076</v>
      </c>
      <c r="R49" s="68">
        <v>57.324509610073143</v>
      </c>
      <c r="S49" s="109">
        <v>58.906904115240749</v>
      </c>
      <c r="T49" s="109">
        <v>60.615890180821779</v>
      </c>
      <c r="U49" s="111">
        <v>62.467291751867862</v>
      </c>
      <c r="V49" s="111">
        <v>64.479684763874488</v>
      </c>
      <c r="W49" s="111">
        <v>66.675022595154445</v>
      </c>
      <c r="X49" s="111">
        <v>69.079440219889648</v>
      </c>
      <c r="Y49" s="111">
        <v>71.724299607098345</v>
      </c>
      <c r="Z49" s="111">
        <v>74.64756524559219</v>
      </c>
      <c r="AA49" s="111">
        <v>77.895638177251996</v>
      </c>
      <c r="AB49" s="109">
        <v>81.525837336165921</v>
      </c>
      <c r="AC49" s="109">
        <v>85.60981138994407</v>
      </c>
      <c r="AD49" s="109">
        <v>90.238315317559326</v>
      </c>
      <c r="AE49" s="109">
        <v>95.528034091976735</v>
      </c>
      <c r="AF49" s="109">
        <v>101.63155575476608</v>
      </c>
      <c r="AG49" s="109">
        <v>108.75233102802031</v>
      </c>
      <c r="AH49" s="68">
        <v>117.16779271459346</v>
      </c>
      <c r="AI49" s="68">
        <v>127.26634673848123</v>
      </c>
      <c r="AJ49" s="68">
        <v>139.60902387878858</v>
      </c>
      <c r="AK49" s="68">
        <v>155.03737030417275</v>
      </c>
      <c r="AL49" s="68">
        <v>174.87381570823803</v>
      </c>
      <c r="AM49" s="68">
        <v>201.32240958032514</v>
      </c>
      <c r="AN49" s="68">
        <v>238.35044100124713</v>
      </c>
      <c r="AO49" s="69">
        <v>293.89248813262986</v>
      </c>
    </row>
    <row r="50" spans="1:41" x14ac:dyDescent="0.25">
      <c r="A50" t="s">
        <v>476</v>
      </c>
      <c r="B50" s="51">
        <f>SUM(B48:G48)*1000000</f>
        <v>19765194003.253796</v>
      </c>
      <c r="P50" s="67">
        <v>7.2499999999999995E-2</v>
      </c>
      <c r="Q50" s="68">
        <v>53.99338961503841</v>
      </c>
      <c r="R50" s="68">
        <v>55.34870933188607</v>
      </c>
      <c r="S50" s="109">
        <v>56.804423101833557</v>
      </c>
      <c r="T50" s="109">
        <v>58.3721148540847</v>
      </c>
      <c r="U50" s="111">
        <v>60.065221946515926</v>
      </c>
      <c r="V50" s="111">
        <v>61.899421296649756</v>
      </c>
      <c r="W50" s="111">
        <v>63.893116242447398</v>
      </c>
      <c r="X50" s="111">
        <v>66.068056183317552</v>
      </c>
      <c r="Y50" s="111">
        <v>68.450133261413427</v>
      </c>
      <c r="Z50" s="111">
        <v>71.070418047318896</v>
      </c>
      <c r="AA50" s="111">
        <v>73.966522284372317</v>
      </c>
      <c r="AB50" s="109">
        <v>77.184415881098346</v>
      </c>
      <c r="AC50" s="109">
        <v>80.780885195086242</v>
      </c>
      <c r="AD50" s="109">
        <v>84.826913173322637</v>
      </c>
      <c r="AE50" s="109">
        <v>89.412411548657218</v>
      </c>
      <c r="AF50" s="109">
        <v>94.652981120468169</v>
      </c>
      <c r="AG50" s="109">
        <v>100.69979216486541</v>
      </c>
      <c r="AH50" s="68">
        <v>107.75440504999553</v>
      </c>
      <c r="AI50" s="68">
        <v>116.0916748233311</v>
      </c>
      <c r="AJ50" s="68">
        <v>126.09639855133386</v>
      </c>
      <c r="AK50" s="68">
        <v>138.32439421889273</v>
      </c>
      <c r="AL50" s="68">
        <v>153.60938880334132</v>
      </c>
      <c r="AM50" s="68">
        <v>173.26152469763238</v>
      </c>
      <c r="AN50" s="68">
        <v>199.46437255668718</v>
      </c>
      <c r="AO50" s="69">
        <v>236.14835955936377</v>
      </c>
    </row>
    <row r="51" spans="1:41" x14ac:dyDescent="0.25">
      <c r="A51" s="56" t="s">
        <v>465</v>
      </c>
      <c r="B51" s="62">
        <f>B29</f>
        <v>2797100000</v>
      </c>
      <c r="P51" s="67">
        <v>7.4999999999999997E-2</v>
      </c>
      <c r="Q51" s="68">
        <v>52.251951483733627</v>
      </c>
      <c r="R51" s="68">
        <v>53.505190420348811</v>
      </c>
      <c r="S51" s="109">
        <v>54.847946423865089</v>
      </c>
      <c r="T51" s="109">
        <v>56.290165835049237</v>
      </c>
      <c r="U51" s="111">
        <v>57.843325200939852</v>
      </c>
      <c r="V51" s="111">
        <v>59.52073731610173</v>
      </c>
      <c r="W51" s="111">
        <v>61.33793377419375</v>
      </c>
      <c r="X51" s="111">
        <v>63.313147315598144</v>
      </c>
      <c r="Y51" s="111">
        <v>65.467925724402946</v>
      </c>
      <c r="Z51" s="111">
        <v>67.827921124522447</v>
      </c>
      <c r="AA51" s="111">
        <v>70.423916064653923</v>
      </c>
      <c r="AB51" s="109">
        <v>73.293173630062384</v>
      </c>
      <c r="AC51" s="109">
        <v>76.481237591627348</v>
      </c>
      <c r="AD51" s="109">
        <v>80.044367901611736</v>
      </c>
      <c r="AE51" s="109">
        <v>84.052889500344151</v>
      </c>
      <c r="AF51" s="109">
        <v>88.595880645574226</v>
      </c>
      <c r="AG51" s="109">
        <v>93.787870525837178</v>
      </c>
      <c r="AH51" s="68">
        <v>99.778628079986731</v>
      </c>
      <c r="AI51" s="68">
        <v>106.7678452264945</v>
      </c>
      <c r="AJ51" s="68">
        <v>115.02782912691288</v>
      </c>
      <c r="AK51" s="68">
        <v>124.93980980741485</v>
      </c>
      <c r="AL51" s="68">
        <v>137.05445286136171</v>
      </c>
      <c r="AM51" s="68">
        <v>152.19775667879529</v>
      </c>
      <c r="AN51" s="68">
        <v>171.66771872978131</v>
      </c>
      <c r="AO51" s="69">
        <v>197.62766813109607</v>
      </c>
    </row>
    <row r="52" spans="1:41" ht="15.75" thickBot="1" x14ac:dyDescent="0.3">
      <c r="A52" s="56" t="s">
        <v>475</v>
      </c>
      <c r="B52" s="51">
        <f>'DHI(BS)'!R7*1000000</f>
        <v>906800000</v>
      </c>
      <c r="P52" s="67">
        <v>7.7499999999999999E-2</v>
      </c>
      <c r="Q52" s="68">
        <v>50.619248954856907</v>
      </c>
      <c r="R52" s="68">
        <v>51.780790974012206</v>
      </c>
      <c r="S52" s="109">
        <v>53.022439339316172</v>
      </c>
      <c r="T52" s="109">
        <v>54.352776873570413</v>
      </c>
      <c r="U52" s="111">
        <v>55.781657928880513</v>
      </c>
      <c r="V52" s="111">
        <v>57.320452911522175</v>
      </c>
      <c r="W52" s="111">
        <v>58.982351492775166</v>
      </c>
      <c r="X52" s="111">
        <v>60.782741622465906</v>
      </c>
      <c r="Y52" s="111">
        <v>62.739687415608024</v>
      </c>
      <c r="Z52" s="111">
        <v>64.87453737176304</v>
      </c>
      <c r="AA52" s="111">
        <v>67.212706371361421</v>
      </c>
      <c r="AB52" s="109">
        <v>69.784692270919606</v>
      </c>
      <c r="AC52" s="109">
        <v>72.627413528326059</v>
      </c>
      <c r="AD52" s="109">
        <v>75.785992703222092</v>
      </c>
      <c r="AE52" s="109">
        <v>79.31616942810588</v>
      </c>
      <c r="AF52" s="109">
        <v>83.287618243600178</v>
      </c>
      <c r="AG52" s="109">
        <v>87.788593567827036</v>
      </c>
      <c r="AH52" s="68">
        <v>92.93256536694345</v>
      </c>
      <c r="AI52" s="68">
        <v>98.867917442846945</v>
      </c>
      <c r="AJ52" s="68">
        <v>105.79249486473444</v>
      </c>
      <c r="AK52" s="68">
        <v>113.97608636332876</v>
      </c>
      <c r="AL52" s="68">
        <v>123.79639616164185</v>
      </c>
      <c r="AM52" s="68">
        <v>135.79899702624678</v>
      </c>
      <c r="AN52" s="68">
        <v>150.80224810700298</v>
      </c>
      <c r="AO52" s="69">
        <v>170.09214235368947</v>
      </c>
    </row>
    <row r="53" spans="1:41" ht="15.75" thickTop="1" x14ac:dyDescent="0.25">
      <c r="P53" s="110">
        <v>0.08</v>
      </c>
      <c r="Q53" s="111">
        <v>49.08514841162738</v>
      </c>
      <c r="R53" s="111">
        <v>50.16404618038834</v>
      </c>
      <c r="S53" s="111">
        <v>51.31487046706669</v>
      </c>
      <c r="T53" s="111">
        <v>52.54506194592976</v>
      </c>
      <c r="U53" s="112">
        <v>53.863124244711614</v>
      </c>
      <c r="V53" s="113">
        <v>55.278820787847692</v>
      </c>
      <c r="W53" s="113">
        <v>56.803417065071152</v>
      </c>
      <c r="X53" s="113">
        <v>58.449981044472501</v>
      </c>
      <c r="Y53" s="120">
        <v>60.233758688823947</v>
      </c>
      <c r="Z53" s="161">
        <v>62.172647432684215</v>
      </c>
      <c r="AA53" s="132">
        <v>64.287798789622713</v>
      </c>
      <c r="AB53" s="155">
        <v>66.604393132936281</v>
      </c>
      <c r="AC53" s="155">
        <v>69.152646910581197</v>
      </c>
      <c r="AD53" s="109">
        <v>71.969137927978238</v>
      </c>
      <c r="AE53" s="109">
        <v>75.098572391752697</v>
      </c>
      <c r="AF53" s="109">
        <v>78.596175615971248</v>
      </c>
      <c r="AG53" s="109">
        <v>82.530979243217104</v>
      </c>
      <c r="AH53" s="68">
        <v>86.990423354095725</v>
      </c>
      <c r="AI53" s="68">
        <v>92.086930909385586</v>
      </c>
      <c r="AJ53" s="68">
        <v>97.967516550104662</v>
      </c>
      <c r="AK53" s="68">
        <v>104.82819979761025</v>
      </c>
      <c r="AL53" s="68">
        <v>112.93627999920776</v>
      </c>
      <c r="AM53" s="68">
        <v>122.66597624112475</v>
      </c>
      <c r="AN53" s="68">
        <v>134.55782720346778</v>
      </c>
      <c r="AO53" s="69">
        <v>149.42264090639651</v>
      </c>
    </row>
    <row r="54" spans="1:41" ht="15.75" thickBot="1" x14ac:dyDescent="0.3">
      <c r="A54" t="s">
        <v>474</v>
      </c>
      <c r="B54" s="51">
        <f>B50-B51+B52</f>
        <v>17874894003.253796</v>
      </c>
      <c r="P54" s="110">
        <v>8.2500000000000004E-2</v>
      </c>
      <c r="Q54" s="111">
        <v>47.640743440466203</v>
      </c>
      <c r="R54" s="111">
        <v>48.6449231707645</v>
      </c>
      <c r="S54" s="111">
        <v>49.713888690114288</v>
      </c>
      <c r="T54" s="111">
        <v>50.854118577420728</v>
      </c>
      <c r="U54" s="114">
        <v>52.072985008679353</v>
      </c>
      <c r="V54" s="111">
        <v>53.378913327885016</v>
      </c>
      <c r="W54" s="111">
        <v>54.781577078142938</v>
      </c>
      <c r="X54" s="111">
        <v>56.292138039959177</v>
      </c>
      <c r="Y54" s="121">
        <v>57.923543878720714</v>
      </c>
      <c r="Z54" s="111">
        <v>59.69090020404569</v>
      </c>
      <c r="AA54" s="133">
        <v>61.611939688094601</v>
      </c>
      <c r="AB54" s="155">
        <v>63.707619125238871</v>
      </c>
      <c r="AC54" s="155">
        <v>66.002887080206392</v>
      </c>
      <c r="AD54" s="109">
        <v>68.527681830670659</v>
      </c>
      <c r="AE54" s="109">
        <v>71.318244449604862</v>
      </c>
      <c r="AF54" s="109">
        <v>74.418869581753967</v>
      </c>
      <c r="AG54" s="109">
        <v>77.884274141214746</v>
      </c>
      <c r="AH54" s="68">
        <v>81.782854270608098</v>
      </c>
      <c r="AI54" s="68">
        <v>86.201245083920583</v>
      </c>
      <c r="AJ54" s="68">
        <v>91.250834584849144</v>
      </c>
      <c r="AK54" s="68">
        <v>97.077284008997452</v>
      </c>
      <c r="AL54" s="68">
        <v>103.87480833717051</v>
      </c>
      <c r="AM54" s="68">
        <v>111.90824617955681</v>
      </c>
      <c r="AN54" s="68">
        <v>121.5483715904204</v>
      </c>
      <c r="AO54" s="69">
        <v>133.33074709258702</v>
      </c>
    </row>
    <row r="55" spans="1:41" ht="18" customHeight="1" thickBot="1" x14ac:dyDescent="0.4">
      <c r="A55" s="49" t="s">
        <v>473</v>
      </c>
      <c r="B55" s="148">
        <f>B54/B26</f>
        <v>48.028615054963481</v>
      </c>
      <c r="P55" s="110">
        <v>8.5000000000000006E-2</v>
      </c>
      <c r="Q55" s="111">
        <v>46.278174382730519</v>
      </c>
      <c r="R55" s="111">
        <v>47.214604082669766</v>
      </c>
      <c r="S55" s="111">
        <v>48.209560638855223</v>
      </c>
      <c r="T55" s="111">
        <v>49.268707940601033</v>
      </c>
      <c r="U55" s="114">
        <v>50.398465062463224</v>
      </c>
      <c r="V55" s="111">
        <v>51.606136468591778</v>
      </c>
      <c r="W55" s="111">
        <v>52.900070118015222</v>
      </c>
      <c r="X55" s="111">
        <v>54.289850704433</v>
      </c>
      <c r="Y55" s="121">
        <v>55.786537489805994</v>
      </c>
      <c r="Z55" s="111">
        <v>57.402959218008817</v>
      </c>
      <c r="AA55" s="133">
        <v>59.154082756895207</v>
      </c>
      <c r="AB55" s="155">
        <v>61.05747790785869</v>
      </c>
      <c r="AC55" s="155">
        <v>63.133908981637028</v>
      </c>
      <c r="AD55" s="109">
        <v>65.408095395775206</v>
      </c>
      <c r="AE55" s="109">
        <v>67.909700451327211</v>
      </c>
      <c r="AF55" s="109">
        <v>70.674632354832056</v>
      </c>
      <c r="AG55" s="109">
        <v>73.74677891428189</v>
      </c>
      <c r="AH55" s="68">
        <v>77.180354480725796</v>
      </c>
      <c r="AI55" s="68">
        <v>81.043126992975189</v>
      </c>
      <c r="AJ55" s="68">
        <v>85.420935840191206</v>
      </c>
      <c r="AK55" s="68">
        <v>90.424145951295202</v>
      </c>
      <c r="AL55" s="68">
        <v>96.197080694876746</v>
      </c>
      <c r="AM55" s="68">
        <v>102.9321712290552</v>
      </c>
      <c r="AN55" s="68">
        <v>110.89182367853887</v>
      </c>
      <c r="AO55" s="69">
        <v>120.44340661791919</v>
      </c>
    </row>
    <row r="56" spans="1:41" x14ac:dyDescent="0.25">
      <c r="P56" s="110">
        <v>8.7499999999999994E-2</v>
      </c>
      <c r="Q56" s="111">
        <v>44.990478819922437</v>
      </c>
      <c r="R56" s="111">
        <v>45.865307404903824</v>
      </c>
      <c r="S56" s="111">
        <v>46.793155904126493</v>
      </c>
      <c r="T56" s="111">
        <v>47.778994934550589</v>
      </c>
      <c r="U56" s="114">
        <v>48.828436483066568</v>
      </c>
      <c r="V56" s="111">
        <v>49.947840801483594</v>
      </c>
      <c r="W56" s="111">
        <v>51.144445417722494</v>
      </c>
      <c r="X56" s="111">
        <v>52.426521792264182</v>
      </c>
      <c r="Y56" s="121">
        <v>53.803566787142287</v>
      </c>
      <c r="Z56" s="111">
        <v>55.286538320087928</v>
      </c>
      <c r="AA56" s="133">
        <v>56.888147575669215</v>
      </c>
      <c r="AB56" s="155">
        <v>58.623224269215633</v>
      </c>
      <c r="AC56" s="155">
        <v>60.509177196983465</v>
      </c>
      <c r="AD56" s="109">
        <v>62.566580390912009</v>
      </c>
      <c r="AE56" s="109">
        <v>64.819926746167084</v>
      </c>
      <c r="AF56" s="109">
        <v>67.298607736947687</v>
      </c>
      <c r="AG56" s="109">
        <v>70.038202516231479</v>
      </c>
      <c r="AH56" s="68">
        <v>73.0821967154357</v>
      </c>
      <c r="AI56" s="68">
        <v>76.484307879252157</v>
      </c>
      <c r="AJ56" s="68">
        <v>80.311682938545744</v>
      </c>
      <c r="AK56" s="68">
        <v>84.649374672411767</v>
      </c>
      <c r="AL56" s="68">
        <v>89.606736653972902</v>
      </c>
      <c r="AM56" s="68">
        <v>95.326769709620407</v>
      </c>
      <c r="AN56" s="68">
        <v>102.00014160787583</v>
      </c>
      <c r="AO56" s="69">
        <v>109.88685385126858</v>
      </c>
    </row>
    <row r="57" spans="1:41" ht="15.75" thickBot="1" x14ac:dyDescent="0.3">
      <c r="P57" s="110">
        <v>0.09</v>
      </c>
      <c r="Q57" s="111">
        <v>43.771466977542573</v>
      </c>
      <c r="R57" s="111">
        <v>44.590139948627879</v>
      </c>
      <c r="S57" s="111">
        <v>45.456970153306422</v>
      </c>
      <c r="T57" s="111">
        <v>46.376335521904906</v>
      </c>
      <c r="U57" s="114">
        <v>47.353161226040768</v>
      </c>
      <c r="V57" s="111">
        <v>48.393007943346689</v>
      </c>
      <c r="W57" s="111">
        <v>49.502177775139678</v>
      </c>
      <c r="X57" s="111">
        <v>50.68784207809081</v>
      </c>
      <c r="Y57" s="122">
        <v>51.958196688395589</v>
      </c>
      <c r="Z57" s="162">
        <v>53.32265164020442</v>
      </c>
      <c r="AA57" s="134">
        <v>54.792064665229319</v>
      </c>
      <c r="AB57" s="155">
        <v>56.379030732256219</v>
      </c>
      <c r="AC57" s="155">
        <v>58.098243971535361</v>
      </c>
      <c r="AD57" s="109">
        <v>59.966954014230083</v>
      </c>
      <c r="AE57" s="109">
        <v>62.005546788078846</v>
      </c>
      <c r="AF57" s="109">
        <v>64.238291254675133</v>
      </c>
      <c r="AG57" s="109">
        <v>66.694310167931036</v>
      </c>
      <c r="AH57" s="68">
        <v>69.408857387845444</v>
      </c>
      <c r="AI57" s="68">
        <v>72.425020965528134</v>
      </c>
      <c r="AJ57" s="68">
        <v>75.796027317055874</v>
      </c>
      <c r="AK57" s="68">
        <v>79.588409462524567</v>
      </c>
      <c r="AL57" s="68">
        <v>83.886442560722372</v>
      </c>
      <c r="AM57" s="68">
        <v>88.798480387234193</v>
      </c>
      <c r="AN57" s="68">
        <v>94.466216340901696</v>
      </c>
      <c r="AO57" s="69">
        <v>101.07857495351374</v>
      </c>
    </row>
    <row r="58" spans="1:41" ht="15.75" thickTop="1" x14ac:dyDescent="0.25">
      <c r="P58" s="110">
        <v>9.2499999999999999E-2</v>
      </c>
      <c r="Q58" s="111">
        <v>42.615617333262747</v>
      </c>
      <c r="R58" s="111">
        <v>43.38297348946351</v>
      </c>
      <c r="S58" s="111">
        <v>44.194178568875721</v>
      </c>
      <c r="T58" s="111">
        <v>45.053101594135718</v>
      </c>
      <c r="U58" s="114">
        <v>45.964080560320554</v>
      </c>
      <c r="V58" s="111">
        <v>46.931995711891936</v>
      </c>
      <c r="W58" s="111">
        <v>47.962357002274388</v>
      </c>
      <c r="X58" s="111">
        <v>49.061409045349009</v>
      </c>
      <c r="Y58" s="111">
        <v>50.236257781049467</v>
      </c>
      <c r="Z58" s="111">
        <v>51.49502428358565</v>
      </c>
      <c r="AA58" s="115">
        <v>52.847032749272692</v>
      </c>
      <c r="AB58" s="109">
        <v>54.303041866166403</v>
      </c>
      <c r="AC58" s="109">
        <v>55.875531712411622</v>
      </c>
      <c r="AD58" s="109">
        <v>57.579062379177259</v>
      </c>
      <c r="AE58" s="109">
        <v>59.430726147400797</v>
      </c>
      <c r="AF58" s="109">
        <v>61.450722985462853</v>
      </c>
      <c r="AG58" s="109">
        <v>63.663100474768889</v>
      </c>
      <c r="AH58" s="68">
        <v>66.096715713005537</v>
      </c>
      <c r="AI58" s="68">
        <v>68.786500976319715</v>
      </c>
      <c r="AJ58" s="68">
        <v>71.775151268891051</v>
      </c>
      <c r="AK58" s="68">
        <v>75.115407478235468</v>
      </c>
      <c r="AL58" s="68">
        <v>78.873195713747933</v>
      </c>
      <c r="AM58" s="68">
        <v>83.13202238066205</v>
      </c>
      <c r="AN58" s="68">
        <v>87.99925285713536</v>
      </c>
      <c r="AO58" s="69">
        <v>93.615288022296852</v>
      </c>
    </row>
    <row r="59" spans="1:41" x14ac:dyDescent="0.25">
      <c r="P59" s="110">
        <v>9.5000000000000001E-2</v>
      </c>
      <c r="Q59" s="111">
        <v>41.517988707579995</v>
      </c>
      <c r="R59" s="111">
        <v>42.23834141312183</v>
      </c>
      <c r="S59" s="111">
        <v>42.998713713415981</v>
      </c>
      <c r="T59" s="111">
        <v>43.802535859441214</v>
      </c>
      <c r="U59" s="114">
        <v>44.653641661114996</v>
      </c>
      <c r="V59" s="111">
        <v>45.556329632587193</v>
      </c>
      <c r="W59" s="111">
        <v>46.515435602276398</v>
      </c>
      <c r="X59" s="111">
        <v>47.536419376461694</v>
      </c>
      <c r="Y59" s="111">
        <v>48.625468735592669</v>
      </c>
      <c r="Z59" s="111">
        <v>49.789624947077485</v>
      </c>
      <c r="AA59" s="115">
        <v>51.036935173668383</v>
      </c>
      <c r="AB59" s="109">
        <v>52.376638750377126</v>
      </c>
      <c r="AC59" s="109">
        <v>53.819396448371137</v>
      </c>
      <c r="AD59" s="109">
        <v>55.377574762204674</v>
      </c>
      <c r="AE59" s="109">
        <v>57.065601268857677</v>
      </c>
      <c r="AF59" s="109">
        <v>58.900412689132686</v>
      </c>
      <c r="AG59" s="109">
        <v>60.902025147614523</v>
      </c>
      <c r="AH59" s="68">
        <v>63.094267364046978</v>
      </c>
      <c r="AI59" s="68">
        <v>65.505733802122705</v>
      </c>
      <c r="AJ59" s="68">
        <v>68.171038812627472</v>
      </c>
      <c r="AK59" s="68">
        <v>71.132488824299401</v>
      </c>
      <c r="AL59" s="68">
        <v>74.442344719697445</v>
      </c>
      <c r="AM59" s="68">
        <v>78.165932602020234</v>
      </c>
      <c r="AN59" s="68">
        <v>82.385998868652777</v>
      </c>
      <c r="AO59" s="69">
        <v>87.20893174480419</v>
      </c>
    </row>
    <row r="60" spans="1:41" ht="15.75" thickBot="1" x14ac:dyDescent="0.3">
      <c r="P60" s="110">
        <v>9.7500000000000003E-2</v>
      </c>
      <c r="Q60" s="111">
        <v>40.474145878569395</v>
      </c>
      <c r="R60" s="111">
        <v>41.151351679714502</v>
      </c>
      <c r="S60" s="111">
        <v>41.86516319984041</v>
      </c>
      <c r="T60" s="111">
        <v>42.618630915528897</v>
      </c>
      <c r="U60" s="114">
        <v>43.415153929256689</v>
      </c>
      <c r="V60" s="111">
        <v>44.258531237909665</v>
      </c>
      <c r="W60" s="111">
        <v>45.153022322844642</v>
      </c>
      <c r="X60" s="111">
        <v>46.103419100588056</v>
      </c>
      <c r="Y60" s="111">
        <v>47.115131799476202</v>
      </c>
      <c r="Z60" s="111">
        <v>48.194292011623546</v>
      </c>
      <c r="AA60" s="115">
        <v>49.347877065987959</v>
      </c>
      <c r="AB60" s="109">
        <v>50.583861052806981</v>
      </c>
      <c r="AC60" s="109">
        <v>51.911399409019999</v>
      </c>
      <c r="AD60" s="109">
        <v>53.341056100326327</v>
      </c>
      <c r="AE60" s="109">
        <v>54.885085326937158</v>
      </c>
      <c r="AF60" s="109">
        <v>56.557783655765576</v>
      </c>
      <c r="AG60" s="109">
        <v>58.375934013187752</v>
      </c>
      <c r="AH60" s="68">
        <v>60.359370766739218</v>
      </c>
      <c r="AI60" s="68">
        <v>62.531706258724142</v>
      </c>
      <c r="AJ60" s="68">
        <v>64.921275299907578</v>
      </c>
      <c r="AK60" s="68">
        <v>67.562377924373479</v>
      </c>
      <c r="AL60" s="68">
        <v>70.496936396002255</v>
      </c>
      <c r="AM60" s="68">
        <v>73.77673704076382</v>
      </c>
      <c r="AN60" s="68">
        <v>77.466512766120587</v>
      </c>
      <c r="AO60" s="69">
        <v>81.648258588191595</v>
      </c>
    </row>
    <row r="61" spans="1:41" ht="15.75" thickTop="1" x14ac:dyDescent="0.25">
      <c r="A61" s="50" t="s">
        <v>472</v>
      </c>
      <c r="P61" s="110">
        <v>0.1</v>
      </c>
      <c r="Q61" s="111">
        <v>39.480096354028156</v>
      </c>
      <c r="R61" s="111">
        <v>40.117613177762081</v>
      </c>
      <c r="S61" s="111">
        <v>40.788683518534626</v>
      </c>
      <c r="T61" s="111">
        <v>41.496027931781363</v>
      </c>
      <c r="U61" s="124">
        <v>42.242669256875125</v>
      </c>
      <c r="V61" s="125">
        <v>43.031975800545702</v>
      </c>
      <c r="W61" s="126">
        <v>43.867712140902775</v>
      </c>
      <c r="X61" s="111">
        <v>44.754099168554212</v>
      </c>
      <c r="Y61" s="111">
        <v>45.695885385433861</v>
      </c>
      <c r="Z61" s="111">
        <v>46.698432003402516</v>
      </c>
      <c r="AA61" s="115">
        <v>47.767815062569085</v>
      </c>
      <c r="AB61" s="109">
        <v>48.910948677540254</v>
      </c>
      <c r="AC61" s="109">
        <v>50.135734693580787</v>
      </c>
      <c r="AD61" s="109">
        <v>51.451245599698382</v>
      </c>
      <c r="AE61" s="109">
        <v>52.867949652440444</v>
      </c>
      <c r="AF61" s="109">
        <v>54.397990029401846</v>
      </c>
      <c r="AG61" s="109">
        <v>56.055533771110035</v>
      </c>
      <c r="AH61" s="68">
        <v>57.857211751227624</v>
      </c>
      <c r="AI61" s="68">
        <v>59.822678638628624</v>
      </c>
      <c r="AJ61" s="68">
        <v>61.975332848639269</v>
      </c>
      <c r="AK61" s="68">
        <v>64.343252479650971</v>
      </c>
      <c r="AL61" s="68">
        <v>66.960426808663883</v>
      </c>
      <c r="AM61" s="68">
        <v>69.868398285344909</v>
      </c>
      <c r="AN61" s="68">
        <v>73.118484053400195</v>
      </c>
      <c r="AO61" s="69">
        <v>76.774830542462354</v>
      </c>
    </row>
    <row r="62" spans="1:41" x14ac:dyDescent="0.25">
      <c r="A62" t="s">
        <v>471</v>
      </c>
      <c r="B62" s="51">
        <f>S4*1000000</f>
        <v>1354785092.7811186</v>
      </c>
      <c r="P62" s="110">
        <v>0.10249999999999999</v>
      </c>
      <c r="Q62" s="111">
        <v>38.532236396100615</v>
      </c>
      <c r="R62" s="111">
        <v>39.133173124713281</v>
      </c>
      <c r="S62" s="111">
        <v>39.76492712145992</v>
      </c>
      <c r="T62" s="111">
        <v>40.429931328561658</v>
      </c>
      <c r="U62" s="127">
        <v>41.130881709020237</v>
      </c>
      <c r="V62" s="111">
        <v>41.870773777282082</v>
      </c>
      <c r="W62" s="128">
        <v>42.652945392301724</v>
      </c>
      <c r="X62" s="111">
        <v>43.481127102322539</v>
      </c>
      <c r="Y62" s="111">
        <v>44.359501643253708</v>
      </c>
      <c r="Z62" s="111">
        <v>45.292774592993084</v>
      </c>
      <c r="AA62" s="115">
        <v>46.286258700780131</v>
      </c>
      <c r="AB62" s="109">
        <v>47.345975082419677</v>
      </c>
      <c r="AC62" s="109">
        <v>48.478775352448139</v>
      </c>
      <c r="AD62" s="109">
        <v>49.692489927478647</v>
      </c>
      <c r="AE62" s="109">
        <v>50.996109285844739</v>
      </c>
      <c r="AF62" s="109">
        <v>52.400007056392838</v>
      </c>
      <c r="AG62" s="109">
        <v>53.916216648584786</v>
      </c>
      <c r="AH62" s="68">
        <v>55.558777040126074</v>
      </c>
      <c r="AI62" s="68">
        <v>57.344168770062225</v>
      </c>
      <c r="AJ62" s="68">
        <v>59.291868839083534</v>
      </c>
      <c r="AK62" s="68">
        <v>61.425064152773516</v>
      </c>
      <c r="AL62" s="68">
        <v>63.771578997832478</v>
      </c>
      <c r="AM62" s="68">
        <v>66.365095405529232</v>
      </c>
      <c r="AN62" s="68">
        <v>69.24678030297008</v>
      </c>
      <c r="AO62" s="69">
        <v>72.467486953050994</v>
      </c>
    </row>
    <row r="63" spans="1:41" x14ac:dyDescent="0.25">
      <c r="A63" t="s">
        <v>470</v>
      </c>
      <c r="B63" s="51">
        <f>N4*1000000</f>
        <v>1162600000</v>
      </c>
      <c r="P63" s="110">
        <v>0.105</v>
      </c>
      <c r="Q63" s="111">
        <v>37.627304756312405</v>
      </c>
      <c r="R63" s="111">
        <v>38.194463627994196</v>
      </c>
      <c r="S63" s="111">
        <v>38.789980443260077</v>
      </c>
      <c r="T63" s="111">
        <v>39.41603658238575</v>
      </c>
      <c r="U63" s="127">
        <v>40.075043044623293</v>
      </c>
      <c r="V63" s="111">
        <v>40.769671477792599</v>
      </c>
      <c r="W63" s="128">
        <v>41.50289037947131</v>
      </c>
      <c r="X63" s="111">
        <v>42.278007504103087</v>
      </c>
      <c r="Y63" s="111">
        <v>43.098719753713219</v>
      </c>
      <c r="Z63" s="111">
        <v>43.969172139663328</v>
      </c>
      <c r="AA63" s="115">
        <v>44.894027799735348</v>
      </c>
      <c r="AB63" s="109">
        <v>45.878551566908776</v>
      </c>
      <c r="AC63" s="109">
        <v>46.928710251893776</v>
      </c>
      <c r="AD63" s="109">
        <v>48.051293673774275</v>
      </c>
      <c r="AE63" s="109">
        <v>49.254061625789113</v>
      </c>
      <c r="AF63" s="109">
        <v>50.545923500175405</v>
      </c>
      <c r="AG63" s="109">
        <v>51.937159364899124</v>
      </c>
      <c r="AH63" s="68">
        <v>53.439694098800729</v>
      </c>
      <c r="AI63" s="68">
        <v>55.06744006052746</v>
      </c>
      <c r="AJ63" s="68">
        <v>56.836729149360885</v>
      </c>
      <c r="AK63" s="68">
        <v>58.766862700815508</v>
      </c>
      <c r="AL63" s="68">
        <v>60.880818495265807</v>
      </c>
      <c r="AM63" s="68">
        <v>63.206169869161158</v>
      </c>
      <c r="AN63" s="68">
        <v>65.776295071887589</v>
      </c>
      <c r="AO63" s="69">
        <v>68.631989741583624</v>
      </c>
    </row>
    <row r="64" spans="1:41" ht="15.75" thickBot="1" x14ac:dyDescent="0.3">
      <c r="A64" t="s">
        <v>469</v>
      </c>
      <c r="B64" s="51">
        <f>B31+B30-B52</f>
        <v>12791210733.24</v>
      </c>
      <c r="P64" s="110">
        <v>0.1075</v>
      </c>
      <c r="Q64" s="111">
        <v>36.762342865840715</v>
      </c>
      <c r="R64" s="111">
        <v>37.298255879842436</v>
      </c>
      <c r="S64" s="111">
        <v>37.860310992088138</v>
      </c>
      <c r="T64" s="111">
        <v>38.45046885994612</v>
      </c>
      <c r="U64" s="127">
        <v>39.070891233848101</v>
      </c>
      <c r="V64" s="111">
        <v>39.723967416902816</v>
      </c>
      <c r="W64" s="128">
        <v>40.412345015257799</v>
      </c>
      <c r="X64" s="111">
        <v>41.138965813521388</v>
      </c>
      <c r="Y64" s="111">
        <v>41.907107800257165</v>
      </c>
      <c r="Z64" s="111">
        <v>42.720434609742135</v>
      </c>
      <c r="AA64" s="115">
        <v>43.583053953135277</v>
      </c>
      <c r="AB64" s="109">
        <v>44.499587005490461</v>
      </c>
      <c r="AC64" s="109">
        <v>45.475251222513741</v>
      </c>
      <c r="AD64" s="109">
        <v>46.515959720671908</v>
      </c>
      <c r="AE64" s="109">
        <v>47.62844121870306</v>
      </c>
      <c r="AF64" s="109">
        <v>48.820385680879291</v>
      </c>
      <c r="AG64" s="109">
        <v>50.100622325438941</v>
      </c>
      <c r="AH64" s="68">
        <v>51.479338711887785</v>
      </c>
      <c r="AI64" s="68">
        <v>52.968352409252546</v>
      </c>
      <c r="AJ64" s="68">
        <v>54.581450581397711</v>
      </c>
      <c r="AK64" s="68">
        <v>56.334818159816365</v>
      </c>
      <c r="AL64" s="68">
        <v>58.24758279081852</v>
      </c>
      <c r="AM64" s="68">
        <v>60.342515481916131</v>
      </c>
      <c r="AN64" s="68">
        <v>62.646941442123513</v>
      </c>
      <c r="AO64" s="69">
        <v>65.193938556036912</v>
      </c>
    </row>
    <row r="65" spans="1:41" ht="15.75" thickBot="1" x14ac:dyDescent="0.3">
      <c r="B65" s="52" t="s">
        <v>468</v>
      </c>
      <c r="C65" s="53">
        <v>-5</v>
      </c>
      <c r="D65" s="54">
        <v>-4</v>
      </c>
      <c r="E65" s="54">
        <v>-3</v>
      </c>
      <c r="F65" s="135">
        <v>-2</v>
      </c>
      <c r="G65" s="135">
        <v>-1</v>
      </c>
      <c r="H65" s="136">
        <v>1</v>
      </c>
      <c r="I65" s="135">
        <v>2</v>
      </c>
      <c r="J65" s="54">
        <v>3</v>
      </c>
      <c r="K65" s="54">
        <v>4</v>
      </c>
      <c r="L65" s="55">
        <v>5</v>
      </c>
      <c r="P65" s="110">
        <v>0.11</v>
      </c>
      <c r="Q65" s="111">
        <v>35.934660454058552</v>
      </c>
      <c r="R65" s="111">
        <v>36.441620743224597</v>
      </c>
      <c r="S65" s="111">
        <v>36.972721998541388</v>
      </c>
      <c r="T65" s="111">
        <v>37.52973063216632</v>
      </c>
      <c r="U65" s="129">
        <v>38.114589697472496</v>
      </c>
      <c r="V65" s="130">
        <v>38.729441535358482</v>
      </c>
      <c r="W65" s="131">
        <v>39.376653996291104</v>
      </c>
      <c r="X65" s="116">
        <v>40.058850914571423</v>
      </c>
      <c r="Y65" s="116">
        <v>40.778947661645105</v>
      </c>
      <c r="Z65" s="116">
        <v>41.540192794265842</v>
      </c>
      <c r="AA65" s="117">
        <v>42.346217052334858</v>
      </c>
      <c r="AB65" s="109">
        <v>43.201091265438372</v>
      </c>
      <c r="AC65" s="109">
        <v>44.109395116860846</v>
      </c>
      <c r="AD65" s="109">
        <v>45.076299216762187</v>
      </c>
      <c r="AE65" s="109">
        <v>46.107663589990295</v>
      </c>
      <c r="AF65" s="109">
        <v>47.210156540682405</v>
      </c>
      <c r="AG65" s="109">
        <v>48.391398987852519</v>
      </c>
      <c r="AH65" s="68">
        <v>49.660140875553751</v>
      </c>
      <c r="AI65" s="68">
        <v>51.026478293078164</v>
      </c>
      <c r="AJ65" s="68">
        <v>52.502122704004535</v>
      </c>
      <c r="AK65" s="68">
        <v>54.100737482508094</v>
      </c>
      <c r="AL65" s="68">
        <v>55.838362241751085</v>
      </c>
      <c r="AM65" s="68">
        <v>57.733952888197983</v>
      </c>
      <c r="AN65" s="68">
        <v>59.810075977163663</v>
      </c>
      <c r="AO65" s="69">
        <v>62.093811375025879</v>
      </c>
    </row>
    <row r="66" spans="1:41" ht="15.75" thickTop="1" x14ac:dyDescent="0.25">
      <c r="A66" t="s">
        <v>467</v>
      </c>
      <c r="B66" s="62">
        <f>B64/B63</f>
        <v>11.002245598864613</v>
      </c>
      <c r="C66" s="63">
        <f t="shared" ref="C66:L66" si="5">$B$66+C65</f>
        <v>6.0022455988646133</v>
      </c>
      <c r="D66" s="64">
        <f t="shared" si="5"/>
        <v>7.0022455988646133</v>
      </c>
      <c r="E66" s="64">
        <f t="shared" si="5"/>
        <v>8.0022455988646133</v>
      </c>
      <c r="F66" s="137">
        <f t="shared" si="5"/>
        <v>9.0022455988646133</v>
      </c>
      <c r="G66" s="137">
        <f t="shared" si="5"/>
        <v>10.002245598864613</v>
      </c>
      <c r="H66" s="138">
        <f t="shared" si="5"/>
        <v>12.002245598864613</v>
      </c>
      <c r="I66" s="137">
        <f t="shared" si="5"/>
        <v>13.002245598864613</v>
      </c>
      <c r="J66" s="64">
        <f t="shared" si="5"/>
        <v>14.002245598864613</v>
      </c>
      <c r="K66" s="64">
        <f t="shared" si="5"/>
        <v>15.002245598864613</v>
      </c>
      <c r="L66" s="65">
        <f t="shared" si="5"/>
        <v>16.002245598864612</v>
      </c>
      <c r="P66" s="67">
        <v>0.1125</v>
      </c>
      <c r="Q66" s="68">
        <v>35.141805750963599</v>
      </c>
      <c r="R66" s="68">
        <v>35.621894712082842</v>
      </c>
      <c r="S66" s="109">
        <v>36.124313392323906</v>
      </c>
      <c r="T66" s="109">
        <v>36.650656771624071</v>
      </c>
      <c r="U66" s="109">
        <v>37.202675437719357</v>
      </c>
      <c r="V66" s="109">
        <v>37.782295037119418</v>
      </c>
      <c r="W66" s="109">
        <v>38.391638718539994</v>
      </c>
      <c r="X66" s="109">
        <v>39.033053120035333</v>
      </c>
      <c r="Y66" s="109">
        <v>39.709138570260151</v>
      </c>
      <c r="Z66" s="109">
        <v>40.422784323275238</v>
      </c>
      <c r="AA66" s="109">
        <v>41.177209833605467</v>
      </c>
      <c r="AB66" s="109">
        <v>41.976013315131596</v>
      </c>
      <c r="AC66" s="109">
        <v>42.823229128871425</v>
      </c>
      <c r="AD66" s="109">
        <v>43.723395930970014</v>
      </c>
      <c r="AE66" s="109">
        <v>44.681638010623338</v>
      </c>
      <c r="AF66" s="109">
        <v>45.703762895586884</v>
      </c>
      <c r="AG66" s="109">
        <v>46.796379151927205</v>
      </c>
      <c r="AH66" s="68">
        <v>47.967039426577571</v>
      </c>
      <c r="AI66" s="68">
        <v>49.22441527712796</v>
      </c>
      <c r="AJ66" s="68">
        <v>50.578512346951477</v>
      </c>
      <c r="AK66" s="68">
        <v>52.04093718236085</v>
      </c>
      <c r="AL66" s="68">
        <v>53.625230754054336</v>
      </c>
      <c r="AM66" s="68">
        <v>55.347288984155952</v>
      </c>
      <c r="AN66" s="68">
        <v>57.225897962448641</v>
      </c>
      <c r="AO66" s="69">
        <v>59.283422081531093</v>
      </c>
    </row>
    <row r="67" spans="1:41" x14ac:dyDescent="0.25">
      <c r="A67" t="s">
        <v>466</v>
      </c>
      <c r="B67" s="62">
        <f>$B$62*B66</f>
        <v>14905678324.458448</v>
      </c>
      <c r="C67" s="63">
        <f t="shared" ref="C67:L67" si="6">$B$62*C66</f>
        <v>8131752860.5528564</v>
      </c>
      <c r="D67" s="64">
        <f t="shared" si="6"/>
        <v>9486537953.3339748</v>
      </c>
      <c r="E67" s="64">
        <f t="shared" si="6"/>
        <v>10841323046.115093</v>
      </c>
      <c r="F67" s="137">
        <f t="shared" si="6"/>
        <v>12196108138.896212</v>
      </c>
      <c r="G67" s="137">
        <f t="shared" si="6"/>
        <v>13550893231.67733</v>
      </c>
      <c r="H67" s="139">
        <f t="shared" si="6"/>
        <v>16260463417.239569</v>
      </c>
      <c r="I67" s="137">
        <f t="shared" si="6"/>
        <v>17615248510.020687</v>
      </c>
      <c r="J67" s="64">
        <f t="shared" si="6"/>
        <v>18970033602.801804</v>
      </c>
      <c r="K67" s="64">
        <f t="shared" si="6"/>
        <v>20324818695.582924</v>
      </c>
      <c r="L67" s="65">
        <f t="shared" si="6"/>
        <v>21679603788.36404</v>
      </c>
      <c r="P67" s="67">
        <v>0.115</v>
      </c>
      <c r="Q67" s="68">
        <v>34.381539575950683</v>
      </c>
      <c r="R67" s="68">
        <v>34.836650409910696</v>
      </c>
      <c r="S67" s="109">
        <v>35.312448099959802</v>
      </c>
      <c r="T67" s="109">
        <v>35.810375915127466</v>
      </c>
      <c r="U67" s="109">
        <v>36.332014578636453</v>
      </c>
      <c r="V67" s="109">
        <v>36.879099030609289</v>
      </c>
      <c r="W67" s="109">
        <v>37.453537705180771</v>
      </c>
      <c r="X67" s="109">
        <v>38.057434773320026</v>
      </c>
      <c r="Y67" s="109">
        <v>38.693115897677124</v>
      </c>
      <c r="Z67" s="109">
        <v>39.36315816389137</v>
      </c>
      <c r="AA67" s="109">
        <v>40.070425000450847</v>
      </c>
      <c r="AB67" s="109">
        <v>40.818107084813725</v>
      </c>
      <c r="AC67" s="109">
        <v>41.609770468256762</v>
      </c>
      <c r="AD67" s="109">
        <v>42.449413450696362</v>
      </c>
      <c r="AE67" s="109">
        <v>43.341534119538437</v>
      </c>
      <c r="AF67" s="109">
        <v>44.291210960563859</v>
      </c>
      <c r="AG67" s="109">
        <v>45.30419959099099</v>
      </c>
      <c r="AH67" s="68">
        <v>46.387049506275162</v>
      </c>
      <c r="AI67" s="68">
        <v>47.547245844079633</v>
      </c>
      <c r="AJ67" s="68">
        <v>48.793382651351095</v>
      </c>
      <c r="AK67" s="68">
        <v>50.135376136104981</v>
      </c>
      <c r="AL67" s="68">
        <v>51.584729099639176</v>
      </c>
      <c r="AM67" s="68">
        <v>53.154861476801216</v>
      </c>
      <c r="AN67" s="68">
        <v>54.861527104151271</v>
      </c>
      <c r="AO67" s="69">
        <v>56.723344152169496</v>
      </c>
    </row>
    <row r="68" spans="1:41" x14ac:dyDescent="0.25">
      <c r="A68" s="56" t="s">
        <v>465</v>
      </c>
      <c r="B68" s="62">
        <f>B51</f>
        <v>2797100000</v>
      </c>
      <c r="C68" s="57"/>
      <c r="D68" s="68"/>
      <c r="E68" s="68"/>
      <c r="F68" s="109"/>
      <c r="G68" s="109"/>
      <c r="H68" s="140"/>
      <c r="I68" s="109"/>
      <c r="J68" s="68"/>
      <c r="K68" s="68"/>
      <c r="L68" s="69"/>
      <c r="P68" s="67">
        <v>0.11749999999999999</v>
      </c>
      <c r="Q68" s="68">
        <v>33.651812734118742</v>
      </c>
      <c r="R68" s="68">
        <v>34.083670936050879</v>
      </c>
      <c r="S68" s="109">
        <v>34.534722835846672</v>
      </c>
      <c r="T68" s="109">
        <v>35.006277094724091</v>
      </c>
      <c r="U68" s="109">
        <v>35.499764109828362</v>
      </c>
      <c r="V68" s="109">
        <v>36.016750506604268</v>
      </c>
      <c r="W68" s="109">
        <v>36.558955752003385</v>
      </c>
      <c r="X68" s="109">
        <v>37.128271259672466</v>
      </c>
      <c r="Y68" s="109">
        <v>37.7267824344015</v>
      </c>
      <c r="Z68" s="109">
        <v>38.356794197274148</v>
      </c>
      <c r="AA68" s="109">
        <v>39.020860650031828</v>
      </c>
      <c r="AB68" s="109">
        <v>39.721819683498261</v>
      </c>
      <c r="AC68" s="109">
        <v>40.462833518877062</v>
      </c>
      <c r="AD68" s="109">
        <v>41.247436403395781</v>
      </c>
      <c r="AE68" s="109">
        <v>42.079590977885346</v>
      </c>
      <c r="AF68" s="109">
        <v>42.963755213280507</v>
      </c>
      <c r="AG68" s="109">
        <v>43.904962302572123</v>
      </c>
      <c r="AH68" s="68">
        <v>44.908916531149849</v>
      </c>
      <c r="AI68" s="68">
        <v>45.982108982388105</v>
      </c>
      <c r="AJ68" s="68">
        <v>47.131958037286246</v>
      </c>
      <c r="AK68" s="68">
        <v>48.366981096250917</v>
      </c>
      <c r="AL68" s="68">
        <v>49.697005928982072</v>
      </c>
      <c r="AM68" s="68">
        <v>51.133432748331757</v>
      </c>
      <c r="AN68" s="68">
        <v>52.689561802627239</v>
      </c>
      <c r="AO68" s="69">
        <v>54.381006426861454</v>
      </c>
    </row>
    <row r="69" spans="1:41" x14ac:dyDescent="0.25">
      <c r="A69" s="56" t="s">
        <v>464</v>
      </c>
      <c r="B69" s="62">
        <f>B52</f>
        <v>906800000</v>
      </c>
      <c r="C69" s="57"/>
      <c r="D69" s="68"/>
      <c r="E69" s="68"/>
      <c r="F69" s="109"/>
      <c r="G69" s="109"/>
      <c r="H69" s="140"/>
      <c r="I69" s="109"/>
      <c r="J69" s="68"/>
      <c r="K69" s="68"/>
      <c r="L69" s="69"/>
      <c r="P69" s="67">
        <v>0.12</v>
      </c>
      <c r="Q69" s="68">
        <v>32.950746237769614</v>
      </c>
      <c r="R69" s="68">
        <v>33.360927486656635</v>
      </c>
      <c r="S69" s="109">
        <v>33.788942702886558</v>
      </c>
      <c r="T69" s="109">
        <v>34.235980817615605</v>
      </c>
      <c r="U69" s="109">
        <v>34.703338846650503</v>
      </c>
      <c r="V69" s="109">
        <v>35.192434458431215</v>
      </c>
      <c r="W69" s="109">
        <v>35.704820337439585</v>
      </c>
      <c r="X69" s="109">
        <v>36.242200649570322</v>
      </c>
      <c r="Y69" s="109">
        <v>36.80644997730758</v>
      </c>
      <c r="Z69" s="109">
        <v>37.399635168005723</v>
      </c>
      <c r="AA69" s="109">
        <v>38.024040631898515</v>
      </c>
      <c r="AB69" s="109">
        <v>38.682197742488214</v>
      </c>
      <c r="AC69" s="109">
        <v>39.376919136999554</v>
      </c>
      <c r="AD69" s="109">
        <v>40.111338896911555</v>
      </c>
      <c r="AE69" s="109">
        <v>40.888959819171312</v>
      </c>
      <c r="AF69" s="109">
        <v>41.713709282174086</v>
      </c>
      <c r="AG69" s="109">
        <v>42.590005586614538</v>
      </c>
      <c r="AH69" s="68">
        <v>43.522837136502751</v>
      </c>
      <c r="AI69" s="68">
        <v>44.51785745638351</v>
      </c>
      <c r="AJ69" s="68">
        <v>45.581499867290539</v>
      </c>
      <c r="AK69" s="68">
        <v>46.721116736119498</v>
      </c>
      <c r="AL69" s="68">
        <v>47.945149669306154</v>
      </c>
      <c r="AM69" s="68">
        <v>49.263338981968701</v>
      </c>
      <c r="AN69" s="68">
        <v>50.686983439644273</v>
      </c>
      <c r="AO69" s="69">
        <v>52.229264935459454</v>
      </c>
    </row>
    <row r="70" spans="1:41" x14ac:dyDescent="0.25">
      <c r="A70" t="s">
        <v>463</v>
      </c>
      <c r="B70" s="58">
        <f t="shared" ref="B70:L70" si="7">B67-$B$68+$B$69</f>
        <v>13015378324.458448</v>
      </c>
      <c r="C70" s="59">
        <f t="shared" si="7"/>
        <v>6241452860.5528564</v>
      </c>
      <c r="D70" s="60">
        <f t="shared" si="7"/>
        <v>7596237953.3339748</v>
      </c>
      <c r="E70" s="60">
        <f t="shared" si="7"/>
        <v>8951023046.1150932</v>
      </c>
      <c r="F70" s="141">
        <f t="shared" si="7"/>
        <v>10305808138.896212</v>
      </c>
      <c r="G70" s="141">
        <f t="shared" si="7"/>
        <v>11660593231.67733</v>
      </c>
      <c r="H70" s="142">
        <f t="shared" si="7"/>
        <v>14370163417.239569</v>
      </c>
      <c r="I70" s="141">
        <f t="shared" si="7"/>
        <v>15724948510.020687</v>
      </c>
      <c r="J70" s="60">
        <f t="shared" si="7"/>
        <v>17079733602.801804</v>
      </c>
      <c r="K70" s="60">
        <f t="shared" si="7"/>
        <v>18434518695.582924</v>
      </c>
      <c r="L70" s="61">
        <f t="shared" si="7"/>
        <v>19789303788.36404</v>
      </c>
      <c r="P70" s="67">
        <v>0.1225</v>
      </c>
      <c r="Q70" s="68">
        <v>32.276613949506888</v>
      </c>
      <c r="R70" s="68">
        <v>32.666559772768565</v>
      </c>
      <c r="S70" s="109">
        <v>33.073099035317973</v>
      </c>
      <c r="T70" s="109">
        <v>33.497313917978211</v>
      </c>
      <c r="U70" s="109">
        <v>33.940382795423368</v>
      </c>
      <c r="V70" s="109">
        <v>34.403591167297833</v>
      </c>
      <c r="W70" s="109">
        <v>34.888344114608337</v>
      </c>
      <c r="X70" s="109">
        <v>35.396180535600287</v>
      </c>
      <c r="Y70" s="109">
        <v>35.928789464933303</v>
      </c>
      <c r="Z70" s="109">
        <v>36.488028840732966</v>
      </c>
      <c r="AA70" s="109">
        <v>37.075947158881334</v>
      </c>
      <c r="AB70" s="109">
        <v>37.694808546405945</v>
      </c>
      <c r="AC70" s="109">
        <v>38.347121900823758</v>
      </c>
      <c r="AD70" s="109">
        <v>39.035674886042578</v>
      </c>
      <c r="AE70" s="109">
        <v>39.763573756131031</v>
      </c>
      <c r="AF70" s="109">
        <v>40.534290206812933</v>
      </c>
      <c r="AG70" s="109">
        <v>41.351716745414954</v>
      </c>
      <c r="AH70" s="68">
        <v>42.220232442679588</v>
      </c>
      <c r="AI70" s="68">
        <v>43.144781410735476</v>
      </c>
      <c r="AJ70" s="68">
        <v>44.130966976661796</v>
      </c>
      <c r="AK70" s="68">
        <v>45.185165340238171</v>
      </c>
      <c r="AL70" s="68">
        <v>46.314663586927168</v>
      </c>
      <c r="AM70" s="68">
        <v>47.527828370407924</v>
      </c>
      <c r="AN70" s="68">
        <v>48.834313521848756</v>
      </c>
      <c r="AO70" s="69">
        <v>50.245317485404833</v>
      </c>
    </row>
    <row r="71" spans="1:41" x14ac:dyDescent="0.25">
      <c r="A71" t="s">
        <v>462</v>
      </c>
      <c r="B71" s="62">
        <f>B26</f>
        <v>372171756</v>
      </c>
      <c r="C71" s="63"/>
      <c r="D71" s="64"/>
      <c r="E71" s="64"/>
      <c r="F71" s="137"/>
      <c r="G71" s="137"/>
      <c r="H71" s="139"/>
      <c r="I71" s="137"/>
      <c r="J71" s="64"/>
      <c r="K71" s="64"/>
      <c r="L71" s="65"/>
      <c r="P71" s="67">
        <v>0.125</v>
      </c>
      <c r="Q71" s="68">
        <v>31.627827307916558</v>
      </c>
      <c r="R71" s="68">
        <v>31.998858835925081</v>
      </c>
      <c r="S71" s="109">
        <v>32.385350010933962</v>
      </c>
      <c r="T71" s="109">
        <v>32.788287618921942</v>
      </c>
      <c r="U71" s="109">
        <v>33.208744253344186</v>
      </c>
      <c r="V71" s="109">
        <v>33.647887849296303</v>
      </c>
      <c r="W71" s="109">
        <v>34.106992517791696</v>
      </c>
      <c r="X71" s="109">
        <v>34.587450891798511</v>
      </c>
      <c r="Y71" s="109">
        <v>35.090788235996122</v>
      </c>
      <c r="Z71" s="109">
        <v>35.618678621374102</v>
      </c>
      <c r="AA71" s="109">
        <v>36.172963526020979</v>
      </c>
      <c r="AB71" s="109">
        <v>36.755673297572834</v>
      </c>
      <c r="AC71" s="109">
        <v>37.369052004469516</v>
      </c>
      <c r="AD71" s="109">
        <v>38.015586317144397</v>
      </c>
      <c r="AE71" s="109">
        <v>38.698039202745662</v>
      </c>
      <c r="AF71" s="109">
        <v>39.419489396095585</v>
      </c>
      <c r="AG71" s="109">
        <v>40.183377836113124</v>
      </c>
      <c r="AH71" s="68">
        <v>40.993562545222659</v>
      </c>
      <c r="AI71" s="68">
        <v>41.854383798651511</v>
      </c>
      <c r="AJ71" s="68">
        <v>42.770741907140319</v>
      </c>
      <c r="AK71" s="68">
        <v>43.748190556195034</v>
      </c>
      <c r="AL71" s="68">
        <v>44.79304945690869</v>
      </c>
      <c r="AM71" s="68">
        <v>45.912541136244755</v>
      </c>
      <c r="AN71" s="68">
        <v>47.114958125161273</v>
      </c>
      <c r="AO71" s="69">
        <v>48.409868728609837</v>
      </c>
    </row>
    <row r="72" spans="1:41" ht="27" thickBot="1" x14ac:dyDescent="0.45">
      <c r="A72" s="66" t="s">
        <v>461</v>
      </c>
      <c r="B72" s="66">
        <f t="shared" ref="B72:L72" si="8">B70/$B$71</f>
        <v>34.971429493586953</v>
      </c>
      <c r="C72" s="156">
        <f t="shared" si="8"/>
        <v>16.770356051824784</v>
      </c>
      <c r="D72" s="157">
        <f t="shared" si="8"/>
        <v>20.410570740177217</v>
      </c>
      <c r="E72" s="157">
        <f t="shared" si="8"/>
        <v>24.050785428529654</v>
      </c>
      <c r="F72" s="158">
        <f t="shared" si="8"/>
        <v>27.691000116882087</v>
      </c>
      <c r="G72" s="158">
        <f t="shared" si="8"/>
        <v>31.331214805234524</v>
      </c>
      <c r="H72" s="159">
        <f t="shared" si="8"/>
        <v>38.611644181939397</v>
      </c>
      <c r="I72" s="158">
        <f t="shared" si="8"/>
        <v>42.251858870291834</v>
      </c>
      <c r="J72" s="157">
        <f t="shared" si="8"/>
        <v>45.892073558644263</v>
      </c>
      <c r="K72" s="157">
        <f t="shared" si="8"/>
        <v>49.5322882469967</v>
      </c>
      <c r="L72" s="160">
        <f t="shared" si="8"/>
        <v>53.172502935349129</v>
      </c>
      <c r="P72" s="67">
        <v>0.1275</v>
      </c>
      <c r="Q72" s="68">
        <v>31.002921849991083</v>
      </c>
      <c r="R72" s="68">
        <v>31.356251925657993</v>
      </c>
      <c r="S72" s="109">
        <v>31.724003637066392</v>
      </c>
      <c r="T72" s="109">
        <v>32.107078336450151</v>
      </c>
      <c r="U72" s="109">
        <v>32.506454086871514</v>
      </c>
      <c r="V72" s="109">
        <v>32.923194000354684</v>
      </c>
      <c r="W72" s="109">
        <v>33.358455687770437</v>
      </c>
      <c r="X72" s="109">
        <v>33.81350199734144</v>
      </c>
      <c r="Y72" s="109">
        <v>34.28971325154366</v>
      </c>
      <c r="Z72" s="109">
        <v>34.788601232136457</v>
      </c>
      <c r="AA72" s="109">
        <v>35.311825211782569</v>
      </c>
      <c r="AB72" s="109">
        <v>35.861210390410989</v>
      </c>
      <c r="AC72" s="109">
        <v>36.438769167943413</v>
      </c>
      <c r="AD72" s="109">
        <v>37.046725775872297</v>
      </c>
      <c r="AE72" s="109">
        <v>37.687544903148684</v>
      </c>
      <c r="AF72" s="109">
        <v>38.36396509305154</v>
      </c>
      <c r="AG72" s="109">
        <v>39.079037865234561</v>
      </c>
      <c r="AH72" s="68">
        <v>39.836173741663629</v>
      </c>
      <c r="AI72" s="68">
        <v>40.639196640906583</v>
      </c>
      <c r="AJ72" s="68">
        <v>41.492408471352228</v>
      </c>
      <c r="AK72" s="68">
        <v>42.40066622634275</v>
      </c>
      <c r="AL72" s="68">
        <v>43.369474498332643</v>
      </c>
      <c r="AM72" s="68">
        <v>44.405097133908036</v>
      </c>
      <c r="AN72" s="68">
        <v>45.514692814881677</v>
      </c>
      <c r="AO72" s="69">
        <v>46.706480768520038</v>
      </c>
    </row>
    <row r="73" spans="1:41" x14ac:dyDescent="0.25">
      <c r="P73" s="67">
        <v>0.13</v>
      </c>
      <c r="Q73" s="68">
        <v>30.400545288433339</v>
      </c>
      <c r="R73" s="68">
        <v>30.737289155875288</v>
      </c>
      <c r="S73" s="109">
        <v>31.087502778014908</v>
      </c>
      <c r="T73" s="109">
        <v>31.452010833711253</v>
      </c>
      <c r="U73" s="109">
        <v>31.831706725061608</v>
      </c>
      <c r="V73" s="109">
        <v>32.22755988838432</v>
      </c>
      <c r="W73" s="109">
        <v>32.640624058808015</v>
      </c>
      <c r="X73" s="109">
        <v>33.072046636806107</v>
      </c>
      <c r="Y73" s="109">
        <v>33.523079331985926</v>
      </c>
      <c r="Z73" s="109">
        <v>33.995090292057824</v>
      </c>
      <c r="AA73" s="109">
        <v>34.489577964514098</v>
      </c>
      <c r="AB73" s="109">
        <v>35.00818698684629</v>
      </c>
      <c r="AC73" s="109">
        <v>35.552726460295098</v>
      </c>
      <c r="AD73" s="109">
        <v>36.125191034946404</v>
      </c>
      <c r="AE73" s="109">
        <v>36.727785324053038</v>
      </c>
      <c r="AF73" s="109">
        <v>37.36295227743571</v>
      </c>
      <c r="AG73" s="109">
        <v>38.033406283784103</v>
      </c>
      <c r="AH73" s="68">
        <v>38.742171947638091</v>
      </c>
      <c r="AI73" s="68">
        <v>39.492629709365843</v>
      </c>
      <c r="AJ73" s="68">
        <v>40.288569759683185</v>
      </c>
      <c r="AK73" s="68">
        <v>41.13425606314533</v>
      </c>
      <c r="AL73" s="68">
        <v>42.034502773282469</v>
      </c>
      <c r="AM73" s="68">
        <v>42.994765930762078</v>
      </c>
      <c r="AN73" s="68">
        <v>44.021254133585117</v>
      </c>
      <c r="AO73" s="69">
        <v>45.121062922324072</v>
      </c>
    </row>
    <row r="74" spans="1:41" x14ac:dyDescent="0.25">
      <c r="P74" s="67">
        <v>0.13250000000000001</v>
      </c>
      <c r="Q74" s="68">
        <v>29.819446938483892</v>
      </c>
      <c r="R74" s="68">
        <v>30.140631700670799</v>
      </c>
      <c r="S74" s="68">
        <v>30.474411943727777</v>
      </c>
      <c r="T74" s="68">
        <v>30.821543396507032</v>
      </c>
      <c r="U74" s="68">
        <v>31.182843480011968</v>
      </c>
      <c r="V74" s="68">
        <v>31.559197733662948</v>
      </c>
      <c r="W74" s="68">
        <v>31.951567061937372</v>
      </c>
      <c r="X74" s="68">
        <v>32.36099592622373</v>
      </c>
      <c r="Y74" s="68">
        <v>32.788621628922812</v>
      </c>
      <c r="Z74" s="68">
        <v>33.235684863562753</v>
      </c>
      <c r="AA74" s="68">
        <v>33.703541737023173</v>
      </c>
      <c r="AB74" s="68">
        <v>34.193677509219796</v>
      </c>
      <c r="AC74" s="68">
        <v>34.707722343474792</v>
      </c>
      <c r="AD74" s="68">
        <v>35.247469419442531</v>
      </c>
      <c r="AE74" s="68">
        <v>35.814895832639394</v>
      </c>
      <c r="AF74" s="68">
        <v>36.412186793899252</v>
      </c>
      <c r="AG74" s="68">
        <v>37.041763753065041</v>
      </c>
      <c r="AH74" s="68">
        <v>37.706317209962265</v>
      </c>
      <c r="AI74" s="68">
        <v>38.40884515011075</v>
      </c>
      <c r="AJ74" s="68">
        <v>39.15269826320916</v>
      </c>
      <c r="AK74" s="68">
        <v>39.941633383162014</v>
      </c>
      <c r="AL74" s="68">
        <v>40.779876948111919</v>
      </c>
      <c r="AM74" s="68">
        <v>41.672200743058596</v>
      </c>
      <c r="AN74" s="68">
        <v>42.624012791001718</v>
      </c>
      <c r="AO74" s="69">
        <v>43.641467049147806</v>
      </c>
    </row>
    <row r="75" spans="1:41" x14ac:dyDescent="0.25">
      <c r="P75" s="67">
        <v>0.13500000000000001</v>
      </c>
      <c r="Q75" s="68">
        <v>29.258468319339233</v>
      </c>
      <c r="R75" s="68">
        <v>29.56504132624589</v>
      </c>
      <c r="S75" s="68">
        <v>29.883405602648949</v>
      </c>
      <c r="T75" s="68">
        <v>30.214254752636457</v>
      </c>
      <c r="U75" s="68">
        <v>30.558337868623447</v>
      </c>
      <c r="V75" s="68">
        <v>30.916465193426237</v>
      </c>
      <c r="W75" s="68">
        <v>31.289514490095815</v>
      </c>
      <c r="X75" s="68">
        <v>31.678438224921546</v>
      </c>
      <c r="Y75" s="68">
        <v>32.084271687348391</v>
      </c>
      <c r="Z75" s="68">
        <v>32.508142192549762</v>
      </c>
      <c r="AA75" s="68">
        <v>32.95127953889665</v>
      </c>
      <c r="AB75" s="68">
        <v>33.415027924608516</v>
      </c>
      <c r="AC75" s="68">
        <v>33.900859566782849</v>
      </c>
      <c r="AD75" s="68">
        <v>34.410390313453483</v>
      </c>
      <c r="AE75" s="68">
        <v>34.945397597457657</v>
      </c>
      <c r="AF75" s="68">
        <v>35.507841152436406</v>
      </c>
      <c r="AG75" s="68">
        <v>36.099886999782456</v>
      </c>
      <c r="AH75" s="68">
        <v>36.723935325363421</v>
      </c>
      <c r="AI75" s="68">
        <v>37.382653002365544</v>
      </c>
      <c r="AJ75" s="68">
        <v>38.079011689482101</v>
      </c>
      <c r="AK75" s="68">
        <v>38.816332652311374</v>
      </c>
      <c r="AL75" s="68">
        <v>39.598339734099994</v>
      </c>
      <c r="AM75" s="68">
        <v>40.429222258500417</v>
      </c>
      <c r="AN75" s="68">
        <v>41.313710107055705</v>
      </c>
      <c r="AO75" s="69">
        <v>42.257163812181346</v>
      </c>
    </row>
    <row r="76" spans="1:41" x14ac:dyDescent="0.25">
      <c r="P76" s="67">
        <v>0.13750000000000001</v>
      </c>
      <c r="Q76" s="68">
        <v>28.716534780671708</v>
      </c>
      <c r="R76" s="68">
        <v>29.009371085747969</v>
      </c>
      <c r="S76" s="68">
        <v>29.31325781743088</v>
      </c>
      <c r="T76" s="68">
        <v>29.628832500332368</v>
      </c>
      <c r="U76" s="68">
        <v>29.956782660994698</v>
      </c>
      <c r="V76" s="68">
        <v>30.297850828083515</v>
      </c>
      <c r="W76" s="68">
        <v>30.652840144849428</v>
      </c>
      <c r="X76" s="68">
        <v>31.022620683147256</v>
      </c>
      <c r="Y76" s="68">
        <v>31.408136563500317</v>
      </c>
      <c r="Z76" s="68">
        <v>31.810414003868715</v>
      </c>
      <c r="AA76" s="68">
        <v>32.230570441586835</v>
      </c>
      <c r="AB76" s="68">
        <v>32.669824899201224</v>
      </c>
      <c r="AC76" s="68">
        <v>33.129509796704653</v>
      </c>
      <c r="AD76" s="68">
        <v>33.61108445123206</v>
      </c>
      <c r="AE76" s="68">
        <v>34.11615055232177</v>
      </c>
      <c r="AF76" s="68">
        <v>34.646469958465985</v>
      </c>
      <c r="AG76" s="68">
        <v>35.203985231591943</v>
      </c>
      <c r="AH76" s="68">
        <v>35.790843413829784</v>
      </c>
      <c r="AI76" s="68">
        <v>36.409423659972383</v>
      </c>
      <c r="AJ76" s="68">
        <v>37.062369475345129</v>
      </c>
      <c r="AK76" s="68">
        <v>37.752626480167748</v>
      </c>
      <c r="AL76" s="68">
        <v>38.483486838215214</v>
      </c>
      <c r="AM76" s="68">
        <v>39.258641763417067</v>
      </c>
      <c r="AN76" s="68">
        <v>40.082243871444064</v>
      </c>
      <c r="AO76" s="69">
        <v>40.958981599343758</v>
      </c>
    </row>
    <row r="77" spans="1:41" x14ac:dyDescent="0.25">
      <c r="P77" s="67">
        <v>0.14000000000000001</v>
      </c>
      <c r="Q77" s="68">
        <v>28.192648026118839</v>
      </c>
      <c r="R77" s="68">
        <v>28.472557029023612</v>
      </c>
      <c r="S77" s="68">
        <v>28.762833032035967</v>
      </c>
      <c r="T77" s="68">
        <v>29.064062846482759</v>
      </c>
      <c r="U77" s="68">
        <v>29.376878423023644</v>
      </c>
      <c r="V77" s="68">
        <v>29.701961277075952</v>
      </c>
      <c r="W77" s="68">
        <v>30.040047445290341</v>
      </c>
      <c r="X77" s="68">
        <v>30.391933048942054</v>
      </c>
      <c r="Y77" s="68">
        <v>30.758480552745922</v>
      </c>
      <c r="Z77" s="68">
        <v>31.140625822669101</v>
      </c>
      <c r="AA77" s="68">
        <v>31.53938610432807</v>
      </c>
      <c r="AB77" s="68">
        <v>31.955869065171893</v>
      </c>
      <c r="AC77" s="68">
        <v>32.391283069690424</v>
      </c>
      <c r="AD77" s="68">
        <v>32.846948888372616</v>
      </c>
      <c r="AE77" s="68">
        <v>33.324313079372999</v>
      </c>
      <c r="AF77" s="68">
        <v>33.824963328470972</v>
      </c>
      <c r="AG77" s="68">
        <v>34.350646090023837</v>
      </c>
      <c r="AH77" s="68">
        <v>34.903286941912739</v>
      </c>
      <c r="AI77" s="68">
        <v>35.485014154427382</v>
      </c>
      <c r="AJ77" s="68">
        <v>36.098186081132006</v>
      </c>
      <c r="AK77" s="68">
        <v>36.745423114875777</v>
      </c>
      <c r="AL77" s="68">
        <v>37.429645121976328</v>
      </c>
      <c r="AM77" s="68">
        <v>38.154115482435735</v>
      </c>
      <c r="AN77" s="68">
        <v>38.92249313746845</v>
      </c>
      <c r="AO77" s="69">
        <v>39.738894395940697</v>
      </c>
    </row>
    <row r="78" spans="1:41" x14ac:dyDescent="0.25">
      <c r="P78" s="67">
        <v>0.14249999999999999</v>
      </c>
      <c r="Q78" s="68">
        <v>27.685879423592173</v>
      </c>
      <c r="R78" s="68">
        <v>27.953610800426386</v>
      </c>
      <c r="S78" s="68">
        <v>28.231077863690928</v>
      </c>
      <c r="T78" s="68">
        <v>28.518821484854168</v>
      </c>
      <c r="U78" s="68">
        <v>28.817423355872616</v>
      </c>
      <c r="V78" s="68">
        <v>29.127509914237926</v>
      </c>
      <c r="W78" s="68">
        <v>29.449756729794032</v>
      </c>
      <c r="X78" s="68">
        <v>29.784893417972388</v>
      </c>
      <c r="Y78" s="68">
        <v>30.133709154647818</v>
      </c>
      <c r="Z78" s="68">
        <v>30.497058880351386</v>
      </c>
      <c r="AA78" s="68">
        <v>30.875870296510428</v>
      </c>
      <c r="AB78" s="68">
        <v>31.271151774241609</v>
      </c>
      <c r="AC78" s="68">
        <v>31.684001317649724</v>
      </c>
      <c r="AD78" s="68">
        <v>32.115616749394576</v>
      </c>
      <c r="AE78" s="68">
        <v>32.567307317499647</v>
      </c>
      <c r="AF78" s="68">
        <v>33.040506960276403</v>
      </c>
      <c r="AG78" s="68">
        <v>33.536789512456892</v>
      </c>
      <c r="AH78" s="68">
        <v>34.057886192246407</v>
      </c>
      <c r="AI78" s="68">
        <v>34.605705778691785</v>
      </c>
      <c r="AJ78" s="68">
        <v>35.182357974950087</v>
      </c>
      <c r="AK78" s="68">
        <v>35.790180560195324</v>
      </c>
      <c r="AL78" s="68">
        <v>36.431771066843076</v>
      </c>
      <c r="AM78" s="68">
        <v>37.110023888156405</v>
      </c>
      <c r="AN78" s="68">
        <v>37.828173934252881</v>
      </c>
      <c r="AO78" s="69">
        <v>38.589848225567323</v>
      </c>
    </row>
    <row r="79" spans="1:41" ht="15.75" thickBot="1" x14ac:dyDescent="0.3">
      <c r="P79" s="70">
        <v>0.14499999999999999</v>
      </c>
      <c r="Q79" s="71">
        <v>27.195364007448649</v>
      </c>
      <c r="R79" s="71">
        <v>27.451613015624101</v>
      </c>
      <c r="S79" s="71">
        <v>27.717013774091537</v>
      </c>
      <c r="T79" s="71">
        <v>27.992065469230518</v>
      </c>
      <c r="U79" s="71">
        <v>28.277304264189464</v>
      </c>
      <c r="V79" s="71">
        <v>28.573306787260059</v>
      </c>
      <c r="W79" s="71">
        <v>28.880694022756447</v>
      </c>
      <c r="X79" s="71">
        <v>29.200135659644857</v>
      </c>
      <c r="Y79" s="71">
        <v>29.532354962008807</v>
      </c>
      <c r="Z79" s="71">
        <v>29.8781342358978</v>
      </c>
      <c r="AA79" s="71">
        <v>30.23832097953218</v>
      </c>
      <c r="AB79" s="71">
        <v>30.613834818640367</v>
      </c>
      <c r="AC79" s="71">
        <v>31.005675346405418</v>
      </c>
      <c r="AD79" s="71">
        <v>31.41493100873781</v>
      </c>
      <c r="AE79" s="71">
        <v>31.842789201176217</v>
      </c>
      <c r="AF79" s="71">
        <v>32.290547774658286</v>
      </c>
      <c r="AG79" s="71">
        <v>32.759628184972826</v>
      </c>
      <c r="AH79" s="71">
        <v>33.251590566522218</v>
      </c>
      <c r="AI79" s="71">
        <v>33.768151067149084</v>
      </c>
      <c r="AJ79" s="71">
        <v>34.311201849859373</v>
      </c>
      <c r="AK79" s="71">
        <v>34.882834252712307</v>
      </c>
      <c r="AL79" s="71">
        <v>35.485365704368114</v>
      </c>
      <c r="AM79" s="71">
        <v>36.121371125560344</v>
      </c>
      <c r="AN79" s="71">
        <v>36.793719713677852</v>
      </c>
      <c r="AO79" s="72">
        <v>37.505618218743443</v>
      </c>
    </row>
    <row r="80" spans="1:41" x14ac:dyDescent="0.25">
      <c r="P80" s="73" t="s">
        <v>460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workbookViewId="0">
      <selection activeCell="C73" sqref="C73"/>
    </sheetView>
  </sheetViews>
  <sheetFormatPr defaultRowHeight="15" x14ac:dyDescent="0.25"/>
  <cols>
    <col min="1" max="1" width="33" bestFit="1" customWidth="1"/>
    <col min="16" max="16" width="33" bestFit="1" customWidth="1"/>
  </cols>
  <sheetData>
    <row r="1" spans="1:14" x14ac:dyDescent="0.25">
      <c r="A1" t="s">
        <v>564</v>
      </c>
      <c r="B1">
        <f>'DHI(BS)_Annual'!G22</f>
        <v>7085.4</v>
      </c>
      <c r="C1">
        <f>'DHI(BS)_Annual'!H22</f>
        <v>9636.6</v>
      </c>
      <c r="D1">
        <f>'DHI(BS)_Annual'!I22</f>
        <v>12179</v>
      </c>
      <c r="E1">
        <f>'DHI(BS)_Annual'!J22</f>
        <v>9613.1</v>
      </c>
      <c r="F1">
        <f>'DHI(BS)_Annual'!K22</f>
        <v>6748.7</v>
      </c>
      <c r="G1">
        <f>'DHI(BS)_Annual'!L22</f>
        <v>5972.3</v>
      </c>
      <c r="H1">
        <f>'DHI(BS)_Annual'!M22</f>
        <v>5125.7</v>
      </c>
      <c r="I1">
        <f>'DHI(BS)_Annual'!N22</f>
        <v>4541.3999999999996</v>
      </c>
      <c r="J1">
        <f>'DHI(BS)_Annual'!O22</f>
        <v>5574.6</v>
      </c>
      <c r="K1">
        <f>'DHI(BS)_Annual'!P22</f>
        <v>7252.6</v>
      </c>
      <c r="L1">
        <f>'DHI(BS)_Annual'!Q22</f>
        <v>8372.2999999999993</v>
      </c>
      <c r="M1">
        <f>'DHI(BS)_Annual'!R22</f>
        <v>9200.5</v>
      </c>
    </row>
    <row r="2" spans="1:14" x14ac:dyDescent="0.25">
      <c r="A2" t="s">
        <v>563</v>
      </c>
      <c r="B2">
        <f>'DHI(BS)_Annual'!G37</f>
        <v>8985.2000000000007</v>
      </c>
      <c r="C2">
        <f>'DHI(BS)_Annual'!H37</f>
        <v>12514.8</v>
      </c>
      <c r="D2">
        <f>'DHI(BS)_Annual'!I37</f>
        <v>14820.7</v>
      </c>
      <c r="E2">
        <f>'DHI(BS)_Annual'!J37</f>
        <v>11556.3</v>
      </c>
      <c r="F2">
        <f>'DHI(BS)_Annual'!K37</f>
        <v>7950.6</v>
      </c>
      <c r="G2">
        <f>'DHI(BS)_Annual'!L37</f>
        <v>6756.8</v>
      </c>
      <c r="H2">
        <f>'DHI(BS)_Annual'!M37</f>
        <v>5938.6</v>
      </c>
      <c r="I2">
        <f>'DHI(BS)_Annual'!N37</f>
        <v>5358.4</v>
      </c>
      <c r="J2">
        <f>'DHI(BS)_Annual'!O37</f>
        <v>7248.2</v>
      </c>
      <c r="K2">
        <f>'DHI(BS)_Annual'!P37</f>
        <v>8856.4</v>
      </c>
      <c r="L2">
        <f>'DHI(BS)_Annual'!Q37</f>
        <v>10185.4</v>
      </c>
      <c r="M2">
        <f>'DHI(BS)_Annual'!R37</f>
        <v>11151</v>
      </c>
    </row>
    <row r="3" spans="1:14" x14ac:dyDescent="0.25">
      <c r="A3" t="s">
        <v>565</v>
      </c>
      <c r="B3">
        <f>'DHI(BS)_Annual'!G52</f>
        <v>1358.9</v>
      </c>
      <c r="C3">
        <f>'DHI(BS)_Annual'!H52</f>
        <v>2041.6</v>
      </c>
      <c r="D3">
        <f>'DHI(BS)_Annual'!I52</f>
        <v>2184.1</v>
      </c>
      <c r="E3">
        <f>'DHI(BS)_Annual'!J52</f>
        <v>1524.2</v>
      </c>
      <c r="F3">
        <f>'DHI(BS)_Annual'!K52</f>
        <v>1337.4</v>
      </c>
      <c r="G3">
        <f>'DHI(BS)_Annual'!L52</f>
        <v>1210.9000000000001</v>
      </c>
      <c r="H3">
        <f>'DHI(BS)_Annual'!M52</f>
        <v>1143.9000000000001</v>
      </c>
      <c r="I3">
        <f>'DHI(BS)_Annual'!N52</f>
        <v>1030.3</v>
      </c>
      <c r="J3">
        <f>'DHI(BS)_Annual'!O52</f>
        <v>1160.4000000000001</v>
      </c>
      <c r="K3">
        <f>'DHI(BS)_Annual'!P52</f>
        <v>1286</v>
      </c>
      <c r="L3">
        <f>'DHI(BS)_Annual'!Q52</f>
        <v>1400</v>
      </c>
      <c r="M3">
        <f>'DHI(BS)_Annual'!R52</f>
        <v>1444.1</v>
      </c>
    </row>
    <row r="4" spans="1:14" x14ac:dyDescent="0.25">
      <c r="A4" t="s">
        <v>566</v>
      </c>
      <c r="B4">
        <f>'DHI(BS)_Annual'!G66</f>
        <v>4858.1000000000004</v>
      </c>
      <c r="C4">
        <f>'DHI(BS)_Annual'!H66</f>
        <v>6951.2</v>
      </c>
      <c r="D4">
        <f>'DHI(BS)_Annual'!I66</f>
        <v>8262.7000000000007</v>
      </c>
      <c r="E4">
        <f>'DHI(BS)_Annual'!J66</f>
        <v>5901</v>
      </c>
      <c r="F4">
        <f>'DHI(BS)_Annual'!K66</f>
        <v>5085.8</v>
      </c>
      <c r="G4">
        <f>'DHI(BS)_Annual'!L66</f>
        <v>4356.2</v>
      </c>
      <c r="H4">
        <f>'DHI(BS)_Annual'!M66</f>
        <v>3315.7</v>
      </c>
      <c r="I4">
        <f>'DHI(BS)_Annual'!N66</f>
        <v>2734.9</v>
      </c>
      <c r="J4">
        <f>'DHI(BS)_Annual'!O66</f>
        <v>3653.5</v>
      </c>
      <c r="K4">
        <f>'DHI(BS)_Annual'!P66</f>
        <v>4795</v>
      </c>
      <c r="L4">
        <f>'DHI(BS)_Annual'!Q66</f>
        <v>5065.7</v>
      </c>
      <c r="M4">
        <f>'DHI(BS)_Annual'!R66</f>
        <v>5255.6</v>
      </c>
    </row>
    <row r="5" spans="1:14" x14ac:dyDescent="0.25">
      <c r="A5" t="s">
        <v>567</v>
      </c>
      <c r="B5">
        <f>'DHI(BS)_Annual'!G81</f>
        <v>311.16792199999998</v>
      </c>
      <c r="C5">
        <f>'DHI(BS)_Annual'!H81</f>
        <v>312.93886800000001</v>
      </c>
      <c r="D5">
        <f>'DHI(BS)_Annual'!I81</f>
        <v>313.24674499999998</v>
      </c>
      <c r="E5">
        <f>'DHI(BS)_Annual'!J81</f>
        <v>314.91444000000001</v>
      </c>
      <c r="F5">
        <f>'DHI(BS)_Annual'!K81</f>
        <v>316.66027500000001</v>
      </c>
      <c r="G5">
        <f>'DHI(BS)_Annual'!L81</f>
        <v>317.480886</v>
      </c>
      <c r="H5">
        <f>'DHI(BS)_Annual'!M81</f>
        <v>318.82323400000001</v>
      </c>
      <c r="I5">
        <f>'DHI(BS)_Annual'!N81</f>
        <v>316.04309899999998</v>
      </c>
      <c r="J5">
        <f>'DHI(BS)_Annual'!O81</f>
        <v>320.891976</v>
      </c>
      <c r="K5">
        <f>'DHI(BS)_Annual'!P81</f>
        <v>322.94361800000001</v>
      </c>
      <c r="L5">
        <f>'DHI(BS)_Annual'!Q81</f>
        <v>364.58669400000002</v>
      </c>
      <c r="M5">
        <f>'DHI(BS)_Annual'!R81</f>
        <v>368.64737100000002</v>
      </c>
    </row>
    <row r="6" spans="1:14" x14ac:dyDescent="0.25">
      <c r="A6" s="207" t="s">
        <v>571</v>
      </c>
      <c r="B6" s="208">
        <v>7721.8445199999996</v>
      </c>
      <c r="C6" s="208">
        <v>11330.503151000001</v>
      </c>
      <c r="D6" s="208">
        <v>7499.1281360000003</v>
      </c>
      <c r="E6" s="208">
        <v>4031.8270940000002</v>
      </c>
      <c r="F6" s="208">
        <v>4122.2453210000003</v>
      </c>
      <c r="G6" s="208">
        <v>3618.09157</v>
      </c>
      <c r="H6" s="208">
        <v>3539.664863</v>
      </c>
      <c r="I6" s="208">
        <v>2856.785664</v>
      </c>
      <c r="J6" s="208">
        <v>6585.476017</v>
      </c>
      <c r="K6" s="208">
        <v>6272.7390290000003</v>
      </c>
      <c r="L6" s="208">
        <v>7478.9751489999999</v>
      </c>
      <c r="M6" s="208">
        <v>10768.608796</v>
      </c>
      <c r="N6" s="208"/>
    </row>
    <row r="7" spans="1:14" x14ac:dyDescent="0.25">
      <c r="A7" t="s">
        <v>568</v>
      </c>
      <c r="B7">
        <f>'DHI(IS)'!D6</f>
        <v>10840.8</v>
      </c>
      <c r="C7">
        <f>'DHI(IS)'!E6</f>
        <v>13863.7</v>
      </c>
      <c r="D7">
        <f>'DHI(IS)'!F6</f>
        <v>15051.3</v>
      </c>
      <c r="E7">
        <f>'DHI(IS)'!G6</f>
        <v>11296.5</v>
      </c>
      <c r="F7">
        <f>'DHI(IS)'!H6</f>
        <v>6646.1</v>
      </c>
      <c r="G7">
        <f>'DHI(IS)'!I6</f>
        <v>3657.6</v>
      </c>
      <c r="H7">
        <f>'DHI(IS)'!J6</f>
        <v>4400.2</v>
      </c>
      <c r="I7">
        <f>'DHI(IS)'!K6</f>
        <v>3636.8</v>
      </c>
      <c r="J7">
        <f>'DHI(IS)'!L6</f>
        <v>4354</v>
      </c>
      <c r="K7">
        <f>'DHI(IS)'!M6</f>
        <v>6259.3</v>
      </c>
      <c r="L7">
        <f>'DHI(IS)'!N6</f>
        <v>8024.9</v>
      </c>
      <c r="M7">
        <f>'DHI(IS)'!O6</f>
        <v>10824</v>
      </c>
    </row>
    <row r="8" spans="1:14" x14ac:dyDescent="0.25">
      <c r="A8" t="s">
        <v>569</v>
      </c>
      <c r="B8">
        <f>'DHI(BS)_Annual'!G72</f>
        <v>2417.3000000000002</v>
      </c>
      <c r="C8">
        <f>'DHI(BS)_Annual'!H72</f>
        <v>3791.3</v>
      </c>
      <c r="D8">
        <f>'DHI(BS)_Annual'!I72</f>
        <v>4887</v>
      </c>
      <c r="E8">
        <f>'DHI(BS)_Annual'!J72</f>
        <v>3986.1</v>
      </c>
      <c r="F8">
        <f>'DHI(BS)_Annual'!K72</f>
        <v>1210.5</v>
      </c>
      <c r="G8">
        <f>'DHI(BS)_Annual'!L72</f>
        <v>613.20000000000005</v>
      </c>
      <c r="H8">
        <f>'DHI(BS)_Annual'!M72</f>
        <v>810.6</v>
      </c>
      <c r="I8">
        <f>'DHI(BS)_Annual'!N72</f>
        <v>834.6</v>
      </c>
      <c r="J8">
        <f>'DHI(BS)_Annual'!O72</f>
        <v>1743.1</v>
      </c>
      <c r="K8">
        <f>'DHI(BS)_Annual'!P72</f>
        <v>2145.6</v>
      </c>
      <c r="L8">
        <f>'DHI(BS)_Annual'!Q72</f>
        <v>2630.5</v>
      </c>
      <c r="M8">
        <f>'DHI(BS)_Annual'!R72</f>
        <v>3289.6</v>
      </c>
    </row>
    <row r="9" spans="1:14" x14ac:dyDescent="0.25">
      <c r="A9" t="s">
        <v>140</v>
      </c>
      <c r="B9">
        <f>'DHI(IS)'!D23</f>
        <v>1557.6</v>
      </c>
      <c r="C9">
        <f>'DHI(IS)'!E23</f>
        <v>2332.4</v>
      </c>
      <c r="D9">
        <f>'DHI(IS)'!F23</f>
        <v>2208</v>
      </c>
      <c r="E9">
        <f>'DHI(IS)'!G23</f>
        <v>822</v>
      </c>
      <c r="F9">
        <f>'DHI(IS)'!H23</f>
        <v>-43.1</v>
      </c>
      <c r="G9">
        <f>'DHI(IS)'!I23</f>
        <v>-452.3</v>
      </c>
      <c r="H9">
        <f>'DHI(IS)'!J23</f>
        <v>175.8</v>
      </c>
      <c r="I9">
        <f>'DHI(IS)'!K23</f>
        <v>65.3</v>
      </c>
      <c r="J9">
        <f>'DHI(IS)'!L23</f>
        <v>250.4</v>
      </c>
      <c r="K9">
        <f>'DHI(IS)'!M23</f>
        <v>670.6</v>
      </c>
      <c r="L9">
        <f>'DHI(IS)'!N23</f>
        <v>849.5</v>
      </c>
      <c r="M9">
        <f>'DHI(IS)'!O23</f>
        <v>1162.5999999999999</v>
      </c>
    </row>
    <row r="10" spans="1:14" x14ac:dyDescent="0.25">
      <c r="A10" t="s">
        <v>570</v>
      </c>
      <c r="B10">
        <f>'DHI)CF)'!C8</f>
        <v>49.6</v>
      </c>
      <c r="C10">
        <f>'DHI)CF)'!D8</f>
        <v>52.8</v>
      </c>
      <c r="D10">
        <f>'DHI)CF)'!E8</f>
        <v>56.5</v>
      </c>
      <c r="E10">
        <f>'DHI)CF)'!F8</f>
        <v>64.400000000000006</v>
      </c>
      <c r="F10">
        <f>'DHI)CF)'!G8</f>
        <v>53.2</v>
      </c>
      <c r="G10">
        <f>'DHI)CF)'!H8</f>
        <v>25.7</v>
      </c>
      <c r="H10">
        <f>'DHI)CF)'!I8</f>
        <v>17.2</v>
      </c>
      <c r="I10">
        <f>'DHI)CF)'!J8</f>
        <v>19.899999999999999</v>
      </c>
      <c r="J10">
        <f>'DHI)CF)'!K8</f>
        <v>18.8</v>
      </c>
      <c r="K10">
        <f>'DHI)CF)'!L8</f>
        <v>22.7</v>
      </c>
      <c r="L10">
        <f>'DHI)CF)'!M8</f>
        <v>38.4</v>
      </c>
      <c r="M10">
        <f>'DHI)CF)'!N8</f>
        <v>54.1</v>
      </c>
    </row>
    <row r="11" spans="1:14" x14ac:dyDescent="0.25">
      <c r="A11" t="s">
        <v>136</v>
      </c>
      <c r="B11">
        <f t="shared" ref="B11:M11" si="0">SUM(B9:B10)</f>
        <v>1607.1999999999998</v>
      </c>
      <c r="C11">
        <f t="shared" si="0"/>
        <v>2385.2000000000003</v>
      </c>
      <c r="D11">
        <f t="shared" si="0"/>
        <v>2264.5</v>
      </c>
      <c r="E11">
        <f t="shared" si="0"/>
        <v>886.4</v>
      </c>
      <c r="F11">
        <f t="shared" si="0"/>
        <v>10.100000000000001</v>
      </c>
      <c r="G11">
        <f t="shared" si="0"/>
        <v>-426.6</v>
      </c>
      <c r="H11">
        <f t="shared" si="0"/>
        <v>193</v>
      </c>
      <c r="I11">
        <f t="shared" si="0"/>
        <v>85.199999999999989</v>
      </c>
      <c r="J11">
        <f t="shared" si="0"/>
        <v>269.2</v>
      </c>
      <c r="K11">
        <f t="shared" si="0"/>
        <v>693.30000000000007</v>
      </c>
      <c r="L11">
        <f t="shared" si="0"/>
        <v>887.9</v>
      </c>
      <c r="M11">
        <f t="shared" si="0"/>
        <v>1216.6999999999998</v>
      </c>
    </row>
    <row r="12" spans="1:14" x14ac:dyDescent="0.25">
      <c r="A12" t="s">
        <v>579</v>
      </c>
      <c r="B12">
        <f>'DHI(IS)'!D55</f>
        <v>975.1</v>
      </c>
      <c r="C12">
        <f>'DHI(IS)'!E55</f>
        <v>1470.5</v>
      </c>
      <c r="D12">
        <f>'DHI(IS)'!F55</f>
        <v>1233.3</v>
      </c>
      <c r="E12">
        <f>'DHI(IS)'!G55</f>
        <v>-712.5</v>
      </c>
      <c r="F12">
        <f>'DHI(IS)'!H55</f>
        <v>-2633.6</v>
      </c>
      <c r="G12">
        <f>'DHI(IS)'!I55</f>
        <v>-549.79999999999995</v>
      </c>
      <c r="H12">
        <f>'DHI(IS)'!J55</f>
        <v>245.1</v>
      </c>
      <c r="I12">
        <f>'DHI(IS)'!K55</f>
        <v>71.8</v>
      </c>
      <c r="J12">
        <f>'DHI(IS)'!L55</f>
        <v>956.3</v>
      </c>
      <c r="K12">
        <f>'DHI(IS)'!M55</f>
        <v>462.7</v>
      </c>
      <c r="L12">
        <f>'DHI(IS)'!N55</f>
        <v>533.5</v>
      </c>
      <c r="M12">
        <f>'DHI(IS)'!O55</f>
        <v>750.7</v>
      </c>
    </row>
    <row r="13" spans="1:14" x14ac:dyDescent="0.25">
      <c r="A13" t="s">
        <v>580</v>
      </c>
      <c r="B13">
        <f>'DHI)CF)'!C20</f>
        <v>-422.5</v>
      </c>
      <c r="C13">
        <f>'DHI)CF)'!D20</f>
        <v>-620.70000000000005</v>
      </c>
      <c r="D13">
        <f>'DHI)CF)'!E20</f>
        <v>-1190.8</v>
      </c>
      <c r="E13">
        <f>'DHI)CF)'!F20</f>
        <v>1355.5</v>
      </c>
      <c r="F13">
        <f>'DHI)CF)'!G20</f>
        <v>1876.5</v>
      </c>
      <c r="G13">
        <f>'DHI)CF)'!H20</f>
        <v>1141.2</v>
      </c>
      <c r="H13">
        <f>'DHI)CF)'!I20</f>
        <v>709.4</v>
      </c>
      <c r="I13">
        <f>'DHI)CF)'!J20</f>
        <v>14.9</v>
      </c>
      <c r="J13">
        <f>'DHI)CF)'!K20</f>
        <v>-293.39999999999998</v>
      </c>
      <c r="K13">
        <f>'DHI)CF)'!L20</f>
        <v>-1229.3</v>
      </c>
      <c r="L13">
        <f>'DHI)CF)'!M20</f>
        <v>-661.4</v>
      </c>
      <c r="M13">
        <f>'DHI)CF)'!N20</f>
        <v>700.4</v>
      </c>
    </row>
    <row r="16" spans="1:14" ht="15.75" x14ac:dyDescent="0.25">
      <c r="A16" s="192" t="s">
        <v>545</v>
      </c>
      <c r="B16" s="192"/>
      <c r="C16" s="73">
        <v>2004</v>
      </c>
      <c r="D16" s="73">
        <v>2005</v>
      </c>
      <c r="E16" s="73">
        <v>2006</v>
      </c>
      <c r="F16" s="73">
        <v>2007</v>
      </c>
      <c r="G16" s="73">
        <v>2008</v>
      </c>
      <c r="H16" s="73">
        <v>2009</v>
      </c>
      <c r="I16" s="73">
        <v>2010</v>
      </c>
      <c r="J16" s="73">
        <v>2011</v>
      </c>
      <c r="K16" s="73">
        <v>2012</v>
      </c>
      <c r="L16" s="73">
        <v>2013</v>
      </c>
      <c r="M16" s="73">
        <v>2014</v>
      </c>
      <c r="N16" s="73">
        <v>2015</v>
      </c>
    </row>
    <row r="17" spans="1:14" x14ac:dyDescent="0.25">
      <c r="A17" s="73" t="s">
        <v>546</v>
      </c>
      <c r="B17" s="73"/>
      <c r="C17">
        <f>'DHI(BS)_Annual'!G37</f>
        <v>8985.2000000000007</v>
      </c>
      <c r="D17">
        <f>'DHI(BS)_Annual'!H37</f>
        <v>12514.8</v>
      </c>
      <c r="E17">
        <f>'DHI(BS)_Annual'!I37</f>
        <v>14820.7</v>
      </c>
      <c r="F17">
        <f>'DHI(BS)_Annual'!J37</f>
        <v>11556.3</v>
      </c>
      <c r="G17">
        <f>'DHI(BS)_Annual'!K37</f>
        <v>7950.6</v>
      </c>
      <c r="H17">
        <f>'DHI(BS)_Annual'!L37</f>
        <v>6756.8</v>
      </c>
      <c r="I17">
        <f>'DHI(BS)_Annual'!M37</f>
        <v>5938.6</v>
      </c>
      <c r="J17">
        <f>'DHI(BS)_Annual'!N37</f>
        <v>5358.4</v>
      </c>
      <c r="K17">
        <f>'DHI(BS)_Annual'!O37</f>
        <v>7248.2</v>
      </c>
      <c r="L17">
        <f>'DHI(BS)_Annual'!P37</f>
        <v>8856.4</v>
      </c>
      <c r="M17">
        <f>'DHI(BS)_Annual'!Q37</f>
        <v>10185.4</v>
      </c>
      <c r="N17">
        <f>'DHI(BS)_Annual'!R37</f>
        <v>11151</v>
      </c>
    </row>
    <row r="18" spans="1:14" x14ac:dyDescent="0.25">
      <c r="A18" s="73" t="s">
        <v>547</v>
      </c>
      <c r="B18" s="73"/>
      <c r="C18">
        <f t="shared" ref="C18:N18" si="1">B2-B4</f>
        <v>4127.1000000000004</v>
      </c>
      <c r="D18">
        <f t="shared" si="1"/>
        <v>5563.5999999999995</v>
      </c>
      <c r="E18">
        <f t="shared" si="1"/>
        <v>6558</v>
      </c>
      <c r="F18">
        <f t="shared" si="1"/>
        <v>5655.2999999999993</v>
      </c>
      <c r="G18">
        <f t="shared" si="1"/>
        <v>2864.8</v>
      </c>
      <c r="H18">
        <f t="shared" si="1"/>
        <v>2400.6000000000004</v>
      </c>
      <c r="I18">
        <f t="shared" si="1"/>
        <v>2622.9000000000005</v>
      </c>
      <c r="J18">
        <f t="shared" si="1"/>
        <v>2623.4999999999995</v>
      </c>
      <c r="K18">
        <f t="shared" si="1"/>
        <v>3594.7</v>
      </c>
      <c r="L18">
        <f t="shared" si="1"/>
        <v>4061.3999999999996</v>
      </c>
      <c r="M18">
        <f t="shared" si="1"/>
        <v>5119.7</v>
      </c>
      <c r="N18">
        <f t="shared" si="1"/>
        <v>5895.4</v>
      </c>
    </row>
    <row r="19" spans="1:14" x14ac:dyDescent="0.25">
      <c r="A19" s="193" t="s">
        <v>548</v>
      </c>
      <c r="B19" s="193"/>
      <c r="C19">
        <f t="shared" ref="C19:N19" si="2">C18/C$17</f>
        <v>0.45932199617148201</v>
      </c>
      <c r="D19">
        <f t="shared" si="2"/>
        <v>0.44456163901940099</v>
      </c>
      <c r="E19">
        <f t="shared" si="2"/>
        <v>0.44248922115689543</v>
      </c>
      <c r="F19">
        <f t="shared" si="2"/>
        <v>0.48936943485371615</v>
      </c>
      <c r="G19">
        <f t="shared" si="2"/>
        <v>0.36032500691771691</v>
      </c>
      <c r="H19">
        <f t="shared" si="2"/>
        <v>0.35528652616623257</v>
      </c>
      <c r="I19">
        <f t="shared" si="2"/>
        <v>0.44166975381403029</v>
      </c>
      <c r="J19">
        <f t="shared" si="2"/>
        <v>0.48960510600179152</v>
      </c>
      <c r="K19">
        <f t="shared" si="2"/>
        <v>0.49594382053475344</v>
      </c>
      <c r="L19">
        <f t="shared" si="2"/>
        <v>0.45858362314258611</v>
      </c>
      <c r="M19">
        <f t="shared" si="2"/>
        <v>0.50265085318200564</v>
      </c>
      <c r="N19">
        <f t="shared" si="2"/>
        <v>0.52868801004394217</v>
      </c>
    </row>
    <row r="20" spans="1:14" x14ac:dyDescent="0.25">
      <c r="A20" s="73" t="s">
        <v>549</v>
      </c>
      <c r="B20" s="73"/>
      <c r="C20">
        <f t="shared" ref="C20:N20" si="3">B8</f>
        <v>2417.3000000000002</v>
      </c>
      <c r="D20">
        <f t="shared" si="3"/>
        <v>3791.3</v>
      </c>
      <c r="E20">
        <f t="shared" si="3"/>
        <v>4887</v>
      </c>
      <c r="F20">
        <f t="shared" si="3"/>
        <v>3986.1</v>
      </c>
      <c r="G20">
        <f t="shared" si="3"/>
        <v>1210.5</v>
      </c>
      <c r="H20">
        <f t="shared" si="3"/>
        <v>613.20000000000005</v>
      </c>
      <c r="I20">
        <f t="shared" si="3"/>
        <v>810.6</v>
      </c>
      <c r="J20">
        <f t="shared" si="3"/>
        <v>834.6</v>
      </c>
      <c r="K20">
        <f t="shared" si="3"/>
        <v>1743.1</v>
      </c>
      <c r="L20">
        <f t="shared" si="3"/>
        <v>2145.6</v>
      </c>
      <c r="M20">
        <f t="shared" si="3"/>
        <v>2630.5</v>
      </c>
      <c r="N20">
        <f t="shared" si="3"/>
        <v>3289.6</v>
      </c>
    </row>
    <row r="21" spans="1:14" x14ac:dyDescent="0.25">
      <c r="A21" s="193" t="s">
        <v>550</v>
      </c>
      <c r="B21" s="193"/>
      <c r="C21">
        <f t="shared" ref="C21" si="4">C20/C$17</f>
        <v>0.26903129590882785</v>
      </c>
      <c r="D21">
        <f t="shared" ref="D21" si="5">D20/D$17</f>
        <v>0.30294531274970438</v>
      </c>
      <c r="E21">
        <f t="shared" ref="E21" si="6">E20/E$17</f>
        <v>0.32974151018507897</v>
      </c>
      <c r="F21">
        <f t="shared" ref="F21" si="7">F20/F$17</f>
        <v>0.34492874016770075</v>
      </c>
      <c r="G21">
        <f t="shared" ref="G21" si="8">G20/G$17</f>
        <v>0.15225266017659045</v>
      </c>
      <c r="H21">
        <f t="shared" ref="H21" si="9">H20/H$17</f>
        <v>9.0753019180677241E-2</v>
      </c>
      <c r="I21">
        <f t="shared" ref="I21" si="10">I20/I$17</f>
        <v>0.1364968174317179</v>
      </c>
      <c r="J21">
        <f t="shared" ref="J21" si="11">J20/J$17</f>
        <v>0.155755449387877</v>
      </c>
      <c r="K21">
        <f t="shared" ref="K21" si="12">K20/K$17</f>
        <v>0.2404872933969813</v>
      </c>
      <c r="L21">
        <f t="shared" ref="L21" si="13">L20/L$17</f>
        <v>0.24226548033060838</v>
      </c>
      <c r="M21">
        <f t="shared" ref="M21" si="14">M20/M$17</f>
        <v>0.25826182575058421</v>
      </c>
      <c r="N21">
        <f t="shared" ref="N21" si="15">N20/N$17</f>
        <v>0.2950049322930679</v>
      </c>
    </row>
    <row r="22" spans="1:14" x14ac:dyDescent="0.25">
      <c r="A22" s="73" t="s">
        <v>140</v>
      </c>
      <c r="B22" s="73"/>
      <c r="C22">
        <f t="shared" ref="C22:N22" si="16">B9</f>
        <v>1557.6</v>
      </c>
      <c r="D22">
        <f t="shared" si="16"/>
        <v>2332.4</v>
      </c>
      <c r="E22">
        <f t="shared" si="16"/>
        <v>2208</v>
      </c>
      <c r="F22">
        <f t="shared" si="16"/>
        <v>822</v>
      </c>
      <c r="G22">
        <f t="shared" si="16"/>
        <v>-43.1</v>
      </c>
      <c r="H22">
        <f t="shared" si="16"/>
        <v>-452.3</v>
      </c>
      <c r="I22">
        <f t="shared" si="16"/>
        <v>175.8</v>
      </c>
      <c r="J22">
        <f t="shared" si="16"/>
        <v>65.3</v>
      </c>
      <c r="K22">
        <f t="shared" si="16"/>
        <v>250.4</v>
      </c>
      <c r="L22">
        <f t="shared" si="16"/>
        <v>670.6</v>
      </c>
      <c r="M22">
        <f t="shared" si="16"/>
        <v>849.5</v>
      </c>
      <c r="N22">
        <f t="shared" si="16"/>
        <v>1162.5999999999999</v>
      </c>
    </row>
    <row r="23" spans="1:14" x14ac:dyDescent="0.25">
      <c r="A23" s="193" t="s">
        <v>551</v>
      </c>
      <c r="B23" s="193"/>
      <c r="C23">
        <f t="shared" ref="C23" si="17">C22/C$17</f>
        <v>0.1733517339625161</v>
      </c>
      <c r="D23">
        <f t="shared" ref="D23" si="18">D22/D$17</f>
        <v>0.18637133633777608</v>
      </c>
      <c r="E23">
        <f t="shared" ref="E23" si="19">E22/E$17</f>
        <v>0.14898081737029964</v>
      </c>
      <c r="F23">
        <f t="shared" ref="F23" si="20">F22/F$17</f>
        <v>7.113003296902988E-2</v>
      </c>
      <c r="G23">
        <f t="shared" ref="G23" si="21">G22/G$17</f>
        <v>-5.4209745176464668E-3</v>
      </c>
      <c r="H23">
        <f t="shared" ref="H23" si="22">H22/H$17</f>
        <v>-6.6939971584181857E-2</v>
      </c>
      <c r="I23">
        <f t="shared" ref="I23" si="23">I22/I$17</f>
        <v>2.9602936719092043E-2</v>
      </c>
      <c r="J23">
        <f t="shared" ref="J23" si="24">J22/J$17</f>
        <v>1.2186473574201254E-2</v>
      </c>
      <c r="K23">
        <f t="shared" ref="K23" si="25">K22/K$17</f>
        <v>3.4546508098562405E-2</v>
      </c>
      <c r="L23">
        <f t="shared" ref="L23" si="26">L22/L$17</f>
        <v>7.571925387290547E-2</v>
      </c>
      <c r="M23">
        <f t="shared" ref="M23" si="27">M22/M$17</f>
        <v>8.340369548569522E-2</v>
      </c>
      <c r="N23">
        <f t="shared" ref="N23" si="28">N22/N$17</f>
        <v>0.10425970764953815</v>
      </c>
    </row>
    <row r="24" spans="1:14" x14ac:dyDescent="0.25">
      <c r="A24" s="73" t="s">
        <v>136</v>
      </c>
      <c r="B24" s="73"/>
      <c r="C24">
        <f t="shared" ref="C24:N24" si="29">B11</f>
        <v>1607.1999999999998</v>
      </c>
      <c r="D24">
        <f t="shared" si="29"/>
        <v>2385.2000000000003</v>
      </c>
      <c r="E24">
        <f t="shared" si="29"/>
        <v>2264.5</v>
      </c>
      <c r="F24">
        <f t="shared" si="29"/>
        <v>886.4</v>
      </c>
      <c r="G24">
        <f t="shared" si="29"/>
        <v>10.100000000000001</v>
      </c>
      <c r="H24">
        <f t="shared" si="29"/>
        <v>-426.6</v>
      </c>
      <c r="I24">
        <f t="shared" si="29"/>
        <v>193</v>
      </c>
      <c r="J24">
        <f t="shared" si="29"/>
        <v>85.199999999999989</v>
      </c>
      <c r="K24">
        <f t="shared" si="29"/>
        <v>269.2</v>
      </c>
      <c r="L24">
        <f t="shared" si="29"/>
        <v>693.30000000000007</v>
      </c>
      <c r="M24">
        <f t="shared" si="29"/>
        <v>887.9</v>
      </c>
      <c r="N24">
        <f t="shared" si="29"/>
        <v>1216.6999999999998</v>
      </c>
    </row>
    <row r="25" spans="1:14" x14ac:dyDescent="0.25">
      <c r="A25" s="194" t="s">
        <v>552</v>
      </c>
      <c r="B25" s="194"/>
      <c r="C25">
        <f t="shared" ref="C25" si="30">C24/C$17</f>
        <v>0.17887192271735738</v>
      </c>
      <c r="D25">
        <f t="shared" ref="D25" si="31">D24/D$17</f>
        <v>0.19059034103621317</v>
      </c>
      <c r="E25">
        <f t="shared" ref="E25" si="32">E24/E$17</f>
        <v>0.15279305295971174</v>
      </c>
      <c r="F25">
        <f t="shared" ref="F25" si="33">F24/F$17</f>
        <v>7.6702750880472126E-2</v>
      </c>
      <c r="G25">
        <f t="shared" ref="G25" si="34">G24/G$17</f>
        <v>1.2703443765250423E-3</v>
      </c>
      <c r="H25">
        <f t="shared" ref="H25" si="35">H24/H$17</f>
        <v>-6.3136395927066075E-2</v>
      </c>
      <c r="I25">
        <f t="shared" ref="I25" si="36">I24/I$17</f>
        <v>3.2499242245647118E-2</v>
      </c>
      <c r="J25">
        <f t="shared" ref="J25" si="37">J24/J$17</f>
        <v>1.5900268736936399E-2</v>
      </c>
      <c r="K25">
        <f t="shared" ref="K25" si="38">K24/K$17</f>
        <v>3.7140255511713252E-2</v>
      </c>
      <c r="L25">
        <f t="shared" ref="L25" si="39">L24/L$17</f>
        <v>7.8282372069915548E-2</v>
      </c>
      <c r="M25">
        <f t="shared" ref="M25" si="40">M24/M$17</f>
        <v>8.7173797788992091E-2</v>
      </c>
      <c r="N25">
        <f t="shared" ref="N25" si="41">N24/N$17</f>
        <v>0.10911129046722265</v>
      </c>
    </row>
    <row r="26" spans="1:14" x14ac:dyDescent="0.25">
      <c r="A26" s="73" t="s">
        <v>291</v>
      </c>
      <c r="B26" s="73"/>
      <c r="C26">
        <f t="shared" ref="C26:N26" si="42">B5</f>
        <v>311.16792199999998</v>
      </c>
      <c r="D26">
        <f t="shared" si="42"/>
        <v>312.93886800000001</v>
      </c>
      <c r="E26">
        <f t="shared" si="42"/>
        <v>313.24674499999998</v>
      </c>
      <c r="F26">
        <f t="shared" si="42"/>
        <v>314.91444000000001</v>
      </c>
      <c r="G26">
        <f t="shared" si="42"/>
        <v>316.66027500000001</v>
      </c>
      <c r="H26">
        <f t="shared" si="42"/>
        <v>317.480886</v>
      </c>
      <c r="I26">
        <f t="shared" si="42"/>
        <v>318.82323400000001</v>
      </c>
      <c r="J26">
        <f t="shared" si="42"/>
        <v>316.04309899999998</v>
      </c>
      <c r="K26">
        <f t="shared" si="42"/>
        <v>320.891976</v>
      </c>
      <c r="L26">
        <f t="shared" si="42"/>
        <v>322.94361800000001</v>
      </c>
      <c r="M26">
        <f t="shared" si="42"/>
        <v>364.58669400000002</v>
      </c>
      <c r="N26">
        <f t="shared" si="42"/>
        <v>368.64737100000002</v>
      </c>
    </row>
    <row r="27" spans="1:14" x14ac:dyDescent="0.25">
      <c r="A27" s="73" t="s">
        <v>553</v>
      </c>
      <c r="B27" s="73"/>
      <c r="C27" s="209">
        <f t="shared" ref="C27:N27" si="43">B6</f>
        <v>7721.8445199999996</v>
      </c>
      <c r="D27" s="209">
        <f t="shared" si="43"/>
        <v>11330.503151000001</v>
      </c>
      <c r="E27" s="209">
        <f t="shared" si="43"/>
        <v>7499.1281360000003</v>
      </c>
      <c r="F27" s="209">
        <f t="shared" si="43"/>
        <v>4031.8270940000002</v>
      </c>
      <c r="G27" s="209">
        <f t="shared" si="43"/>
        <v>4122.2453210000003</v>
      </c>
      <c r="H27" s="209">
        <f t="shared" si="43"/>
        <v>3618.09157</v>
      </c>
      <c r="I27" s="209">
        <f t="shared" si="43"/>
        <v>3539.664863</v>
      </c>
      <c r="J27" s="209">
        <f t="shared" si="43"/>
        <v>2856.785664</v>
      </c>
      <c r="K27" s="209">
        <f t="shared" si="43"/>
        <v>6585.476017</v>
      </c>
      <c r="L27" s="209">
        <f t="shared" si="43"/>
        <v>6272.7390290000003</v>
      </c>
      <c r="M27" s="209">
        <f t="shared" si="43"/>
        <v>7478.9751489999999</v>
      </c>
      <c r="N27" s="209">
        <f t="shared" si="43"/>
        <v>10768.608796</v>
      </c>
    </row>
    <row r="28" spans="1:14" x14ac:dyDescent="0.25">
      <c r="A28" s="73" t="s">
        <v>554</v>
      </c>
      <c r="B28" s="73"/>
      <c r="C28">
        <f t="shared" ref="C28:N28" si="44">B4</f>
        <v>4858.1000000000004</v>
      </c>
      <c r="D28">
        <f t="shared" si="44"/>
        <v>6951.2</v>
      </c>
      <c r="E28">
        <f t="shared" si="44"/>
        <v>8262.7000000000007</v>
      </c>
      <c r="F28">
        <f t="shared" si="44"/>
        <v>5901</v>
      </c>
      <c r="G28">
        <f t="shared" si="44"/>
        <v>5085.8</v>
      </c>
      <c r="H28">
        <f t="shared" si="44"/>
        <v>4356.2</v>
      </c>
      <c r="I28">
        <f t="shared" si="44"/>
        <v>3315.7</v>
      </c>
      <c r="J28">
        <f t="shared" si="44"/>
        <v>2734.9</v>
      </c>
      <c r="K28">
        <f t="shared" si="44"/>
        <v>3653.5</v>
      </c>
      <c r="L28">
        <f t="shared" si="44"/>
        <v>4795</v>
      </c>
      <c r="M28">
        <f t="shared" si="44"/>
        <v>5065.7</v>
      </c>
      <c r="N28">
        <f t="shared" si="44"/>
        <v>5255.6</v>
      </c>
    </row>
    <row r="29" spans="1:14" x14ac:dyDescent="0.25">
      <c r="A29" s="193" t="s">
        <v>555</v>
      </c>
      <c r="B29" s="193"/>
      <c r="C29">
        <f t="shared" ref="C29:N29" si="45">C27/C28</f>
        <v>1.5894782981000801</v>
      </c>
      <c r="D29">
        <f t="shared" si="45"/>
        <v>1.6300067831453564</v>
      </c>
      <c r="E29">
        <f t="shared" si="45"/>
        <v>0.907588092996236</v>
      </c>
      <c r="F29">
        <f t="shared" si="45"/>
        <v>0.6832447202169124</v>
      </c>
      <c r="G29">
        <f t="shared" si="45"/>
        <v>0.81054019446301473</v>
      </c>
      <c r="H29">
        <f t="shared" si="45"/>
        <v>0.83056139984390065</v>
      </c>
      <c r="I29">
        <f t="shared" si="45"/>
        <v>1.0675467813734656</v>
      </c>
      <c r="J29">
        <f t="shared" si="45"/>
        <v>1.0445667717283995</v>
      </c>
      <c r="K29">
        <f t="shared" si="45"/>
        <v>1.8025115689065281</v>
      </c>
      <c r="L29">
        <f t="shared" si="45"/>
        <v>1.3081833220020855</v>
      </c>
      <c r="M29">
        <f t="shared" si="45"/>
        <v>1.4763951969125688</v>
      </c>
      <c r="N29">
        <f t="shared" si="45"/>
        <v>2.0489780036532461</v>
      </c>
    </row>
    <row r="30" spans="1:14" x14ac:dyDescent="0.25">
      <c r="A30" s="73" t="s">
        <v>556</v>
      </c>
      <c r="B30" s="73"/>
      <c r="C30">
        <f t="shared" ref="C30:N30" si="46">B7</f>
        <v>10840.8</v>
      </c>
      <c r="D30">
        <f t="shared" si="46"/>
        <v>13863.7</v>
      </c>
      <c r="E30">
        <f t="shared" si="46"/>
        <v>15051.3</v>
      </c>
      <c r="F30">
        <f t="shared" si="46"/>
        <v>11296.5</v>
      </c>
      <c r="G30">
        <f t="shared" si="46"/>
        <v>6646.1</v>
      </c>
      <c r="H30">
        <f t="shared" si="46"/>
        <v>3657.6</v>
      </c>
      <c r="I30">
        <f t="shared" si="46"/>
        <v>4400.2</v>
      </c>
      <c r="J30">
        <f t="shared" si="46"/>
        <v>3636.8</v>
      </c>
      <c r="K30">
        <f t="shared" si="46"/>
        <v>4354</v>
      </c>
      <c r="L30">
        <f t="shared" si="46"/>
        <v>6259.3</v>
      </c>
      <c r="M30">
        <f t="shared" si="46"/>
        <v>8024.9</v>
      </c>
      <c r="N30">
        <f t="shared" si="46"/>
        <v>10824</v>
      </c>
    </row>
    <row r="31" spans="1:14" x14ac:dyDescent="0.25">
      <c r="A31" s="193" t="s">
        <v>557</v>
      </c>
      <c r="B31" s="193"/>
      <c r="C31">
        <f t="shared" ref="C31:N31" si="47">C30/C17</f>
        <v>1.2065173841428125</v>
      </c>
      <c r="D31">
        <f t="shared" si="47"/>
        <v>1.1077843832901846</v>
      </c>
      <c r="E31">
        <f t="shared" si="47"/>
        <v>1.015559319060503</v>
      </c>
      <c r="F31">
        <f t="shared" si="47"/>
        <v>0.97751875600321914</v>
      </c>
      <c r="G31">
        <f t="shared" si="47"/>
        <v>0.83592433275476064</v>
      </c>
      <c r="H31">
        <f t="shared" si="47"/>
        <v>0.54132133554345252</v>
      </c>
      <c r="I31">
        <f t="shared" si="47"/>
        <v>0.74094904522951532</v>
      </c>
      <c r="J31">
        <f t="shared" si="47"/>
        <v>0.67871006270528522</v>
      </c>
      <c r="K31">
        <f t="shared" si="47"/>
        <v>0.60070086366270248</v>
      </c>
      <c r="L31">
        <f t="shared" si="47"/>
        <v>0.70675443746894906</v>
      </c>
      <c r="M31">
        <f t="shared" si="47"/>
        <v>0.78788265556580983</v>
      </c>
      <c r="N31">
        <f t="shared" si="47"/>
        <v>0.97067527576002155</v>
      </c>
    </row>
    <row r="33" spans="1:15" x14ac:dyDescent="0.25">
      <c r="A33" t="s">
        <v>558</v>
      </c>
      <c r="B33" s="193" t="s">
        <v>548</v>
      </c>
      <c r="C33">
        <f t="shared" ref="C33:K33" si="48">1.2*C19</f>
        <v>0.55118639540577841</v>
      </c>
      <c r="D33">
        <f t="shared" si="48"/>
        <v>0.53347396682328119</v>
      </c>
      <c r="E33">
        <f t="shared" si="48"/>
        <v>0.53098706538827445</v>
      </c>
      <c r="F33">
        <f t="shared" si="48"/>
        <v>0.58724332182445937</v>
      </c>
      <c r="G33">
        <f t="shared" si="48"/>
        <v>0.43239000830126029</v>
      </c>
      <c r="H33">
        <f t="shared" si="48"/>
        <v>0.42634383139947907</v>
      </c>
      <c r="I33">
        <f t="shared" si="48"/>
        <v>0.53000370457683632</v>
      </c>
      <c r="J33">
        <f t="shared" si="48"/>
        <v>0.58752612720214981</v>
      </c>
      <c r="K33">
        <f t="shared" si="48"/>
        <v>0.59513258464170415</v>
      </c>
      <c r="L33">
        <f t="shared" ref="L33:N33" si="49">1.2*L19</f>
        <v>0.55030034777110326</v>
      </c>
      <c r="M33">
        <f t="shared" si="49"/>
        <v>0.60318102381840677</v>
      </c>
      <c r="N33">
        <f t="shared" si="49"/>
        <v>0.63442561205273063</v>
      </c>
    </row>
    <row r="34" spans="1:15" x14ac:dyDescent="0.25">
      <c r="A34" t="s">
        <v>559</v>
      </c>
      <c r="B34" s="193" t="s">
        <v>550</v>
      </c>
      <c r="C34">
        <f t="shared" ref="C34:K34" si="50">1.4*C21</f>
        <v>0.37664381427235899</v>
      </c>
      <c r="D34">
        <f>1.4*D21</f>
        <v>0.42412343784958612</v>
      </c>
      <c r="E34">
        <f t="shared" si="50"/>
        <v>0.4616381142591105</v>
      </c>
      <c r="F34">
        <f t="shared" si="50"/>
        <v>0.48290023623478101</v>
      </c>
      <c r="G34">
        <f t="shared" si="50"/>
        <v>0.21315372424722662</v>
      </c>
      <c r="H34">
        <f t="shared" si="50"/>
        <v>0.12705422685294812</v>
      </c>
      <c r="I34">
        <f t="shared" si="50"/>
        <v>0.19109554440440504</v>
      </c>
      <c r="J34">
        <f t="shared" si="50"/>
        <v>0.21805762914302779</v>
      </c>
      <c r="K34">
        <f t="shared" si="50"/>
        <v>0.33668221075577381</v>
      </c>
      <c r="L34">
        <f t="shared" ref="L34:N34" si="51">1.4*L21</f>
        <v>0.33917167246285174</v>
      </c>
      <c r="M34">
        <f t="shared" si="51"/>
        <v>0.36156655605081789</v>
      </c>
      <c r="N34">
        <f t="shared" si="51"/>
        <v>0.41300690521029504</v>
      </c>
    </row>
    <row r="35" spans="1:15" x14ac:dyDescent="0.25">
      <c r="A35" t="s">
        <v>560</v>
      </c>
      <c r="B35" s="193" t="s">
        <v>551</v>
      </c>
      <c r="C35">
        <f t="shared" ref="C35:K35" si="52">3.3*C23</f>
        <v>0.5720607220763031</v>
      </c>
      <c r="D35">
        <f t="shared" si="52"/>
        <v>0.61502540991466104</v>
      </c>
      <c r="E35">
        <f t="shared" si="52"/>
        <v>0.49163669732198878</v>
      </c>
      <c r="F35">
        <f t="shared" si="52"/>
        <v>0.2347291087977986</v>
      </c>
      <c r="G35">
        <f t="shared" si="52"/>
        <v>-1.7889215908233339E-2</v>
      </c>
      <c r="H35">
        <f t="shared" si="52"/>
        <v>-0.22090190622780012</v>
      </c>
      <c r="I35">
        <f t="shared" si="52"/>
        <v>9.7689691173003732E-2</v>
      </c>
      <c r="J35">
        <f t="shared" si="52"/>
        <v>4.0215362794864137E-2</v>
      </c>
      <c r="K35">
        <f t="shared" si="52"/>
        <v>0.11400347672525593</v>
      </c>
      <c r="L35">
        <f t="shared" ref="L35:N35" si="53">3.3*L23</f>
        <v>0.24987353778058805</v>
      </c>
      <c r="M35">
        <f t="shared" si="53"/>
        <v>0.27523219510279423</v>
      </c>
      <c r="N35">
        <f t="shared" si="53"/>
        <v>0.34405703524347586</v>
      </c>
    </row>
    <row r="36" spans="1:15" x14ac:dyDescent="0.25">
      <c r="A36" t="s">
        <v>561</v>
      </c>
      <c r="B36" s="193" t="s">
        <v>555</v>
      </c>
      <c r="C36">
        <f>0.6*C29</f>
        <v>0.95368697886004805</v>
      </c>
      <c r="D36">
        <f t="shared" ref="C36:K36" si="54">0.6*D29</f>
        <v>0.97800406988721378</v>
      </c>
      <c r="E36">
        <f t="shared" si="54"/>
        <v>0.5445528557977416</v>
      </c>
      <c r="F36">
        <f t="shared" si="54"/>
        <v>0.40994683213014743</v>
      </c>
      <c r="G36">
        <f t="shared" si="54"/>
        <v>0.48632411667780884</v>
      </c>
      <c r="H36">
        <f t="shared" si="54"/>
        <v>0.49833683990634037</v>
      </c>
      <c r="I36">
        <f t="shared" si="54"/>
        <v>0.64052806882407931</v>
      </c>
      <c r="J36">
        <f t="shared" si="54"/>
        <v>0.62674006303703966</v>
      </c>
      <c r="K36">
        <f t="shared" si="54"/>
        <v>1.0815069413439169</v>
      </c>
      <c r="L36">
        <f t="shared" ref="L36:N36" si="55">0.6*L29</f>
        <v>0.78490999320125132</v>
      </c>
      <c r="M36">
        <f t="shared" si="55"/>
        <v>0.88583711814754129</v>
      </c>
      <c r="N36">
        <f t="shared" si="55"/>
        <v>1.2293868021919476</v>
      </c>
    </row>
    <row r="37" spans="1:15" x14ac:dyDescent="0.25">
      <c r="A37" t="s">
        <v>562</v>
      </c>
      <c r="B37" t="str">
        <f>A31</f>
        <v>Sales/TA</v>
      </c>
      <c r="C37">
        <f t="shared" ref="C37:K37" si="56">0.99*C31</f>
        <v>1.1944522103013844</v>
      </c>
      <c r="D37">
        <f t="shared" si="56"/>
        <v>1.0967065394572828</v>
      </c>
      <c r="E37">
        <f t="shared" si="56"/>
        <v>1.005403725869898</v>
      </c>
      <c r="F37">
        <f t="shared" si="56"/>
        <v>0.96774356844318699</v>
      </c>
      <c r="G37">
        <f t="shared" si="56"/>
        <v>0.82756508942721307</v>
      </c>
      <c r="H37">
        <f t="shared" si="56"/>
        <v>0.53590812218801798</v>
      </c>
      <c r="I37">
        <f t="shared" si="56"/>
        <v>0.73353955477722022</v>
      </c>
      <c r="J37">
        <f t="shared" si="56"/>
        <v>0.67192296207823232</v>
      </c>
      <c r="K37">
        <f t="shared" si="56"/>
        <v>0.59469385502607541</v>
      </c>
      <c r="L37">
        <f t="shared" ref="L37:N37" si="57">0.99*L31</f>
        <v>0.69968689309425958</v>
      </c>
      <c r="M37">
        <f t="shared" si="57"/>
        <v>0.78000382901015175</v>
      </c>
      <c r="N37">
        <f t="shared" si="57"/>
        <v>0.9609685230024213</v>
      </c>
    </row>
    <row r="39" spans="1:15" s="106" customFormat="1" ht="21" x14ac:dyDescent="0.35">
      <c r="A39" s="210" t="s">
        <v>572</v>
      </c>
      <c r="B39" s="210"/>
      <c r="C39" s="210">
        <f>SUM(C33:C37)</f>
        <v>3.6480301209158728</v>
      </c>
      <c r="D39" s="210">
        <f t="shared" ref="C39:N39" si="58">SUM(D33:D37)</f>
        <v>3.6473334239320252</v>
      </c>
      <c r="E39" s="210">
        <f t="shared" si="58"/>
        <v>3.0342184586370129</v>
      </c>
      <c r="F39" s="210">
        <f t="shared" si="58"/>
        <v>2.6825630674303733</v>
      </c>
      <c r="G39" s="210">
        <f t="shared" si="58"/>
        <v>1.9415437227452754</v>
      </c>
      <c r="H39" s="210">
        <f t="shared" si="58"/>
        <v>1.3667411141189854</v>
      </c>
      <c r="I39" s="210">
        <f t="shared" si="58"/>
        <v>2.1928565637555444</v>
      </c>
      <c r="J39" s="210">
        <f t="shared" si="58"/>
        <v>2.1444621442553133</v>
      </c>
      <c r="K39" s="210">
        <f t="shared" si="58"/>
        <v>2.7220190684927266</v>
      </c>
      <c r="L39" s="210">
        <f t="shared" si="58"/>
        <v>2.6239424443100541</v>
      </c>
      <c r="M39" s="210">
        <f t="shared" si="58"/>
        <v>2.9058207221297119</v>
      </c>
      <c r="N39" s="210">
        <f t="shared" si="58"/>
        <v>3.5818448777008705</v>
      </c>
    </row>
    <row r="40" spans="1:15" x14ac:dyDescent="0.25">
      <c r="A40" t="s">
        <v>573</v>
      </c>
    </row>
    <row r="41" spans="1:15" x14ac:dyDescent="0.25">
      <c r="A41" t="s">
        <v>574</v>
      </c>
    </row>
    <row r="42" spans="1:15" x14ac:dyDescent="0.25">
      <c r="A42" t="s">
        <v>575</v>
      </c>
    </row>
    <row r="44" spans="1:15" x14ac:dyDescent="0.25">
      <c r="A44" s="3" t="s">
        <v>576</v>
      </c>
      <c r="B44" s="3">
        <v>2003</v>
      </c>
      <c r="C44" s="73">
        <v>2004</v>
      </c>
      <c r="D44" s="73">
        <v>2005</v>
      </c>
      <c r="E44" s="73">
        <v>2006</v>
      </c>
      <c r="F44" s="73">
        <v>2007</v>
      </c>
      <c r="G44" s="73">
        <v>2008</v>
      </c>
      <c r="H44" s="73">
        <v>2009</v>
      </c>
      <c r="I44" s="73">
        <v>2010</v>
      </c>
      <c r="J44" s="73">
        <v>2011</v>
      </c>
      <c r="K44" s="73">
        <v>2012</v>
      </c>
      <c r="L44" s="73">
        <v>2013</v>
      </c>
      <c r="M44" s="73">
        <v>2014</v>
      </c>
      <c r="N44" s="73">
        <v>2015</v>
      </c>
      <c r="O44" s="73"/>
    </row>
    <row r="46" spans="1:15" x14ac:dyDescent="0.25">
      <c r="A46" t="s">
        <v>563</v>
      </c>
      <c r="C46">
        <f t="shared" ref="C46:N46" si="59">C17</f>
        <v>8985.2000000000007</v>
      </c>
      <c r="D46">
        <f t="shared" si="59"/>
        <v>12514.8</v>
      </c>
      <c r="E46">
        <f t="shared" si="59"/>
        <v>14820.7</v>
      </c>
      <c r="F46">
        <f t="shared" si="59"/>
        <v>11556.3</v>
      </c>
      <c r="G46">
        <f t="shared" si="59"/>
        <v>7950.6</v>
      </c>
      <c r="H46">
        <f t="shared" si="59"/>
        <v>6756.8</v>
      </c>
      <c r="I46">
        <f t="shared" si="59"/>
        <v>5938.6</v>
      </c>
      <c r="J46">
        <f t="shared" si="59"/>
        <v>5358.4</v>
      </c>
      <c r="K46">
        <f t="shared" si="59"/>
        <v>7248.2</v>
      </c>
      <c r="L46">
        <f t="shared" si="59"/>
        <v>8856.4</v>
      </c>
      <c r="M46">
        <f t="shared" si="59"/>
        <v>10185.4</v>
      </c>
      <c r="N46">
        <f t="shared" si="59"/>
        <v>11151</v>
      </c>
    </row>
    <row r="47" spans="1:15" x14ac:dyDescent="0.25">
      <c r="A47" t="s">
        <v>566</v>
      </c>
      <c r="C47">
        <f t="shared" ref="C47:N47" si="60">B4</f>
        <v>4858.1000000000004</v>
      </c>
      <c r="D47">
        <f t="shared" si="60"/>
        <v>6951.2</v>
      </c>
      <c r="E47">
        <f t="shared" si="60"/>
        <v>8262.7000000000007</v>
      </c>
      <c r="F47">
        <f t="shared" si="60"/>
        <v>5901</v>
      </c>
      <c r="G47">
        <f t="shared" si="60"/>
        <v>5085.8</v>
      </c>
      <c r="H47">
        <f t="shared" si="60"/>
        <v>4356.2</v>
      </c>
      <c r="I47">
        <f t="shared" si="60"/>
        <v>3315.7</v>
      </c>
      <c r="J47">
        <f t="shared" si="60"/>
        <v>2734.9</v>
      </c>
      <c r="K47">
        <f t="shared" si="60"/>
        <v>3653.5</v>
      </c>
      <c r="L47">
        <f t="shared" si="60"/>
        <v>4795</v>
      </c>
      <c r="M47">
        <f t="shared" si="60"/>
        <v>5065.7</v>
      </c>
      <c r="N47">
        <f t="shared" si="60"/>
        <v>5255.6</v>
      </c>
    </row>
    <row r="48" spans="1:15" x14ac:dyDescent="0.25">
      <c r="A48" t="s">
        <v>577</v>
      </c>
      <c r="C48">
        <f t="shared" ref="C48:N48" si="61">C18</f>
        <v>4127.1000000000004</v>
      </c>
      <c r="D48">
        <f t="shared" si="61"/>
        <v>5563.5999999999995</v>
      </c>
      <c r="E48">
        <f t="shared" si="61"/>
        <v>6558</v>
      </c>
      <c r="F48">
        <f t="shared" si="61"/>
        <v>5655.2999999999993</v>
      </c>
      <c r="G48">
        <f t="shared" si="61"/>
        <v>2864.8</v>
      </c>
      <c r="H48">
        <f t="shared" si="61"/>
        <v>2400.6000000000004</v>
      </c>
      <c r="I48">
        <f t="shared" si="61"/>
        <v>2622.9000000000005</v>
      </c>
      <c r="J48">
        <f t="shared" si="61"/>
        <v>2623.4999999999995</v>
      </c>
      <c r="K48">
        <f t="shared" si="61"/>
        <v>3594.7</v>
      </c>
      <c r="L48">
        <f t="shared" si="61"/>
        <v>4061.3999999999996</v>
      </c>
      <c r="M48">
        <f t="shared" si="61"/>
        <v>5119.7</v>
      </c>
      <c r="N48">
        <f t="shared" si="61"/>
        <v>5895.4</v>
      </c>
    </row>
    <row r="49" spans="1:14" x14ac:dyDescent="0.25">
      <c r="A49" t="s">
        <v>565</v>
      </c>
      <c r="C49">
        <f t="shared" ref="C49:N49" si="62">B3</f>
        <v>1358.9</v>
      </c>
      <c r="D49">
        <f t="shared" si="62"/>
        <v>2041.6</v>
      </c>
      <c r="E49">
        <f t="shared" si="62"/>
        <v>2184.1</v>
      </c>
      <c r="F49">
        <f t="shared" si="62"/>
        <v>1524.2</v>
      </c>
      <c r="G49">
        <f t="shared" si="62"/>
        <v>1337.4</v>
      </c>
      <c r="H49">
        <f t="shared" si="62"/>
        <v>1210.9000000000001</v>
      </c>
      <c r="I49">
        <f t="shared" si="62"/>
        <v>1143.9000000000001</v>
      </c>
      <c r="J49">
        <f t="shared" si="62"/>
        <v>1030.3</v>
      </c>
      <c r="K49">
        <f t="shared" si="62"/>
        <v>1160.4000000000001</v>
      </c>
      <c r="L49">
        <f t="shared" si="62"/>
        <v>1286</v>
      </c>
      <c r="M49">
        <f t="shared" si="62"/>
        <v>1400</v>
      </c>
      <c r="N49">
        <f t="shared" si="62"/>
        <v>1444.1</v>
      </c>
    </row>
    <row r="50" spans="1:14" x14ac:dyDescent="0.25">
      <c r="A50" t="s">
        <v>564</v>
      </c>
      <c r="C50">
        <f t="shared" ref="C50:N50" si="63">B1</f>
        <v>7085.4</v>
      </c>
      <c r="D50">
        <f t="shared" si="63"/>
        <v>9636.6</v>
      </c>
      <c r="E50">
        <f t="shared" si="63"/>
        <v>12179</v>
      </c>
      <c r="F50">
        <f t="shared" si="63"/>
        <v>9613.1</v>
      </c>
      <c r="G50">
        <f t="shared" si="63"/>
        <v>6748.7</v>
      </c>
      <c r="H50">
        <f t="shared" si="63"/>
        <v>5972.3</v>
      </c>
      <c r="I50">
        <f t="shared" si="63"/>
        <v>5125.7</v>
      </c>
      <c r="J50">
        <f t="shared" si="63"/>
        <v>4541.3999999999996</v>
      </c>
      <c r="K50">
        <f t="shared" si="63"/>
        <v>5574.6</v>
      </c>
      <c r="L50">
        <f t="shared" si="63"/>
        <v>7252.6</v>
      </c>
      <c r="M50">
        <f t="shared" si="63"/>
        <v>8372.2999999999993</v>
      </c>
      <c r="N50">
        <f t="shared" si="63"/>
        <v>9200.5</v>
      </c>
    </row>
    <row r="51" spans="1:14" x14ac:dyDescent="0.25">
      <c r="A51" t="s">
        <v>578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579</v>
      </c>
      <c r="B52">
        <f>'DHI(IS)'!C55</f>
        <v>625.95500000000004</v>
      </c>
      <c r="C52">
        <f t="shared" ref="C52:N52" si="64">B12</f>
        <v>975.1</v>
      </c>
      <c r="D52">
        <f t="shared" si="64"/>
        <v>1470.5</v>
      </c>
      <c r="E52">
        <f t="shared" si="64"/>
        <v>1233.3</v>
      </c>
      <c r="F52">
        <f t="shared" si="64"/>
        <v>-712.5</v>
      </c>
      <c r="G52">
        <f t="shared" si="64"/>
        <v>-2633.6</v>
      </c>
      <c r="H52">
        <f t="shared" si="64"/>
        <v>-549.79999999999995</v>
      </c>
      <c r="I52">
        <f t="shared" si="64"/>
        <v>245.1</v>
      </c>
      <c r="J52">
        <f t="shared" si="64"/>
        <v>71.8</v>
      </c>
      <c r="K52">
        <f t="shared" si="64"/>
        <v>956.3</v>
      </c>
      <c r="L52">
        <f t="shared" si="64"/>
        <v>462.7</v>
      </c>
      <c r="M52">
        <f t="shared" si="64"/>
        <v>533.5</v>
      </c>
      <c r="N52">
        <f t="shared" si="64"/>
        <v>750.7</v>
      </c>
    </row>
    <row r="53" spans="1:14" x14ac:dyDescent="0.25">
      <c r="A53" t="s">
        <v>580</v>
      </c>
      <c r="C53">
        <f t="shared" ref="C53:N53" si="65">B13</f>
        <v>-422.5</v>
      </c>
      <c r="D53">
        <f t="shared" si="65"/>
        <v>-620.70000000000005</v>
      </c>
      <c r="E53">
        <f t="shared" si="65"/>
        <v>-1190.8</v>
      </c>
      <c r="F53">
        <f t="shared" si="65"/>
        <v>1355.5</v>
      </c>
      <c r="G53">
        <f t="shared" si="65"/>
        <v>1876.5</v>
      </c>
      <c r="H53">
        <f t="shared" si="65"/>
        <v>1141.2</v>
      </c>
      <c r="I53">
        <f t="shared" si="65"/>
        <v>709.4</v>
      </c>
      <c r="J53">
        <f t="shared" si="65"/>
        <v>14.9</v>
      </c>
      <c r="K53">
        <f t="shared" si="65"/>
        <v>-293.39999999999998</v>
      </c>
      <c r="L53">
        <f t="shared" si="65"/>
        <v>-1229.3</v>
      </c>
      <c r="M53">
        <f t="shared" si="65"/>
        <v>-661.4</v>
      </c>
      <c r="N53">
        <f t="shared" si="65"/>
        <v>700.4</v>
      </c>
    </row>
    <row r="54" spans="1:14" x14ac:dyDescent="0.25">
      <c r="A54" t="s">
        <v>581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s="211" t="s">
        <v>582</v>
      </c>
      <c r="B55" s="211"/>
      <c r="C55">
        <f>'FRED Graph'!F20</f>
        <v>291.2</v>
      </c>
      <c r="D55">
        <f>'FRED Graph'!G20</f>
        <v>313.10000000000002</v>
      </c>
      <c r="E55">
        <f>'FRED Graph'!H20</f>
        <v>334.6</v>
      </c>
      <c r="F55">
        <f>'FRED Graph'!I20</f>
        <v>360</v>
      </c>
      <c r="G55">
        <f>'FRED Graph'!J20</f>
        <v>380.5</v>
      </c>
      <c r="H55">
        <f>'FRED Graph'!K20</f>
        <v>378.8</v>
      </c>
      <c r="I55">
        <f>'FRED Graph'!L20</f>
        <v>392.1</v>
      </c>
      <c r="J55">
        <f>'FRED Graph'!M20</f>
        <v>404.1</v>
      </c>
      <c r="K55">
        <f>'FRED Graph'!N20</f>
        <v>413.5</v>
      </c>
      <c r="L55">
        <f>'FRED Graph'!O20</f>
        <v>427.7</v>
      </c>
      <c r="M55">
        <f>'FRED Graph'!P20</f>
        <v>439.6</v>
      </c>
      <c r="N55">
        <f>'FRED Graph'!Q20</f>
        <v>459.3</v>
      </c>
    </row>
    <row r="57" spans="1:14" x14ac:dyDescent="0.25">
      <c r="A57" t="s">
        <v>583</v>
      </c>
    </row>
    <row r="59" spans="1:14" x14ac:dyDescent="0.25">
      <c r="A59">
        <v>-1.32</v>
      </c>
      <c r="C59">
        <f>$A59</f>
        <v>-1.32</v>
      </c>
      <c r="D59">
        <f t="shared" ref="D59:N59" si="66">$A59</f>
        <v>-1.32</v>
      </c>
      <c r="E59">
        <f t="shared" si="66"/>
        <v>-1.32</v>
      </c>
      <c r="F59">
        <f t="shared" si="66"/>
        <v>-1.32</v>
      </c>
      <c r="G59">
        <f t="shared" si="66"/>
        <v>-1.32</v>
      </c>
      <c r="H59">
        <f t="shared" si="66"/>
        <v>-1.32</v>
      </c>
      <c r="I59">
        <f t="shared" si="66"/>
        <v>-1.32</v>
      </c>
      <c r="J59">
        <f t="shared" si="66"/>
        <v>-1.32</v>
      </c>
      <c r="K59">
        <f t="shared" si="66"/>
        <v>-1.32</v>
      </c>
      <c r="L59">
        <f t="shared" si="66"/>
        <v>-1.32</v>
      </c>
      <c r="M59">
        <f t="shared" si="66"/>
        <v>-1.32</v>
      </c>
      <c r="N59">
        <f t="shared" si="66"/>
        <v>-1.32</v>
      </c>
    </row>
    <row r="60" spans="1:14" x14ac:dyDescent="0.25">
      <c r="A60" t="s">
        <v>558</v>
      </c>
      <c r="C60">
        <f>-0.407*LOG(C46/C55)</f>
        <v>-0.6061599057632665</v>
      </c>
      <c r="D60">
        <f t="shared" ref="D60:L60" si="67">-0.407*LOG(D46/D55)</f>
        <v>-0.6519085242766679</v>
      </c>
      <c r="E60">
        <f t="shared" si="67"/>
        <v>-0.6700615113652223</v>
      </c>
      <c r="F60">
        <f t="shared" si="67"/>
        <v>-0.61315213685855985</v>
      </c>
      <c r="G60">
        <f t="shared" si="67"/>
        <v>-0.53725841400482788</v>
      </c>
      <c r="H60">
        <f t="shared" si="67"/>
        <v>-0.50929175515608582</v>
      </c>
      <c r="I60">
        <f t="shared" si="67"/>
        <v>-0.48037690328064958</v>
      </c>
      <c r="J60">
        <f t="shared" si="67"/>
        <v>-0.45687633585952941</v>
      </c>
      <c r="K60">
        <f t="shared" si="67"/>
        <v>-0.5062081443644767</v>
      </c>
      <c r="L60">
        <f t="shared" si="67"/>
        <v>-0.53566001501146032</v>
      </c>
      <c r="M60">
        <f t="shared" ref="M60:N60" si="68">-0.407*LOG(M46/M55)</f>
        <v>-0.55552260503388762</v>
      </c>
      <c r="N60">
        <f t="shared" si="68"/>
        <v>-0.56378346975176818</v>
      </c>
    </row>
    <row r="61" spans="1:14" x14ac:dyDescent="0.25">
      <c r="A61" t="s">
        <v>559</v>
      </c>
      <c r="C61">
        <f>6.03*(C47/C46)</f>
        <v>3.260288363085964</v>
      </c>
      <c r="D61">
        <f t="shared" ref="D61:L61" si="69">6.03*(D47/D46)</f>
        <v>3.3492933167130117</v>
      </c>
      <c r="E61">
        <f t="shared" si="69"/>
        <v>3.3617899964239211</v>
      </c>
      <c r="F61">
        <f t="shared" si="69"/>
        <v>3.079102307832092</v>
      </c>
      <c r="G61">
        <f t="shared" si="69"/>
        <v>3.857240208286167</v>
      </c>
      <c r="H61">
        <f t="shared" si="69"/>
        <v>3.8876222472176178</v>
      </c>
      <c r="I61">
        <f t="shared" si="69"/>
        <v>3.3667313845013975</v>
      </c>
      <c r="J61">
        <f t="shared" si="69"/>
        <v>3.0776812108091973</v>
      </c>
      <c r="K61">
        <f t="shared" si="69"/>
        <v>3.0394587621754363</v>
      </c>
      <c r="L61">
        <f t="shared" si="69"/>
        <v>3.2647407524502055</v>
      </c>
      <c r="M61">
        <f t="shared" ref="M61:N61" si="70">6.03*(M47/M46)</f>
        <v>2.9990153553125061</v>
      </c>
      <c r="N61">
        <f t="shared" si="70"/>
        <v>2.8420112994350286</v>
      </c>
    </row>
    <row r="62" spans="1:14" x14ac:dyDescent="0.25">
      <c r="A62" t="s">
        <v>560</v>
      </c>
      <c r="C62">
        <f>-1.43*(C48/C46)</f>
        <v>-0.65683045452521926</v>
      </c>
      <c r="D62">
        <f t="shared" ref="D62:L62" si="71">-1.43*(D48/D46)</f>
        <v>-0.63572314379774342</v>
      </c>
      <c r="E62">
        <f t="shared" si="71"/>
        <v>-0.63275958625436046</v>
      </c>
      <c r="F62">
        <f t="shared" si="71"/>
        <v>-0.6997982918408141</v>
      </c>
      <c r="G62">
        <f t="shared" si="71"/>
        <v>-0.51526475989233511</v>
      </c>
      <c r="H62">
        <f t="shared" si="71"/>
        <v>-0.50805973241771252</v>
      </c>
      <c r="I62">
        <f t="shared" si="71"/>
        <v>-0.63158774795406325</v>
      </c>
      <c r="J62">
        <f t="shared" si="71"/>
        <v>-0.70013530158256188</v>
      </c>
      <c r="K62">
        <f t="shared" si="71"/>
        <v>-0.70919966336469742</v>
      </c>
      <c r="L62">
        <f t="shared" si="71"/>
        <v>-0.65577458109389808</v>
      </c>
      <c r="M62">
        <f t="shared" ref="M62:N62" si="72">-1.43*(M48/M46)</f>
        <v>-0.71879072005026801</v>
      </c>
      <c r="N62">
        <f t="shared" si="72"/>
        <v>-0.75602385436283726</v>
      </c>
    </row>
    <row r="63" spans="1:14" x14ac:dyDescent="0.25">
      <c r="A63" t="s">
        <v>561</v>
      </c>
      <c r="C63">
        <f>0.0757*((C49-C50)/C46)</f>
        <v>-4.8245564928994338E-2</v>
      </c>
      <c r="D63">
        <f t="shared" ref="D63:L63" si="73">0.0757*((D49-D50)/D46)</f>
        <v>-4.5940925943682688E-2</v>
      </c>
      <c r="E63">
        <f t="shared" si="73"/>
        <v>-5.1051160201609914E-2</v>
      </c>
      <c r="F63">
        <f t="shared" si="73"/>
        <v>-5.298665922483841E-2</v>
      </c>
      <c r="G63">
        <f t="shared" si="73"/>
        <v>-5.1522578170200985E-2</v>
      </c>
      <c r="H63">
        <f t="shared" si="73"/>
        <v>-5.334447963533033E-2</v>
      </c>
      <c r="I63">
        <f t="shared" si="73"/>
        <v>-5.0756451015390829E-2</v>
      </c>
      <c r="J63">
        <f t="shared" si="73"/>
        <v>-4.9602543669752155E-2</v>
      </c>
      <c r="K63">
        <f t="shared" si="73"/>
        <v>-4.6101782511520112E-2</v>
      </c>
      <c r="L63">
        <f t="shared" si="73"/>
        <v>-5.0999460277313592E-2</v>
      </c>
      <c r="M63">
        <f t="shared" ref="M63:N63" si="74">0.0757*((M49-M50)/M46)</f>
        <v>-5.1819576059850374E-2</v>
      </c>
      <c r="N63">
        <f t="shared" si="74"/>
        <v>-5.2655320599049413E-2</v>
      </c>
    </row>
    <row r="64" spans="1:14" x14ac:dyDescent="0.25">
      <c r="A64" t="s">
        <v>562</v>
      </c>
      <c r="C64">
        <f>-1.72*C51</f>
        <v>0</v>
      </c>
      <c r="D64">
        <f t="shared" ref="D64:L64" si="75">-1.72*D51</f>
        <v>0</v>
      </c>
      <c r="E64">
        <f t="shared" si="75"/>
        <v>0</v>
      </c>
      <c r="F64">
        <f t="shared" si="75"/>
        <v>0</v>
      </c>
      <c r="G64">
        <f t="shared" si="75"/>
        <v>0</v>
      </c>
      <c r="H64">
        <f t="shared" si="75"/>
        <v>0</v>
      </c>
      <c r="I64">
        <f t="shared" si="75"/>
        <v>0</v>
      </c>
      <c r="J64">
        <f t="shared" si="75"/>
        <v>0</v>
      </c>
      <c r="K64">
        <f t="shared" si="75"/>
        <v>0</v>
      </c>
      <c r="L64">
        <f t="shared" si="75"/>
        <v>0</v>
      </c>
      <c r="M64">
        <f t="shared" ref="M64:N64" si="76">-1.72*M51</f>
        <v>0</v>
      </c>
      <c r="N64">
        <f t="shared" si="76"/>
        <v>0</v>
      </c>
    </row>
    <row r="65" spans="1:15" x14ac:dyDescent="0.25">
      <c r="A65" t="s">
        <v>584</v>
      </c>
      <c r="C65">
        <f>-2.37*(C52/C46)</f>
        <v>-0.25719928326581487</v>
      </c>
      <c r="D65">
        <f t="shared" ref="D65:L65" si="77">-2.37*(D52/D46)</f>
        <v>-0.27847708313356989</v>
      </c>
      <c r="E65">
        <f t="shared" si="77"/>
        <v>-0.19721882232283225</v>
      </c>
      <c r="F65">
        <f t="shared" si="77"/>
        <v>0.14612159601256458</v>
      </c>
      <c r="G65">
        <f t="shared" si="77"/>
        <v>0.78505169421175758</v>
      </c>
      <c r="H65">
        <f t="shared" si="77"/>
        <v>0.19284661378167178</v>
      </c>
      <c r="I65">
        <f t="shared" si="77"/>
        <v>-9.781547839558144E-2</v>
      </c>
      <c r="J65">
        <f t="shared" si="77"/>
        <v>-3.1756867721707972E-2</v>
      </c>
      <c r="K65">
        <f t="shared" si="77"/>
        <v>-0.3126888054965371</v>
      </c>
      <c r="L65">
        <f t="shared" si="77"/>
        <v>-0.12381994941511223</v>
      </c>
      <c r="M65">
        <f t="shared" ref="M65:N65" si="78">-2.37*(M52/M46)</f>
        <v>-0.12413798181711078</v>
      </c>
      <c r="N65">
        <f t="shared" si="78"/>
        <v>-0.15955152004304549</v>
      </c>
    </row>
    <row r="66" spans="1:15" x14ac:dyDescent="0.25">
      <c r="A66" t="s">
        <v>585</v>
      </c>
      <c r="C66">
        <f>-1.83*(C53/C47)</f>
        <v>0.15915172598340913</v>
      </c>
      <c r="D66">
        <f t="shared" ref="D66:L66" si="79">-1.83*(D53/D47)</f>
        <v>0.16340790079410752</v>
      </c>
      <c r="E66">
        <f t="shared" si="79"/>
        <v>0.26373509869655193</v>
      </c>
      <c r="F66">
        <f t="shared" si="79"/>
        <v>-0.42036349771225218</v>
      </c>
      <c r="G66">
        <f t="shared" si="79"/>
        <v>-0.67521235597152862</v>
      </c>
      <c r="H66">
        <f t="shared" si="79"/>
        <v>-0.47940774069142833</v>
      </c>
      <c r="I66">
        <f t="shared" si="79"/>
        <v>-0.39153180323913506</v>
      </c>
      <c r="J66">
        <f t="shared" si="79"/>
        <v>-9.9700171852718563E-3</v>
      </c>
      <c r="K66">
        <f t="shared" si="79"/>
        <v>0.14696099630491311</v>
      </c>
      <c r="L66">
        <f t="shared" si="79"/>
        <v>0.46915933263816478</v>
      </c>
      <c r="M66">
        <f t="shared" ref="M66:N66" si="80">-1.83*(M53/M47)</f>
        <v>0.2389328227095959</v>
      </c>
      <c r="N66">
        <f t="shared" si="80"/>
        <v>-0.24387929066138972</v>
      </c>
    </row>
    <row r="67" spans="1:15" x14ac:dyDescent="0.25">
      <c r="A67" t="s">
        <v>586</v>
      </c>
      <c r="C67">
        <f>0.285*C54</f>
        <v>0</v>
      </c>
      <c r="D67">
        <f t="shared" ref="D67:L67" si="81">0.285*D54</f>
        <v>0</v>
      </c>
      <c r="E67">
        <f t="shared" si="81"/>
        <v>0</v>
      </c>
      <c r="F67">
        <f t="shared" si="81"/>
        <v>0</v>
      </c>
      <c r="G67">
        <f t="shared" si="81"/>
        <v>0.28499999999999998</v>
      </c>
      <c r="H67">
        <f t="shared" si="81"/>
        <v>0.28499999999999998</v>
      </c>
      <c r="I67">
        <f t="shared" si="81"/>
        <v>0</v>
      </c>
      <c r="J67">
        <f t="shared" si="81"/>
        <v>0</v>
      </c>
      <c r="K67">
        <f t="shared" si="81"/>
        <v>0</v>
      </c>
      <c r="L67">
        <f t="shared" si="81"/>
        <v>0</v>
      </c>
      <c r="M67">
        <f t="shared" ref="M67:N67" si="82">0.285*M54</f>
        <v>0</v>
      </c>
      <c r="N67">
        <f t="shared" si="82"/>
        <v>0</v>
      </c>
    </row>
    <row r="68" spans="1:15" x14ac:dyDescent="0.25">
      <c r="A68" t="s">
        <v>587</v>
      </c>
      <c r="C68">
        <f>-0.521*((C52-B52)/(ABS(C52)+ABS(B52)))</f>
        <v>-0.11361542545384136</v>
      </c>
      <c r="D68">
        <f>-0.521*((D52-C52)/(ABS(D52)+ABS(C52)))</f>
        <v>-0.10553786391887472</v>
      </c>
      <c r="E68">
        <f t="shared" ref="E68:L68" si="83">-0.521*((E52-D52)/(ABS(E52)+ABS(D52)))</f>
        <v>4.5706487166210528E-2</v>
      </c>
      <c r="F68">
        <f t="shared" si="83"/>
        <v>0.52100000000000002</v>
      </c>
      <c r="G68">
        <f t="shared" si="83"/>
        <v>0.29912229162308357</v>
      </c>
      <c r="H68">
        <f t="shared" si="83"/>
        <v>-0.3410378211974619</v>
      </c>
      <c r="I68">
        <f t="shared" si="83"/>
        <v>-0.52100000000000002</v>
      </c>
      <c r="J68">
        <f t="shared" si="83"/>
        <v>0.28491416850741563</v>
      </c>
      <c r="K68">
        <f t="shared" si="83"/>
        <v>-0.44822925785429441</v>
      </c>
      <c r="L68">
        <f t="shared" si="83"/>
        <v>0.18123016208597603</v>
      </c>
      <c r="M68">
        <f t="shared" ref="M68" si="84">-0.521*((M52-L52)/(ABS(M52)+ABS(L52)))</f>
        <v>-3.7027504517165237E-2</v>
      </c>
      <c r="N68">
        <f t="shared" ref="N68" si="85">-0.521*((N52-M52)/(ABS(N52)+ABS(M52)))</f>
        <v>-8.8118050147952043E-2</v>
      </c>
    </row>
    <row r="71" spans="1:15" ht="18.75" x14ac:dyDescent="0.3">
      <c r="A71" s="212" t="s">
        <v>588</v>
      </c>
      <c r="C71">
        <f>SUM(C59:C68)</f>
        <v>0.41738945513223674</v>
      </c>
      <c r="D71">
        <f t="shared" ref="D71:N71" si="86">SUM(D59:D68)</f>
        <v>0.47511367643658059</v>
      </c>
      <c r="E71">
        <f t="shared" si="86"/>
        <v>0.80014050214265842</v>
      </c>
      <c r="F71">
        <f t="shared" si="86"/>
        <v>0.63992331820819204</v>
      </c>
      <c r="G71">
        <f t="shared" si="86"/>
        <v>2.1271560860821155</v>
      </c>
      <c r="H71">
        <f t="shared" si="86"/>
        <v>1.1543273319012703</v>
      </c>
      <c r="I71">
        <f t="shared" si="86"/>
        <v>-0.12633699938342269</v>
      </c>
      <c r="J71">
        <f t="shared" si="86"/>
        <v>0.79425431329778973</v>
      </c>
      <c r="K71">
        <f t="shared" si="86"/>
        <v>-0.15600789511117624</v>
      </c>
      <c r="L71">
        <f t="shared" si="86"/>
        <v>1.2288762413765619</v>
      </c>
      <c r="M71">
        <f t="shared" si="86"/>
        <v>0.43064979054381997</v>
      </c>
      <c r="N71">
        <f t="shared" si="86"/>
        <v>-0.34200020613101367</v>
      </c>
    </row>
    <row r="73" spans="1:15" ht="18.75" x14ac:dyDescent="0.3">
      <c r="A73" s="212" t="s">
        <v>589</v>
      </c>
      <c r="C73" s="217">
        <f>EXP(C71)/(1+EXP(C71))</f>
        <v>0.60285840095967813</v>
      </c>
      <c r="D73" s="217">
        <f t="shared" ref="D73:N73" si="87">EXP(D71)/(1+EXP(D71))</f>
        <v>0.61659337866733144</v>
      </c>
      <c r="E73" s="217">
        <f t="shared" si="87"/>
        <v>0.6900045350960643</v>
      </c>
      <c r="F73" s="217">
        <f t="shared" si="87"/>
        <v>0.65473612637680789</v>
      </c>
      <c r="G73" s="217">
        <f t="shared" si="87"/>
        <v>0.89351472349322825</v>
      </c>
      <c r="H73" s="217">
        <f t="shared" si="87"/>
        <v>0.76030043394202063</v>
      </c>
      <c r="I73" s="217">
        <f t="shared" si="87"/>
        <v>0.46845769299308215</v>
      </c>
      <c r="J73" s="217">
        <f t="shared" si="87"/>
        <v>0.68874408339298188</v>
      </c>
      <c r="K73" s="217">
        <f t="shared" si="87"/>
        <v>0.46107693817726858</v>
      </c>
      <c r="L73" s="217">
        <f t="shared" si="87"/>
        <v>0.77362182970867865</v>
      </c>
      <c r="M73" s="217">
        <f t="shared" si="87"/>
        <v>0.60602882173433459</v>
      </c>
      <c r="N73" s="217">
        <f t="shared" si="87"/>
        <v>0.41532368504977135</v>
      </c>
      <c r="O73" s="46"/>
    </row>
    <row r="74" spans="1:15" x14ac:dyDescent="0.25">
      <c r="C74" s="218"/>
      <c r="D74" s="218"/>
      <c r="E74" s="218"/>
      <c r="F74" s="218"/>
      <c r="G74" s="218"/>
      <c r="H74" s="218"/>
      <c r="I74" s="218"/>
      <c r="J74" s="218"/>
      <c r="K74" s="218"/>
      <c r="L74" s="218"/>
      <c r="M74" s="218"/>
      <c r="N74" s="218"/>
    </row>
    <row r="75" spans="1:15" x14ac:dyDescent="0.25">
      <c r="A75" t="s">
        <v>590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opLeftCell="B1" workbookViewId="0">
      <selection activeCell="R20" sqref="R20"/>
    </sheetView>
  </sheetViews>
  <sheetFormatPr defaultRowHeight="12.75" x14ac:dyDescent="0.2"/>
  <cols>
    <col min="1" max="2" width="20.7109375" style="213" customWidth="1"/>
    <col min="3" max="4" width="8.28515625" style="213" customWidth="1"/>
    <col min="5" max="5" width="8" style="213" customWidth="1"/>
    <col min="6" max="6" width="9.7109375" style="213" customWidth="1"/>
    <col min="7" max="8" width="9.42578125" style="213" customWidth="1"/>
    <col min="9" max="9" width="9.5703125" style="213" customWidth="1"/>
    <col min="10" max="10" width="6" style="213" bestFit="1" customWidth="1"/>
    <col min="11" max="11" width="7.140625" style="213" customWidth="1"/>
    <col min="12" max="12" width="6.5703125" style="213" customWidth="1"/>
    <col min="13" max="13" width="6.7109375" style="213" customWidth="1"/>
    <col min="14" max="14" width="5" style="213" bestFit="1" customWidth="1"/>
    <col min="15" max="15" width="8" style="213" customWidth="1"/>
    <col min="16" max="16" width="7.5703125" style="213" customWidth="1"/>
    <col min="17" max="17" width="7.85546875" style="213" customWidth="1"/>
    <col min="18" max="256" width="20.7109375" style="213" customWidth="1"/>
    <col min="257" max="16384" width="9.140625" style="213"/>
  </cols>
  <sheetData>
    <row r="1" spans="1:13" x14ac:dyDescent="0.2">
      <c r="A1" s="213" t="s">
        <v>600</v>
      </c>
    </row>
    <row r="2" spans="1:13" x14ac:dyDescent="0.2">
      <c r="A2" s="213" t="s">
        <v>599</v>
      </c>
    </row>
    <row r="3" spans="1:13" x14ac:dyDescent="0.2">
      <c r="A3" s="213" t="s">
        <v>598</v>
      </c>
    </row>
    <row r="4" spans="1:13" x14ac:dyDescent="0.2">
      <c r="A4" s="213" t="s">
        <v>597</v>
      </c>
    </row>
    <row r="5" spans="1:13" x14ac:dyDescent="0.2">
      <c r="A5" s="213" t="s">
        <v>596</v>
      </c>
    </row>
    <row r="6" spans="1:13" x14ac:dyDescent="0.2">
      <c r="A6" s="213" t="s">
        <v>595</v>
      </c>
    </row>
    <row r="8" spans="1:13" x14ac:dyDescent="0.2">
      <c r="A8" s="213" t="s">
        <v>591</v>
      </c>
      <c r="B8" s="213" t="s">
        <v>594</v>
      </c>
    </row>
    <row r="10" spans="1:13" x14ac:dyDescent="0.2">
      <c r="A10" s="213" t="s">
        <v>593</v>
      </c>
    </row>
    <row r="11" spans="1:13" x14ac:dyDescent="0.2">
      <c r="A11" s="213" t="s">
        <v>592</v>
      </c>
      <c r="B11" s="213" t="s">
        <v>591</v>
      </c>
    </row>
    <row r="12" spans="1:13" x14ac:dyDescent="0.2">
      <c r="A12" s="215">
        <v>42005</v>
      </c>
      <c r="B12" s="214">
        <v>459.3</v>
      </c>
      <c r="C12" s="214">
        <f>B13</f>
        <v>439.6</v>
      </c>
      <c r="D12" s="214">
        <f>B14</f>
        <v>427.7</v>
      </c>
      <c r="E12" s="214">
        <f>B15</f>
        <v>413.5</v>
      </c>
      <c r="F12" s="214">
        <f>B16</f>
        <v>404.1</v>
      </c>
      <c r="G12" s="216">
        <f>B17</f>
        <v>392.1</v>
      </c>
      <c r="H12" s="216">
        <f>B18</f>
        <v>374.8</v>
      </c>
      <c r="I12" s="216">
        <f>B19</f>
        <v>380.5</v>
      </c>
      <c r="J12" s="216">
        <f>B20</f>
        <v>360</v>
      </c>
      <c r="K12" s="216">
        <f>B21</f>
        <v>334.6</v>
      </c>
      <c r="L12" s="216">
        <f>B22</f>
        <v>313.10000000000002</v>
      </c>
      <c r="M12" s="216">
        <f>B23</f>
        <v>291.2</v>
      </c>
    </row>
    <row r="13" spans="1:13" x14ac:dyDescent="0.2">
      <c r="A13" s="215">
        <v>41640</v>
      </c>
      <c r="B13" s="214">
        <v>439.6</v>
      </c>
    </row>
    <row r="14" spans="1:13" x14ac:dyDescent="0.2">
      <c r="A14" s="215">
        <v>41275</v>
      </c>
      <c r="B14" s="214">
        <v>427.7</v>
      </c>
    </row>
    <row r="15" spans="1:13" x14ac:dyDescent="0.2">
      <c r="A15" s="215">
        <v>40909</v>
      </c>
      <c r="B15" s="214">
        <v>413.5</v>
      </c>
    </row>
    <row r="16" spans="1:13" x14ac:dyDescent="0.2">
      <c r="A16" s="215">
        <v>40544</v>
      </c>
      <c r="B16" s="214">
        <v>404.1</v>
      </c>
    </row>
    <row r="17" spans="1:17" x14ac:dyDescent="0.2">
      <c r="A17" s="215">
        <v>40179</v>
      </c>
      <c r="B17" s="214">
        <v>392.1</v>
      </c>
      <c r="F17" s="213">
        <v>459.3</v>
      </c>
      <c r="G17" s="213">
        <v>439.6</v>
      </c>
      <c r="H17" s="213">
        <v>427.7</v>
      </c>
      <c r="I17" s="213">
        <v>413.5</v>
      </c>
      <c r="J17" s="213">
        <v>404.1</v>
      </c>
      <c r="K17" s="213">
        <v>392.1</v>
      </c>
      <c r="L17" s="213">
        <v>374.8</v>
      </c>
      <c r="M17" s="213">
        <v>380.5</v>
      </c>
      <c r="N17" s="213">
        <v>360</v>
      </c>
      <c r="O17" s="213">
        <v>334.6</v>
      </c>
      <c r="P17" s="213">
        <v>313.10000000000002</v>
      </c>
      <c r="Q17" s="213">
        <v>291.2</v>
      </c>
    </row>
    <row r="18" spans="1:17" x14ac:dyDescent="0.2">
      <c r="A18" s="215">
        <v>39814</v>
      </c>
      <c r="B18" s="214">
        <v>374.8</v>
      </c>
      <c r="F18" s="213">
        <v>2015</v>
      </c>
      <c r="G18" s="213">
        <v>2014</v>
      </c>
      <c r="H18" s="213">
        <v>2013</v>
      </c>
      <c r="I18" s="213">
        <v>2012</v>
      </c>
      <c r="J18" s="213">
        <v>2011</v>
      </c>
      <c r="K18" s="213">
        <v>2010</v>
      </c>
      <c r="L18" s="213">
        <v>2009</v>
      </c>
      <c r="M18" s="213">
        <v>2008</v>
      </c>
      <c r="N18" s="213">
        <v>2007</v>
      </c>
      <c r="O18" s="213">
        <v>2006</v>
      </c>
      <c r="P18" s="213">
        <v>2005</v>
      </c>
      <c r="Q18" s="213">
        <v>2004</v>
      </c>
    </row>
    <row r="19" spans="1:17" x14ac:dyDescent="0.2">
      <c r="A19" s="215">
        <v>39448</v>
      </c>
      <c r="B19" s="214">
        <v>380.5</v>
      </c>
    </row>
    <row r="20" spans="1:17" x14ac:dyDescent="0.2">
      <c r="A20" s="215">
        <v>39083</v>
      </c>
      <c r="B20" s="214">
        <v>360</v>
      </c>
      <c r="F20" s="213">
        <v>291.2</v>
      </c>
      <c r="G20" s="213">
        <v>313.10000000000002</v>
      </c>
      <c r="H20" s="213">
        <v>334.6</v>
      </c>
      <c r="I20" s="213">
        <v>360</v>
      </c>
      <c r="J20" s="213">
        <v>380.5</v>
      </c>
      <c r="K20" s="213">
        <v>378.8</v>
      </c>
      <c r="L20" s="213">
        <v>392.1</v>
      </c>
      <c r="M20" s="213">
        <v>404.1</v>
      </c>
      <c r="N20" s="213">
        <v>413.5</v>
      </c>
      <c r="O20" s="213">
        <v>427.7</v>
      </c>
      <c r="P20" s="213">
        <v>439.6</v>
      </c>
      <c r="Q20" s="213">
        <v>459.3</v>
      </c>
    </row>
    <row r="21" spans="1:17" x14ac:dyDescent="0.2">
      <c r="A21" s="215">
        <v>38718</v>
      </c>
      <c r="B21" s="214">
        <v>334.6</v>
      </c>
    </row>
    <row r="22" spans="1:17" x14ac:dyDescent="0.2">
      <c r="A22" s="215">
        <v>38353</v>
      </c>
      <c r="B22" s="214">
        <v>313.10000000000002</v>
      </c>
    </row>
    <row r="23" spans="1:17" x14ac:dyDescent="0.2">
      <c r="A23" s="215">
        <v>37987</v>
      </c>
      <c r="B23" s="214">
        <v>291.2</v>
      </c>
    </row>
    <row r="24" spans="1:17" x14ac:dyDescent="0.2">
      <c r="A24" s="215">
        <v>37622</v>
      </c>
      <c r="B24" s="214">
        <v>277.60000000000002</v>
      </c>
    </row>
    <row r="25" spans="1:17" x14ac:dyDescent="0.2">
      <c r="A25" s="215">
        <v>37257</v>
      </c>
      <c r="B25" s="214">
        <v>265.7</v>
      </c>
    </row>
    <row r="26" spans="1:17" x14ac:dyDescent="0.2">
      <c r="A26" s="215">
        <v>36892</v>
      </c>
      <c r="B26" s="214">
        <v>263.2</v>
      </c>
    </row>
    <row r="27" spans="1:17" x14ac:dyDescent="0.2">
      <c r="A27" s="215">
        <v>36526</v>
      </c>
      <c r="B27" s="214">
        <v>255.6</v>
      </c>
    </row>
    <row r="28" spans="1:17" x14ac:dyDescent="0.2">
      <c r="A28" s="215">
        <v>36161</v>
      </c>
      <c r="B28" s="214">
        <v>237.2</v>
      </c>
    </row>
    <row r="29" spans="1:17" x14ac:dyDescent="0.2">
      <c r="A29" s="215">
        <v>35796</v>
      </c>
      <c r="B29" s="214">
        <v>222.4</v>
      </c>
    </row>
    <row r="30" spans="1:17" x14ac:dyDescent="0.2">
      <c r="A30" s="215">
        <v>35431</v>
      </c>
      <c r="B30" s="214">
        <v>212</v>
      </c>
    </row>
    <row r="31" spans="1:17" x14ac:dyDescent="0.2">
      <c r="A31" s="215">
        <v>35065</v>
      </c>
      <c r="B31" s="214">
        <v>199.8</v>
      </c>
    </row>
    <row r="32" spans="1:17" x14ac:dyDescent="0.2">
      <c r="A32" s="215">
        <v>34700</v>
      </c>
      <c r="B32" s="214">
        <v>187.5</v>
      </c>
    </row>
    <row r="33" spans="1:2" x14ac:dyDescent="0.2">
      <c r="A33" s="215">
        <v>34335</v>
      </c>
      <c r="B33" s="214">
        <v>175</v>
      </c>
    </row>
    <row r="34" spans="1:2" x14ac:dyDescent="0.2">
      <c r="A34" s="215">
        <v>33970</v>
      </c>
      <c r="B34" s="214">
        <v>172</v>
      </c>
    </row>
    <row r="35" spans="1:2" x14ac:dyDescent="0.2">
      <c r="A35" s="215">
        <v>33604</v>
      </c>
      <c r="B35" s="214">
        <v>171.9</v>
      </c>
    </row>
    <row r="36" spans="1:2" x14ac:dyDescent="0.2">
      <c r="A36" s="215">
        <v>33239</v>
      </c>
      <c r="B36" s="214">
        <v>170</v>
      </c>
    </row>
    <row r="37" spans="1:2" x14ac:dyDescent="0.2">
      <c r="A37" s="215">
        <v>32874</v>
      </c>
      <c r="B37" s="214">
        <v>164.2</v>
      </c>
    </row>
    <row r="38" spans="1:2" x14ac:dyDescent="0.2">
      <c r="A38" s="215">
        <v>32509</v>
      </c>
      <c r="B38" s="214">
        <v>155.9</v>
      </c>
    </row>
    <row r="39" spans="1:2" x14ac:dyDescent="0.2">
      <c r="A39" s="215">
        <v>32143</v>
      </c>
      <c r="B39" s="214">
        <v>148.19999999999999</v>
      </c>
    </row>
    <row r="40" spans="1:2" x14ac:dyDescent="0.2">
      <c r="A40" s="215">
        <v>31778</v>
      </c>
      <c r="B40" s="214">
        <v>140.19999999999999</v>
      </c>
    </row>
    <row r="41" spans="1:2" x14ac:dyDescent="0.2">
      <c r="A41" s="215">
        <v>31413</v>
      </c>
      <c r="B41" s="214">
        <v>132</v>
      </c>
    </row>
    <row r="42" spans="1:2" x14ac:dyDescent="0.2">
      <c r="A42" s="215">
        <v>31048</v>
      </c>
      <c r="B42" s="214">
        <v>125.1</v>
      </c>
    </row>
    <row r="43" spans="1:2" x14ac:dyDescent="0.2">
      <c r="A43" s="215">
        <v>30682</v>
      </c>
      <c r="B43" s="214">
        <v>111.4</v>
      </c>
    </row>
    <row r="44" spans="1:2" x14ac:dyDescent="0.2">
      <c r="A44" s="215">
        <v>30317</v>
      </c>
      <c r="B44" s="214">
        <v>98.4</v>
      </c>
    </row>
    <row r="45" spans="1:2" x14ac:dyDescent="0.2">
      <c r="A45" s="215">
        <v>29952</v>
      </c>
      <c r="B45" s="214">
        <v>89</v>
      </c>
    </row>
    <row r="46" spans="1:2" x14ac:dyDescent="0.2">
      <c r="A46" s="215">
        <v>29587</v>
      </c>
      <c r="B46" s="214">
        <v>79.900000000000006</v>
      </c>
    </row>
    <row r="47" spans="1:2" x14ac:dyDescent="0.2">
      <c r="A47" s="215">
        <v>29221</v>
      </c>
      <c r="B47" s="214">
        <v>69.8</v>
      </c>
    </row>
    <row r="48" spans="1:2" x14ac:dyDescent="0.2">
      <c r="A48" s="215">
        <v>28856</v>
      </c>
      <c r="B48" s="214">
        <v>60.9</v>
      </c>
    </row>
    <row r="49" spans="1:2" x14ac:dyDescent="0.2">
      <c r="A49" s="215">
        <v>28491</v>
      </c>
      <c r="B49" s="214">
        <v>53.5</v>
      </c>
    </row>
    <row r="50" spans="1:2" x14ac:dyDescent="0.2">
      <c r="A50" s="215">
        <v>28126</v>
      </c>
      <c r="B50" s="214">
        <v>47.5</v>
      </c>
    </row>
    <row r="51" spans="1:2" x14ac:dyDescent="0.2">
      <c r="A51" s="215">
        <v>27760</v>
      </c>
      <c r="B51" s="214">
        <v>43.1</v>
      </c>
    </row>
    <row r="52" spans="1:2" x14ac:dyDescent="0.2">
      <c r="A52" s="215">
        <v>27395</v>
      </c>
      <c r="B52" s="214">
        <v>39</v>
      </c>
    </row>
    <row r="53" spans="1:2" x14ac:dyDescent="0.2">
      <c r="A53" s="215">
        <v>27030</v>
      </c>
      <c r="B53" s="214">
        <v>36.4</v>
      </c>
    </row>
    <row r="54" spans="1:2" x14ac:dyDescent="0.2">
      <c r="A54" s="215">
        <v>26665</v>
      </c>
      <c r="B54" s="214">
        <v>33.799999999999997</v>
      </c>
    </row>
    <row r="55" spans="1:2" x14ac:dyDescent="0.2">
      <c r="A55" s="215">
        <v>26299</v>
      </c>
      <c r="B55" s="214">
        <v>31.3</v>
      </c>
    </row>
    <row r="56" spans="1:2" x14ac:dyDescent="0.2">
      <c r="A56" s="215">
        <v>25934</v>
      </c>
      <c r="B56" s="214">
        <v>29.1</v>
      </c>
    </row>
    <row r="57" spans="1:2" x14ac:dyDescent="0.2">
      <c r="A57" s="215">
        <v>25569</v>
      </c>
      <c r="B57" s="214">
        <v>28.3</v>
      </c>
    </row>
    <row r="58" spans="1:2" x14ac:dyDescent="0.2">
      <c r="A58" s="215">
        <v>25204</v>
      </c>
      <c r="B58" s="214">
        <v>28.2</v>
      </c>
    </row>
    <row r="59" spans="1:2" x14ac:dyDescent="0.2">
      <c r="A59" s="215">
        <v>24838</v>
      </c>
      <c r="B59" s="214">
        <v>26.6</v>
      </c>
    </row>
    <row r="60" spans="1:2" x14ac:dyDescent="0.2">
      <c r="A60" s="215">
        <v>24473</v>
      </c>
      <c r="B60" s="214">
        <v>24.9</v>
      </c>
    </row>
    <row r="61" spans="1:2" x14ac:dyDescent="0.2">
      <c r="A61" s="215">
        <v>24108</v>
      </c>
      <c r="B61" s="214">
        <v>23.2</v>
      </c>
    </row>
    <row r="62" spans="1:2" x14ac:dyDescent="0.2">
      <c r="A62" s="215">
        <v>23743</v>
      </c>
      <c r="B62" s="214">
        <v>20.8</v>
      </c>
    </row>
    <row r="63" spans="1:2" x14ac:dyDescent="0.2">
      <c r="A63" s="215">
        <v>23377</v>
      </c>
      <c r="B63" s="214">
        <v>19.3</v>
      </c>
    </row>
    <row r="64" spans="1:2" x14ac:dyDescent="0.2">
      <c r="A64" s="215">
        <v>23012</v>
      </c>
      <c r="B64" s="214">
        <v>17.600000000000001</v>
      </c>
    </row>
    <row r="65" spans="1:2" x14ac:dyDescent="0.2">
      <c r="A65" s="215">
        <v>22647</v>
      </c>
      <c r="B65" s="214">
        <v>15.4</v>
      </c>
    </row>
    <row r="66" spans="1:2" x14ac:dyDescent="0.2">
      <c r="A66" s="215">
        <v>22282</v>
      </c>
      <c r="B66" s="214">
        <v>13.9</v>
      </c>
    </row>
    <row r="67" spans="1:2" x14ac:dyDescent="0.2">
      <c r="A67" s="215">
        <v>21916</v>
      </c>
      <c r="B67" s="214">
        <v>12.7</v>
      </c>
    </row>
    <row r="68" spans="1:2" x14ac:dyDescent="0.2">
      <c r="A68" s="215">
        <v>21551</v>
      </c>
      <c r="B68" s="214">
        <v>11.4</v>
      </c>
    </row>
    <row r="69" spans="1:2" x14ac:dyDescent="0.2">
      <c r="A69" s="215">
        <v>21186</v>
      </c>
      <c r="B69" s="214">
        <v>10.4</v>
      </c>
    </row>
    <row r="70" spans="1:2" x14ac:dyDescent="0.2">
      <c r="A70" s="215">
        <v>20821</v>
      </c>
      <c r="B70" s="214">
        <v>9.6</v>
      </c>
    </row>
    <row r="71" spans="1:2" x14ac:dyDescent="0.2">
      <c r="A71" s="215">
        <v>20455</v>
      </c>
      <c r="B71" s="214">
        <v>8.4</v>
      </c>
    </row>
    <row r="72" spans="1:2" x14ac:dyDescent="0.2">
      <c r="A72" s="215">
        <v>20090</v>
      </c>
      <c r="B72" s="214">
        <v>6.3</v>
      </c>
    </row>
    <row r="73" spans="1:2" x14ac:dyDescent="0.2">
      <c r="A73" s="215">
        <v>19725</v>
      </c>
      <c r="B73" s="214">
        <v>5.6</v>
      </c>
    </row>
    <row r="74" spans="1:2" x14ac:dyDescent="0.2">
      <c r="A74" s="215">
        <v>19360</v>
      </c>
      <c r="B74" s="214">
        <v>5.0999999999999996</v>
      </c>
    </row>
    <row r="75" spans="1:2" x14ac:dyDescent="0.2">
      <c r="A75" s="215">
        <v>18994</v>
      </c>
      <c r="B75" s="214">
        <v>4.3</v>
      </c>
    </row>
    <row r="76" spans="1:2" x14ac:dyDescent="0.2">
      <c r="A76" s="215">
        <v>18629</v>
      </c>
      <c r="B76" s="214">
        <v>3.5</v>
      </c>
    </row>
    <row r="77" spans="1:2" x14ac:dyDescent="0.2">
      <c r="A77" s="215">
        <v>18264</v>
      </c>
      <c r="B77" s="214">
        <v>3.1</v>
      </c>
    </row>
    <row r="78" spans="1:2" x14ac:dyDescent="0.2">
      <c r="A78" s="215">
        <v>17899</v>
      </c>
      <c r="B78" s="214">
        <v>2.7</v>
      </c>
    </row>
    <row r="79" spans="1:2" x14ac:dyDescent="0.2">
      <c r="A79" s="215">
        <v>17533</v>
      </c>
      <c r="B79" s="214">
        <v>2.7</v>
      </c>
    </row>
    <row r="80" spans="1:2" x14ac:dyDescent="0.2">
      <c r="A80" s="215">
        <v>17168</v>
      </c>
      <c r="B80" s="214">
        <v>2.4</v>
      </c>
    </row>
    <row r="81" spans="1:2" x14ac:dyDescent="0.2">
      <c r="A81" s="215">
        <v>16803</v>
      </c>
      <c r="B81" s="214">
        <v>2.2000000000000002</v>
      </c>
    </row>
    <row r="82" spans="1:2" x14ac:dyDescent="0.2">
      <c r="A82" s="215">
        <v>16438</v>
      </c>
      <c r="B82" s="214">
        <v>2.1</v>
      </c>
    </row>
    <row r="83" spans="1:2" x14ac:dyDescent="0.2">
      <c r="A83" s="215">
        <v>16072</v>
      </c>
      <c r="B83" s="214">
        <v>2.1</v>
      </c>
    </row>
    <row r="84" spans="1:2" x14ac:dyDescent="0.2">
      <c r="A84" s="215">
        <v>15707</v>
      </c>
      <c r="B84" s="214">
        <v>1.4</v>
      </c>
    </row>
    <row r="85" spans="1:2" x14ac:dyDescent="0.2">
      <c r="A85" s="215">
        <v>15342</v>
      </c>
      <c r="B85" s="214">
        <v>1.1000000000000001</v>
      </c>
    </row>
    <row r="86" spans="1:2" x14ac:dyDescent="0.2">
      <c r="A86" s="215">
        <v>14977</v>
      </c>
      <c r="B86" s="214">
        <v>0.9</v>
      </c>
    </row>
    <row r="87" spans="1:2" x14ac:dyDescent="0.2">
      <c r="A87" s="215">
        <v>14611</v>
      </c>
      <c r="B87" s="214">
        <v>0.5</v>
      </c>
    </row>
    <row r="88" spans="1:2" x14ac:dyDescent="0.2">
      <c r="A88" s="215">
        <v>14246</v>
      </c>
      <c r="B88" s="214">
        <v>0.4</v>
      </c>
    </row>
    <row r="89" spans="1:2" x14ac:dyDescent="0.2">
      <c r="A89" s="215">
        <v>13881</v>
      </c>
      <c r="B89" s="214">
        <v>0.4</v>
      </c>
    </row>
    <row r="90" spans="1:2" x14ac:dyDescent="0.2">
      <c r="A90" s="215">
        <v>13516</v>
      </c>
      <c r="B90" s="214">
        <v>0.4</v>
      </c>
    </row>
    <row r="91" spans="1:2" x14ac:dyDescent="0.2">
      <c r="A91" s="215">
        <v>13150</v>
      </c>
      <c r="B91" s="214">
        <v>0.4</v>
      </c>
    </row>
    <row r="92" spans="1:2" x14ac:dyDescent="0.2">
      <c r="A92" s="215">
        <v>12785</v>
      </c>
      <c r="B92" s="214">
        <v>0.3</v>
      </c>
    </row>
    <row r="93" spans="1:2" x14ac:dyDescent="0.2">
      <c r="A93" s="215">
        <v>12420</v>
      </c>
      <c r="B93" s="214">
        <v>0.3</v>
      </c>
    </row>
    <row r="94" spans="1:2" x14ac:dyDescent="0.2">
      <c r="A94" s="215">
        <v>12055</v>
      </c>
      <c r="B94" s="214">
        <v>0.3</v>
      </c>
    </row>
    <row r="95" spans="1:2" x14ac:dyDescent="0.2">
      <c r="A95" s="215">
        <v>11689</v>
      </c>
      <c r="B95" s="214">
        <v>0.3</v>
      </c>
    </row>
    <row r="96" spans="1:2" x14ac:dyDescent="0.2">
      <c r="A96" s="215">
        <v>11324</v>
      </c>
      <c r="B96" s="214">
        <v>0.3</v>
      </c>
    </row>
    <row r="97" spans="1:2" x14ac:dyDescent="0.2">
      <c r="A97" s="215">
        <v>10959</v>
      </c>
      <c r="B97" s="214">
        <v>0.3</v>
      </c>
    </row>
    <row r="98" spans="1:2" x14ac:dyDescent="0.2">
      <c r="A98" s="215">
        <v>10594</v>
      </c>
      <c r="B98" s="214">
        <v>0.3</v>
      </c>
    </row>
  </sheetData>
  <sortState ref="F17:Q17">
    <sortCondition descending="1" ref="F17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DHI(IS)</vt:lpstr>
      <vt:lpstr>DHI)CF)</vt:lpstr>
      <vt:lpstr>DHI(BS)</vt:lpstr>
      <vt:lpstr>DHI(BS)_Annual</vt:lpstr>
      <vt:lpstr>DCF</vt:lpstr>
      <vt:lpstr>OZ_Scores</vt:lpstr>
      <vt:lpstr>FRED 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Wyatt H Marciniak</cp:lastModifiedBy>
  <dcterms:created xsi:type="dcterms:W3CDTF">2013-04-03T15:49:21Z</dcterms:created>
  <dcterms:modified xsi:type="dcterms:W3CDTF">2016-12-08T04:12:05Z</dcterms:modified>
</cp:coreProperties>
</file>