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168" windowWidth="14880" windowHeight="7476" activeTab="3"/>
  </bookViews>
  <sheets>
    <sheet name="Cover" sheetId="7" r:id="rId1"/>
    <sheet name="How-to-use" sheetId="11" r:id="rId2"/>
    <sheet name="Processing Chain" sheetId="12" r:id="rId3"/>
    <sheet name="Main-Summary" sheetId="1" r:id="rId4"/>
    <sheet name="Analysis" sheetId="8" r:id="rId5"/>
    <sheet name="List" sheetId="6" r:id="rId6"/>
    <sheet name="notes" sheetId="9" r:id="rId7"/>
    <sheet name="ProcessingBlocks-EVE" sheetId="3" state="veryHidden" r:id="rId8"/>
    <sheet name="ProcessingBlocks-DSP" sheetId="10" state="veryHidden" r:id="rId9"/>
  </sheets>
  <definedNames>
    <definedName name="BF_COLSIZE">'Main-Summary'!$C$16</definedName>
    <definedName name="BF_ENERGY_CPS">'ProcessingBlocks-EVE'!$D$15</definedName>
    <definedName name="BF_MATMPY_CPS">'ProcessingBlocks-EVE'!$D$14</definedName>
    <definedName name="BF_MAX_CPS">'ProcessingBlocks-EVE'!$D$16</definedName>
    <definedName name="binary">List!$G$2:$G$3</definedName>
    <definedName name="CFAR_CA_Bin2_List_CPS">'ProcessingBlocks-EVE'!$D$13</definedName>
    <definedName name="CFAR_CA_CELLSUM_CPS">'ProcessingBlocks-EVE'!$D$11</definedName>
    <definedName name="CFAR_CA_TH_CPS">'ProcessingBlocks-EVE'!$D$12</definedName>
    <definedName name="CUBE_SIZE">'Main-Summary'!$C$13</definedName>
    <definedName name="DC_offset_CPS">'ProcessingBlocks-EVE'!$D$3</definedName>
    <definedName name="DET_METHOD">List!$E$2</definedName>
    <definedName name="Detection_per_dwell">'Main-Summary'!$C$9</definedName>
    <definedName name="DFFT_DSP_CPS">'ProcessingBlocks-DSP'!$J$5</definedName>
    <definedName name="DFFT_EVE_CPS">'ProcessingBlocks-EVE'!$D$6</definedName>
    <definedName name="Doppler_corr_CPS">'ProcessingBlocks-EVE'!$D$7</definedName>
    <definedName name="Doppler_DIM">'Main-Summary'!$C$3</definedName>
    <definedName name="DWIN_DSP_CPS">'ProcessingBlocks-DSP'!$J$4</definedName>
    <definedName name="Energy_SUM_CPS">'ProcessingBlocks-EVE'!$D$9</definedName>
    <definedName name="FFT_LIST">List!$A$2:$A$6</definedName>
    <definedName name="Frames_per_sec">'Main-Summary'!$C$6</definedName>
    <definedName name="INTER_DSP_CPS">'ProcessingBlocks-DSP'!$J$13</definedName>
    <definedName name="INTER_ZEROOUT_CPS">'Main-Summary'!$W$4</definedName>
    <definedName name="KILO">List!$J$1</definedName>
    <definedName name="LogMag_CPS">'ProcessingBlocks-EVE'!$D$10</definedName>
    <definedName name="LogMag_Sum_DSP_CPS">'ProcessingBlocks-DSP'!$J$9</definedName>
    <definedName name="MEGA">List!$J$2</definedName>
    <definedName name="N_Anteenas">'Main-Summary'!$C$12</definedName>
    <definedName name="N_Rx">'Main-Summary'!$C$4</definedName>
    <definedName name="N_Tx">'Main-Summary'!$C$5</definedName>
    <definedName name="OCMC_SIZE">'Main-Summary'!$C$32</definedName>
    <definedName name="PLANE_SIZE">'Main-Summary'!$C$14</definedName>
    <definedName name="PROC_LIST">List!$C$2:$C$4</definedName>
    <definedName name="Range_DIM">'Main-Summary'!$C$2</definedName>
    <definedName name="RFFT_DSP_CPS">'ProcessingBlocks-DSP'!$J$3</definedName>
    <definedName name="RFFT_EVE_CPS">'ProcessingBlocks-EVE'!$D$5</definedName>
    <definedName name="RWIND_DSP_CPS">'ProcessingBlocks-DSP'!$J$2</definedName>
    <definedName name="SAMPLE_SIZE">'Main-Summary'!$C$17</definedName>
    <definedName name="TOTAL_DDRBW">'Main-Summary'!$AT$19</definedName>
    <definedName name="TOTAL_OCMC_BW">'Main-Summary'!$AU$19</definedName>
    <definedName name="TxDecoding_CPS">'ProcessingBlocks-EVE'!$D$8</definedName>
    <definedName name="Windowing_CPS">'ProcessingBlocks-EVE'!$D$4</definedName>
  </definedNames>
  <calcPr calcId="145621"/>
  <pivotCaches>
    <pivotCache cacheId="1" r:id="rId10"/>
  </pivotCaches>
</workbook>
</file>

<file path=xl/calcChain.xml><?xml version="1.0" encoding="utf-8"?>
<calcChain xmlns="http://schemas.openxmlformats.org/spreadsheetml/2006/main">
  <c r="AB7" i="1" l="1"/>
  <c r="AJ3" i="1" l="1"/>
  <c r="AO3" i="1"/>
  <c r="AA3" i="1"/>
  <c r="AB3" i="1"/>
  <c r="Y3" i="1"/>
  <c r="AI3" i="1" l="1"/>
  <c r="C16" i="1"/>
  <c r="D13" i="3" l="1"/>
  <c r="D12" i="3"/>
  <c r="D11" i="3"/>
  <c r="D16" i="3"/>
  <c r="D15" i="3"/>
  <c r="D14" i="3"/>
  <c r="Z12" i="1" l="1"/>
  <c r="AA12" i="1" s="1"/>
  <c r="D10" i="3"/>
  <c r="W13" i="1" s="1"/>
  <c r="D9" i="3"/>
  <c r="W12" i="1" s="1"/>
  <c r="Y12" i="1" s="1"/>
  <c r="X12" i="1"/>
  <c r="D8" i="3"/>
  <c r="D4" i="3"/>
  <c r="D7" i="3"/>
  <c r="E23" i="3"/>
  <c r="D6" i="3" s="1"/>
  <c r="W9" i="1" s="1"/>
  <c r="D23" i="3"/>
  <c r="D5" i="3" s="1"/>
  <c r="A30" i="1" l="1"/>
  <c r="A29" i="1"/>
  <c r="A28" i="1"/>
  <c r="A27" i="1"/>
  <c r="A26" i="1"/>
  <c r="AO4" i="1"/>
  <c r="X15" i="1" l="1"/>
  <c r="J10" i="10"/>
  <c r="J13" i="10"/>
  <c r="J11" i="10"/>
  <c r="X14" i="1" s="1"/>
  <c r="J9" i="10"/>
  <c r="G7" i="10"/>
  <c r="F7" i="10"/>
  <c r="G6" i="10"/>
  <c r="J2" i="10" s="1"/>
  <c r="X6" i="1" s="1"/>
  <c r="F6" i="10"/>
  <c r="G5" i="10"/>
  <c r="F5" i="10"/>
  <c r="G4" i="10"/>
  <c r="F4" i="10"/>
  <c r="J5" i="10" s="1"/>
  <c r="X9" i="1" s="1"/>
  <c r="G3" i="10"/>
  <c r="F3" i="10"/>
  <c r="J4" i="10"/>
  <c r="X8" i="1" s="1"/>
  <c r="J3" i="10"/>
  <c r="X7" i="1" s="1"/>
  <c r="C12" i="10"/>
  <c r="D12" i="10" s="1"/>
  <c r="E7" i="10"/>
  <c r="E6" i="10"/>
  <c r="E5" i="10"/>
  <c r="E4" i="10"/>
  <c r="E3" i="10"/>
  <c r="Z16" i="1"/>
  <c r="Z15" i="1"/>
  <c r="Z14" i="1"/>
  <c r="Z13" i="1"/>
  <c r="Z11" i="1"/>
  <c r="Z10" i="1"/>
  <c r="Z9" i="1"/>
  <c r="Z8" i="1"/>
  <c r="Z7" i="1"/>
  <c r="Z6" i="1"/>
  <c r="Z5" i="1"/>
  <c r="Z4" i="1"/>
  <c r="W4" i="1"/>
  <c r="D2" i="3"/>
  <c r="Q10" i="1"/>
  <c r="AK12" i="1" l="1"/>
  <c r="AI12" i="1"/>
  <c r="AJ12" i="1" s="1"/>
  <c r="AB13" i="1"/>
  <c r="AI4" i="1"/>
  <c r="AN16" i="1"/>
  <c r="Y4" i="1" l="1"/>
  <c r="X16" i="1"/>
  <c r="Y16" i="1" s="1"/>
  <c r="V16" i="1"/>
  <c r="AF16" i="1" l="1"/>
  <c r="W14" i="1" l="1"/>
  <c r="W8" i="1"/>
  <c r="Y8" i="1" s="1"/>
  <c r="W7" i="1"/>
  <c r="W5" i="1"/>
  <c r="C14" i="1"/>
  <c r="W11" i="1"/>
  <c r="AB12" i="1" s="1"/>
  <c r="W10" i="1"/>
  <c r="W6" i="1"/>
  <c r="Y6" i="1" s="1"/>
  <c r="D3" i="3"/>
  <c r="J1" i="6"/>
  <c r="J2" i="6"/>
  <c r="AM16" i="1" s="1"/>
  <c r="C12" i="1"/>
  <c r="AB11" i="1" l="1"/>
  <c r="AB10" i="1"/>
  <c r="C15" i="1"/>
  <c r="W15" i="1"/>
  <c r="AB15" i="1" s="1"/>
  <c r="Y14" i="1"/>
  <c r="AB14" i="1"/>
  <c r="V14" i="1"/>
  <c r="AG13" i="1" s="1"/>
  <c r="AN13" i="1" s="1"/>
  <c r="V13" i="1"/>
  <c r="AG12" i="1" s="1"/>
  <c r="AB8" i="1"/>
  <c r="AB9" i="1"/>
  <c r="AB6" i="1"/>
  <c r="AB4" i="1"/>
  <c r="AI16" i="1"/>
  <c r="AJ16" i="1" s="1"/>
  <c r="AL16" i="1" s="1"/>
  <c r="AP16" i="1" s="1"/>
  <c r="AB16" i="1"/>
  <c r="AC16" i="1" s="1"/>
  <c r="AD16" i="1" s="1"/>
  <c r="AI11" i="1"/>
  <c r="AJ11" i="1" s="1"/>
  <c r="AI9" i="1"/>
  <c r="AJ9" i="1" s="1"/>
  <c r="AA15" i="1"/>
  <c r="AI14" i="1"/>
  <c r="AJ14" i="1" s="1"/>
  <c r="AI6" i="1"/>
  <c r="AJ6" i="1" s="1"/>
  <c r="AA11" i="1"/>
  <c r="AK13" i="1"/>
  <c r="AI10" i="1"/>
  <c r="AJ10" i="1" s="1"/>
  <c r="AA4" i="1"/>
  <c r="AI15" i="1"/>
  <c r="AJ15" i="1" s="1"/>
  <c r="AI5" i="1"/>
  <c r="AJ5" i="1" s="1"/>
  <c r="AK7" i="1"/>
  <c r="AA8" i="1"/>
  <c r="AK9" i="1"/>
  <c r="AI7" i="1"/>
  <c r="AJ7" i="1" s="1"/>
  <c r="AJ4" i="1"/>
  <c r="AK6" i="1"/>
  <c r="AK10" i="1"/>
  <c r="AI8" i="1"/>
  <c r="AJ8" i="1" s="1"/>
  <c r="AI13" i="1"/>
  <c r="AJ13" i="1" s="1"/>
  <c r="C13" i="1"/>
  <c r="V3" i="1" s="1"/>
  <c r="AA7" i="1"/>
  <c r="AA6" i="1"/>
  <c r="AA10" i="1"/>
  <c r="AA13" i="1"/>
  <c r="AA16" i="1"/>
  <c r="AA9" i="1"/>
  <c r="AA14" i="1"/>
  <c r="X5" i="1"/>
  <c r="AB5" i="1" s="1"/>
  <c r="Y5" i="1"/>
  <c r="Y9" i="1"/>
  <c r="X10" i="1"/>
  <c r="Y10" i="1"/>
  <c r="Y7" i="1"/>
  <c r="X11" i="1"/>
  <c r="Y11" i="1"/>
  <c r="Y13" i="1"/>
  <c r="V15" i="1"/>
  <c r="AA5" i="1"/>
  <c r="AF3" i="1" l="1"/>
  <c r="AM3" i="1" s="1"/>
  <c r="AC3" i="1"/>
  <c r="AD3" i="1" s="1"/>
  <c r="AE3" i="1" s="1"/>
  <c r="V12" i="1"/>
  <c r="AC12" i="1" s="1"/>
  <c r="AD12" i="1" s="1"/>
  <c r="AE12" i="1" s="1"/>
  <c r="V11" i="1"/>
  <c r="AG10" i="1" s="1"/>
  <c r="AN12" i="1"/>
  <c r="AL12" i="1"/>
  <c r="AF14" i="1"/>
  <c r="AM14" i="1" s="1"/>
  <c r="AO14" i="1"/>
  <c r="V7" i="1"/>
  <c r="AC7" i="1" s="1"/>
  <c r="AD7" i="1" s="1"/>
  <c r="AE7" i="1" s="1"/>
  <c r="V10" i="1"/>
  <c r="AG9" i="1" s="1"/>
  <c r="AN9" i="1" s="1"/>
  <c r="V5" i="1"/>
  <c r="V4" i="1"/>
  <c r="AG3" i="1" s="1"/>
  <c r="V9" i="1"/>
  <c r="AG8" i="1" s="1"/>
  <c r="AN8" i="1" s="1"/>
  <c r="AG11" i="1"/>
  <c r="AN11" i="1" s="1"/>
  <c r="V6" i="1"/>
  <c r="AL13" i="1"/>
  <c r="AP13" i="1" s="1"/>
  <c r="AE16" i="1"/>
  <c r="I21" i="1" s="1"/>
  <c r="V8" i="1"/>
  <c r="AG7" i="1" s="1"/>
  <c r="AN7" i="1" s="1"/>
  <c r="AG15" i="1"/>
  <c r="AN15" i="1" s="1"/>
  <c r="AF15" i="1"/>
  <c r="AM15" i="1" s="1"/>
  <c r="Y15" i="1"/>
  <c r="AN3" i="1" l="1"/>
  <c r="AL3" i="1"/>
  <c r="AQ3" i="1"/>
  <c r="AF12" i="1"/>
  <c r="AM12" i="1" s="1"/>
  <c r="AF11" i="1"/>
  <c r="AM11" i="1" s="1"/>
  <c r="AG14" i="1"/>
  <c r="AN14" i="1" s="1"/>
  <c r="AO15" i="1" s="1"/>
  <c r="AQ15" i="1" s="1"/>
  <c r="AQ14" i="1"/>
  <c r="AS14" i="1" s="1"/>
  <c r="AP12" i="1"/>
  <c r="AR12" i="1" s="1"/>
  <c r="AG6" i="1"/>
  <c r="AN6" i="1" s="1"/>
  <c r="AO9" i="1"/>
  <c r="AF7" i="1"/>
  <c r="AM7" i="1" s="1"/>
  <c r="AO8" i="1"/>
  <c r="AO10" i="1"/>
  <c r="AF4" i="1"/>
  <c r="AM4" i="1" s="1"/>
  <c r="AQ4" i="1" s="1"/>
  <c r="AF5" i="1"/>
  <c r="AM5" i="1" s="1"/>
  <c r="AG4" i="1"/>
  <c r="AN4" i="1" s="1"/>
  <c r="AC4" i="1"/>
  <c r="AD4" i="1" s="1"/>
  <c r="AE4" i="1" s="1"/>
  <c r="F6" i="1" s="1"/>
  <c r="AO13" i="1"/>
  <c r="AR16" i="1"/>
  <c r="AR13" i="1"/>
  <c r="AF10" i="1"/>
  <c r="AM10" i="1" s="1"/>
  <c r="AF9" i="1"/>
  <c r="AM9" i="1" s="1"/>
  <c r="AC5" i="1"/>
  <c r="AD5" i="1" s="1"/>
  <c r="AE5" i="1" s="1"/>
  <c r="AF6" i="1"/>
  <c r="AM6" i="1" s="1"/>
  <c r="AG5" i="1"/>
  <c r="AC6" i="1"/>
  <c r="AD6" i="1" s="1"/>
  <c r="AE6" i="1" s="1"/>
  <c r="AF13" i="1"/>
  <c r="AM13" i="1" s="1"/>
  <c r="AF8" i="1"/>
  <c r="AM8" i="1" s="1"/>
  <c r="AL15" i="1"/>
  <c r="AP15" i="1" s="1"/>
  <c r="AL9" i="1"/>
  <c r="AP9" i="1" s="1"/>
  <c r="AL8" i="1"/>
  <c r="AP8" i="1" s="1"/>
  <c r="AL7" i="1"/>
  <c r="AP7" i="1" s="1"/>
  <c r="AL11" i="1"/>
  <c r="AP11" i="1" s="1"/>
  <c r="AC8" i="1"/>
  <c r="AD8" i="1" s="1"/>
  <c r="AE8" i="1" s="1"/>
  <c r="O6" i="1" s="1"/>
  <c r="AC9" i="1"/>
  <c r="AD9" i="1" s="1"/>
  <c r="AE9" i="1" s="1"/>
  <c r="AS3" i="1" l="1"/>
  <c r="AM19" i="1"/>
  <c r="AP3" i="1"/>
  <c r="AL14" i="1"/>
  <c r="AP14" i="1" s="1"/>
  <c r="AQ10" i="1"/>
  <c r="AS10" i="1" s="1"/>
  <c r="AQ8" i="1"/>
  <c r="AS8" i="1" s="1"/>
  <c r="AQ9" i="1"/>
  <c r="AS9" i="1" s="1"/>
  <c r="AO7" i="1"/>
  <c r="AQ7" i="1" s="1"/>
  <c r="AS7" i="1" s="1"/>
  <c r="AL6" i="1"/>
  <c r="AP6" i="1" s="1"/>
  <c r="AQ13" i="1"/>
  <c r="AO5" i="1"/>
  <c r="AQ5" i="1" s="1"/>
  <c r="AS5" i="1" s="1"/>
  <c r="AL4" i="1"/>
  <c r="AP4" i="1" s="1"/>
  <c r="I6" i="1"/>
  <c r="L6" i="1"/>
  <c r="AL5" i="1"/>
  <c r="AN5" i="1"/>
  <c r="AL10" i="1"/>
  <c r="AN10" i="1"/>
  <c r="AS15" i="1"/>
  <c r="AR9" i="1"/>
  <c r="R6" i="1"/>
  <c r="AC10" i="1"/>
  <c r="AD10" i="1" s="1"/>
  <c r="AE10" i="1" s="1"/>
  <c r="F14" i="1" s="1"/>
  <c r="AL19" i="1" l="1"/>
  <c r="AT3" i="1"/>
  <c r="AR3" i="1"/>
  <c r="AU3" i="1" s="1"/>
  <c r="AO11" i="1"/>
  <c r="AQ11" i="1" s="1"/>
  <c r="AS11" i="1" s="1"/>
  <c r="AO12" i="1"/>
  <c r="AQ12" i="1" s="1"/>
  <c r="AP10" i="1"/>
  <c r="AR10" i="1" s="1"/>
  <c r="AU10" i="1" s="1"/>
  <c r="AO6" i="1"/>
  <c r="AQ6" i="1" s="1"/>
  <c r="AT6" i="1" s="1"/>
  <c r="AP5" i="1"/>
  <c r="AT5" i="1" s="1"/>
  <c r="AO16" i="1"/>
  <c r="AQ16" i="1" s="1"/>
  <c r="AR4" i="1"/>
  <c r="AR11" i="1"/>
  <c r="AR8" i="1"/>
  <c r="AU8" i="1" s="1"/>
  <c r="AT8" i="1"/>
  <c r="AR15" i="1"/>
  <c r="AU15" i="1" s="1"/>
  <c r="AT15" i="1"/>
  <c r="AT9" i="1"/>
  <c r="AS13" i="1"/>
  <c r="AU13" i="1" s="1"/>
  <c r="AT13" i="1"/>
  <c r="AS4" i="1"/>
  <c r="AR6" i="1"/>
  <c r="AU9" i="1"/>
  <c r="AR14" i="1"/>
  <c r="AU14" i="1" s="1"/>
  <c r="AT14" i="1"/>
  <c r="AR7" i="1"/>
  <c r="AU7" i="1" s="1"/>
  <c r="AT7" i="1"/>
  <c r="AC11" i="1"/>
  <c r="AQ19" i="1" l="1"/>
  <c r="AP19" i="1"/>
  <c r="AS12" i="1"/>
  <c r="AU12" i="1" s="1"/>
  <c r="AT12" i="1"/>
  <c r="AT10" i="1"/>
  <c r="H2" i="1"/>
  <c r="AT4" i="1"/>
  <c r="E2" i="1" s="1"/>
  <c r="AU4" i="1"/>
  <c r="AS16" i="1"/>
  <c r="AU16" i="1" s="1"/>
  <c r="I17" i="1" s="1"/>
  <c r="AT16" i="1"/>
  <c r="H17" i="1" s="1"/>
  <c r="E17" i="1"/>
  <c r="O9" i="1"/>
  <c r="Q2" i="1"/>
  <c r="O2" i="1"/>
  <c r="N9" i="1"/>
  <c r="F9" i="1"/>
  <c r="N2" i="1"/>
  <c r="E9" i="1"/>
  <c r="K2" i="1"/>
  <c r="R2" i="1"/>
  <c r="R9" i="1"/>
  <c r="F17" i="1"/>
  <c r="Q9" i="1"/>
  <c r="AU11" i="1"/>
  <c r="I9" i="1" s="1"/>
  <c r="AT11" i="1"/>
  <c r="AS6" i="1"/>
  <c r="AR5" i="1"/>
  <c r="AD11" i="1"/>
  <c r="AE11" i="1" s="1"/>
  <c r="AC13" i="1"/>
  <c r="AD13" i="1" s="1"/>
  <c r="AE13" i="1" s="1"/>
  <c r="AT19" i="1" l="1"/>
  <c r="E29" i="1" s="1"/>
  <c r="H9" i="1"/>
  <c r="I14" i="1"/>
  <c r="AS19" i="1"/>
  <c r="K9" i="1"/>
  <c r="L9" i="1"/>
  <c r="AR19" i="1"/>
  <c r="AU5" i="1"/>
  <c r="AU6" i="1"/>
  <c r="L2" i="1" s="1"/>
  <c r="L14" i="1"/>
  <c r="AC14" i="1"/>
  <c r="AU19" i="1" l="1"/>
  <c r="E30" i="1" s="1"/>
  <c r="F2" i="1"/>
  <c r="I2" i="1"/>
  <c r="AD14" i="1"/>
  <c r="AE14" i="1" s="1"/>
  <c r="O14" i="1" s="1"/>
  <c r="AC15" i="1"/>
  <c r="AD15" i="1" l="1"/>
  <c r="AE15" i="1" s="1"/>
  <c r="E28" i="1"/>
  <c r="E27" i="1"/>
  <c r="R14" i="1"/>
  <c r="F21" i="1" l="1"/>
  <c r="E26" i="1"/>
</calcChain>
</file>

<file path=xl/comments1.xml><?xml version="1.0" encoding="utf-8"?>
<comments xmlns="http://schemas.openxmlformats.org/spreadsheetml/2006/main">
  <authors>
    <author>Swami, Pramod</author>
  </authors>
  <commentList>
    <comment ref="X2" authorId="0">
      <text>
        <r>
          <rPr>
            <b/>
            <sz val="9"/>
            <color indexed="81"/>
            <rFont val="Tahoma"/>
            <family val="2"/>
          </rPr>
          <t>Swami, Pramod:</t>
        </r>
        <r>
          <rPr>
            <sz val="9"/>
            <color indexed="81"/>
            <rFont val="Tahoma"/>
            <family val="2"/>
          </rPr>
          <t xml:space="preserve">
Data based upon C67x implementation of radarLib</t>
        </r>
      </text>
    </comment>
    <comment ref="Y2" authorId="0">
      <text>
        <r>
          <rPr>
            <b/>
            <sz val="9"/>
            <color indexed="81"/>
            <rFont val="Tahoma"/>
            <family val="2"/>
          </rPr>
          <t>Swami, Pramod:</t>
        </r>
        <r>
          <rPr>
            <sz val="9"/>
            <color indexed="81"/>
            <rFont val="Tahoma"/>
            <family val="2"/>
          </rPr>
          <t xml:space="preserve">
M4 cycles/sampe is direct 16x scale without any detailed estimation. So this data is more of a guiding factor and any use of M4 for processing should be carefully considered</t>
        </r>
      </text>
    </comment>
    <comment ref="AN3" authorId="0">
      <text>
        <r>
          <rPr>
            <b/>
            <sz val="9"/>
            <color indexed="81"/>
            <rFont val="Tahoma"/>
            <family val="2"/>
          </rPr>
          <t>Swami, Pramod:</t>
        </r>
        <r>
          <rPr>
            <sz val="9"/>
            <color indexed="81"/>
            <rFont val="Tahoma"/>
            <family val="2"/>
          </rPr>
          <t xml:space="preserve">
32  KB is a margin to hold other crtical data</t>
        </r>
      </text>
    </comment>
    <comment ref="AN4" authorId="0">
      <text>
        <r>
          <rPr>
            <b/>
            <sz val="9"/>
            <color indexed="81"/>
            <rFont val="Tahoma"/>
            <family val="2"/>
          </rPr>
          <t>Swami, Pramod:</t>
        </r>
        <r>
          <rPr>
            <sz val="9"/>
            <color indexed="81"/>
            <rFont val="Tahoma"/>
            <family val="2"/>
          </rPr>
          <t xml:space="preserve">
32  KB is a margin to hold other crtical data</t>
        </r>
      </text>
    </comment>
    <comment ref="X5" authorId="0">
      <text>
        <r>
          <rPr>
            <b/>
            <sz val="9"/>
            <color indexed="81"/>
            <rFont val="Tahoma"/>
            <family val="2"/>
          </rPr>
          <t>Swami, Pramod:</t>
        </r>
        <r>
          <rPr>
            <sz val="9"/>
            <color indexed="81"/>
            <rFont val="Tahoma"/>
            <family val="2"/>
          </rPr>
          <t xml:space="preserve">
DSUB2 on both sides provide 4 sample (8 real values) in one cycles so 1/4 cycles per sample…
.L and .S both support but assumed to be bottlenecked by load/store BW - it  can be better by clubbing it with other functions</t>
        </r>
      </text>
    </comment>
    <comment ref="AN5" authorId="0">
      <text>
        <r>
          <rPr>
            <b/>
            <sz val="9"/>
            <color indexed="81"/>
            <rFont val="Tahoma"/>
            <family val="2"/>
          </rPr>
          <t>Swami, Pramod:</t>
        </r>
        <r>
          <rPr>
            <sz val="9"/>
            <color indexed="81"/>
            <rFont val="Tahoma"/>
            <family val="2"/>
          </rPr>
          <t xml:space="preserve">
32  KB is a margin to hold other crtical data</t>
        </r>
      </text>
    </comment>
    <comment ref="AN6" authorId="0">
      <text>
        <r>
          <rPr>
            <b/>
            <sz val="9"/>
            <color indexed="81"/>
            <rFont val="Tahoma"/>
            <family val="2"/>
          </rPr>
          <t>Swami, Pramod:</t>
        </r>
        <r>
          <rPr>
            <sz val="9"/>
            <color indexed="81"/>
            <rFont val="Tahoma"/>
            <family val="2"/>
          </rPr>
          <t xml:space="preserve">
32  KB is a margin to hold other crtical data</t>
        </r>
      </text>
    </comment>
    <comment ref="AN7" authorId="0">
      <text>
        <r>
          <rPr>
            <b/>
            <sz val="9"/>
            <color indexed="81"/>
            <rFont val="Tahoma"/>
            <family val="2"/>
          </rPr>
          <t>Swami, Pramod:</t>
        </r>
        <r>
          <rPr>
            <sz val="9"/>
            <color indexed="81"/>
            <rFont val="Tahoma"/>
            <family val="2"/>
          </rPr>
          <t xml:space="preserve">
32  KB is a margin to hold other crtical data</t>
        </r>
      </text>
    </comment>
    <comment ref="AN8" authorId="0">
      <text>
        <r>
          <rPr>
            <b/>
            <sz val="9"/>
            <color indexed="81"/>
            <rFont val="Tahoma"/>
            <family val="2"/>
          </rPr>
          <t>Swami, Pramod:</t>
        </r>
        <r>
          <rPr>
            <sz val="9"/>
            <color indexed="81"/>
            <rFont val="Tahoma"/>
            <family val="2"/>
          </rPr>
          <t xml:space="preserve">
32  KB is a margin to hold other crtical data</t>
        </r>
      </text>
    </comment>
    <comment ref="AN9" authorId="0">
      <text>
        <r>
          <rPr>
            <b/>
            <sz val="9"/>
            <color indexed="81"/>
            <rFont val="Tahoma"/>
            <family val="2"/>
          </rPr>
          <t>Swami, Pramod:</t>
        </r>
        <r>
          <rPr>
            <sz val="9"/>
            <color indexed="81"/>
            <rFont val="Tahoma"/>
            <family val="2"/>
          </rPr>
          <t xml:space="preserve">
32  KB is a margin to hold other crtical data</t>
        </r>
      </text>
    </comment>
    <comment ref="AN10" authorId="0">
      <text>
        <r>
          <rPr>
            <b/>
            <sz val="9"/>
            <color indexed="81"/>
            <rFont val="Tahoma"/>
            <family val="2"/>
          </rPr>
          <t>Swami, Pramod:</t>
        </r>
        <r>
          <rPr>
            <sz val="9"/>
            <color indexed="81"/>
            <rFont val="Tahoma"/>
            <family val="2"/>
          </rPr>
          <t xml:space="preserve">
32  KB is a margin to hold other crtical data</t>
        </r>
      </text>
    </comment>
    <comment ref="AN11" authorId="0">
      <text>
        <r>
          <rPr>
            <b/>
            <sz val="9"/>
            <color indexed="81"/>
            <rFont val="Tahoma"/>
            <family val="2"/>
          </rPr>
          <t>Swami, Pramod:</t>
        </r>
        <r>
          <rPr>
            <sz val="9"/>
            <color indexed="81"/>
            <rFont val="Tahoma"/>
            <family val="2"/>
          </rPr>
          <t xml:space="preserve">
32  KB is a margin to hold other crtical data</t>
        </r>
      </text>
    </comment>
    <comment ref="AN12" authorId="0">
      <text>
        <r>
          <rPr>
            <b/>
            <sz val="9"/>
            <color indexed="81"/>
            <rFont val="Tahoma"/>
            <family val="2"/>
          </rPr>
          <t>Swami, Pramod:</t>
        </r>
        <r>
          <rPr>
            <sz val="9"/>
            <color indexed="81"/>
            <rFont val="Tahoma"/>
            <family val="2"/>
          </rPr>
          <t xml:space="preserve">
32  KB is a margin to hold other crtical data</t>
        </r>
      </text>
    </comment>
    <comment ref="AN13" authorId="0">
      <text>
        <r>
          <rPr>
            <b/>
            <sz val="9"/>
            <color indexed="81"/>
            <rFont val="Tahoma"/>
            <family val="2"/>
          </rPr>
          <t>Swami, Pramod:</t>
        </r>
        <r>
          <rPr>
            <sz val="9"/>
            <color indexed="81"/>
            <rFont val="Tahoma"/>
            <family val="2"/>
          </rPr>
          <t xml:space="preserve">
32  KB is a margin to hold other crtical data</t>
        </r>
      </text>
    </comment>
    <comment ref="AN14" authorId="0">
      <text>
        <r>
          <rPr>
            <b/>
            <sz val="9"/>
            <color indexed="81"/>
            <rFont val="Tahoma"/>
            <family val="2"/>
          </rPr>
          <t>Swami, Pramod:</t>
        </r>
        <r>
          <rPr>
            <sz val="9"/>
            <color indexed="81"/>
            <rFont val="Tahoma"/>
            <family val="2"/>
          </rPr>
          <t xml:space="preserve">
32  KB is a margin to hold other crtical data</t>
        </r>
      </text>
    </comment>
    <comment ref="AN15" authorId="0">
      <text>
        <r>
          <rPr>
            <b/>
            <sz val="9"/>
            <color indexed="81"/>
            <rFont val="Tahoma"/>
            <family val="2"/>
          </rPr>
          <t>Swami, Pramod:</t>
        </r>
        <r>
          <rPr>
            <sz val="9"/>
            <color indexed="81"/>
            <rFont val="Tahoma"/>
            <family val="2"/>
          </rPr>
          <t xml:space="preserve">
32  KB is a margin to hold other crtical data</t>
        </r>
      </text>
    </comment>
    <comment ref="U16" authorId="0">
      <text>
        <r>
          <rPr>
            <b/>
            <sz val="9"/>
            <color indexed="81"/>
            <rFont val="Tahoma"/>
            <family val="2"/>
          </rPr>
          <t>Swami, Pramod:</t>
        </r>
        <r>
          <rPr>
            <sz val="9"/>
            <color indexed="81"/>
            <rFont val="Tahoma"/>
            <family val="2"/>
          </rPr>
          <t xml:space="preserve">
Very rough estimate - without more details on processing</t>
        </r>
      </text>
    </comment>
    <comment ref="AN16" authorId="0">
      <text>
        <r>
          <rPr>
            <b/>
            <sz val="9"/>
            <color indexed="81"/>
            <rFont val="Tahoma"/>
            <family val="2"/>
          </rPr>
          <t>Swami, Pramod:</t>
        </r>
        <r>
          <rPr>
            <sz val="9"/>
            <color indexed="81"/>
            <rFont val="Tahoma"/>
            <family val="2"/>
          </rPr>
          <t xml:space="preserve">
32  KB is a margin to hold other crtical data</t>
        </r>
      </text>
    </comment>
    <comment ref="E28" authorId="0">
      <text>
        <r>
          <rPr>
            <b/>
            <sz val="9"/>
            <color indexed="81"/>
            <rFont val="Tahoma"/>
            <family val="2"/>
          </rPr>
          <t>Swami, Pramod:</t>
        </r>
        <r>
          <rPr>
            <sz val="9"/>
            <color indexed="81"/>
            <rFont val="Tahoma"/>
            <family val="2"/>
          </rPr>
          <t xml:space="preserve">
30% of the IPU is reserved for framework and control flow</t>
        </r>
      </text>
    </comment>
  </commentList>
</comments>
</file>

<file path=xl/comments2.xml><?xml version="1.0" encoding="utf-8"?>
<comments xmlns="http://schemas.openxmlformats.org/spreadsheetml/2006/main">
  <authors>
    <author>Anshu Jain</author>
  </authors>
  <commentList>
    <comment ref="D14" authorId="0">
      <text>
        <r>
          <rPr>
            <b/>
            <sz val="9"/>
            <color indexed="81"/>
            <rFont val="Tahoma"/>
            <charset val="1"/>
          </rPr>
          <t>Anshu Jain:</t>
        </r>
        <r>
          <rPr>
            <sz val="9"/>
            <color indexed="81"/>
            <rFont val="Tahoma"/>
            <charset val="1"/>
          </rPr>
          <t xml:space="preserve">
Includes 15% System Overheads
</t>
        </r>
      </text>
    </comment>
    <comment ref="D15" authorId="0">
      <text>
        <r>
          <rPr>
            <b/>
            <sz val="9"/>
            <color indexed="81"/>
            <rFont val="Tahoma"/>
            <charset val="1"/>
          </rPr>
          <t>Anshu Jain:</t>
        </r>
        <r>
          <rPr>
            <sz val="9"/>
            <color indexed="81"/>
            <rFont val="Tahoma"/>
            <charset val="1"/>
          </rPr>
          <t xml:space="preserve">
Includes 15% System Overheads</t>
        </r>
      </text>
    </comment>
    <comment ref="D16" authorId="0">
      <text>
        <r>
          <rPr>
            <b/>
            <sz val="9"/>
            <color indexed="81"/>
            <rFont val="Tahoma"/>
            <charset val="1"/>
          </rPr>
          <t>Anshu Jain:</t>
        </r>
        <r>
          <rPr>
            <sz val="9"/>
            <color indexed="81"/>
            <rFont val="Tahoma"/>
            <charset val="1"/>
          </rPr>
          <t xml:space="preserve">
Includes 15% System Overheads</t>
        </r>
      </text>
    </comment>
  </commentList>
</comments>
</file>

<file path=xl/comments3.xml><?xml version="1.0" encoding="utf-8"?>
<comments xmlns="http://schemas.openxmlformats.org/spreadsheetml/2006/main">
  <authors>
    <author>Ramasubramanian, Karthik</author>
  </authors>
  <commentList>
    <comment ref="A10" authorId="0">
      <text>
        <r>
          <rPr>
            <b/>
            <sz val="9"/>
            <color indexed="81"/>
            <rFont val="Tahoma"/>
            <family val="2"/>
          </rPr>
          <t>Ramasubramanian, Karthik:</t>
        </r>
        <r>
          <rPr>
            <sz val="9"/>
            <color indexed="81"/>
            <rFont val="Tahoma"/>
            <family val="2"/>
          </rPr>
          <t xml:space="preserve">
Assume Doppler compensation included in this for now, since this uses matrix multiplication method (not regular FFT)</t>
        </r>
      </text>
    </comment>
  </commentList>
</comments>
</file>

<file path=xl/sharedStrings.xml><?xml version="1.0" encoding="utf-8"?>
<sst xmlns="http://schemas.openxmlformats.org/spreadsheetml/2006/main" count="374" uniqueCount="265">
  <si>
    <t>Code</t>
  </si>
  <si>
    <t>Description</t>
  </si>
  <si>
    <t>EVE</t>
  </si>
  <si>
    <t>C66x</t>
  </si>
  <si>
    <t>comment</t>
  </si>
  <si>
    <t>Computes the FFT of complex samples with 16 bit arithmetic. Results are scaled back to 16 bit after each stage with user configurable shift amount</t>
  </si>
  <si>
    <t>FFT</t>
  </si>
  <si>
    <t>in radar HWA the artihmetic is with 24 bit</t>
  </si>
  <si>
    <t>Configurations</t>
  </si>
  <si>
    <t>Range Dimension</t>
  </si>
  <si>
    <t>Rx</t>
  </si>
  <si>
    <t>Tx</t>
  </si>
  <si>
    <t>Detection/dwells</t>
  </si>
  <si>
    <t>System Overhead</t>
  </si>
  <si>
    <t>FFT Dimensions</t>
  </si>
  <si>
    <t>Processor List</t>
  </si>
  <si>
    <t>M4</t>
  </si>
  <si>
    <t>DC Offset</t>
  </si>
  <si>
    <t>Doppler Correction</t>
  </si>
  <si>
    <t>Tx Decoding</t>
  </si>
  <si>
    <t>Log Magnitude</t>
  </si>
  <si>
    <t>CFAR-CA Detection</t>
  </si>
  <si>
    <t>Detection Method</t>
  </si>
  <si>
    <t>DetectionMethod</t>
  </si>
  <si>
    <t>CFAR-CA</t>
  </si>
  <si>
    <t>CFAR-OS</t>
  </si>
  <si>
    <t>Azimuth Estimation</t>
  </si>
  <si>
    <t>Inference Zero out</t>
  </si>
  <si>
    <t>Post Processing</t>
  </si>
  <si>
    <t>Range_FFT</t>
  </si>
  <si>
    <t>Doppler_FFT</t>
  </si>
  <si>
    <t>Processing Block</t>
  </si>
  <si>
    <t>%loading</t>
  </si>
  <si>
    <t>Range_Window</t>
  </si>
  <si>
    <t>Doppler_Window</t>
  </si>
  <si>
    <t>active core</t>
  </si>
  <si>
    <t>Frames/sec</t>
  </si>
  <si>
    <t>samples/frame</t>
  </si>
  <si>
    <t>cycles/sample</t>
  </si>
  <si>
    <t>S.No.</t>
  </si>
  <si>
    <t>Mega cycles/frame</t>
  </si>
  <si>
    <t>Mega cycles/sec</t>
  </si>
  <si>
    <t>Freq(MHz)</t>
  </si>
  <si>
    <t>MEGA</t>
  </si>
  <si>
    <t>KILO</t>
  </si>
  <si>
    <t>Core Frequency</t>
  </si>
  <si>
    <t>#cores</t>
  </si>
  <si>
    <t>%Loading</t>
  </si>
  <si>
    <t>#Object samples/dwell</t>
  </si>
  <si>
    <t>Author</t>
  </si>
  <si>
    <t>Pramod Kumar Swami</t>
  </si>
  <si>
    <t>Change history</t>
  </si>
  <si>
    <t>Version</t>
  </si>
  <si>
    <t>Date</t>
  </si>
  <si>
    <t>Comment</t>
  </si>
  <si>
    <t>First Version</t>
  </si>
  <si>
    <t>B frame are not used as reference frames hence did the changes in all the sheets. Added predictor Mv's storage size. Created a macro to automatically obtain the use case sheet</t>
  </si>
  <si>
    <t>Corrected the formula for "Luma buffer accesses by MC3 in SL2 for interpolation": vertical direction extra pixels required for interpolation were not accounted</t>
  </si>
  <si>
    <t>Added one more control to Controls Sheet: Top predictors stored in SL2( 1: means yes, 0: means no and hence predictors are stored in DTCM). This is to take tardeoff b/w DTCM size and iCONT accesses to SL2/Sl2 size</t>
  </si>
  <si>
    <t>In control Sheet formula for reference region is modified accounting padding, earlier it was computed assuming padding equal to hor_search_range</t>
  </si>
  <si>
    <t>Now padding is assumed to be done while writing in SDRAM which increases SDRAM BW for reference region, reflected in the sheet</t>
  </si>
  <si>
    <t>Process task for TIJ Ips has been removed in Message Flow sheet</t>
  </si>
  <si>
    <t>Regenerated the Use case sheet</t>
  </si>
  <si>
    <t>Changed all the occurances of vDMAP to iCONT2</t>
  </si>
  <si>
    <t>In SL2 bandwidth, also added the DDR BW numbers along with IP access numbers</t>
  </si>
  <si>
    <t>Corrected ECD-3 bitstream store formula</t>
  </si>
  <si>
    <t>Corrected the formula for MC3 load from ME reference region</t>
  </si>
  <si>
    <t>Corrected the store MB Info mssing field in DDR BW sheet</t>
  </si>
  <si>
    <t>Changed the number of predictors form 3 to 6</t>
  </si>
  <si>
    <t>Corrected LSE commands sizes. Also corrected IME3 circular window not to have constraints of 8m and 8m+-1</t>
  </si>
  <si>
    <t>Added current SW usage of SL2</t>
  </si>
  <si>
    <t>corrected IME3 circular window not to have constraints of 8m and 8m+-1, 8m+-2</t>
  </si>
  <si>
    <t>Corrected LSE command size from SW usage</t>
  </si>
  <si>
    <t>Corrected the buffer depth b/w MC3 to LoadMERefRegion, also included this to circular buffer width to decide correct width to avoid self stalls of iME3</t>
  </si>
  <si>
    <t>Changed the left columns space for iLF from 2 to 8. This is to unify H241 and normal flow</t>
  </si>
  <si>
    <t>Added more specifc controls: (A) 1 MV and 4 MV (B) Burst size © DDR BW with burst and without burst overhead</t>
  </si>
  <si>
    <t>Made bitrate as a formula of resolution to avoid mistakes in providing correct bit-rate</t>
  </si>
  <si>
    <t>Changed the SL2 buffer from 10% to 5%</t>
  </si>
  <si>
    <t>Corrected Use case Informations</t>
  </si>
  <si>
    <t>Added the padded region transfer as part of DDR BW</t>
  </si>
  <si>
    <t>Created the spread sheet for MIPS estimates, DDR BW and OCMC BW</t>
  </si>
  <si>
    <t>Updated to take the FFT cycles/pt to be configured instead of assumed 3.6 cycles per pt of 32 bit FFT</t>
  </si>
  <si>
    <t>Updated to account for beam forming , kept only frame latency sheet</t>
  </si>
  <si>
    <t>Added 3 tables for Long, Medium and Short Range configurations and their corresponding MIPS requirement</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</si>
  <si>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</si>
  <si>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OLD IME3 CBW formula</t>
  </si>
  <si>
    <t>MAX(IF(MOD($F29,8)=0,$F29+2,$F29),IF(MOD($F29+1,8)=0,$F29+3,$F29),IF(MOD($F29-1,8)=0,$F29+2,$F29))</t>
  </si>
  <si>
    <t>NEW IME3 CBW formula</t>
  </si>
  <si>
    <t>MAX(IF(MOD($F29,8)=0,$F29+3,$F29),IF(MOD($F29+1,8)=0,$F29+4,$F29),IF(MOD($F29+2,8)=0,$F29+5,$F29),IF(MOD($F29-1,8)=0,$F29+2,$F29),IF(MOD($F29-2,8)=0,$F29+1,$F29))</t>
  </si>
  <si>
    <t>Removed all information which are customer specific and made a generic sheet and changed the name to RadarSystemPlanner</t>
  </si>
  <si>
    <t>Who</t>
  </si>
  <si>
    <t>Row Labels</t>
  </si>
  <si>
    <t>Grand Total</t>
  </si>
  <si>
    <t>Sum of %loading</t>
  </si>
  <si>
    <t>Computes the avergae value of a chirp (seperately for real and imigninaery) and subtract from each sample. The avegrae value can be computed once per anteena for MIPS simplification</t>
  </si>
  <si>
    <t>1 ADD for average
1 SUB for actual DC offset. This is seperately for real and imaginary part</t>
  </si>
  <si>
    <t xml:space="preserve">Windowing </t>
  </si>
  <si>
    <t>Multiply both real and imaginary samples with a real value</t>
  </si>
  <si>
    <t>2 MPY per sample - one for real and other for imiganary</t>
  </si>
  <si>
    <t>compute primitives</t>
  </si>
  <si>
    <t>Complex multiply of each sample</t>
  </si>
  <si>
    <t>1 complex multiply( 2 VMPY, 2 VMAD)</t>
  </si>
  <si>
    <t xml:space="preserve">This is to demultiplex at each receiver if the data is send in multiplexed form like Tx1+Tx2, Tx1-Tx2 etc….One output is obtained from complex multiply of Number of Tx samples. </t>
  </si>
  <si>
    <t>Multiplexing across Tx</t>
  </si>
  <si>
    <t>Binary</t>
  </si>
  <si>
    <t>Yes</t>
  </si>
  <si>
    <t>No</t>
  </si>
  <si>
    <t>#Raw samples/dwell (cube size)</t>
  </si>
  <si>
    <t>Plane size (range * doppler)</t>
  </si>
  <si>
    <t>Created a block diagram with configurable core and provide the % loading of each core. Also created a Pivot chart for core wise analysis. Some of the control are managed by List based input to restrict the parameters.
Added Processign details tab for details on processing blocks</t>
  </si>
  <si>
    <t>Tx decoding - can it be after detection or it has to be before detection?</t>
  </si>
  <si>
    <t>Shall we relate these parameters (FFT dimensions) with physical values, like speed resolution, distance resolution?</t>
  </si>
  <si>
    <t>CFAR-CA detection, can it happen on vertical direction instead of horizontal direction in range x Doppler plane?</t>
  </si>
  <si>
    <t>Computes the magnitude across anteenas by summing up the energy and apply log2 to shrink the range. Energy of each sample is real^2 + Img^2</t>
  </si>
  <si>
    <t>Where would you apply log 2 - after each sample magnitude or sum of magnitude across planes?</t>
  </si>
  <si>
    <t>Sum across anteennas</t>
  </si>
  <si>
    <t>CFAR-CA Cell sum</t>
  </si>
  <si>
    <t>Create a sum plane for having cell sum</t>
  </si>
  <si>
    <t>2 LOAD, 1 ADD, 1 SUB, 2 STORE</t>
  </si>
  <si>
    <t>It will happen only on plane samples as the cube has been collapsed to a plane after sum across anteenas</t>
  </si>
  <si>
    <t>CFAR-CA Detection Th</t>
  </si>
  <si>
    <t>CFAR-CA Detection List</t>
  </si>
  <si>
    <t xml:space="preserve">Bin2 List
</t>
  </si>
  <si>
    <t>Binary bImage to List of co-ordinates</t>
  </si>
  <si>
    <t>Doppler Dimension (per Tx)</t>
  </si>
  <si>
    <t>Virtual Anteenas</t>
  </si>
  <si>
    <t>BeamForming Matrix Column</t>
  </si>
  <si>
    <t>Azimuth Estimation-Matrix Mul</t>
  </si>
  <si>
    <t>For each detected (Range,Doppler) point we have to find the Azimuth. So the Beam forming matrix col indicates the resolution of Azimuth. So effectively it is a matrix multiply for each detected object</t>
  </si>
  <si>
    <t>Azimuth Estimation-Energy</t>
  </si>
  <si>
    <t>We need to compute energy with real^2 + img^2</t>
  </si>
  <si>
    <t>2 MAD</t>
  </si>
  <si>
    <t>Samples would be BF_COL x N_OBJECTS</t>
  </si>
  <si>
    <t>For each detected object it is a matrix multiply of [BF_COLx N_ANT] * [N_ANT x 1] - so for each detected point it is BF_COL x N_ANT complex multiply. Total samples would be BF_COL x N_ANT  x N_OBJECTS</t>
  </si>
  <si>
    <t>Azimuth Estimation-Max</t>
  </si>
  <si>
    <t>We need to find max among the possible BF_COL</t>
  </si>
  <si>
    <t>1 MAXSETIF, 1 D, 1 SELECT</t>
  </si>
  <si>
    <t>Derived (computed) information</t>
  </si>
  <si>
    <t>Cells to control - user input</t>
  </si>
  <si>
    <t>Read MB/sec</t>
  </si>
  <si>
    <t>Write MB/sec</t>
  </si>
  <si>
    <t>Log Magnitude &amp; SUM</t>
  </si>
  <si>
    <t>Processor sub system Utilization</t>
  </si>
  <si>
    <t>Memory sub system Utilization</t>
  </si>
  <si>
    <t>input samples-bytes</t>
  </si>
  <si>
    <t>output samples-bytes</t>
  </si>
  <si>
    <t>Sample size (in bytes)</t>
  </si>
  <si>
    <t>Data-out-need-algo</t>
  </si>
  <si>
    <t>Data-out-need-partition</t>
  </si>
  <si>
    <t>Data-out</t>
  </si>
  <si>
    <t>Data-in</t>
  </si>
  <si>
    <t>DDR BW - Write MB/sec</t>
  </si>
  <si>
    <t>DDR BW - Read MB/sec</t>
  </si>
  <si>
    <t>OCMC BW-Write MB/sec</t>
  </si>
  <si>
    <t>OCMC BW-Read MB/sec</t>
  </si>
  <si>
    <t>DDR BW - Total MB/sec</t>
  </si>
  <si>
    <t>OCMC BW-Total MB/sec</t>
  </si>
  <si>
    <t>OCMC BW</t>
  </si>
  <si>
    <t>Processing/Memory subsystem</t>
  </si>
  <si>
    <t>OCMC Memeory Size (KB)</t>
  </si>
  <si>
    <t>SOC Utilization Summary</t>
  </si>
  <si>
    <t>For now, lets assume before detection because it is safer from quality point of view</t>
  </si>
  <si>
    <t>log2 can be at the end - it is better for quality</t>
  </si>
  <si>
    <t>Mostly it is linear - in either direction, 2D is not so popular as first stage - it can be as 2nd stage after first detection</t>
  </si>
  <si>
    <t>DST-MEM</t>
  </si>
  <si>
    <t>SRC-MEM</t>
  </si>
  <si>
    <t>Interference Zero out</t>
  </si>
  <si>
    <t>Color Legends</t>
  </si>
  <si>
    <t>Thresholding and making zero - separate for real and imaginary</t>
  </si>
  <si>
    <t>Can be clubbed with DC offset processing as well because it can happen with store without any additional cycles - but accounted seperately for now</t>
  </si>
  <si>
    <t>Load and Store with threshold</t>
  </si>
  <si>
    <t>Operation type</t>
  </si>
  <si>
    <t>Size</t>
  </si>
  <si>
    <t>DSP clock cycles</t>
  </si>
  <si>
    <t xml:space="preserve">Windowing + FFT
(16-bit computations)
</t>
  </si>
  <si>
    <t>FFT size</t>
  </si>
  <si>
    <t xml:space="preserve">FFT computation </t>
  </si>
  <si>
    <t xml:space="preserve">Windowing computation </t>
  </si>
  <si>
    <t xml:space="preserve">Total for Windowing + FFT </t>
  </si>
  <si>
    <t>Log-Magnitude
(32-bit input)</t>
  </si>
  <si>
    <t>Vector Size</t>
  </si>
  <si>
    <t>Scale factor</t>
  </si>
  <si>
    <t>Constant adder</t>
  </si>
  <si>
    <t>Formula</t>
  </si>
  <si>
    <t>N
(Number of cells)</t>
  </si>
  <si>
    <t>3.5N+68</t>
  </si>
  <si>
    <t>16-point 3rd dim FFT 
(8 virtual RX, 8 zeropads, assuming TX1 and TX2 time-multiplexed MIMO</t>
  </si>
  <si>
    <t>N
(Number of cells if coherent 3rd dim processing or Number of detected objects if 3rd dim is done post-detection)</t>
  </si>
  <si>
    <t>151N</t>
  </si>
  <si>
    <t>CFAR-CA detector</t>
  </si>
  <si>
    <t>N
(Number of Doppler bins)</t>
  </si>
  <si>
    <t>3N+161</t>
  </si>
  <si>
    <t>CFAR-OS detector
(Assuming a sliding window of 32 noise samples total, around the cell under test)</t>
  </si>
  <si>
    <t>64N-1024</t>
  </si>
  <si>
    <t xml:space="preserve">Interference zero-ing
(Zero-out time-domain spikes in ADC IQ data) </t>
  </si>
  <si>
    <t>N
(Number of complex ADC samples)</t>
  </si>
  <si>
    <t>0.75N+36</t>
  </si>
  <si>
    <t>cycles per sample</t>
  </si>
  <si>
    <t>Window</t>
  </si>
  <si>
    <t>RWIND</t>
  </si>
  <si>
    <t>RFFT</t>
  </si>
  <si>
    <t>DWIN</t>
  </si>
  <si>
    <t>DFFT</t>
  </si>
  <si>
    <t>LogMag, Sum</t>
  </si>
  <si>
    <t>INTER</t>
  </si>
  <si>
    <t>AZM_EST</t>
  </si>
  <si>
    <t>Updates DSP cycles and incorporated review comments from Sandeep, Biju</t>
  </si>
  <si>
    <t>This sheet is designed for the system analysis of radar processing on TDAx SOC</t>
  </si>
  <si>
    <t>Radar System Planner for TDAxx</t>
  </si>
  <si>
    <t>Refer Main-Summary Sheet for user control and system design information</t>
  </si>
  <si>
    <t>All the cells with yellow color are designed to accept user input. There are mainly 3 areas for user control</t>
  </si>
  <si>
    <t>(C) SOC Configuration parameters like frequnecy of EVE, DSP, instances of these to allow different SOC varians of TDA3x, TDA2x, TDA2x+. These parameters are in first few columns around row #23</t>
  </si>
  <si>
    <t>(B) System partitioning Configuration parameters to control where a particulr processing block should run in hetrogenous processors (EVE, C66x, M4 etc). Each processing block has control below it</t>
  </si>
  <si>
    <t>How to control</t>
  </si>
  <si>
    <t>How to understand results</t>
  </si>
  <si>
    <t>SOC summary bar chart shows utilization of all the resources - processing sub system and memory subsystem</t>
  </si>
  <si>
    <t>For each processing block, the core utlization, and memory bandwidth is listed around the processing block</t>
  </si>
  <si>
    <t>Key Features</t>
  </si>
  <si>
    <t>If the data can be accomodated in OCMC then the system planner take care of optimization that data doesn't go to DDR</t>
  </si>
  <si>
    <t>If the subsequnet processing block is in same sub system,then the system take care of optimization that intermediate data is retained inside subsystem memory</t>
  </si>
  <si>
    <t>(A) Use case Configuration parameters like dimension of FFT, number of RX, TX etc. Column B has these fields</t>
  </si>
  <si>
    <t>Assumptions</t>
  </si>
  <si>
    <t>Post processing related MIPS are estimated very roughly as these differ highly for different end use case</t>
  </si>
  <si>
    <t>High Level application and decision making MIPS are not accounted in the spread sheet with assumption that these are relatively much lesser</t>
  </si>
  <si>
    <t>(blank)</t>
  </si>
  <si>
    <t>(All)</t>
  </si>
  <si>
    <t>For detailed analysis of pie chart of processing blocks within a core - refer Analysis sheet</t>
  </si>
  <si>
    <t>To get more detailed information - refer different sheets like ProcessingBlocks for EVE, DSP. Also there is more detailed table in Main-Summary sheet as well</t>
  </si>
  <si>
    <t>DDR3 BW</t>
  </si>
  <si>
    <t>DDR efficiency factor is assumed to be 60%. This seems pessimistic as the data transfers in radar processing are more 1D in nature</t>
  </si>
  <si>
    <t>All FFT are assumed to be in 16-bit data (16-bit real, 16-bit complex) with a user configured shift amount at each stage of FFT to limit back in 16 bit</t>
  </si>
  <si>
    <t>Open Issues</t>
  </si>
  <si>
    <t>Control for disabling Tx Decode - memory bandwidth is not correctly shown on the processing block - but total bandwidth is correct</t>
  </si>
  <si>
    <t>Sandeep Rao, Anshu Jain, Aish Dubey, Karthik R</t>
  </si>
  <si>
    <t>To do</t>
  </si>
  <si>
    <t>Add control for more detection method</t>
  </si>
  <si>
    <t>Cores</t>
  </si>
  <si>
    <t>Corrected some formulas for DDR and OCMC bandwidth. Explictly updated the SOC utilization bar chart to have number of cores on X-axis to avoid confusion</t>
  </si>
  <si>
    <t>FFT Length</t>
  </si>
  <si>
    <t>Type</t>
  </si>
  <si>
    <t>cycles/point</t>
  </si>
  <si>
    <t>Range</t>
  </si>
  <si>
    <t>Doppler</t>
  </si>
  <si>
    <t>Windowing + Range FFT</t>
  </si>
  <si>
    <t>Windowing + Doppler FFT + Doppler Correction</t>
  </si>
  <si>
    <t>Since windowing happens with FFT by default cycles are accounted in FFT and forced here to be zero</t>
  </si>
  <si>
    <t>Since Doppler correction happens with FFT by default cycles are accounted in FFT and forced here to be zero</t>
  </si>
  <si>
    <t>Active Range cy/pt</t>
  </si>
  <si>
    <t>Active Doppler cy/pt</t>
  </si>
  <si>
    <t>Compute the magnitude across antennas by summing up the energy</t>
  </si>
  <si>
    <t>1 VMPY, 1 MAD to compute x^2+y^2</t>
  </si>
  <si>
    <t>x^2+y^2=2^m (1+α)
〖log〗_2 (2^m (1+α)) ≈ m+〖log〗_2 (1+(floor(64α))/64)
1 VLMBD to find m
1 SUB to find shift amount
Shift to find LUT index
LUT
(1 + D + 1 + 1)/16
+1/8 for LUT and multiply with 256 happens as part of store
+2/16 for shift and add of m with the shifted amount</t>
  </si>
  <si>
    <t>It will happen on all samples. IO bound so if(1 is used</t>
  </si>
  <si>
    <t>Left Noise level - 2 Load (32 bit)
Right Noise level - 2 Load (32 bit)
Cell under test - 1 load (16 bit)
1 Add of left and right,  Subtract with TH, 1 comparison, store</t>
  </si>
  <si>
    <t>EnergySum</t>
  </si>
  <si>
    <t>Reviewed after implementation of all functions on EVE and updated with measurements</t>
  </si>
  <si>
    <t>Anshu Jain, Pramod Kumar Swami</t>
  </si>
  <si>
    <t>TI</t>
  </si>
  <si>
    <t>Reviewed with SDK measurements and updated - First release with Radar SDK</t>
  </si>
  <si>
    <t>Copyright © 2016-2017 Texas Instruments Incorporated.  All rights reserved.</t>
  </si>
  <si>
    <r>
      <t xml:space="preserve">Number of samples are cube size * Number of Tx.
</t>
    </r>
    <r>
      <rPr>
        <i/>
        <sz val="10"/>
        <color theme="1"/>
        <rFont val="Mangal"/>
        <scheme val="minor"/>
      </rPr>
      <t>Willl be hidden behind sum acrros anteenas as we have counted IO bound cycles there</t>
    </r>
  </si>
  <si>
    <r>
      <t xml:space="preserve">A number X is expressed in 
X = 2^m + X - 2^m
X = 2^m ( 1 + (X-2^m)/2^m)
X = 2^m ( 1 + α); where α is &gt;=0 and &lt; 1
because X - 2^m &lt; 2^m
log2(1+α) is b/w 0 and 1 if α has constraint of being b/w 0 and 1
α normalized to N(6) bits would be (α * 2^6)/2^(m-1)
= α &gt;&gt; (m-1+6)
It will happen on all samples of cube if sum across anteenas is after log2, otherwise it will happen only on plane sample instead of cube. 
</t>
    </r>
    <r>
      <rPr>
        <sz val="10"/>
        <color theme="1"/>
        <rFont val="Mangal"/>
        <scheme val="minor"/>
      </rPr>
      <t xml:space="preserve">
</t>
    </r>
    <r>
      <rPr>
        <i/>
        <sz val="10"/>
        <color theme="1"/>
        <rFont val="Mangal"/>
        <scheme val="minor"/>
      </rPr>
      <t>Willl be hidden behind sum acrros anteenas as we have counted IO bound cycles there</t>
    </r>
  </si>
  <si>
    <t>Number of Angles (Angle resolution)</t>
  </si>
  <si>
    <t>CSI Write</t>
  </si>
  <si>
    <t>Updated DDR Bandwidth to include CSI write, minor correction in Peak Detector bandwidth formulas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</si>
</sst>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409]d\-mmm\-yy;@"/>
    <numFmt numFmtId="166" formatCode="[$-F800]dddd\,\ mmmm\ dd\,\ yyyy"/>
  </numFmts>
  <fonts count="33">
    <font>
      <sz val="11"/>
      <color theme="1"/>
      <name val="Mangal"/>
      <family val="2"/>
      <scheme val="minor"/>
    </font>
    <font>
      <sz val="11"/>
      <color theme="1"/>
      <name val="Mangal"/>
      <family val="2"/>
      <scheme val="minor"/>
    </font>
    <font>
      <b/>
      <sz val="9"/>
      <color indexed="81"/>
      <name val="Tahoma"/>
      <family val="2"/>
    </font>
    <font>
      <sz val="9"/>
      <color indexed="81"/>
      <name val="Tahoma"/>
      <family val="2"/>
    </font>
    <font>
      <b/>
      <sz val="10"/>
      <name val="Mangal"/>
      <family val="2"/>
      <scheme val="minor"/>
    </font>
    <font>
      <b/>
      <sz val="8"/>
      <name val="Mangal"/>
      <family val="2"/>
      <scheme val="minor"/>
    </font>
    <font>
      <sz val="8"/>
      <color theme="1"/>
      <name val="Mangal"/>
      <family val="2"/>
      <scheme val="minor"/>
    </font>
    <font>
      <sz val="8"/>
      <name val="Mangal"/>
      <family val="2"/>
      <scheme val="minor"/>
    </font>
    <font>
      <b/>
      <sz val="8"/>
      <color theme="1"/>
      <name val="Mangal"/>
      <family val="2"/>
      <scheme val="minor"/>
    </font>
    <font>
      <b/>
      <sz val="8"/>
      <color theme="0"/>
      <name val="Mangal"/>
      <family val="2"/>
      <scheme val="minor"/>
    </font>
    <font>
      <sz val="11"/>
      <name val="Verdana"/>
      <family val="2"/>
    </font>
    <font>
      <b/>
      <i/>
      <sz val="14"/>
      <color indexed="8"/>
      <name val="Verdana"/>
      <family val="2"/>
    </font>
    <font>
      <b/>
      <sz val="10"/>
      <color indexed="8"/>
      <name val="Verdana"/>
      <family val="2"/>
    </font>
    <font>
      <i/>
      <sz val="10"/>
      <color indexed="8"/>
      <name val="Verdana"/>
      <family val="2"/>
    </font>
    <font>
      <sz val="10"/>
      <color indexed="8"/>
      <name val="Verdana"/>
      <family val="2"/>
    </font>
    <font>
      <b/>
      <sz val="12"/>
      <color indexed="9"/>
      <name val="Verdana"/>
      <family val="2"/>
    </font>
    <font>
      <sz val="10"/>
      <color indexed="9"/>
      <name val="Verdana"/>
      <family val="2"/>
    </font>
    <font>
      <b/>
      <sz val="10"/>
      <color indexed="9"/>
      <name val="Verdana"/>
      <family val="2"/>
    </font>
    <font>
      <b/>
      <sz val="12"/>
      <name val="Verdana"/>
      <family val="2"/>
    </font>
    <font>
      <sz val="12"/>
      <name val="Verdana"/>
      <family val="2"/>
    </font>
    <font>
      <sz val="10"/>
      <color theme="1"/>
      <name val="Mangal"/>
      <family val="2"/>
      <scheme val="minor"/>
    </font>
    <font>
      <sz val="11"/>
      <color rgb="FF000000"/>
      <name val="Mangal"/>
      <family val="2"/>
      <scheme val="minor"/>
    </font>
    <font>
      <b/>
      <sz val="14"/>
      <color theme="1"/>
      <name val="Mangal"/>
      <family val="2"/>
      <scheme val="minor"/>
    </font>
    <font>
      <b/>
      <sz val="12"/>
      <color theme="0"/>
      <name val="Mangal"/>
      <family val="2"/>
      <scheme val="minor"/>
    </font>
    <font>
      <sz val="10"/>
      <name val="Mangal"/>
      <family val="2"/>
      <scheme val="minor"/>
    </font>
    <font>
      <sz val="10"/>
      <color theme="0"/>
      <name val="Mangal"/>
      <family val="2"/>
      <scheme val="minor"/>
    </font>
    <font>
      <b/>
      <sz val="11"/>
      <color theme="1"/>
      <name val="Mangal"/>
      <family val="2"/>
      <scheme val="minor"/>
    </font>
    <font>
      <sz val="11"/>
      <color theme="0"/>
      <name val="Mangal"/>
      <family val="2"/>
      <scheme val="minor"/>
    </font>
    <font>
      <sz val="11"/>
      <name val="Mangal"/>
      <family val="2"/>
      <scheme val="minor"/>
    </font>
    <font>
      <sz val="9"/>
      <color indexed="81"/>
      <name val="Tahoma"/>
      <charset val="1"/>
    </font>
    <font>
      <b/>
      <sz val="9"/>
      <color indexed="81"/>
      <name val="Tahoma"/>
      <charset val="1"/>
    </font>
    <font>
      <i/>
      <sz val="10"/>
      <color theme="1"/>
      <name val="Mangal"/>
      <scheme val="minor"/>
    </font>
    <font>
      <sz val="10"/>
      <color theme="1"/>
      <name val="Mangal"/>
      <scheme val="minor"/>
    </font>
  </fonts>
  <fills count="18">
    <fill>
      <patternFill patternType="none"/>
    </fill>
    <fill>
      <patternFill patternType="gray125"/>
    </fill>
    <fill>
      <patternFill patternType="solid">
        <fgColor indexed="43"/>
        <bgColor indexed="64"/>
      </patternFill>
    </fill>
    <fill>
      <patternFill patternType="solid">
        <fgColor theme="9"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1"/>
        <bgColor indexed="64"/>
      </patternFill>
    </fill>
    <fill>
      <patternFill patternType="solid">
        <fgColor rgb="FFFFC000"/>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0" tint="-0.14999847407452621"/>
        <bgColor indexed="64"/>
      </patternFill>
    </fill>
    <fill>
      <patternFill patternType="solid">
        <fgColor theme="6"/>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180">
    <xf numFmtId="0" fontId="0" fillId="0" borderId="0" xfId="0"/>
    <xf numFmtId="0" fontId="7" fillId="2" borderId="14" xfId="0" applyFont="1" applyFill="1" applyBorder="1" applyAlignment="1" applyProtection="1">
      <alignment wrapText="1"/>
      <protection locked="0"/>
    </xf>
    <xf numFmtId="0" fontId="6" fillId="0" borderId="0" xfId="0" applyFont="1" applyAlignment="1">
      <alignment wrapText="1"/>
    </xf>
    <xf numFmtId="0" fontId="6" fillId="0" borderId="14" xfId="0" applyFont="1" applyBorder="1" applyAlignment="1">
      <alignment wrapText="1"/>
    </xf>
    <xf numFmtId="0" fontId="6" fillId="0" borderId="13" xfId="0" applyFont="1" applyBorder="1" applyAlignment="1">
      <alignment wrapText="1"/>
    </xf>
    <xf numFmtId="0" fontId="6" fillId="0" borderId="27" xfId="0" applyFont="1" applyBorder="1" applyAlignment="1">
      <alignment wrapText="1"/>
    </xf>
    <xf numFmtId="0" fontId="6" fillId="0" borderId="16" xfId="0" applyFont="1" applyBorder="1" applyAlignment="1">
      <alignment wrapText="1"/>
    </xf>
    <xf numFmtId="0" fontId="6" fillId="0" borderId="28" xfId="0" applyFont="1" applyBorder="1" applyAlignment="1">
      <alignment wrapText="1"/>
    </xf>
    <xf numFmtId="0" fontId="9" fillId="7" borderId="14" xfId="0" applyFont="1" applyFill="1" applyBorder="1" applyAlignment="1">
      <alignment wrapText="1"/>
    </xf>
    <xf numFmtId="0" fontId="6" fillId="0" borderId="17" xfId="0" applyFont="1" applyBorder="1" applyAlignment="1">
      <alignment wrapText="1"/>
    </xf>
    <xf numFmtId="2" fontId="6" fillId="0" borderId="14" xfId="0" applyNumberFormat="1" applyFont="1" applyBorder="1" applyAlignment="1">
      <alignment wrapText="1"/>
    </xf>
    <xf numFmtId="2" fontId="6" fillId="0" borderId="27" xfId="0" applyNumberFormat="1" applyFont="1" applyBorder="1" applyAlignment="1">
      <alignment wrapText="1"/>
    </xf>
    <xf numFmtId="2" fontId="6" fillId="0" borderId="17" xfId="0" applyNumberFormat="1" applyFont="1" applyBorder="1" applyAlignment="1">
      <alignment wrapText="1"/>
    </xf>
    <xf numFmtId="2" fontId="6" fillId="0" borderId="28" xfId="0" applyNumberFormat="1" applyFont="1" applyBorder="1" applyAlignment="1">
      <alignment wrapText="1"/>
    </xf>
    <xf numFmtId="9" fontId="6" fillId="0" borderId="0" xfId="1" applyFont="1" applyAlignment="1">
      <alignment wrapText="1"/>
    </xf>
    <xf numFmtId="0" fontId="10" fillId="0" borderId="0" xfId="0" applyFont="1" applyAlignment="1">
      <alignment wrapText="1"/>
    </xf>
    <xf numFmtId="0" fontId="10" fillId="9" borderId="3" xfId="0" applyFont="1" applyFill="1" applyBorder="1" applyAlignment="1" applyProtection="1">
      <alignment wrapText="1"/>
    </xf>
    <xf numFmtId="0" fontId="10" fillId="9" borderId="0" xfId="0" applyFont="1" applyFill="1" applyBorder="1" applyAlignment="1" applyProtection="1">
      <alignment wrapText="1"/>
    </xf>
    <xf numFmtId="0" fontId="10" fillId="9" borderId="4" xfId="0" applyFont="1" applyFill="1" applyBorder="1" applyAlignment="1" applyProtection="1">
      <alignment wrapText="1"/>
    </xf>
    <xf numFmtId="0" fontId="12" fillId="9" borderId="3" xfId="0" applyFont="1" applyFill="1" applyBorder="1" applyAlignment="1" applyProtection="1">
      <alignment horizontal="left" wrapText="1"/>
    </xf>
    <xf numFmtId="0" fontId="13" fillId="9" borderId="0" xfId="0" applyFont="1" applyFill="1" applyBorder="1" applyAlignment="1" applyProtection="1">
      <alignment wrapText="1"/>
      <protection locked="0"/>
    </xf>
    <xf numFmtId="0" fontId="13" fillId="9" borderId="4" xfId="0" applyFont="1" applyFill="1" applyBorder="1" applyAlignment="1" applyProtection="1">
      <alignment wrapText="1"/>
      <protection locked="0"/>
    </xf>
    <xf numFmtId="0" fontId="14" fillId="9" borderId="0" xfId="0" applyFont="1" applyFill="1" applyBorder="1" applyAlignment="1" applyProtection="1">
      <alignment wrapText="1"/>
      <protection locked="0"/>
    </xf>
    <xf numFmtId="0" fontId="14" fillId="9" borderId="4" xfId="0" applyFont="1" applyFill="1" applyBorder="1" applyAlignment="1">
      <alignment wrapText="1"/>
    </xf>
    <xf numFmtId="0" fontId="12" fillId="9" borderId="5" xfId="0" applyFont="1" applyFill="1" applyBorder="1" applyAlignment="1" applyProtection="1">
      <alignment wrapText="1"/>
    </xf>
    <xf numFmtId="0" fontId="14" fillId="9" borderId="24" xfId="0" applyFont="1" applyFill="1" applyBorder="1" applyAlignment="1">
      <alignment wrapText="1"/>
    </xf>
    <xf numFmtId="0" fontId="14" fillId="9" borderId="6" xfId="0" applyFont="1" applyFill="1" applyBorder="1" applyAlignment="1">
      <alignment wrapText="1"/>
    </xf>
    <xf numFmtId="0" fontId="15" fillId="10" borderId="3" xfId="0" applyFont="1" applyFill="1" applyBorder="1" applyAlignment="1" applyProtection="1">
      <alignment horizontal="centerContinuous" wrapText="1"/>
    </xf>
    <xf numFmtId="0" fontId="16" fillId="10" borderId="0" xfId="0" applyFont="1" applyFill="1" applyBorder="1" applyAlignment="1" applyProtection="1">
      <alignment horizontal="centerContinuous" wrapText="1"/>
    </xf>
    <xf numFmtId="0" fontId="16" fillId="10" borderId="4" xfId="0" applyFont="1" applyFill="1" applyBorder="1" applyAlignment="1" applyProtection="1">
      <alignment horizontal="centerContinuous" wrapText="1"/>
    </xf>
    <xf numFmtId="0" fontId="17" fillId="10" borderId="13" xfId="0" applyFont="1" applyFill="1" applyBorder="1" applyAlignment="1" applyProtection="1">
      <alignment horizontal="center" wrapText="1"/>
    </xf>
    <xf numFmtId="164" fontId="17" fillId="10" borderId="14" xfId="0" applyNumberFormat="1" applyFont="1" applyFill="1" applyBorder="1" applyAlignment="1" applyProtection="1">
      <alignment horizontal="center" wrapText="1"/>
    </xf>
    <xf numFmtId="0" fontId="17" fillId="10" borderId="27" xfId="0" applyFont="1" applyFill="1" applyBorder="1" applyAlignment="1" applyProtection="1">
      <alignment horizontal="center" wrapText="1"/>
    </xf>
    <xf numFmtId="2" fontId="14" fillId="0" borderId="13" xfId="0" applyNumberFormat="1" applyFont="1" applyFill="1" applyBorder="1" applyAlignment="1" applyProtection="1">
      <alignment horizontal="left" vertical="center" wrapText="1"/>
      <protection locked="0"/>
    </xf>
    <xf numFmtId="165" fontId="14" fillId="0" borderId="14" xfId="0" applyNumberFormat="1" applyFont="1" applyFill="1" applyBorder="1" applyAlignment="1" applyProtection="1">
      <alignment horizontal="left" vertical="center" wrapText="1"/>
      <protection locked="0"/>
    </xf>
    <xf numFmtId="0" fontId="14" fillId="0" borderId="27" xfId="0" applyFont="1" applyFill="1" applyBorder="1" applyAlignment="1" applyProtection="1">
      <alignment horizontal="left" vertical="center" wrapText="1"/>
      <protection locked="0"/>
    </xf>
    <xf numFmtId="0" fontId="14" fillId="0" borderId="27" xfId="0" applyFont="1" applyBorder="1" applyAlignment="1" applyProtection="1">
      <alignment horizontal="left" vertical="center" wrapText="1"/>
      <protection locked="0"/>
    </xf>
    <xf numFmtId="2" fontId="14" fillId="0" borderId="13" xfId="0" applyNumberFormat="1" applyFont="1" applyFill="1" applyBorder="1" applyAlignment="1" applyProtection="1">
      <alignment horizontal="left" vertical="top" wrapText="1"/>
      <protection locked="0"/>
    </xf>
    <xf numFmtId="166" fontId="14" fillId="0" borderId="14" xfId="0" applyNumberFormat="1" applyFont="1" applyFill="1" applyBorder="1" applyAlignment="1" applyProtection="1">
      <alignment horizontal="left" vertical="top" wrapText="1"/>
      <protection locked="0"/>
    </xf>
    <xf numFmtId="0" fontId="14" fillId="0" borderId="27" xfId="0" applyFont="1" applyBorder="1" applyAlignment="1" applyProtection="1">
      <alignment horizontal="left" wrapText="1"/>
      <protection locked="0"/>
    </xf>
    <xf numFmtId="0" fontId="14" fillId="0" borderId="27" xfId="0" applyFont="1" applyFill="1" applyBorder="1" applyAlignment="1" applyProtection="1">
      <alignment horizontal="left" vertical="top" wrapText="1"/>
      <protection locked="0"/>
    </xf>
    <xf numFmtId="2" fontId="14" fillId="0" borderId="13" xfId="0" applyNumberFormat="1" applyFont="1" applyBorder="1" applyAlignment="1" applyProtection="1">
      <alignment horizontal="left" wrapText="1"/>
      <protection locked="0"/>
    </xf>
    <xf numFmtId="166" fontId="14" fillId="0" borderId="14" xfId="0" applyNumberFormat="1" applyFont="1" applyBorder="1" applyAlignment="1" applyProtection="1">
      <alignment horizontal="left" wrapText="1"/>
      <protection locked="0"/>
    </xf>
    <xf numFmtId="2" fontId="14" fillId="0" borderId="10" xfId="0" applyNumberFormat="1" applyFont="1" applyBorder="1" applyAlignment="1" applyProtection="1">
      <alignment horizontal="left" wrapText="1"/>
      <protection locked="0"/>
    </xf>
    <xf numFmtId="166" fontId="14" fillId="0" borderId="11" xfId="0" applyNumberFormat="1" applyFont="1" applyBorder="1" applyAlignment="1" applyProtection="1">
      <alignment horizontal="left" wrapText="1"/>
      <protection locked="0"/>
    </xf>
    <xf numFmtId="0" fontId="14" fillId="0" borderId="30" xfId="0" applyFont="1" applyBorder="1" applyAlignment="1" applyProtection="1">
      <alignment horizontal="left" wrapText="1"/>
      <protection locked="0"/>
    </xf>
    <xf numFmtId="2" fontId="14" fillId="0" borderId="19" xfId="0" applyNumberFormat="1" applyFont="1" applyBorder="1" applyAlignment="1" applyProtection="1">
      <alignment horizontal="left" wrapText="1"/>
      <protection locked="0"/>
    </xf>
    <xf numFmtId="166" fontId="14" fillId="0" borderId="20" xfId="0" applyNumberFormat="1" applyFont="1" applyBorder="1" applyAlignment="1" applyProtection="1">
      <alignment horizontal="left" wrapText="1"/>
      <protection locked="0"/>
    </xf>
    <xf numFmtId="0" fontId="10" fillId="11" borderId="14" xfId="0" applyFont="1" applyFill="1" applyBorder="1" applyAlignment="1">
      <alignment wrapText="1"/>
    </xf>
    <xf numFmtId="164" fontId="17" fillId="10" borderId="15" xfId="0" applyNumberFormat="1" applyFont="1" applyFill="1" applyBorder="1" applyAlignment="1" applyProtection="1">
      <alignment horizontal="center" wrapText="1"/>
    </xf>
    <xf numFmtId="165" fontId="14" fillId="0" borderId="15" xfId="0" applyNumberFormat="1" applyFont="1" applyFill="1" applyBorder="1" applyAlignment="1" applyProtection="1">
      <alignment horizontal="left" vertical="center" wrapText="1"/>
      <protection locked="0"/>
    </xf>
    <xf numFmtId="166" fontId="14" fillId="0" borderId="15" xfId="0" applyNumberFormat="1" applyFont="1" applyFill="1" applyBorder="1" applyAlignment="1" applyProtection="1">
      <alignment horizontal="left" vertical="top" wrapText="1"/>
      <protection locked="0"/>
    </xf>
    <xf numFmtId="166" fontId="14" fillId="0" borderId="15" xfId="0" applyNumberFormat="1" applyFont="1" applyBorder="1" applyAlignment="1" applyProtection="1">
      <alignment horizontal="left" wrapText="1"/>
      <protection locked="0"/>
    </xf>
    <xf numFmtId="166" fontId="14" fillId="0" borderId="12" xfId="0" applyNumberFormat="1" applyFont="1" applyBorder="1" applyAlignment="1" applyProtection="1">
      <alignment horizontal="left" wrapText="1"/>
      <protection locked="0"/>
    </xf>
    <xf numFmtId="166" fontId="14" fillId="0" borderId="21" xfId="0" applyNumberFormat="1" applyFont="1" applyBorder="1" applyAlignment="1" applyProtection="1">
      <alignment horizontal="left" wrapText="1"/>
      <protection locked="0"/>
    </xf>
    <xf numFmtId="0" fontId="0" fillId="0" borderId="0" xfId="0" pivotButton="1"/>
    <xf numFmtId="0" fontId="0" fillId="0" borderId="0" xfId="0" applyAlignment="1">
      <alignment horizontal="left"/>
    </xf>
    <xf numFmtId="0" fontId="0" fillId="0" borderId="0" xfId="0" applyNumberFormat="1"/>
    <xf numFmtId="0" fontId="4" fillId="8" borderId="14" xfId="0" applyFont="1" applyFill="1" applyBorder="1" applyAlignment="1">
      <alignment wrapText="1"/>
    </xf>
    <xf numFmtId="0" fontId="20" fillId="0" borderId="14" xfId="0" applyFont="1" applyBorder="1" applyAlignment="1">
      <alignment wrapText="1"/>
    </xf>
    <xf numFmtId="0" fontId="7" fillId="0" borderId="14" xfId="0" applyFont="1" applyFill="1" applyBorder="1" applyAlignment="1" applyProtection="1">
      <alignment wrapText="1"/>
      <protection locked="0"/>
    </xf>
    <xf numFmtId="9" fontId="6" fillId="0" borderId="15" xfId="1" applyFont="1" applyBorder="1" applyAlignment="1">
      <alignment wrapText="1"/>
    </xf>
    <xf numFmtId="9" fontId="6" fillId="0" borderId="18" xfId="1" applyFont="1" applyBorder="1" applyAlignment="1">
      <alignment wrapText="1"/>
    </xf>
    <xf numFmtId="0" fontId="9" fillId="7" borderId="13" xfId="0" applyFont="1" applyFill="1" applyBorder="1" applyAlignment="1">
      <alignment wrapText="1"/>
    </xf>
    <xf numFmtId="0" fontId="9" fillId="7" borderId="27" xfId="0" applyFont="1" applyFill="1" applyBorder="1" applyAlignment="1">
      <alignment wrapText="1"/>
    </xf>
    <xf numFmtId="2" fontId="6" fillId="0" borderId="13" xfId="0" applyNumberFormat="1" applyFont="1" applyBorder="1" applyAlignment="1">
      <alignment wrapText="1"/>
    </xf>
    <xf numFmtId="2" fontId="6" fillId="0" borderId="16" xfId="0" applyNumberFormat="1" applyFont="1" applyBorder="1" applyAlignment="1">
      <alignment wrapText="1"/>
    </xf>
    <xf numFmtId="0" fontId="9" fillId="7" borderId="15" xfId="0" applyFont="1" applyFill="1" applyBorder="1" applyAlignment="1">
      <alignment wrapText="1"/>
    </xf>
    <xf numFmtId="0" fontId="6" fillId="5" borderId="14" xfId="0" applyFont="1" applyFill="1" applyBorder="1" applyAlignment="1">
      <alignment wrapText="1"/>
    </xf>
    <xf numFmtId="0" fontId="6" fillId="12" borderId="14" xfId="0" applyFont="1" applyFill="1" applyBorder="1" applyAlignment="1">
      <alignment wrapText="1"/>
    </xf>
    <xf numFmtId="0" fontId="6" fillId="0" borderId="11" xfId="0" applyFont="1" applyBorder="1" applyAlignment="1">
      <alignment wrapText="1"/>
    </xf>
    <xf numFmtId="2" fontId="6" fillId="0" borderId="11" xfId="0" applyNumberFormat="1" applyFont="1" applyBorder="1" applyAlignment="1">
      <alignment wrapText="1"/>
    </xf>
    <xf numFmtId="2" fontId="6" fillId="0" borderId="0" xfId="0" applyNumberFormat="1" applyFont="1" applyAlignment="1">
      <alignment wrapText="1"/>
    </xf>
    <xf numFmtId="9" fontId="23" fillId="6" borderId="0" xfId="1" applyFont="1" applyFill="1" applyAlignment="1">
      <alignment wrapText="1"/>
    </xf>
    <xf numFmtId="2" fontId="6" fillId="3" borderId="0" xfId="0" applyNumberFormat="1" applyFont="1" applyFill="1" applyAlignment="1">
      <alignment wrapText="1"/>
    </xf>
    <xf numFmtId="2" fontId="8" fillId="4" borderId="0" xfId="0" applyNumberFormat="1" applyFont="1" applyFill="1" applyAlignment="1">
      <alignment wrapText="1"/>
    </xf>
    <xf numFmtId="0" fontId="24" fillId="2" borderId="14" xfId="0" applyFont="1" applyFill="1" applyBorder="1" applyAlignment="1" applyProtection="1">
      <alignment wrapText="1"/>
      <protection locked="0"/>
    </xf>
    <xf numFmtId="0" fontId="24" fillId="2" borderId="14" xfId="0" applyFont="1" applyFill="1" applyBorder="1" applyAlignment="1" applyProtection="1">
      <alignment horizontal="right" wrapText="1"/>
      <protection locked="0"/>
    </xf>
    <xf numFmtId="9" fontId="24" fillId="2" borderId="14" xfId="1" applyFont="1" applyFill="1" applyBorder="1" applyAlignment="1" applyProtection="1">
      <alignment horizontal="right" wrapText="1"/>
      <protection locked="0"/>
    </xf>
    <xf numFmtId="0" fontId="25" fillId="7" borderId="7" xfId="0" applyFont="1" applyFill="1" applyBorder="1" applyAlignment="1">
      <alignment wrapText="1"/>
    </xf>
    <xf numFmtId="0" fontId="25" fillId="7" borderId="8" xfId="0" applyFont="1" applyFill="1" applyBorder="1" applyAlignment="1">
      <alignment wrapText="1"/>
    </xf>
    <xf numFmtId="0" fontId="25" fillId="7" borderId="26" xfId="0" applyFont="1" applyFill="1" applyBorder="1" applyAlignment="1">
      <alignment wrapText="1"/>
    </xf>
    <xf numFmtId="0" fontId="24" fillId="2" borderId="13" xfId="0" applyFont="1" applyFill="1" applyBorder="1" applyAlignment="1" applyProtection="1">
      <alignment horizontal="left" wrapText="1"/>
      <protection locked="0"/>
    </xf>
    <xf numFmtId="9" fontId="20" fillId="0" borderId="27" xfId="1" applyFont="1" applyBorder="1" applyAlignment="1">
      <alignment wrapText="1"/>
    </xf>
    <xf numFmtId="0" fontId="24" fillId="2" borderId="16" xfId="0" applyFont="1" applyFill="1" applyBorder="1" applyAlignment="1" applyProtection="1">
      <alignment horizontal="left" wrapText="1"/>
      <protection locked="0"/>
    </xf>
    <xf numFmtId="0" fontId="24" fillId="2" borderId="17" xfId="0" applyFont="1" applyFill="1" applyBorder="1" applyAlignment="1" applyProtection="1">
      <alignment horizontal="right" wrapText="1"/>
      <protection locked="0"/>
    </xf>
    <xf numFmtId="9" fontId="20" fillId="0" borderId="28" xfId="1" applyFont="1" applyBorder="1" applyAlignment="1">
      <alignment wrapText="1"/>
    </xf>
    <xf numFmtId="0" fontId="6" fillId="0" borderId="14" xfId="0" applyFont="1" applyBorder="1" applyAlignment="1">
      <alignment horizontal="center" wrapText="1"/>
    </xf>
    <xf numFmtId="0" fontId="0" fillId="0" borderId="14" xfId="0" applyBorder="1"/>
    <xf numFmtId="0" fontId="0" fillId="13" borderId="14" xfId="0" applyFill="1" applyBorder="1"/>
    <xf numFmtId="0" fontId="0" fillId="17" borderId="0" xfId="0" applyFill="1"/>
    <xf numFmtId="0" fontId="26" fillId="17" borderId="0" xfId="0" applyFont="1" applyFill="1"/>
    <xf numFmtId="0" fontId="9" fillId="7" borderId="10" xfId="0" applyFont="1" applyFill="1" applyBorder="1" applyAlignment="1">
      <alignment wrapText="1"/>
    </xf>
    <xf numFmtId="0" fontId="9" fillId="7" borderId="11" xfId="0" applyFont="1" applyFill="1" applyBorder="1" applyAlignment="1">
      <alignment wrapText="1"/>
    </xf>
    <xf numFmtId="0" fontId="9" fillId="7" borderId="30" xfId="0" applyFont="1" applyFill="1" applyBorder="1" applyAlignment="1">
      <alignment wrapText="1"/>
    </xf>
    <xf numFmtId="0" fontId="21" fillId="17" borderId="0" xfId="0" applyFont="1" applyFill="1" applyAlignment="1">
      <alignment vertical="center" wrapText="1"/>
    </xf>
    <xf numFmtId="0" fontId="27" fillId="17" borderId="0" xfId="0" applyFont="1" applyFill="1" applyAlignment="1">
      <alignment vertical="center" wrapText="1"/>
    </xf>
    <xf numFmtId="0" fontId="27" fillId="17" borderId="0" xfId="0" applyFont="1" applyFill="1"/>
    <xf numFmtId="10" fontId="23" fillId="6" borderId="0" xfId="1" applyNumberFormat="1" applyFont="1" applyFill="1" applyAlignment="1">
      <alignment wrapText="1"/>
    </xf>
    <xf numFmtId="0" fontId="4" fillId="0" borderId="14" xfId="0" applyFont="1" applyFill="1" applyBorder="1" applyAlignment="1">
      <alignment wrapText="1"/>
    </xf>
    <xf numFmtId="0" fontId="0" fillId="0" borderId="0" xfId="0" applyFill="1" applyAlignment="1">
      <alignment wrapText="1"/>
    </xf>
    <xf numFmtId="0" fontId="20" fillId="0" borderId="14" xfId="0" applyFont="1" applyFill="1" applyBorder="1" applyAlignment="1">
      <alignment wrapText="1"/>
    </xf>
    <xf numFmtId="2" fontId="20" fillId="0" borderId="14" xfId="0" applyNumberFormat="1" applyFont="1" applyFill="1" applyBorder="1" applyAlignment="1">
      <alignment wrapText="1"/>
    </xf>
    <xf numFmtId="0" fontId="20" fillId="0" borderId="0" xfId="0" applyFont="1" applyFill="1" applyBorder="1" applyAlignment="1">
      <alignment wrapText="1"/>
    </xf>
    <xf numFmtId="2" fontId="20" fillId="0" borderId="0" xfId="0" applyNumberFormat="1" applyFont="1" applyFill="1" applyBorder="1" applyAlignment="1">
      <alignment wrapText="1"/>
    </xf>
    <xf numFmtId="0" fontId="26" fillId="0" borderId="14" xfId="0" applyFont="1" applyFill="1" applyBorder="1" applyAlignment="1">
      <alignment wrapText="1"/>
    </xf>
    <xf numFmtId="0" fontId="26" fillId="0" borderId="14" xfId="0" applyFont="1" applyFill="1" applyBorder="1" applyAlignment="1">
      <alignment horizontal="left"/>
    </xf>
    <xf numFmtId="0" fontId="6" fillId="0" borderId="0" xfId="0" applyFont="1" applyFill="1" applyAlignment="1">
      <alignment wrapText="1"/>
    </xf>
    <xf numFmtId="0" fontId="0" fillId="0" borderId="35" xfId="0" applyFill="1" applyBorder="1" applyAlignment="1">
      <alignment horizontal="left"/>
    </xf>
    <xf numFmtId="0" fontId="0" fillId="0" borderId="36" xfId="0" applyFill="1" applyBorder="1" applyAlignment="1">
      <alignment horizontal="left"/>
    </xf>
    <xf numFmtId="0" fontId="0" fillId="0" borderId="0" xfId="0" applyFill="1" applyAlignment="1">
      <alignment horizontal="left"/>
    </xf>
    <xf numFmtId="0" fontId="0" fillId="0" borderId="8" xfId="0" applyFill="1" applyBorder="1" applyAlignment="1">
      <alignment horizontal="left"/>
    </xf>
    <xf numFmtId="0" fontId="0" fillId="0" borderId="8" xfId="0" applyFill="1" applyBorder="1" applyAlignment="1">
      <alignment horizontal="left" wrapText="1"/>
    </xf>
    <xf numFmtId="0" fontId="0" fillId="0" borderId="9" xfId="0" applyFill="1" applyBorder="1" applyAlignment="1">
      <alignment horizontal="left"/>
    </xf>
    <xf numFmtId="0" fontId="0" fillId="0" borderId="11" xfId="0" applyFill="1" applyBorder="1" applyAlignment="1">
      <alignment horizontal="left"/>
    </xf>
    <xf numFmtId="0" fontId="0" fillId="0" borderId="11" xfId="0" applyFill="1" applyBorder="1" applyAlignment="1">
      <alignment horizontal="left" wrapText="1"/>
    </xf>
    <xf numFmtId="0" fontId="0" fillId="0" borderId="12" xfId="0" applyFill="1" applyBorder="1" applyAlignment="1">
      <alignment horizontal="left"/>
    </xf>
    <xf numFmtId="0" fontId="0" fillId="0" borderId="14" xfId="0" applyFill="1" applyBorder="1" applyAlignment="1">
      <alignment horizontal="left"/>
    </xf>
    <xf numFmtId="0" fontId="0" fillId="0" borderId="15" xfId="0" applyFill="1" applyBorder="1" applyAlignment="1">
      <alignment horizontal="left"/>
    </xf>
    <xf numFmtId="0" fontId="0" fillId="0" borderId="17" xfId="0" applyFill="1" applyBorder="1" applyAlignment="1">
      <alignment horizontal="left"/>
    </xf>
    <xf numFmtId="0" fontId="0" fillId="0" borderId="18" xfId="0" applyFill="1" applyBorder="1" applyAlignment="1">
      <alignment horizontal="left"/>
    </xf>
    <xf numFmtId="0" fontId="0" fillId="0" borderId="20" xfId="0" applyFill="1" applyBorder="1" applyAlignment="1">
      <alignment horizontal="left" wrapText="1"/>
    </xf>
    <xf numFmtId="0" fontId="0" fillId="0" borderId="20" xfId="0" applyFill="1" applyBorder="1" applyAlignment="1">
      <alignment horizontal="left"/>
    </xf>
    <xf numFmtId="0" fontId="0" fillId="0" borderId="21" xfId="0" applyFill="1" applyBorder="1" applyAlignment="1">
      <alignment horizontal="left"/>
    </xf>
    <xf numFmtId="0" fontId="0" fillId="0" borderId="32" xfId="0" applyFill="1" applyBorder="1" applyAlignment="1">
      <alignment horizontal="left" wrapText="1"/>
    </xf>
    <xf numFmtId="0" fontId="28" fillId="0" borderId="33" xfId="0" applyFont="1" applyFill="1" applyBorder="1" applyAlignment="1">
      <alignment horizontal="left" wrapText="1"/>
    </xf>
    <xf numFmtId="0" fontId="28" fillId="0" borderId="33" xfId="0" applyFont="1" applyFill="1" applyBorder="1" applyAlignment="1">
      <alignment horizontal="left"/>
    </xf>
    <xf numFmtId="0" fontId="28" fillId="0" borderId="38" xfId="0" applyFont="1" applyFill="1" applyBorder="1" applyAlignment="1">
      <alignment horizontal="left"/>
    </xf>
    <xf numFmtId="0" fontId="0" fillId="0" borderId="39" xfId="0" applyFill="1" applyBorder="1" applyAlignment="1">
      <alignment horizontal="left"/>
    </xf>
    <xf numFmtId="0" fontId="0" fillId="0" borderId="40" xfId="0" applyFill="1" applyBorder="1" applyAlignment="1">
      <alignment horizontal="left" wrapText="1"/>
    </xf>
    <xf numFmtId="0" fontId="0" fillId="0" borderId="40" xfId="0" applyFill="1" applyBorder="1" applyAlignment="1">
      <alignment horizontal="left"/>
    </xf>
    <xf numFmtId="0" fontId="0" fillId="0" borderId="41" xfId="0" applyFill="1" applyBorder="1" applyAlignment="1">
      <alignment horizontal="left"/>
    </xf>
    <xf numFmtId="0" fontId="0" fillId="0" borderId="35" xfId="0" applyFill="1" applyBorder="1" applyAlignment="1">
      <alignment horizontal="left" wrapText="1"/>
    </xf>
    <xf numFmtId="0" fontId="0" fillId="0" borderId="36" xfId="0" applyFill="1" applyBorder="1" applyAlignment="1">
      <alignment horizontal="left" wrapText="1"/>
    </xf>
    <xf numFmtId="0" fontId="0" fillId="0" borderId="37" xfId="0" applyFill="1" applyBorder="1" applyAlignment="1">
      <alignment horizontal="left"/>
    </xf>
    <xf numFmtId="0" fontId="0" fillId="0" borderId="33" xfId="0" applyFill="1" applyBorder="1" applyAlignment="1">
      <alignment horizontal="left" wrapText="1"/>
    </xf>
    <xf numFmtId="0" fontId="0" fillId="0" borderId="33" xfId="0" applyFill="1" applyBorder="1" applyAlignment="1">
      <alignment horizontal="left"/>
    </xf>
    <xf numFmtId="0" fontId="0" fillId="0" borderId="34" xfId="0" applyFill="1" applyBorder="1" applyAlignment="1">
      <alignment horizontal="left"/>
    </xf>
    <xf numFmtId="0" fontId="18" fillId="0" borderId="0" xfId="0" applyFont="1" applyAlignment="1">
      <alignment horizontal="left" wrapText="1"/>
    </xf>
    <xf numFmtId="0" fontId="19" fillId="0" borderId="0" xfId="0" applyFont="1" applyAlignment="1">
      <alignment horizontal="left" wrapText="1"/>
    </xf>
    <xf numFmtId="0" fontId="11" fillId="9" borderId="1" xfId="0" applyFont="1" applyFill="1" applyBorder="1" applyAlignment="1" applyProtection="1">
      <alignment horizontal="center" wrapText="1"/>
      <protection locked="0"/>
    </xf>
    <xf numFmtId="0" fontId="11" fillId="9" borderId="29" xfId="0" applyFont="1" applyFill="1" applyBorder="1" applyAlignment="1" applyProtection="1">
      <alignment horizontal="center" wrapText="1"/>
      <protection locked="0"/>
    </xf>
    <xf numFmtId="0" fontId="11" fillId="9" borderId="2" xfId="0" applyFont="1" applyFill="1" applyBorder="1" applyAlignment="1" applyProtection="1">
      <alignment horizontal="center" wrapText="1"/>
      <protection locked="0"/>
    </xf>
    <xf numFmtId="0" fontId="13" fillId="9" borderId="0" xfId="0" applyFont="1" applyFill="1" applyBorder="1" applyAlignment="1" applyProtection="1">
      <alignment horizontal="left" wrapText="1"/>
      <protection locked="0"/>
    </xf>
    <xf numFmtId="0" fontId="23" fillId="6" borderId="22" xfId="0" applyFont="1" applyFill="1" applyBorder="1" applyAlignment="1">
      <alignment horizontal="center" wrapText="1"/>
    </xf>
    <xf numFmtId="0" fontId="23" fillId="6" borderId="31" xfId="0" applyFont="1" applyFill="1" applyBorder="1" applyAlignment="1">
      <alignment horizontal="center" wrapText="1"/>
    </xf>
    <xf numFmtId="0" fontId="23" fillId="6" borderId="23" xfId="0" applyFont="1" applyFill="1" applyBorder="1" applyAlignment="1">
      <alignment horizontal="center" wrapText="1"/>
    </xf>
    <xf numFmtId="0" fontId="8" fillId="8" borderId="7" xfId="0" applyFont="1" applyFill="1" applyBorder="1" applyAlignment="1">
      <alignment horizontal="center" wrapText="1"/>
    </xf>
    <xf numFmtId="0" fontId="8" fillId="8" borderId="8" xfId="0" applyFont="1" applyFill="1" applyBorder="1" applyAlignment="1">
      <alignment horizontal="center" wrapText="1"/>
    </xf>
    <xf numFmtId="0" fontId="8" fillId="8" borderId="9" xfId="0" applyFont="1" applyFill="1" applyBorder="1" applyAlignment="1">
      <alignment horizontal="center" wrapText="1"/>
    </xf>
    <xf numFmtId="0" fontId="6" fillId="8" borderId="7" xfId="0" applyFont="1" applyFill="1" applyBorder="1" applyAlignment="1">
      <alignment horizontal="center" wrapText="1"/>
    </xf>
    <xf numFmtId="0" fontId="6" fillId="8" borderId="8" xfId="0" applyFont="1" applyFill="1" applyBorder="1" applyAlignment="1">
      <alignment horizontal="center" wrapText="1"/>
    </xf>
    <xf numFmtId="0" fontId="6" fillId="8" borderId="26" xfId="0" applyFont="1" applyFill="1" applyBorder="1" applyAlignment="1">
      <alignment horizontal="center" wrapText="1"/>
    </xf>
    <xf numFmtId="0" fontId="8" fillId="8" borderId="32" xfId="0" applyFont="1" applyFill="1" applyBorder="1" applyAlignment="1">
      <alignment horizontal="center" wrapText="1"/>
    </xf>
    <xf numFmtId="0" fontId="8" fillId="8" borderId="33" xfId="0" applyFont="1" applyFill="1" applyBorder="1" applyAlignment="1">
      <alignment horizontal="center" wrapText="1"/>
    </xf>
    <xf numFmtId="0" fontId="8" fillId="8" borderId="34" xfId="0" applyFont="1" applyFill="1" applyBorder="1" applyAlignment="1">
      <alignment horizontal="center" wrapText="1"/>
    </xf>
    <xf numFmtId="49" fontId="22" fillId="0" borderId="1" xfId="0" applyNumberFormat="1" applyFont="1" applyBorder="1" applyAlignment="1">
      <alignment horizontal="center" vertical="center" wrapText="1"/>
    </xf>
    <xf numFmtId="49" fontId="22" fillId="0" borderId="2" xfId="0" applyNumberFormat="1" applyFont="1" applyBorder="1" applyAlignment="1">
      <alignment horizontal="center" vertical="center" wrapText="1"/>
    </xf>
    <xf numFmtId="49" fontId="22" fillId="0" borderId="3" xfId="0" applyNumberFormat="1" applyFont="1" applyBorder="1" applyAlignment="1">
      <alignment horizontal="center" vertical="center" wrapText="1"/>
    </xf>
    <xf numFmtId="49" fontId="22" fillId="0" borderId="4" xfId="0" applyNumberFormat="1" applyFont="1" applyBorder="1" applyAlignment="1">
      <alignment horizontal="center" vertical="center" wrapText="1"/>
    </xf>
    <xf numFmtId="49" fontId="22" fillId="0" borderId="5" xfId="0" applyNumberFormat="1" applyFont="1" applyBorder="1" applyAlignment="1">
      <alignment horizontal="center" vertical="center" wrapText="1"/>
    </xf>
    <xf numFmtId="49" fontId="22" fillId="0" borderId="6" xfId="0" applyNumberFormat="1" applyFont="1" applyBorder="1" applyAlignment="1">
      <alignment horizontal="center" vertical="center" wrapText="1"/>
    </xf>
    <xf numFmtId="0" fontId="5" fillId="2" borderId="15" xfId="0" applyFont="1" applyFill="1" applyBorder="1" applyAlignment="1" applyProtection="1">
      <alignment horizontal="center" wrapText="1"/>
      <protection locked="0"/>
    </xf>
    <xf numFmtId="0" fontId="5" fillId="2" borderId="25" xfId="0" applyFont="1" applyFill="1" applyBorder="1" applyAlignment="1" applyProtection="1">
      <alignment horizontal="center" wrapText="1"/>
      <protection locked="0"/>
    </xf>
    <xf numFmtId="2" fontId="20" fillId="15" borderId="26" xfId="0" applyNumberFormat="1" applyFont="1" applyFill="1" applyBorder="1" applyAlignment="1">
      <alignment horizontal="center" wrapText="1"/>
    </xf>
    <xf numFmtId="2" fontId="20" fillId="15" borderId="28" xfId="0" applyNumberFormat="1" applyFont="1" applyFill="1" applyBorder="1" applyAlignment="1">
      <alignment horizontal="center" wrapText="1"/>
    </xf>
    <xf numFmtId="2" fontId="20" fillId="0" borderId="7" xfId="0" applyNumberFormat="1" applyFont="1" applyBorder="1" applyAlignment="1">
      <alignment horizontal="center" wrapText="1"/>
    </xf>
    <xf numFmtId="2" fontId="20" fillId="0" borderId="16" xfId="0" applyNumberFormat="1" applyFont="1" applyBorder="1" applyAlignment="1">
      <alignment horizontal="center" wrapText="1"/>
    </xf>
    <xf numFmtId="2" fontId="20" fillId="14" borderId="8" xfId="0" applyNumberFormat="1" applyFont="1" applyFill="1" applyBorder="1" applyAlignment="1">
      <alignment horizontal="center" wrapText="1"/>
    </xf>
    <xf numFmtId="2" fontId="20" fillId="14" borderId="17" xfId="0" applyNumberFormat="1" applyFont="1" applyFill="1" applyBorder="1" applyAlignment="1">
      <alignment horizontal="center" wrapText="1"/>
    </xf>
    <xf numFmtId="2" fontId="20" fillId="16" borderId="8" xfId="0" applyNumberFormat="1" applyFont="1" applyFill="1" applyBorder="1" applyAlignment="1">
      <alignment horizontal="center" wrapText="1"/>
    </xf>
    <xf numFmtId="2" fontId="20" fillId="16" borderId="17" xfId="0" applyNumberFormat="1" applyFont="1" applyFill="1" applyBorder="1" applyAlignment="1">
      <alignment horizontal="center" wrapText="1"/>
    </xf>
    <xf numFmtId="0" fontId="0" fillId="0" borderId="36" xfId="0" applyFill="1" applyBorder="1" applyAlignment="1">
      <alignment horizontal="left"/>
    </xf>
    <xf numFmtId="0" fontId="0" fillId="0" borderId="37" xfId="0" applyFill="1" applyBorder="1" applyAlignment="1">
      <alignment horizontal="left"/>
    </xf>
    <xf numFmtId="0" fontId="0" fillId="0" borderId="7" xfId="0" applyFill="1" applyBorder="1" applyAlignment="1">
      <alignment horizontal="left" wrapText="1"/>
    </xf>
    <xf numFmtId="0" fontId="0" fillId="0" borderId="10" xfId="0" applyFill="1" applyBorder="1" applyAlignment="1">
      <alignment horizontal="left" wrapText="1"/>
    </xf>
    <xf numFmtId="0" fontId="0" fillId="0" borderId="13" xfId="0" applyFill="1" applyBorder="1" applyAlignment="1">
      <alignment horizontal="left"/>
    </xf>
    <xf numFmtId="0" fontId="0" fillId="0" borderId="16" xfId="0" applyFill="1" applyBorder="1" applyAlignment="1">
      <alignment horizontal="left"/>
    </xf>
    <xf numFmtId="0" fontId="0" fillId="0" borderId="19" xfId="0" applyFill="1" applyBorder="1" applyAlignment="1">
      <alignment horizontal="left"/>
    </xf>
    <xf numFmtId="0" fontId="0" fillId="0" borderId="0" xfId="0" applyFill="1" applyAlignment="1">
      <alignment horizontal="center"/>
    </xf>
  </cellXfs>
  <cellStyles count="2">
    <cellStyle name="Normal" xfId="0" builtinId="0"/>
    <cellStyle name="Percent" xfId="1" builtinId="5"/>
  </cellStyles>
  <dxfs count="66">
    <dxf>
      <fill>
        <patternFill>
          <bgColor theme="6" tint="0.39994506668294322"/>
        </patternFill>
      </fill>
    </dxf>
    <dxf>
      <fill>
        <patternFill>
          <bgColor theme="8" tint="0.39994506668294322"/>
        </patternFill>
      </fill>
    </dxf>
    <dxf>
      <fill>
        <patternFill>
          <bgColor theme="7" tint="0.39994506668294322"/>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39994506668294322"/>
        </patternFill>
      </fill>
    </dxf>
    <dxf>
      <fill>
        <patternFill>
          <bgColor theme="8" tint="0.39994506668294322"/>
        </patternFill>
      </fill>
    </dxf>
    <dxf>
      <fill>
        <patternFill>
          <bgColor theme="7" tint="0.39994506668294322"/>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39994506668294322"/>
        </patternFill>
      </fill>
    </dxf>
    <dxf>
      <fill>
        <patternFill>
          <bgColor theme="8" tint="0.39994506668294322"/>
        </patternFill>
      </fill>
    </dxf>
    <dxf>
      <fill>
        <patternFill>
          <bgColor theme="7" tint="0.39994506668294322"/>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39994506668294322"/>
        </patternFill>
      </fill>
    </dxf>
    <dxf>
      <fill>
        <patternFill>
          <bgColor theme="8" tint="0.39994506668294322"/>
        </patternFill>
      </fill>
    </dxf>
    <dxf>
      <fill>
        <patternFill>
          <bgColor theme="7" tint="0.39994506668294322"/>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6" tint="0.39994506668294322"/>
        </patternFill>
      </fill>
    </dxf>
    <dxf>
      <fill>
        <patternFill>
          <bgColor theme="8" tint="0.39994506668294322"/>
        </patternFill>
      </fill>
    </dxf>
    <dxf>
      <fill>
        <patternFill>
          <bgColor theme="7" tint="0.39994506668294322"/>
        </patternFill>
      </fill>
    </dxf>
    <dxf>
      <fill>
        <patternFill>
          <bgColor theme="6" tint="0.59996337778862885"/>
        </patternFill>
      </fill>
    </dxf>
    <dxf>
      <fill>
        <patternFill>
          <bgColor theme="8" tint="0.59996337778862885"/>
        </patternFill>
      </fill>
    </dxf>
    <dxf>
      <fill>
        <patternFill>
          <bgColor theme="7" tint="0.59996337778862885"/>
        </patternFill>
      </fill>
    </dxf>
    <dxf>
      <fill>
        <patternFill>
          <bgColor theme="6" tint="0.59996337778862885"/>
        </patternFill>
      </fill>
    </dxf>
    <dxf>
      <fill>
        <patternFill>
          <bgColor theme="8" tint="0.59996337778862885"/>
        </patternFill>
      </fill>
    </dxf>
    <dxf>
      <fill>
        <patternFill>
          <bgColor theme="7" tint="0.59996337778862885"/>
        </patternFill>
      </fill>
    </dxf>
  </dxfs>
  <tableStyles count="0" defaultTableStyle="TableStyleMedium2" defaultPivotStyle="PivotStyleLight16"/>
  <colors>
    <mruColors>
      <color rgb="FFFFFF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hi-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 Utilization Summary</a:t>
            </a:r>
          </a:p>
        </c:rich>
      </c:tx>
      <c:layout/>
      <c:overlay val="0"/>
    </c:title>
    <c:autoTitleDeleted val="0"/>
    <c:plotArea>
      <c:layout/>
      <c:barChart>
        <c:barDir val="col"/>
        <c:grouping val="clustered"/>
        <c:varyColors val="0"/>
        <c:ser>
          <c:idx val="2"/>
          <c:order val="0"/>
          <c:tx>
            <c:strRef>
              <c:f>'Main-Summary'!$E$25</c:f>
              <c:strCache>
                <c:ptCount val="1"/>
                <c:pt idx="0">
                  <c:v>%Loading</c:v>
                </c:pt>
              </c:strCache>
            </c:strRef>
          </c:tx>
          <c:invertIfNegative val="0"/>
          <c:cat>
            <c:strRef>
              <c:f>'Main-Summary'!$A$26:$A$30</c:f>
              <c:strCache>
                <c:ptCount val="5"/>
                <c:pt idx="0">
                  <c:v>1 * EVE</c:v>
                </c:pt>
                <c:pt idx="1">
                  <c:v>2 * C66x</c:v>
                </c:pt>
                <c:pt idx="2">
                  <c:v>1 * M4</c:v>
                </c:pt>
                <c:pt idx="3">
                  <c:v>1 * DDR3 BW</c:v>
                </c:pt>
                <c:pt idx="4">
                  <c:v>1 * OCMC BW</c:v>
                </c:pt>
              </c:strCache>
            </c:strRef>
          </c:cat>
          <c:val>
            <c:numRef>
              <c:f>'Main-Summary'!$E$26:$E$30</c:f>
              <c:numCache>
                <c:formatCode>0%</c:formatCode>
                <c:ptCount val="5"/>
                <c:pt idx="0">
                  <c:v>0.29476128502799998</c:v>
                </c:pt>
                <c:pt idx="1">
                  <c:v>3.7160156250000002E-7</c:v>
                </c:pt>
                <c:pt idx="2">
                  <c:v>0.3</c:v>
                </c:pt>
                <c:pt idx="3">
                  <c:v>0.24218750000000003</c:v>
                </c:pt>
                <c:pt idx="4">
                  <c:v>0</c:v>
                </c:pt>
              </c:numCache>
            </c:numRef>
          </c:val>
        </c:ser>
        <c:dLbls>
          <c:showLegendKey val="0"/>
          <c:showVal val="0"/>
          <c:showCatName val="0"/>
          <c:showSerName val="0"/>
          <c:showPercent val="0"/>
          <c:showBubbleSize val="0"/>
        </c:dLbls>
        <c:gapWidth val="150"/>
        <c:axId val="60064896"/>
        <c:axId val="60066432"/>
      </c:barChart>
      <c:catAx>
        <c:axId val="60064896"/>
        <c:scaling>
          <c:orientation val="minMax"/>
        </c:scaling>
        <c:delete val="0"/>
        <c:axPos val="b"/>
        <c:majorTickMark val="out"/>
        <c:minorTickMark val="none"/>
        <c:tickLblPos val="nextTo"/>
        <c:crossAx val="60066432"/>
        <c:crosses val="autoZero"/>
        <c:auto val="1"/>
        <c:lblAlgn val="ctr"/>
        <c:lblOffset val="100"/>
        <c:noMultiLvlLbl val="0"/>
      </c:catAx>
      <c:valAx>
        <c:axId val="60066432"/>
        <c:scaling>
          <c:orientation val="minMax"/>
        </c:scaling>
        <c:delete val="0"/>
        <c:axPos val="l"/>
        <c:majorGridlines/>
        <c:numFmt formatCode="0%" sourceLinked="1"/>
        <c:majorTickMark val="out"/>
        <c:minorTickMark val="none"/>
        <c:tickLblPos val="nextTo"/>
        <c:crossAx val="60064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hi-IN"/>
  <c:roundedCorners val="0"/>
  <mc:AlternateContent xmlns:mc="http://schemas.openxmlformats.org/markup-compatibility/2006">
    <mc:Choice xmlns:c14="http://schemas.microsoft.com/office/drawing/2007/8/2/chart" Requires="c14">
      <c14:style val="102"/>
    </mc:Choice>
    <mc:Fallback>
      <c:style val="2"/>
    </mc:Fallback>
  </mc:AlternateContent>
  <c:pivotSource>
    <c:name>[RadarSystemPlanner (2).xlsx]Analysis!PivotTable1</c:name>
    <c:fmtId val="0"/>
  </c:pivotSource>
  <c:chart>
    <c:title>
      <c:overlay val="0"/>
    </c:title>
    <c:autoTitleDeleted val="0"/>
    <c:pivotFmts>
      <c:pivotFmt>
        <c:idx val="0"/>
        <c:marker>
          <c:symbol val="none"/>
        </c:marker>
        <c:dLbl>
          <c:idx val="0"/>
          <c:spPr/>
          <c:txPr>
            <a:bodyPr/>
            <a:lstStyle/>
            <a:p>
              <a:pPr>
                <a:defRPr/>
              </a:pPr>
              <a:endParaRPr lang="hi-IN"/>
            </a:p>
          </c:txPr>
          <c:showLegendKey val="0"/>
          <c:showVal val="0"/>
          <c:showCatName val="1"/>
          <c:showSerName val="0"/>
          <c:showPercent val="1"/>
          <c:showBubbleSize val="0"/>
        </c:dLbl>
      </c:pivotFmt>
    </c:pivotFmts>
    <c:plotArea>
      <c:layout/>
      <c:pieChart>
        <c:varyColors val="1"/>
        <c:ser>
          <c:idx val="0"/>
          <c:order val="0"/>
          <c:tx>
            <c:strRef>
              <c:f>Analysis!$B$3</c:f>
              <c:strCache>
                <c:ptCount val="1"/>
                <c:pt idx="0">
                  <c:v>Total</c:v>
                </c:pt>
              </c:strCache>
            </c:strRef>
          </c:tx>
          <c:dLbls>
            <c:spPr/>
            <c:txPr>
              <a:bodyPr/>
              <a:lstStyle/>
              <a:p>
                <a:pPr>
                  <a:defRPr/>
                </a:pPr>
                <a:endParaRPr lang="hi-IN"/>
              </a:p>
            </c:txPr>
            <c:showLegendKey val="0"/>
            <c:showVal val="0"/>
            <c:showCatName val="1"/>
            <c:showSerName val="0"/>
            <c:showPercent val="1"/>
            <c:showBubbleSize val="0"/>
            <c:showLeaderLines val="1"/>
          </c:dLbls>
          <c:cat>
            <c:strRef>
              <c:f>Analysis!$A$4:$A$17</c:f>
              <c:strCache>
                <c:ptCount val="13"/>
                <c:pt idx="0">
                  <c:v>Azimuth Estimation</c:v>
                </c:pt>
                <c:pt idx="1">
                  <c:v>CFAR-CA Detection</c:v>
                </c:pt>
                <c:pt idx="2">
                  <c:v>DC Offset</c:v>
                </c:pt>
                <c:pt idx="3">
                  <c:v>Doppler Correction</c:v>
                </c:pt>
                <c:pt idx="4">
                  <c:v>Doppler_FFT</c:v>
                </c:pt>
                <c:pt idx="5">
                  <c:v>Doppler_Window</c:v>
                </c:pt>
                <c:pt idx="6">
                  <c:v>Post Processing</c:v>
                </c:pt>
                <c:pt idx="7">
                  <c:v>Range_FFT</c:v>
                </c:pt>
                <c:pt idx="8">
                  <c:v>Range_Window</c:v>
                </c:pt>
                <c:pt idx="9">
                  <c:v>Tx Decoding</c:v>
                </c:pt>
                <c:pt idx="10">
                  <c:v>(blank)</c:v>
                </c:pt>
                <c:pt idx="11">
                  <c:v>Log Magnitude &amp; SUM</c:v>
                </c:pt>
                <c:pt idx="12">
                  <c:v>Interference Zero out</c:v>
                </c:pt>
              </c:strCache>
            </c:strRef>
          </c:cat>
          <c:val>
            <c:numRef>
              <c:f>Analysis!$B$4:$B$17</c:f>
              <c:numCache>
                <c:formatCode>General</c:formatCode>
                <c:ptCount val="13"/>
                <c:pt idx="0">
                  <c:v>1.0437119999999999E-2</c:v>
                </c:pt>
                <c:pt idx="1">
                  <c:v>3.3484800000000002E-2</c:v>
                </c:pt>
                <c:pt idx="2">
                  <c:v>2.359296E-2</c:v>
                </c:pt>
                <c:pt idx="3">
                  <c:v>2.359296E-2</c:v>
                </c:pt>
                <c:pt idx="4">
                  <c:v>0.18874368</c:v>
                </c:pt>
                <c:pt idx="5">
                  <c:v>1.179648E-2</c:v>
                </c:pt>
                <c:pt idx="6">
                  <c:v>6.1439999999999995E-2</c:v>
                </c:pt>
                <c:pt idx="7">
                  <c:v>0.18874368</c:v>
                </c:pt>
                <c:pt idx="8">
                  <c:v>1.179648E-2</c:v>
                </c:pt>
                <c:pt idx="9">
                  <c:v>4.7185919999999999E-2</c:v>
                </c:pt>
                <c:pt idx="11">
                  <c:v>0.37748735999999999</c:v>
                </c:pt>
                <c:pt idx="12">
                  <c:v>1.179648E-2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388620</xdr:colOff>
      <xdr:row>14</xdr:row>
      <xdr:rowOff>125047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9105900" cy="3208970"/>
        </a:xfrm>
        <a:prstGeom prst="rect">
          <a:avLst/>
        </a:prstGeom>
      </xdr:spPr>
    </xdr:pic>
    <xdr:clientData/>
  </xdr:twoCellAnchor>
  <xdr:twoCellAnchor editAs="oneCell">
    <xdr:from>
      <xdr:col>0</xdr:col>
      <xdr:colOff>0</xdr:colOff>
      <xdr:row>14</xdr:row>
      <xdr:rowOff>63138</xdr:rowOff>
    </xdr:from>
    <xdr:to>
      <xdr:col>13</xdr:col>
      <xdr:colOff>53340</xdr:colOff>
      <xdr:row>26</xdr:row>
      <xdr:rowOff>53341</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54681"/>
          <a:ext cx="8827226" cy="2080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39188</xdr:colOff>
      <xdr:row>24</xdr:row>
      <xdr:rowOff>81643</xdr:rowOff>
    </xdr:from>
    <xdr:to>
      <xdr:col>13</xdr:col>
      <xdr:colOff>374468</xdr:colOff>
      <xdr:row>26</xdr:row>
      <xdr:rowOff>65314</xdr:rowOff>
    </xdr:to>
    <xdr:sp macro="" textlink="">
      <xdr:nvSpPr>
        <xdr:cNvPr id="6" name="TextBox 5"/>
        <xdr:cNvSpPr txBox="1"/>
      </xdr:nvSpPr>
      <xdr:spPr>
        <a:xfrm>
          <a:off x="3413759" y="4914900"/>
          <a:ext cx="5734595" cy="33201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smtClean="0">
              <a:solidFill>
                <a:schemeClr val="bg1"/>
              </a:solidFill>
              <a:latin typeface="+mn-lt"/>
              <a:ea typeface="+mn-ea"/>
              <a:cs typeface="+mn-cs"/>
            </a:rPr>
            <a:t>For more details refer Appendix D: Radar Processing Data Flow of EVE_Applets_UserGuide.pdf</a:t>
          </a:r>
          <a:endParaRPr lang="hi-IN"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117668</xdr:rowOff>
    </xdr:from>
    <xdr:to>
      <xdr:col>17</xdr:col>
      <xdr:colOff>57151</xdr:colOff>
      <xdr:row>18</xdr:row>
      <xdr:rowOff>102063</xdr:rowOff>
    </xdr:to>
    <xdr:grpSp>
      <xdr:nvGrpSpPr>
        <xdr:cNvPr id="57" name="Group 56"/>
        <xdr:cNvGrpSpPr/>
      </xdr:nvGrpSpPr>
      <xdr:grpSpPr>
        <a:xfrm>
          <a:off x="4886325" y="793943"/>
          <a:ext cx="10201276" cy="2422795"/>
          <a:chOff x="3820583" y="847918"/>
          <a:chExt cx="8894235" cy="2355062"/>
        </a:xfrm>
      </xdr:grpSpPr>
      <xdr:cxnSp macro="">
        <xdr:nvCxnSpPr>
          <xdr:cNvPr id="10" name="Straight Arrow Connector 9"/>
          <xdr:cNvCxnSpPr/>
        </xdr:nvCxnSpPr>
        <xdr:spPr>
          <a:xfrm>
            <a:off x="4591478" y="847918"/>
            <a:ext cx="5352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11" name="Straight Arrow Connector 10"/>
          <xdr:cNvCxnSpPr/>
        </xdr:nvCxnSpPr>
        <xdr:spPr>
          <a:xfrm>
            <a:off x="6704951" y="847918"/>
            <a:ext cx="5352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12" name="Straight Arrow Connector 11"/>
          <xdr:cNvCxnSpPr/>
        </xdr:nvCxnSpPr>
        <xdr:spPr>
          <a:xfrm>
            <a:off x="9148585" y="847918"/>
            <a:ext cx="5352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13" name="Straight Arrow Connector 12"/>
          <xdr:cNvCxnSpPr/>
        </xdr:nvCxnSpPr>
        <xdr:spPr>
          <a:xfrm>
            <a:off x="11395315" y="847918"/>
            <a:ext cx="5352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20" name="Straight Arrow Connector 19"/>
          <xdr:cNvCxnSpPr/>
        </xdr:nvCxnSpPr>
        <xdr:spPr>
          <a:xfrm>
            <a:off x="4644156" y="3202980"/>
            <a:ext cx="5352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32" name="Straight Arrow Connector 31"/>
          <xdr:cNvCxnSpPr/>
        </xdr:nvCxnSpPr>
        <xdr:spPr>
          <a:xfrm flipH="1" flipV="1">
            <a:off x="3820583" y="1449917"/>
            <a:ext cx="8890001" cy="10584"/>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36" name="Straight Arrow Connector 35"/>
          <xdr:cNvCxnSpPr/>
        </xdr:nvCxnSpPr>
        <xdr:spPr>
          <a:xfrm flipH="1">
            <a:off x="12668250" y="1021114"/>
            <a:ext cx="6262" cy="418219"/>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40" name="Straight Arrow Connector 39"/>
          <xdr:cNvCxnSpPr/>
        </xdr:nvCxnSpPr>
        <xdr:spPr>
          <a:xfrm>
            <a:off x="3826993" y="1435995"/>
            <a:ext cx="0" cy="382383"/>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50" name="Straight Arrow Connector 49"/>
          <xdr:cNvCxnSpPr/>
        </xdr:nvCxnSpPr>
        <xdr:spPr>
          <a:xfrm>
            <a:off x="4595712" y="2026901"/>
            <a:ext cx="5352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51" name="Straight Arrow Connector 50"/>
          <xdr:cNvCxnSpPr/>
        </xdr:nvCxnSpPr>
        <xdr:spPr>
          <a:xfrm>
            <a:off x="6709185" y="2026901"/>
            <a:ext cx="5352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52" name="Straight Arrow Connector 51"/>
          <xdr:cNvCxnSpPr/>
        </xdr:nvCxnSpPr>
        <xdr:spPr>
          <a:xfrm>
            <a:off x="9152819" y="2026901"/>
            <a:ext cx="5352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53" name="Straight Arrow Connector 52"/>
          <xdr:cNvCxnSpPr/>
        </xdr:nvCxnSpPr>
        <xdr:spPr>
          <a:xfrm>
            <a:off x="11399549" y="2026901"/>
            <a:ext cx="535249"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54" name="Straight Arrow Connector 53"/>
          <xdr:cNvCxnSpPr/>
        </xdr:nvCxnSpPr>
        <xdr:spPr>
          <a:xfrm flipH="1" flipV="1">
            <a:off x="3824817" y="2628900"/>
            <a:ext cx="8890001" cy="10584"/>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55" name="Straight Arrow Connector 54"/>
          <xdr:cNvCxnSpPr/>
        </xdr:nvCxnSpPr>
        <xdr:spPr>
          <a:xfrm flipH="1">
            <a:off x="12672484" y="2200097"/>
            <a:ext cx="6262" cy="418219"/>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xnSp macro="">
        <xdr:nvCxnSpPr>
          <xdr:cNvPr id="56" name="Straight Arrow Connector 55"/>
          <xdr:cNvCxnSpPr/>
        </xdr:nvCxnSpPr>
        <xdr:spPr>
          <a:xfrm>
            <a:off x="3831227" y="2614978"/>
            <a:ext cx="0" cy="382383"/>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grpSp>
    <xdr:clientData/>
  </xdr:twoCellAnchor>
  <xdr:twoCellAnchor>
    <xdr:from>
      <xdr:col>5</xdr:col>
      <xdr:colOff>821530</xdr:colOff>
      <xdr:row>23</xdr:row>
      <xdr:rowOff>27383</xdr:rowOff>
    </xdr:from>
    <xdr:to>
      <xdr:col>13</xdr:col>
      <xdr:colOff>214313</xdr:colOff>
      <xdr:row>39</xdr:row>
      <xdr:rowOff>130967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190499</xdr:colOff>
      <xdr:row>1</xdr:row>
      <xdr:rowOff>0</xdr:rowOff>
    </xdr:from>
    <xdr:to>
      <xdr:col>14</xdr:col>
      <xdr:colOff>561974</xdr:colOff>
      <xdr:row>24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3750735</xdr:colOff>
      <xdr:row>9</xdr:row>
      <xdr:rowOff>67734</xdr:rowOff>
    </xdr:from>
    <xdr:to>
      <xdr:col>2</xdr:col>
      <xdr:colOff>423334</xdr:colOff>
      <xdr:row>9</xdr:row>
      <xdr:rowOff>321734</xdr:rowOff>
    </xdr:to>
    <xdr:sp macro="" textlink="">
      <xdr:nvSpPr>
        <xdr:cNvPr id="2" name="TextBox 1"/>
        <xdr:cNvSpPr txBox="1"/>
      </xdr:nvSpPr>
      <xdr:spPr>
        <a:xfrm>
          <a:off x="5283202" y="3276601"/>
          <a:ext cx="1430865"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INTERNAL USE ONLY</a:t>
          </a:r>
          <a:endParaRPr lang="hi-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13</xdr:row>
      <xdr:rowOff>38101</xdr:rowOff>
    </xdr:from>
    <xdr:to>
      <xdr:col>3</xdr:col>
      <xdr:colOff>666750</xdr:colOff>
      <xdr:row>14</xdr:row>
      <xdr:rowOff>171451</xdr:rowOff>
    </xdr:to>
    <xdr:sp macro="" textlink="">
      <xdr:nvSpPr>
        <xdr:cNvPr id="2" name="TextBox 1"/>
        <xdr:cNvSpPr txBox="1"/>
      </xdr:nvSpPr>
      <xdr:spPr>
        <a:xfrm>
          <a:off x="76200" y="4867276"/>
          <a:ext cx="6153150" cy="323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a:t>
          </a:r>
          <a:r>
            <a:rPr lang="en-US" sz="1100" baseline="0"/>
            <a:t> from DSP_MIPS_calc_v0p3.xlsx from Radar Team - Karthik , Sandeep , Anil </a:t>
          </a:r>
          <a:endParaRPr lang="en-US" sz="1100"/>
        </a:p>
      </xdr:txBody>
    </xdr:sp>
    <xdr:clientData/>
  </xdr:twoCellAnchor>
  <xdr:twoCellAnchor>
    <xdr:from>
      <xdr:col>1</xdr:col>
      <xdr:colOff>2232660</xdr:colOff>
      <xdr:row>4</xdr:row>
      <xdr:rowOff>129540</xdr:rowOff>
    </xdr:from>
    <xdr:to>
      <xdr:col>2</xdr:col>
      <xdr:colOff>990600</xdr:colOff>
      <xdr:row>6</xdr:row>
      <xdr:rowOff>106680</xdr:rowOff>
    </xdr:to>
    <xdr:sp macro="" textlink="">
      <xdr:nvSpPr>
        <xdr:cNvPr id="4" name="TextBox 3"/>
        <xdr:cNvSpPr txBox="1"/>
      </xdr:nvSpPr>
      <xdr:spPr>
        <a:xfrm>
          <a:off x="4701540" y="1013460"/>
          <a:ext cx="143256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INERNAL USE ONLY</a:t>
          </a:r>
          <a:endParaRPr lang="hi-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wami, Pramod" refreshedDate="42569.370806597224" createdVersion="4" refreshedVersion="4" minRefreshableVersion="3" recordCount="15">
  <cacheSource type="worksheet">
    <worksheetSource ref="T2:AE18" sheet="Main-Summary"/>
  </cacheSource>
  <cacheFields count="12">
    <cacheField name="S.No." numFmtId="0">
      <sharedItems containsString="0" containsBlank="1" containsNumber="1" containsInteger="1" minValue="1" maxValue="12"/>
    </cacheField>
    <cacheField name="Processing Block" numFmtId="0">
      <sharedItems containsBlank="1" count="15">
        <s v="Interference Zero out"/>
        <s v="DC Offset"/>
        <s v="Range_Window"/>
        <s v="Range_FFT"/>
        <s v="Doppler_Window"/>
        <s v="Doppler_FFT"/>
        <s v="Doppler Correction"/>
        <s v="Tx Decoding"/>
        <s v="Log Magnitude &amp; SUM"/>
        <s v="CFAR-CA Detection"/>
        <s v="Azimuth Estimation"/>
        <s v="Post Processing"/>
        <m/>
        <s v="Log Magnitude" u="1"/>
        <s v="Inference Zero out" u="1"/>
      </sharedItems>
    </cacheField>
    <cacheField name="samples/frame" numFmtId="0">
      <sharedItems containsString="0" containsBlank="1" containsNumber="1" containsInteger="1" minValue="256" maxValue="786432"/>
    </cacheField>
    <cacheField name="EVE" numFmtId="2">
      <sharedItems containsString="0" containsBlank="1" containsNumber="1" minValue="0.125" maxValue="4000"/>
    </cacheField>
    <cacheField name="C66x" numFmtId="0">
      <sharedItems containsString="0" containsBlank="1" containsNumber="1" minValue="0.5" maxValue="2000"/>
    </cacheField>
    <cacheField name="M4" numFmtId="0">
      <sharedItems containsString="0" containsBlank="1" containsNumber="1" minValue="2" maxValue="8000"/>
    </cacheField>
    <cacheField name="active core" numFmtId="0">
      <sharedItems containsBlank="1" count="4">
        <s v="EVE"/>
        <s v="C66x"/>
        <m/>
        <s v="M4" u="1"/>
      </sharedItems>
    </cacheField>
    <cacheField name="Core Frequency" numFmtId="0">
      <sharedItems containsString="0" containsBlank="1" containsNumber="1" containsInteger="1" minValue="500" maxValue="500"/>
    </cacheField>
    <cacheField name="cycles/sample" numFmtId="0">
      <sharedItems containsString="0" containsBlank="1" containsNumber="1" minValue="0.15" maxValue="2400"/>
    </cacheField>
    <cacheField name="Mega cycles/frame" numFmtId="2">
      <sharedItems containsString="0" containsBlank="1" containsNumber="1" minValue="0.1043712" maxValue="3.7748735999999998"/>
    </cacheField>
    <cacheField name="Mega cycles/sec" numFmtId="2">
      <sharedItems containsString="0" containsBlank="1" containsNumber="1" minValue="5.2185600000000001" maxValue="188.74367999999998"/>
    </cacheField>
    <cacheField name="%loading" numFmtId="9">
      <sharedItems containsString="0" containsBlank="1" containsNumber="1" minValue="1.0437119999999999E-2" maxValue="0.37748735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n v="1"/>
    <x v="0"/>
    <n v="786432"/>
    <n v="0.125"/>
    <n v="0.75"/>
    <n v="2"/>
    <x v="0"/>
    <n v="500"/>
    <n v="0.15"/>
    <n v="0.11796479999999999"/>
    <n v="5.8982399999999995"/>
    <n v="1.179648E-2"/>
  </r>
  <r>
    <n v="2"/>
    <x v="1"/>
    <n v="786432"/>
    <n v="0.25"/>
    <n v="0.5"/>
    <n v="4"/>
    <x v="0"/>
    <n v="500"/>
    <n v="0.3"/>
    <n v="0.23592959999999999"/>
    <n v="11.796479999999999"/>
    <n v="2.359296E-2"/>
  </r>
  <r>
    <n v="3"/>
    <x v="2"/>
    <n v="786432"/>
    <n v="0.125"/>
    <n v="0.732421875"/>
    <n v="2"/>
    <x v="0"/>
    <n v="500"/>
    <n v="0.15"/>
    <n v="0.11796479999999999"/>
    <n v="5.8982399999999995"/>
    <n v="1.179648E-2"/>
  </r>
  <r>
    <n v="4"/>
    <x v="3"/>
    <n v="786432"/>
    <n v="2"/>
    <n v="4.234375"/>
    <n v="32"/>
    <x v="0"/>
    <n v="500"/>
    <n v="2.4"/>
    <n v="1.8874367999999999"/>
    <n v="94.371839999999992"/>
    <n v="0.18874368"/>
  </r>
  <r>
    <n v="5"/>
    <x v="4"/>
    <n v="786432"/>
    <n v="0.125"/>
    <n v="1.1484375"/>
    <n v="2"/>
    <x v="0"/>
    <n v="500"/>
    <n v="0.15"/>
    <n v="0.11796479999999999"/>
    <n v="5.8982399999999995"/>
    <n v="1.179648E-2"/>
  </r>
  <r>
    <n v="6"/>
    <x v="5"/>
    <n v="786432"/>
    <n v="2"/>
    <n v="4.03125"/>
    <n v="32"/>
    <x v="0"/>
    <n v="500"/>
    <n v="2.4"/>
    <n v="1.8874367999999999"/>
    <n v="94.371839999999992"/>
    <n v="0.18874368"/>
  </r>
  <r>
    <n v="7"/>
    <x v="6"/>
    <n v="786432"/>
    <n v="0.25"/>
    <n v="0.5"/>
    <n v="4"/>
    <x v="0"/>
    <n v="500"/>
    <n v="0.3"/>
    <n v="0.23592959999999999"/>
    <n v="11.796479999999999"/>
    <n v="2.359296E-2"/>
  </r>
  <r>
    <n v="8"/>
    <x v="7"/>
    <n v="786432"/>
    <n v="0.25"/>
    <n v="0.5"/>
    <n v="4"/>
    <x v="1"/>
    <n v="500"/>
    <n v="0.6"/>
    <n v="0.47185919999999998"/>
    <n v="23.592959999999998"/>
    <n v="4.7185919999999999E-2"/>
  </r>
  <r>
    <n v="9"/>
    <x v="8"/>
    <n v="786432"/>
    <n v="0.6875"/>
    <n v="4"/>
    <n v="11"/>
    <x v="1"/>
    <n v="500"/>
    <n v="4.8"/>
    <n v="3.7748735999999998"/>
    <n v="188.74367999999998"/>
    <n v="0.37748735999999999"/>
  </r>
  <r>
    <n v="10"/>
    <x v="9"/>
    <n v="65536"/>
    <n v="0.875"/>
    <n v="4.2578125"/>
    <n v="14"/>
    <x v="1"/>
    <n v="500"/>
    <n v="5.109375"/>
    <n v="0.33484799999999998"/>
    <n v="16.7424"/>
    <n v="3.3484800000000002E-2"/>
  </r>
  <r>
    <n v="11"/>
    <x v="10"/>
    <n v="73728"/>
    <n v="0.28125"/>
    <n v="1.1796875"/>
    <n v="4.5"/>
    <x v="1"/>
    <n v="500"/>
    <n v="1.4156249999999999"/>
    <n v="0.1043712"/>
    <n v="5.2185600000000001"/>
    <n v="1.0437119999999999E-2"/>
  </r>
  <r>
    <n v="12"/>
    <x v="11"/>
    <n v="256"/>
    <n v="4000"/>
    <n v="2000"/>
    <n v="8000"/>
    <x v="1"/>
    <n v="500"/>
    <n v="2400"/>
    <n v="0.61439999999999995"/>
    <n v="30.72"/>
    <n v="6.1439999999999995E-2"/>
  </r>
  <r>
    <m/>
    <x v="12"/>
    <m/>
    <m/>
    <m/>
    <m/>
    <x v="2"/>
    <m/>
    <m/>
    <m/>
    <m/>
    <m/>
  </r>
  <r>
    <m/>
    <x v="12"/>
    <m/>
    <m/>
    <m/>
    <m/>
    <x v="2"/>
    <m/>
    <m/>
    <m/>
    <m/>
    <m/>
  </r>
  <r>
    <m/>
    <x v="12"/>
    <m/>
    <m/>
    <m/>
    <m/>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7" firstHeaderRow="1" firstDataRow="1" firstDataCol="1" rowPageCount="1" colPageCount="1"/>
  <pivotFields count="12">
    <pivotField showAll="0"/>
    <pivotField axis="axisRow" showAll="0">
      <items count="16">
        <item x="10"/>
        <item x="9"/>
        <item x="1"/>
        <item x="6"/>
        <item x="5"/>
        <item x="4"/>
        <item m="1" x="14"/>
        <item m="1" x="13"/>
        <item x="11"/>
        <item x="3"/>
        <item x="2"/>
        <item x="7"/>
        <item x="12"/>
        <item x="8"/>
        <item x="0"/>
        <item t="default"/>
      </items>
    </pivotField>
    <pivotField showAll="0"/>
    <pivotField showAll="0"/>
    <pivotField showAll="0"/>
    <pivotField showAll="0"/>
    <pivotField axis="axisPage" multipleItemSelectionAllowed="1" showAll="0">
      <items count="5">
        <item x="1"/>
        <item x="0"/>
        <item h="1" m="1" x="3"/>
        <item x="2"/>
        <item t="default"/>
      </items>
    </pivotField>
    <pivotField showAll="0"/>
    <pivotField showAll="0"/>
    <pivotField showAll="0"/>
    <pivotField showAll="0"/>
    <pivotField dataField="1" showAll="0"/>
  </pivotFields>
  <rowFields count="1">
    <field x="1"/>
  </rowFields>
  <rowItems count="14">
    <i>
      <x/>
    </i>
    <i>
      <x v="1"/>
    </i>
    <i>
      <x v="2"/>
    </i>
    <i>
      <x v="3"/>
    </i>
    <i>
      <x v="4"/>
    </i>
    <i>
      <x v="5"/>
    </i>
    <i>
      <x v="8"/>
    </i>
    <i>
      <x v="9"/>
    </i>
    <i>
      <x v="10"/>
    </i>
    <i>
      <x v="11"/>
    </i>
    <i>
      <x v="12"/>
    </i>
    <i>
      <x v="13"/>
    </i>
    <i>
      <x v="14"/>
    </i>
    <i t="grand">
      <x/>
    </i>
  </rowItems>
  <colItems count="1">
    <i/>
  </colItems>
  <pageFields count="1">
    <pageField fld="6" hier="-1"/>
  </pageFields>
  <dataFields count="1">
    <dataField name="Sum of %loading" fld="11"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56"/>
  <sheetViews>
    <sheetView workbookViewId="0">
      <selection activeCell="C67" sqref="C67"/>
    </sheetView>
  </sheetViews>
  <sheetFormatPr defaultColWidth="28.296875" defaultRowHeight="13.8"/>
  <cols>
    <col min="1" max="1" width="5.3984375" style="15" customWidth="1"/>
    <col min="2" max="2" width="9.09765625" style="15" bestFit="1" customWidth="1"/>
    <col min="3" max="3" width="33.09765625" style="15" customWidth="1"/>
    <col min="4" max="4" width="31.19921875" style="15" bestFit="1" customWidth="1"/>
    <col min="5" max="5" width="93.296875" style="15" customWidth="1"/>
    <col min="6" max="257" width="28.296875" style="15"/>
    <col min="258" max="258" width="5.3984375" style="15" customWidth="1"/>
    <col min="259" max="259" width="9.09765625" style="15" bestFit="1" customWidth="1"/>
    <col min="260" max="260" width="33.09765625" style="15" customWidth="1"/>
    <col min="261" max="261" width="93.296875" style="15" customWidth="1"/>
    <col min="262" max="513" width="28.296875" style="15"/>
    <col min="514" max="514" width="5.3984375" style="15" customWidth="1"/>
    <col min="515" max="515" width="9.09765625" style="15" bestFit="1" customWidth="1"/>
    <col min="516" max="516" width="33.09765625" style="15" customWidth="1"/>
    <col min="517" max="517" width="93.296875" style="15" customWidth="1"/>
    <col min="518" max="769" width="28.296875" style="15"/>
    <col min="770" max="770" width="5.3984375" style="15" customWidth="1"/>
    <col min="771" max="771" width="9.09765625" style="15" bestFit="1" customWidth="1"/>
    <col min="772" max="772" width="33.09765625" style="15" customWidth="1"/>
    <col min="773" max="773" width="93.296875" style="15" customWidth="1"/>
    <col min="774" max="1025" width="28.296875" style="15"/>
    <col min="1026" max="1026" width="5.3984375" style="15" customWidth="1"/>
    <col min="1027" max="1027" width="9.09765625" style="15" bestFit="1" customWidth="1"/>
    <col min="1028" max="1028" width="33.09765625" style="15" customWidth="1"/>
    <col min="1029" max="1029" width="93.296875" style="15" customWidth="1"/>
    <col min="1030" max="1281" width="28.296875" style="15"/>
    <col min="1282" max="1282" width="5.3984375" style="15" customWidth="1"/>
    <col min="1283" max="1283" width="9.09765625" style="15" bestFit="1" customWidth="1"/>
    <col min="1284" max="1284" width="33.09765625" style="15" customWidth="1"/>
    <col min="1285" max="1285" width="93.296875" style="15" customWidth="1"/>
    <col min="1286" max="1537" width="28.296875" style="15"/>
    <col min="1538" max="1538" width="5.3984375" style="15" customWidth="1"/>
    <col min="1539" max="1539" width="9.09765625" style="15" bestFit="1" customWidth="1"/>
    <col min="1540" max="1540" width="33.09765625" style="15" customWidth="1"/>
    <col min="1541" max="1541" width="93.296875" style="15" customWidth="1"/>
    <col min="1542" max="1793" width="28.296875" style="15"/>
    <col min="1794" max="1794" width="5.3984375" style="15" customWidth="1"/>
    <col min="1795" max="1795" width="9.09765625" style="15" bestFit="1" customWidth="1"/>
    <col min="1796" max="1796" width="33.09765625" style="15" customWidth="1"/>
    <col min="1797" max="1797" width="93.296875" style="15" customWidth="1"/>
    <col min="1798" max="2049" width="28.296875" style="15"/>
    <col min="2050" max="2050" width="5.3984375" style="15" customWidth="1"/>
    <col min="2051" max="2051" width="9.09765625" style="15" bestFit="1" customWidth="1"/>
    <col min="2052" max="2052" width="33.09765625" style="15" customWidth="1"/>
    <col min="2053" max="2053" width="93.296875" style="15" customWidth="1"/>
    <col min="2054" max="2305" width="28.296875" style="15"/>
    <col min="2306" max="2306" width="5.3984375" style="15" customWidth="1"/>
    <col min="2307" max="2307" width="9.09765625" style="15" bestFit="1" customWidth="1"/>
    <col min="2308" max="2308" width="33.09765625" style="15" customWidth="1"/>
    <col min="2309" max="2309" width="93.296875" style="15" customWidth="1"/>
    <col min="2310" max="2561" width="28.296875" style="15"/>
    <col min="2562" max="2562" width="5.3984375" style="15" customWidth="1"/>
    <col min="2563" max="2563" width="9.09765625" style="15" bestFit="1" customWidth="1"/>
    <col min="2564" max="2564" width="33.09765625" style="15" customWidth="1"/>
    <col min="2565" max="2565" width="93.296875" style="15" customWidth="1"/>
    <col min="2566" max="2817" width="28.296875" style="15"/>
    <col min="2818" max="2818" width="5.3984375" style="15" customWidth="1"/>
    <col min="2819" max="2819" width="9.09765625" style="15" bestFit="1" customWidth="1"/>
    <col min="2820" max="2820" width="33.09765625" style="15" customWidth="1"/>
    <col min="2821" max="2821" width="93.296875" style="15" customWidth="1"/>
    <col min="2822" max="3073" width="28.296875" style="15"/>
    <col min="3074" max="3074" width="5.3984375" style="15" customWidth="1"/>
    <col min="3075" max="3075" width="9.09765625" style="15" bestFit="1" customWidth="1"/>
    <col min="3076" max="3076" width="33.09765625" style="15" customWidth="1"/>
    <col min="3077" max="3077" width="93.296875" style="15" customWidth="1"/>
    <col min="3078" max="3329" width="28.296875" style="15"/>
    <col min="3330" max="3330" width="5.3984375" style="15" customWidth="1"/>
    <col min="3331" max="3331" width="9.09765625" style="15" bestFit="1" customWidth="1"/>
    <col min="3332" max="3332" width="33.09765625" style="15" customWidth="1"/>
    <col min="3333" max="3333" width="93.296875" style="15" customWidth="1"/>
    <col min="3334" max="3585" width="28.296875" style="15"/>
    <col min="3586" max="3586" width="5.3984375" style="15" customWidth="1"/>
    <col min="3587" max="3587" width="9.09765625" style="15" bestFit="1" customWidth="1"/>
    <col min="3588" max="3588" width="33.09765625" style="15" customWidth="1"/>
    <col min="3589" max="3589" width="93.296875" style="15" customWidth="1"/>
    <col min="3590" max="3841" width="28.296875" style="15"/>
    <col min="3842" max="3842" width="5.3984375" style="15" customWidth="1"/>
    <col min="3843" max="3843" width="9.09765625" style="15" bestFit="1" customWidth="1"/>
    <col min="3844" max="3844" width="33.09765625" style="15" customWidth="1"/>
    <col min="3845" max="3845" width="93.296875" style="15" customWidth="1"/>
    <col min="3846" max="4097" width="28.296875" style="15"/>
    <col min="4098" max="4098" width="5.3984375" style="15" customWidth="1"/>
    <col min="4099" max="4099" width="9.09765625" style="15" bestFit="1" customWidth="1"/>
    <col min="4100" max="4100" width="33.09765625" style="15" customWidth="1"/>
    <col min="4101" max="4101" width="93.296875" style="15" customWidth="1"/>
    <col min="4102" max="4353" width="28.296875" style="15"/>
    <col min="4354" max="4354" width="5.3984375" style="15" customWidth="1"/>
    <col min="4355" max="4355" width="9.09765625" style="15" bestFit="1" customWidth="1"/>
    <col min="4356" max="4356" width="33.09765625" style="15" customWidth="1"/>
    <col min="4357" max="4357" width="93.296875" style="15" customWidth="1"/>
    <col min="4358" max="4609" width="28.296875" style="15"/>
    <col min="4610" max="4610" width="5.3984375" style="15" customWidth="1"/>
    <col min="4611" max="4611" width="9.09765625" style="15" bestFit="1" customWidth="1"/>
    <col min="4612" max="4612" width="33.09765625" style="15" customWidth="1"/>
    <col min="4613" max="4613" width="93.296875" style="15" customWidth="1"/>
    <col min="4614" max="4865" width="28.296875" style="15"/>
    <col min="4866" max="4866" width="5.3984375" style="15" customWidth="1"/>
    <col min="4867" max="4867" width="9.09765625" style="15" bestFit="1" customWidth="1"/>
    <col min="4868" max="4868" width="33.09765625" style="15" customWidth="1"/>
    <col min="4869" max="4869" width="93.296875" style="15" customWidth="1"/>
    <col min="4870" max="5121" width="28.296875" style="15"/>
    <col min="5122" max="5122" width="5.3984375" style="15" customWidth="1"/>
    <col min="5123" max="5123" width="9.09765625" style="15" bestFit="1" customWidth="1"/>
    <col min="5124" max="5124" width="33.09765625" style="15" customWidth="1"/>
    <col min="5125" max="5125" width="93.296875" style="15" customWidth="1"/>
    <col min="5126" max="5377" width="28.296875" style="15"/>
    <col min="5378" max="5378" width="5.3984375" style="15" customWidth="1"/>
    <col min="5379" max="5379" width="9.09765625" style="15" bestFit="1" customWidth="1"/>
    <col min="5380" max="5380" width="33.09765625" style="15" customWidth="1"/>
    <col min="5381" max="5381" width="93.296875" style="15" customWidth="1"/>
    <col min="5382" max="5633" width="28.296875" style="15"/>
    <col min="5634" max="5634" width="5.3984375" style="15" customWidth="1"/>
    <col min="5635" max="5635" width="9.09765625" style="15" bestFit="1" customWidth="1"/>
    <col min="5636" max="5636" width="33.09765625" style="15" customWidth="1"/>
    <col min="5637" max="5637" width="93.296875" style="15" customWidth="1"/>
    <col min="5638" max="5889" width="28.296875" style="15"/>
    <col min="5890" max="5890" width="5.3984375" style="15" customWidth="1"/>
    <col min="5891" max="5891" width="9.09765625" style="15" bestFit="1" customWidth="1"/>
    <col min="5892" max="5892" width="33.09765625" style="15" customWidth="1"/>
    <col min="5893" max="5893" width="93.296875" style="15" customWidth="1"/>
    <col min="5894" max="6145" width="28.296875" style="15"/>
    <col min="6146" max="6146" width="5.3984375" style="15" customWidth="1"/>
    <col min="6147" max="6147" width="9.09765625" style="15" bestFit="1" customWidth="1"/>
    <col min="6148" max="6148" width="33.09765625" style="15" customWidth="1"/>
    <col min="6149" max="6149" width="93.296875" style="15" customWidth="1"/>
    <col min="6150" max="6401" width="28.296875" style="15"/>
    <col min="6402" max="6402" width="5.3984375" style="15" customWidth="1"/>
    <col min="6403" max="6403" width="9.09765625" style="15" bestFit="1" customWidth="1"/>
    <col min="6404" max="6404" width="33.09765625" style="15" customWidth="1"/>
    <col min="6405" max="6405" width="93.296875" style="15" customWidth="1"/>
    <col min="6406" max="6657" width="28.296875" style="15"/>
    <col min="6658" max="6658" width="5.3984375" style="15" customWidth="1"/>
    <col min="6659" max="6659" width="9.09765625" style="15" bestFit="1" customWidth="1"/>
    <col min="6660" max="6660" width="33.09765625" style="15" customWidth="1"/>
    <col min="6661" max="6661" width="93.296875" style="15" customWidth="1"/>
    <col min="6662" max="6913" width="28.296875" style="15"/>
    <col min="6914" max="6914" width="5.3984375" style="15" customWidth="1"/>
    <col min="6915" max="6915" width="9.09765625" style="15" bestFit="1" customWidth="1"/>
    <col min="6916" max="6916" width="33.09765625" style="15" customWidth="1"/>
    <col min="6917" max="6917" width="93.296875" style="15" customWidth="1"/>
    <col min="6918" max="7169" width="28.296875" style="15"/>
    <col min="7170" max="7170" width="5.3984375" style="15" customWidth="1"/>
    <col min="7171" max="7171" width="9.09765625" style="15" bestFit="1" customWidth="1"/>
    <col min="7172" max="7172" width="33.09765625" style="15" customWidth="1"/>
    <col min="7173" max="7173" width="93.296875" style="15" customWidth="1"/>
    <col min="7174" max="7425" width="28.296875" style="15"/>
    <col min="7426" max="7426" width="5.3984375" style="15" customWidth="1"/>
    <col min="7427" max="7427" width="9.09765625" style="15" bestFit="1" customWidth="1"/>
    <col min="7428" max="7428" width="33.09765625" style="15" customWidth="1"/>
    <col min="7429" max="7429" width="93.296875" style="15" customWidth="1"/>
    <col min="7430" max="7681" width="28.296875" style="15"/>
    <col min="7682" max="7682" width="5.3984375" style="15" customWidth="1"/>
    <col min="7683" max="7683" width="9.09765625" style="15" bestFit="1" customWidth="1"/>
    <col min="7684" max="7684" width="33.09765625" style="15" customWidth="1"/>
    <col min="7685" max="7685" width="93.296875" style="15" customWidth="1"/>
    <col min="7686" max="7937" width="28.296875" style="15"/>
    <col min="7938" max="7938" width="5.3984375" style="15" customWidth="1"/>
    <col min="7939" max="7939" width="9.09765625" style="15" bestFit="1" customWidth="1"/>
    <col min="7940" max="7940" width="33.09765625" style="15" customWidth="1"/>
    <col min="7941" max="7941" width="93.296875" style="15" customWidth="1"/>
    <col min="7942" max="8193" width="28.296875" style="15"/>
    <col min="8194" max="8194" width="5.3984375" style="15" customWidth="1"/>
    <col min="8195" max="8195" width="9.09765625" style="15" bestFit="1" customWidth="1"/>
    <col min="8196" max="8196" width="33.09765625" style="15" customWidth="1"/>
    <col min="8197" max="8197" width="93.296875" style="15" customWidth="1"/>
    <col min="8198" max="8449" width="28.296875" style="15"/>
    <col min="8450" max="8450" width="5.3984375" style="15" customWidth="1"/>
    <col min="8451" max="8451" width="9.09765625" style="15" bestFit="1" customWidth="1"/>
    <col min="8452" max="8452" width="33.09765625" style="15" customWidth="1"/>
    <col min="8453" max="8453" width="93.296875" style="15" customWidth="1"/>
    <col min="8454" max="8705" width="28.296875" style="15"/>
    <col min="8706" max="8706" width="5.3984375" style="15" customWidth="1"/>
    <col min="8707" max="8707" width="9.09765625" style="15" bestFit="1" customWidth="1"/>
    <col min="8708" max="8708" width="33.09765625" style="15" customWidth="1"/>
    <col min="8709" max="8709" width="93.296875" style="15" customWidth="1"/>
    <col min="8710" max="8961" width="28.296875" style="15"/>
    <col min="8962" max="8962" width="5.3984375" style="15" customWidth="1"/>
    <col min="8963" max="8963" width="9.09765625" style="15" bestFit="1" customWidth="1"/>
    <col min="8964" max="8964" width="33.09765625" style="15" customWidth="1"/>
    <col min="8965" max="8965" width="93.296875" style="15" customWidth="1"/>
    <col min="8966" max="9217" width="28.296875" style="15"/>
    <col min="9218" max="9218" width="5.3984375" style="15" customWidth="1"/>
    <col min="9219" max="9219" width="9.09765625" style="15" bestFit="1" customWidth="1"/>
    <col min="9220" max="9220" width="33.09765625" style="15" customWidth="1"/>
    <col min="9221" max="9221" width="93.296875" style="15" customWidth="1"/>
    <col min="9222" max="9473" width="28.296875" style="15"/>
    <col min="9474" max="9474" width="5.3984375" style="15" customWidth="1"/>
    <col min="9475" max="9475" width="9.09765625" style="15" bestFit="1" customWidth="1"/>
    <col min="9476" max="9476" width="33.09765625" style="15" customWidth="1"/>
    <col min="9477" max="9477" width="93.296875" style="15" customWidth="1"/>
    <col min="9478" max="9729" width="28.296875" style="15"/>
    <col min="9730" max="9730" width="5.3984375" style="15" customWidth="1"/>
    <col min="9731" max="9731" width="9.09765625" style="15" bestFit="1" customWidth="1"/>
    <col min="9732" max="9732" width="33.09765625" style="15" customWidth="1"/>
    <col min="9733" max="9733" width="93.296875" style="15" customWidth="1"/>
    <col min="9734" max="9985" width="28.296875" style="15"/>
    <col min="9986" max="9986" width="5.3984375" style="15" customWidth="1"/>
    <col min="9987" max="9987" width="9.09765625" style="15" bestFit="1" customWidth="1"/>
    <col min="9988" max="9988" width="33.09765625" style="15" customWidth="1"/>
    <col min="9989" max="9989" width="93.296875" style="15" customWidth="1"/>
    <col min="9990" max="10241" width="28.296875" style="15"/>
    <col min="10242" max="10242" width="5.3984375" style="15" customWidth="1"/>
    <col min="10243" max="10243" width="9.09765625" style="15" bestFit="1" customWidth="1"/>
    <col min="10244" max="10244" width="33.09765625" style="15" customWidth="1"/>
    <col min="10245" max="10245" width="93.296875" style="15" customWidth="1"/>
    <col min="10246" max="10497" width="28.296875" style="15"/>
    <col min="10498" max="10498" width="5.3984375" style="15" customWidth="1"/>
    <col min="10499" max="10499" width="9.09765625" style="15" bestFit="1" customWidth="1"/>
    <col min="10500" max="10500" width="33.09765625" style="15" customWidth="1"/>
    <col min="10501" max="10501" width="93.296875" style="15" customWidth="1"/>
    <col min="10502" max="10753" width="28.296875" style="15"/>
    <col min="10754" max="10754" width="5.3984375" style="15" customWidth="1"/>
    <col min="10755" max="10755" width="9.09765625" style="15" bestFit="1" customWidth="1"/>
    <col min="10756" max="10756" width="33.09765625" style="15" customWidth="1"/>
    <col min="10757" max="10757" width="93.296875" style="15" customWidth="1"/>
    <col min="10758" max="11009" width="28.296875" style="15"/>
    <col min="11010" max="11010" width="5.3984375" style="15" customWidth="1"/>
    <col min="11011" max="11011" width="9.09765625" style="15" bestFit="1" customWidth="1"/>
    <col min="11012" max="11012" width="33.09765625" style="15" customWidth="1"/>
    <col min="11013" max="11013" width="93.296875" style="15" customWidth="1"/>
    <col min="11014" max="11265" width="28.296875" style="15"/>
    <col min="11266" max="11266" width="5.3984375" style="15" customWidth="1"/>
    <col min="11267" max="11267" width="9.09765625" style="15" bestFit="1" customWidth="1"/>
    <col min="11268" max="11268" width="33.09765625" style="15" customWidth="1"/>
    <col min="11269" max="11269" width="93.296875" style="15" customWidth="1"/>
    <col min="11270" max="11521" width="28.296875" style="15"/>
    <col min="11522" max="11522" width="5.3984375" style="15" customWidth="1"/>
    <col min="11523" max="11523" width="9.09765625" style="15" bestFit="1" customWidth="1"/>
    <col min="11524" max="11524" width="33.09765625" style="15" customWidth="1"/>
    <col min="11525" max="11525" width="93.296875" style="15" customWidth="1"/>
    <col min="11526" max="11777" width="28.296875" style="15"/>
    <col min="11778" max="11778" width="5.3984375" style="15" customWidth="1"/>
    <col min="11779" max="11779" width="9.09765625" style="15" bestFit="1" customWidth="1"/>
    <col min="11780" max="11780" width="33.09765625" style="15" customWidth="1"/>
    <col min="11781" max="11781" width="93.296875" style="15" customWidth="1"/>
    <col min="11782" max="12033" width="28.296875" style="15"/>
    <col min="12034" max="12034" width="5.3984375" style="15" customWidth="1"/>
    <col min="12035" max="12035" width="9.09765625" style="15" bestFit="1" customWidth="1"/>
    <col min="12036" max="12036" width="33.09765625" style="15" customWidth="1"/>
    <col min="12037" max="12037" width="93.296875" style="15" customWidth="1"/>
    <col min="12038" max="12289" width="28.296875" style="15"/>
    <col min="12290" max="12290" width="5.3984375" style="15" customWidth="1"/>
    <col min="12291" max="12291" width="9.09765625" style="15" bestFit="1" customWidth="1"/>
    <col min="12292" max="12292" width="33.09765625" style="15" customWidth="1"/>
    <col min="12293" max="12293" width="93.296875" style="15" customWidth="1"/>
    <col min="12294" max="12545" width="28.296875" style="15"/>
    <col min="12546" max="12546" width="5.3984375" style="15" customWidth="1"/>
    <col min="12547" max="12547" width="9.09765625" style="15" bestFit="1" customWidth="1"/>
    <col min="12548" max="12548" width="33.09765625" style="15" customWidth="1"/>
    <col min="12549" max="12549" width="93.296875" style="15" customWidth="1"/>
    <col min="12550" max="12801" width="28.296875" style="15"/>
    <col min="12802" max="12802" width="5.3984375" style="15" customWidth="1"/>
    <col min="12803" max="12803" width="9.09765625" style="15" bestFit="1" customWidth="1"/>
    <col min="12804" max="12804" width="33.09765625" style="15" customWidth="1"/>
    <col min="12805" max="12805" width="93.296875" style="15" customWidth="1"/>
    <col min="12806" max="13057" width="28.296875" style="15"/>
    <col min="13058" max="13058" width="5.3984375" style="15" customWidth="1"/>
    <col min="13059" max="13059" width="9.09765625" style="15" bestFit="1" customWidth="1"/>
    <col min="13060" max="13060" width="33.09765625" style="15" customWidth="1"/>
    <col min="13061" max="13061" width="93.296875" style="15" customWidth="1"/>
    <col min="13062" max="13313" width="28.296875" style="15"/>
    <col min="13314" max="13314" width="5.3984375" style="15" customWidth="1"/>
    <col min="13315" max="13315" width="9.09765625" style="15" bestFit="1" customWidth="1"/>
    <col min="13316" max="13316" width="33.09765625" style="15" customWidth="1"/>
    <col min="13317" max="13317" width="93.296875" style="15" customWidth="1"/>
    <col min="13318" max="13569" width="28.296875" style="15"/>
    <col min="13570" max="13570" width="5.3984375" style="15" customWidth="1"/>
    <col min="13571" max="13571" width="9.09765625" style="15" bestFit="1" customWidth="1"/>
    <col min="13572" max="13572" width="33.09765625" style="15" customWidth="1"/>
    <col min="13573" max="13573" width="93.296875" style="15" customWidth="1"/>
    <col min="13574" max="13825" width="28.296875" style="15"/>
    <col min="13826" max="13826" width="5.3984375" style="15" customWidth="1"/>
    <col min="13827" max="13827" width="9.09765625" style="15" bestFit="1" customWidth="1"/>
    <col min="13828" max="13828" width="33.09765625" style="15" customWidth="1"/>
    <col min="13829" max="13829" width="93.296875" style="15" customWidth="1"/>
    <col min="13830" max="14081" width="28.296875" style="15"/>
    <col min="14082" max="14082" width="5.3984375" style="15" customWidth="1"/>
    <col min="14083" max="14083" width="9.09765625" style="15" bestFit="1" customWidth="1"/>
    <col min="14084" max="14084" width="33.09765625" style="15" customWidth="1"/>
    <col min="14085" max="14085" width="93.296875" style="15" customWidth="1"/>
    <col min="14086" max="14337" width="28.296875" style="15"/>
    <col min="14338" max="14338" width="5.3984375" style="15" customWidth="1"/>
    <col min="14339" max="14339" width="9.09765625" style="15" bestFit="1" customWidth="1"/>
    <col min="14340" max="14340" width="33.09765625" style="15" customWidth="1"/>
    <col min="14341" max="14341" width="93.296875" style="15" customWidth="1"/>
    <col min="14342" max="14593" width="28.296875" style="15"/>
    <col min="14594" max="14594" width="5.3984375" style="15" customWidth="1"/>
    <col min="14595" max="14595" width="9.09765625" style="15" bestFit="1" customWidth="1"/>
    <col min="14596" max="14596" width="33.09765625" style="15" customWidth="1"/>
    <col min="14597" max="14597" width="93.296875" style="15" customWidth="1"/>
    <col min="14598" max="14849" width="28.296875" style="15"/>
    <col min="14850" max="14850" width="5.3984375" style="15" customWidth="1"/>
    <col min="14851" max="14851" width="9.09765625" style="15" bestFit="1" customWidth="1"/>
    <col min="14852" max="14852" width="33.09765625" style="15" customWidth="1"/>
    <col min="14853" max="14853" width="93.296875" style="15" customWidth="1"/>
    <col min="14854" max="15105" width="28.296875" style="15"/>
    <col min="15106" max="15106" width="5.3984375" style="15" customWidth="1"/>
    <col min="15107" max="15107" width="9.09765625" style="15" bestFit="1" customWidth="1"/>
    <col min="15108" max="15108" width="33.09765625" style="15" customWidth="1"/>
    <col min="15109" max="15109" width="93.296875" style="15" customWidth="1"/>
    <col min="15110" max="15361" width="28.296875" style="15"/>
    <col min="15362" max="15362" width="5.3984375" style="15" customWidth="1"/>
    <col min="15363" max="15363" width="9.09765625" style="15" bestFit="1" customWidth="1"/>
    <col min="15364" max="15364" width="33.09765625" style="15" customWidth="1"/>
    <col min="15365" max="15365" width="93.296875" style="15" customWidth="1"/>
    <col min="15366" max="15617" width="28.296875" style="15"/>
    <col min="15618" max="15618" width="5.3984375" style="15" customWidth="1"/>
    <col min="15619" max="15619" width="9.09765625" style="15" bestFit="1" customWidth="1"/>
    <col min="15620" max="15620" width="33.09765625" style="15" customWidth="1"/>
    <col min="15621" max="15621" width="93.296875" style="15" customWidth="1"/>
    <col min="15622" max="15873" width="28.296875" style="15"/>
    <col min="15874" max="15874" width="5.3984375" style="15" customWidth="1"/>
    <col min="15875" max="15875" width="9.09765625" style="15" bestFit="1" customWidth="1"/>
    <col min="15876" max="15876" width="33.09765625" style="15" customWidth="1"/>
    <col min="15877" max="15877" width="93.296875" style="15" customWidth="1"/>
    <col min="15878" max="16129" width="28.296875" style="15"/>
    <col min="16130" max="16130" width="5.3984375" style="15" customWidth="1"/>
    <col min="16131" max="16131" width="9.09765625" style="15" bestFit="1" customWidth="1"/>
    <col min="16132" max="16132" width="33.09765625" style="15" customWidth="1"/>
    <col min="16133" max="16133" width="93.296875" style="15" customWidth="1"/>
    <col min="16134" max="16384" width="28.296875" style="15"/>
  </cols>
  <sheetData>
    <row r="1" spans="2:5" ht="14.4" thickBot="1"/>
    <row r="2" spans="2:5" ht="27.75" customHeight="1">
      <c r="B2" s="140" t="s">
        <v>208</v>
      </c>
      <c r="C2" s="141"/>
      <c r="D2" s="141"/>
      <c r="E2" s="142"/>
    </row>
    <row r="3" spans="2:5">
      <c r="B3" s="16"/>
      <c r="C3" s="17"/>
      <c r="D3" s="17"/>
      <c r="E3" s="18"/>
    </row>
    <row r="4" spans="2:5" hidden="1">
      <c r="B4" s="19" t="s">
        <v>49</v>
      </c>
      <c r="C4" s="20" t="s">
        <v>50</v>
      </c>
      <c r="D4" s="20"/>
      <c r="E4" s="21"/>
    </row>
    <row r="5" spans="2:5" hidden="1">
      <c r="B5" s="19"/>
      <c r="C5" s="143" t="s">
        <v>233</v>
      </c>
      <c r="D5" s="143"/>
      <c r="E5" s="21"/>
    </row>
    <row r="6" spans="2:5" hidden="1">
      <c r="B6" s="19"/>
      <c r="C6" s="20"/>
      <c r="D6" s="20"/>
      <c r="E6" s="21"/>
    </row>
    <row r="7" spans="2:5" hidden="1">
      <c r="B7" s="19"/>
      <c r="C7" s="22"/>
      <c r="D7" s="22"/>
      <c r="E7" s="23"/>
    </row>
    <row r="8" spans="2:5" ht="14.4" hidden="1" thickBot="1">
      <c r="B8" s="24"/>
      <c r="C8" s="25"/>
      <c r="D8" s="25"/>
      <c r="E8" s="26"/>
    </row>
    <row r="9" spans="2:5" ht="16.2">
      <c r="B9" s="27" t="s">
        <v>51</v>
      </c>
      <c r="C9" s="28"/>
      <c r="D9" s="28"/>
      <c r="E9" s="29"/>
    </row>
    <row r="10" spans="2:5">
      <c r="B10" s="30" t="s">
        <v>52</v>
      </c>
      <c r="C10" s="31" t="s">
        <v>53</v>
      </c>
      <c r="D10" s="49" t="s">
        <v>90</v>
      </c>
      <c r="E10" s="32" t="s">
        <v>54</v>
      </c>
    </row>
    <row r="11" spans="2:5" hidden="1">
      <c r="B11" s="33">
        <v>0.8</v>
      </c>
      <c r="C11" s="34">
        <v>39378</v>
      </c>
      <c r="D11" s="50"/>
      <c r="E11" s="35" t="s">
        <v>55</v>
      </c>
    </row>
    <row r="12" spans="2:5" ht="25.2" hidden="1">
      <c r="B12" s="33">
        <v>0.81</v>
      </c>
      <c r="C12" s="34">
        <v>39381</v>
      </c>
      <c r="D12" s="50"/>
      <c r="E12" s="36" t="s">
        <v>56</v>
      </c>
    </row>
    <row r="13" spans="2:5" ht="25.8" hidden="1">
      <c r="B13" s="37">
        <v>0.82</v>
      </c>
      <c r="C13" s="38">
        <v>39409</v>
      </c>
      <c r="D13" s="51"/>
      <c r="E13" s="39" t="s">
        <v>57</v>
      </c>
    </row>
    <row r="14" spans="2:5" ht="37.799999999999997" hidden="1">
      <c r="B14" s="37"/>
      <c r="C14" s="38"/>
      <c r="D14" s="51"/>
      <c r="E14" s="40" t="s">
        <v>58</v>
      </c>
    </row>
    <row r="15" spans="2:5" ht="25.2" hidden="1">
      <c r="B15" s="37"/>
      <c r="C15" s="38"/>
      <c r="D15" s="51"/>
      <c r="E15" s="40" t="s">
        <v>59</v>
      </c>
    </row>
    <row r="16" spans="2:5" ht="25.2" hidden="1">
      <c r="B16" s="37"/>
      <c r="C16" s="38"/>
      <c r="D16" s="51"/>
      <c r="E16" s="40" t="s">
        <v>60</v>
      </c>
    </row>
    <row r="17" spans="2:5" hidden="1">
      <c r="B17" s="37"/>
      <c r="C17" s="38"/>
      <c r="D17" s="51"/>
      <c r="E17" s="40" t="s">
        <v>61</v>
      </c>
    </row>
    <row r="18" spans="2:5" hidden="1">
      <c r="B18" s="37"/>
      <c r="C18" s="38"/>
      <c r="D18" s="51"/>
      <c r="E18" s="40" t="s">
        <v>62</v>
      </c>
    </row>
    <row r="19" spans="2:5" hidden="1">
      <c r="B19" s="37">
        <v>0.83</v>
      </c>
      <c r="C19" s="38">
        <v>39423</v>
      </c>
      <c r="D19" s="51"/>
      <c r="E19" s="40" t="s">
        <v>63</v>
      </c>
    </row>
    <row r="20" spans="2:5" hidden="1">
      <c r="B20" s="37"/>
      <c r="C20" s="38"/>
      <c r="D20" s="51"/>
      <c r="E20" s="40" t="s">
        <v>64</v>
      </c>
    </row>
    <row r="21" spans="2:5" hidden="1">
      <c r="B21" s="37"/>
      <c r="C21" s="38"/>
      <c r="D21" s="51"/>
      <c r="E21" s="40"/>
    </row>
    <row r="22" spans="2:5" hidden="1">
      <c r="B22" s="37">
        <v>0.84</v>
      </c>
      <c r="C22" s="38"/>
      <c r="D22" s="51"/>
      <c r="E22" s="40" t="s">
        <v>65</v>
      </c>
    </row>
    <row r="23" spans="2:5" hidden="1">
      <c r="B23" s="37"/>
      <c r="C23" s="38"/>
      <c r="D23" s="51"/>
      <c r="E23" s="40"/>
    </row>
    <row r="24" spans="2:5" hidden="1">
      <c r="B24" s="37">
        <v>0.85</v>
      </c>
      <c r="C24" s="38">
        <v>39507</v>
      </c>
      <c r="D24" s="51"/>
      <c r="E24" s="40" t="s">
        <v>66</v>
      </c>
    </row>
    <row r="25" spans="2:5" hidden="1">
      <c r="B25" s="37">
        <v>0.85499999999999998</v>
      </c>
      <c r="C25" s="38">
        <v>39522</v>
      </c>
      <c r="D25" s="51"/>
      <c r="E25" s="40" t="s">
        <v>67</v>
      </c>
    </row>
    <row r="26" spans="2:5" hidden="1">
      <c r="B26" s="37"/>
      <c r="C26" s="38"/>
      <c r="D26" s="51"/>
      <c r="E26" s="40" t="s">
        <v>68</v>
      </c>
    </row>
    <row r="27" spans="2:5" ht="25.2" hidden="1">
      <c r="B27" s="37">
        <v>0.87</v>
      </c>
      <c r="C27" s="38">
        <v>39643</v>
      </c>
      <c r="D27" s="51"/>
      <c r="E27" s="40" t="s">
        <v>69</v>
      </c>
    </row>
    <row r="28" spans="2:5" hidden="1">
      <c r="B28" s="37"/>
      <c r="C28" s="38"/>
      <c r="D28" s="51"/>
      <c r="E28" s="40"/>
    </row>
    <row r="29" spans="2:5" hidden="1">
      <c r="B29" s="37">
        <v>0.88</v>
      </c>
      <c r="C29" s="38">
        <v>39722</v>
      </c>
      <c r="D29" s="51"/>
      <c r="E29" s="40" t="s">
        <v>70</v>
      </c>
    </row>
    <row r="30" spans="2:5" hidden="1">
      <c r="B30" s="37"/>
      <c r="C30" s="38"/>
      <c r="D30" s="51"/>
      <c r="E30" s="40"/>
    </row>
    <row r="31" spans="2:5" hidden="1">
      <c r="B31" s="37">
        <v>0.89</v>
      </c>
      <c r="C31" s="38">
        <v>39797</v>
      </c>
      <c r="D31" s="51"/>
      <c r="E31" s="40" t="s">
        <v>71</v>
      </c>
    </row>
    <row r="32" spans="2:5" hidden="1">
      <c r="B32" s="41"/>
      <c r="C32" s="42"/>
      <c r="D32" s="52"/>
      <c r="E32" s="39" t="s">
        <v>72</v>
      </c>
    </row>
    <row r="33" spans="2:5" ht="25.8" hidden="1">
      <c r="B33" s="41"/>
      <c r="C33" s="42"/>
      <c r="D33" s="52"/>
      <c r="E33" s="39" t="s">
        <v>73</v>
      </c>
    </row>
    <row r="34" spans="2:5" hidden="1">
      <c r="B34" s="41"/>
      <c r="C34" s="42"/>
      <c r="D34" s="52"/>
      <c r="E34" s="39" t="s">
        <v>74</v>
      </c>
    </row>
    <row r="35" spans="2:5" hidden="1">
      <c r="B35" s="43"/>
      <c r="C35" s="44"/>
      <c r="D35" s="53"/>
      <c r="E35" s="45"/>
    </row>
    <row r="36" spans="2:5" ht="25.2" hidden="1">
      <c r="B36" s="37">
        <v>0.9</v>
      </c>
      <c r="C36" s="38">
        <v>39818</v>
      </c>
      <c r="D36" s="51"/>
      <c r="E36" s="40" t="s">
        <v>75</v>
      </c>
    </row>
    <row r="37" spans="2:5" hidden="1">
      <c r="B37" s="41"/>
      <c r="C37" s="42"/>
      <c r="D37" s="52"/>
      <c r="E37" s="39" t="s">
        <v>76</v>
      </c>
    </row>
    <row r="38" spans="2:5" hidden="1">
      <c r="B38" s="46"/>
      <c r="C38" s="47"/>
      <c r="D38" s="54"/>
      <c r="E38" s="39" t="s">
        <v>77</v>
      </c>
    </row>
    <row r="39" spans="2:5" hidden="1">
      <c r="B39" s="46"/>
      <c r="C39" s="47"/>
      <c r="D39" s="54"/>
      <c r="E39" s="39" t="s">
        <v>78</v>
      </c>
    </row>
    <row r="40" spans="2:5" hidden="1">
      <c r="B40" s="46"/>
      <c r="C40" s="47"/>
      <c r="D40" s="54"/>
      <c r="E40" s="39" t="s">
        <v>79</v>
      </c>
    </row>
    <row r="41" spans="2:5" hidden="1">
      <c r="B41" s="46">
        <v>1</v>
      </c>
      <c r="C41" s="38">
        <v>42430</v>
      </c>
      <c r="D41" s="51" t="s">
        <v>50</v>
      </c>
      <c r="E41" s="39" t="s">
        <v>80</v>
      </c>
    </row>
    <row r="42" spans="2:5" hidden="1">
      <c r="B42" s="46">
        <v>1.01</v>
      </c>
      <c r="C42" s="38">
        <v>42508</v>
      </c>
      <c r="D42" s="51" t="s">
        <v>50</v>
      </c>
      <c r="E42" s="39" t="s">
        <v>81</v>
      </c>
    </row>
    <row r="43" spans="2:5" hidden="1">
      <c r="B43" s="46">
        <v>1.02</v>
      </c>
      <c r="C43" s="38">
        <v>42510</v>
      </c>
      <c r="D43" s="51" t="s">
        <v>50</v>
      </c>
      <c r="E43" s="39" t="s">
        <v>82</v>
      </c>
    </row>
    <row r="44" spans="2:5" ht="25.8" hidden="1">
      <c r="B44" s="46">
        <v>1.02</v>
      </c>
      <c r="C44" s="38">
        <v>42516</v>
      </c>
      <c r="D44" s="51" t="s">
        <v>50</v>
      </c>
      <c r="E44" s="39" t="s">
        <v>83</v>
      </c>
    </row>
    <row r="45" spans="2:5" ht="25.8" hidden="1">
      <c r="B45" s="46">
        <v>1.03</v>
      </c>
      <c r="C45" s="38">
        <v>42537</v>
      </c>
      <c r="D45" s="51" t="s">
        <v>50</v>
      </c>
      <c r="E45" s="39" t="s">
        <v>89</v>
      </c>
    </row>
    <row r="46" spans="2:5" ht="51" hidden="1">
      <c r="B46" s="46">
        <v>1.04</v>
      </c>
      <c r="C46" s="38">
        <v>42562</v>
      </c>
      <c r="D46" s="51" t="s">
        <v>50</v>
      </c>
      <c r="E46" s="39" t="s">
        <v>109</v>
      </c>
    </row>
    <row r="47" spans="2:5" hidden="1">
      <c r="B47" s="46">
        <v>1.05</v>
      </c>
      <c r="C47" s="38">
        <v>42565</v>
      </c>
      <c r="D47" s="51" t="s">
        <v>50</v>
      </c>
      <c r="E47" s="39" t="s">
        <v>206</v>
      </c>
    </row>
    <row r="48" spans="2:5" ht="25.8" hidden="1">
      <c r="B48" s="46">
        <v>1.06</v>
      </c>
      <c r="C48" s="38">
        <v>42568</v>
      </c>
      <c r="D48" s="51" t="s">
        <v>50</v>
      </c>
      <c r="E48" s="39" t="s">
        <v>237</v>
      </c>
    </row>
    <row r="49" spans="2:5" hidden="1">
      <c r="B49" s="46">
        <v>1.07</v>
      </c>
      <c r="C49" s="38">
        <v>42936</v>
      </c>
      <c r="D49" s="51" t="s">
        <v>256</v>
      </c>
      <c r="E49" s="39" t="s">
        <v>255</v>
      </c>
    </row>
    <row r="50" spans="2:5">
      <c r="B50" s="46">
        <v>1.1000000000000001</v>
      </c>
      <c r="C50" s="38">
        <v>43091</v>
      </c>
      <c r="D50" s="51" t="s">
        <v>257</v>
      </c>
      <c r="E50" s="39" t="s">
        <v>258</v>
      </c>
    </row>
    <row r="51" spans="2:5">
      <c r="B51" s="46">
        <v>1.1100000000000001</v>
      </c>
      <c r="C51" s="38">
        <v>42751</v>
      </c>
      <c r="D51" s="51" t="s">
        <v>257</v>
      </c>
      <c r="E51" s="39" t="s">
        <v>264</v>
      </c>
    </row>
    <row r="52" spans="2:5" ht="16.2">
      <c r="B52" s="138" t="s">
        <v>259</v>
      </c>
      <c r="C52" s="138"/>
      <c r="D52" s="138"/>
      <c r="E52" s="138"/>
    </row>
    <row r="53" spans="2:5" ht="16.2">
      <c r="B53" s="139" t="s">
        <v>84</v>
      </c>
      <c r="C53" s="139"/>
      <c r="D53" s="139"/>
      <c r="E53" s="139"/>
    </row>
    <row r="55" spans="2:5" ht="27.6" hidden="1">
      <c r="C55" s="48" t="s">
        <v>85</v>
      </c>
      <c r="D55" s="48"/>
      <c r="E55" s="48" t="s">
        <v>86</v>
      </c>
    </row>
    <row r="56" spans="2:5" ht="27.6" hidden="1">
      <c r="C56" s="48" t="s">
        <v>87</v>
      </c>
      <c r="D56" s="48"/>
      <c r="E56" s="48" t="s">
        <v>88</v>
      </c>
    </row>
  </sheetData>
  <mergeCells count="4">
    <mergeCell ref="B52:E52"/>
    <mergeCell ref="B53:E53"/>
    <mergeCell ref="B2:E2"/>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29"/>
  <sheetViews>
    <sheetView workbookViewId="0"/>
  </sheetViews>
  <sheetFormatPr defaultColWidth="9.09765625" defaultRowHeight="13.8"/>
  <cols>
    <col min="1" max="16384" width="9.09765625" style="90"/>
  </cols>
  <sheetData>
    <row r="2" spans="1:2">
      <c r="A2" s="90" t="s">
        <v>207</v>
      </c>
    </row>
    <row r="3" spans="1:2">
      <c r="A3" s="90" t="s">
        <v>209</v>
      </c>
    </row>
    <row r="4" spans="1:2">
      <c r="A4" s="91" t="s">
        <v>213</v>
      </c>
    </row>
    <row r="5" spans="1:2">
      <c r="B5" s="90" t="s">
        <v>210</v>
      </c>
    </row>
    <row r="6" spans="1:2">
      <c r="B6" s="90" t="s">
        <v>220</v>
      </c>
    </row>
    <row r="7" spans="1:2">
      <c r="B7" s="90" t="s">
        <v>212</v>
      </c>
    </row>
    <row r="8" spans="1:2">
      <c r="B8" s="90" t="s">
        <v>211</v>
      </c>
    </row>
    <row r="9" spans="1:2">
      <c r="A9" s="91" t="s">
        <v>214</v>
      </c>
    </row>
    <row r="10" spans="1:2">
      <c r="B10" s="90" t="s">
        <v>215</v>
      </c>
    </row>
    <row r="11" spans="1:2">
      <c r="B11" s="90" t="s">
        <v>216</v>
      </c>
    </row>
    <row r="12" spans="1:2">
      <c r="B12" s="90" t="s">
        <v>226</v>
      </c>
    </row>
    <row r="13" spans="1:2">
      <c r="A13" s="91" t="s">
        <v>217</v>
      </c>
    </row>
    <row r="14" spans="1:2">
      <c r="A14" s="90">
        <v>1</v>
      </c>
      <c r="B14" s="90" t="s">
        <v>219</v>
      </c>
    </row>
    <row r="15" spans="1:2">
      <c r="A15" s="90">
        <v>2</v>
      </c>
      <c r="B15" s="90" t="s">
        <v>218</v>
      </c>
    </row>
    <row r="17" spans="1:2">
      <c r="A17" s="90" t="s">
        <v>227</v>
      </c>
    </row>
    <row r="18" spans="1:2">
      <c r="A18" s="91" t="s">
        <v>221</v>
      </c>
    </row>
    <row r="19" spans="1:2">
      <c r="A19" s="90">
        <v>1</v>
      </c>
      <c r="B19" s="90" t="s">
        <v>230</v>
      </c>
    </row>
    <row r="20" spans="1:2">
      <c r="A20" s="90">
        <v>2</v>
      </c>
      <c r="B20" s="90" t="s">
        <v>222</v>
      </c>
    </row>
    <row r="21" spans="1:2">
      <c r="A21" s="90">
        <v>3</v>
      </c>
      <c r="B21" s="90" t="s">
        <v>223</v>
      </c>
    </row>
    <row r="22" spans="1:2">
      <c r="A22" s="90">
        <v>4</v>
      </c>
      <c r="B22" s="90" t="s">
        <v>229</v>
      </c>
    </row>
    <row r="25" spans="1:2">
      <c r="A25" s="91" t="s">
        <v>231</v>
      </c>
    </row>
    <row r="26" spans="1:2">
      <c r="A26" s="90">
        <v>1</v>
      </c>
      <c r="B26" s="90" t="s">
        <v>232</v>
      </c>
    </row>
    <row r="28" spans="1:2">
      <c r="A28" s="91" t="s">
        <v>234</v>
      </c>
    </row>
    <row r="29" spans="1:2">
      <c r="A29" s="90">
        <v>1</v>
      </c>
      <c r="B29" s="90" t="s">
        <v>235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O1:P17"/>
  <sheetViews>
    <sheetView topLeftCell="L1" zoomScaleNormal="100" workbookViewId="0">
      <selection activeCell="P17" sqref="P17"/>
    </sheetView>
  </sheetViews>
  <sheetFormatPr defaultRowHeight="13.8"/>
  <cols>
    <col min="15" max="15" width="32.796875" customWidth="1"/>
    <col min="16" max="16" width="118.8984375" customWidth="1"/>
  </cols>
  <sheetData>
    <row r="1" spans="15:16">
      <c r="O1" s="58" t="s">
        <v>0</v>
      </c>
      <c r="P1" s="58" t="s">
        <v>1</v>
      </c>
    </row>
    <row r="2" spans="15:16">
      <c r="O2" s="59" t="s">
        <v>27</v>
      </c>
      <c r="P2" s="59" t="s">
        <v>168</v>
      </c>
    </row>
    <row r="3" spans="15:16" ht="26.4">
      <c r="O3" s="59" t="s">
        <v>17</v>
      </c>
      <c r="P3" s="59" t="s">
        <v>94</v>
      </c>
    </row>
    <row r="4" spans="15:16">
      <c r="O4" s="59" t="s">
        <v>96</v>
      </c>
      <c r="P4" s="59" t="s">
        <v>97</v>
      </c>
    </row>
    <row r="5" spans="15:16">
      <c r="O5" s="59" t="s">
        <v>243</v>
      </c>
      <c r="P5" s="59" t="s">
        <v>5</v>
      </c>
    </row>
    <row r="6" spans="15:16" ht="26.4">
      <c r="O6" s="59" t="s">
        <v>244</v>
      </c>
      <c r="P6" s="59" t="s">
        <v>5</v>
      </c>
    </row>
    <row r="7" spans="15:16">
      <c r="O7" s="59" t="s">
        <v>18</v>
      </c>
      <c r="P7" s="59" t="s">
        <v>100</v>
      </c>
    </row>
    <row r="8" spans="15:16" ht="26.4">
      <c r="O8" s="59" t="s">
        <v>19</v>
      </c>
      <c r="P8" s="59" t="s">
        <v>102</v>
      </c>
    </row>
    <row r="9" spans="15:16">
      <c r="O9" s="59" t="s">
        <v>115</v>
      </c>
      <c r="P9" s="59" t="s">
        <v>249</v>
      </c>
    </row>
    <row r="10" spans="15:16">
      <c r="O10" s="59" t="s">
        <v>20</v>
      </c>
      <c r="P10" s="59" t="s">
        <v>113</v>
      </c>
    </row>
    <row r="11" spans="15:16">
      <c r="O11" s="59" t="s">
        <v>116</v>
      </c>
      <c r="P11" s="59" t="s">
        <v>117</v>
      </c>
    </row>
    <row r="12" spans="15:16">
      <c r="O12" s="59" t="s">
        <v>120</v>
      </c>
      <c r="P12" s="59"/>
    </row>
    <row r="13" spans="15:16">
      <c r="O13" s="59" t="s">
        <v>121</v>
      </c>
      <c r="P13" s="59"/>
    </row>
    <row r="14" spans="15:16" ht="26.4">
      <c r="O14" s="59" t="s">
        <v>127</v>
      </c>
      <c r="P14" s="59" t="s">
        <v>128</v>
      </c>
    </row>
    <row r="15" spans="15:16">
      <c r="O15" s="59" t="s">
        <v>129</v>
      </c>
      <c r="P15" s="59" t="s">
        <v>130</v>
      </c>
    </row>
    <row r="16" spans="15:16">
      <c r="O16" s="59" t="s">
        <v>134</v>
      </c>
      <c r="P16" s="59" t="s">
        <v>135</v>
      </c>
    </row>
    <row r="17" spans="15:16">
      <c r="O17" s="59" t="s">
        <v>28</v>
      </c>
      <c r="P17" s="5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36"/>
  <sheetViews>
    <sheetView tabSelected="1" zoomScale="80" zoomScaleNormal="80" workbookViewId="0"/>
  </sheetViews>
  <sheetFormatPr defaultColWidth="9.09765625" defaultRowHeight="10.199999999999999"/>
  <cols>
    <col min="1" max="1" width="1.59765625" style="2" customWidth="1"/>
    <col min="2" max="2" width="34.59765625" style="2" bestFit="1" customWidth="1"/>
    <col min="3" max="3" width="10.8984375" style="2" customWidth="1"/>
    <col min="4" max="4" width="6.69921875" style="2" customWidth="1"/>
    <col min="5" max="5" width="10.296875" style="2" bestFit="1" customWidth="1"/>
    <col min="6" max="6" width="12.8984375" style="2" customWidth="1"/>
    <col min="7" max="7" width="6.3984375" style="2" customWidth="1"/>
    <col min="8" max="8" width="12" style="2" customWidth="1"/>
    <col min="9" max="9" width="12.8984375" style="2" customWidth="1"/>
    <col min="10" max="10" width="6.3984375" style="2" customWidth="1"/>
    <col min="11" max="11" width="14.59765625" style="2" customWidth="1"/>
    <col min="12" max="12" width="15.69921875" style="2" customWidth="1"/>
    <col min="13" max="13" width="6.3984375" style="2" customWidth="1"/>
    <col min="14" max="14" width="13.09765625" style="2" customWidth="1"/>
    <col min="15" max="15" width="14.3984375" style="2" customWidth="1"/>
    <col min="16" max="16" width="6.3984375" style="2" customWidth="1"/>
    <col min="17" max="17" width="12" style="2" customWidth="1"/>
    <col min="18" max="18" width="14.09765625" style="2" customWidth="1"/>
    <col min="19" max="19" width="8.69921875" style="2" customWidth="1"/>
    <col min="20" max="20" width="6" style="2" hidden="1" customWidth="1"/>
    <col min="21" max="21" width="15.69921875" style="2" hidden="1" customWidth="1"/>
    <col min="22" max="22" width="8.3984375" style="2" hidden="1" customWidth="1"/>
    <col min="23" max="23" width="7.8984375" style="2" hidden="1" customWidth="1"/>
    <col min="24" max="24" width="8.296875" style="2" hidden="1" customWidth="1"/>
    <col min="25" max="25" width="7.3984375" style="2" hidden="1" customWidth="1"/>
    <col min="26" max="26" width="7" style="2" hidden="1" customWidth="1"/>
    <col min="27" max="27" width="10.8984375" style="2" hidden="1" customWidth="1"/>
    <col min="28" max="28" width="8" style="2" hidden="1" customWidth="1"/>
    <col min="29" max="29" width="13.09765625" style="2" hidden="1" customWidth="1"/>
    <col min="30" max="30" width="11.296875" style="2" hidden="1" customWidth="1"/>
    <col min="31" max="31" width="7" style="2" hidden="1" customWidth="1"/>
    <col min="32" max="32" width="10.59765625" style="2" hidden="1" customWidth="1"/>
    <col min="33" max="33" width="11.59765625" style="2" hidden="1" customWidth="1"/>
    <col min="34" max="34" width="10.59765625" style="2" hidden="1" customWidth="1"/>
    <col min="35" max="35" width="10" style="2" hidden="1" customWidth="1"/>
    <col min="36" max="36" width="10.59765625" style="2" hidden="1" customWidth="1"/>
    <col min="37" max="37" width="5.69921875" style="2" hidden="1" customWidth="1"/>
    <col min="38" max="38" width="7.8984375" style="2" hidden="1" customWidth="1"/>
    <col min="39" max="39" width="8.296875" style="2" hidden="1" customWidth="1"/>
    <col min="40" max="41" width="7.3984375" style="2" hidden="1" customWidth="1"/>
    <col min="42" max="42" width="12.8984375" style="2" hidden="1" customWidth="1"/>
    <col min="43" max="45" width="10.09765625" style="2" hidden="1" customWidth="1"/>
    <col min="46" max="46" width="7.296875" style="2" hidden="1" customWidth="1"/>
    <col min="47" max="47" width="8.09765625" style="2" hidden="1" customWidth="1"/>
    <col min="48" max="48" width="9.09765625" style="2" customWidth="1"/>
    <col min="49" max="16384" width="9.09765625" style="2"/>
  </cols>
  <sheetData>
    <row r="1" spans="2:47" ht="10.8" thickBot="1">
      <c r="B1" s="162" t="s">
        <v>8</v>
      </c>
      <c r="C1" s="163"/>
      <c r="T1" s="150"/>
      <c r="U1" s="151"/>
      <c r="V1" s="152"/>
      <c r="W1" s="147" t="s">
        <v>142</v>
      </c>
      <c r="X1" s="148"/>
      <c r="Y1" s="148"/>
      <c r="Z1" s="148"/>
      <c r="AA1" s="148"/>
      <c r="AB1" s="148"/>
      <c r="AC1" s="148"/>
      <c r="AD1" s="148"/>
      <c r="AE1" s="149"/>
      <c r="AF1" s="153" t="s">
        <v>143</v>
      </c>
      <c r="AG1" s="154"/>
      <c r="AH1" s="154"/>
      <c r="AI1" s="154"/>
      <c r="AJ1" s="154"/>
      <c r="AK1" s="154"/>
      <c r="AL1" s="154"/>
      <c r="AM1" s="154"/>
      <c r="AN1" s="154"/>
      <c r="AO1" s="154"/>
      <c r="AP1" s="154"/>
      <c r="AQ1" s="154"/>
      <c r="AR1" s="154"/>
      <c r="AS1" s="154"/>
      <c r="AT1" s="154"/>
      <c r="AU1" s="155"/>
    </row>
    <row r="2" spans="2:47" ht="30" customHeight="1" thickBot="1">
      <c r="B2" s="76" t="s">
        <v>9</v>
      </c>
      <c r="C2" s="77">
        <v>1024</v>
      </c>
      <c r="E2" s="74" t="str">
        <f>"DDR BW = " &amp;VLOOKUP(E3,$U$2:$AU$44,26,0)</f>
        <v>DDR BW = 95</v>
      </c>
      <c r="F2" s="74" t="str">
        <f>"OCMC BW = " &amp;VLOOKUP(E3,$U$2:$AU$44,27,0)</f>
        <v>OCMC BW = 0</v>
      </c>
      <c r="G2" s="72"/>
      <c r="H2" s="74" t="str">
        <f>"DDR BW = " &amp;VLOOKUP(H3,$U$2:$AU$44,26,0)</f>
        <v>DDR BW = 0</v>
      </c>
      <c r="I2" s="74" t="str">
        <f>"OCMC BW = " &amp;VLOOKUP(H3,$U$2:$AU$44,27,0)</f>
        <v>OCMC BW = 0</v>
      </c>
      <c r="J2" s="72"/>
      <c r="K2" s="74" t="str">
        <f>"DDR BW = " &amp;VLOOKUP(K3,$U$2:$AU$44,26,0)</f>
        <v>DDR BW = 0</v>
      </c>
      <c r="L2" s="74" t="str">
        <f>"OCMC BW = " &amp;VLOOKUP(K3,$U$2:$AU$44,27,0)</f>
        <v>OCMC BW = 0</v>
      </c>
      <c r="M2" s="72"/>
      <c r="N2" s="74" t="str">
        <f>"DDR BW = " &amp;VLOOKUP(N3,$U$2:$AU$44,26,0)</f>
        <v>DDR BW = 95</v>
      </c>
      <c r="O2" s="74" t="str">
        <f>"OCMC BW = " &amp;VLOOKUP(N3,$U$2:$AU$44,27,0)</f>
        <v>OCMC BW = 0</v>
      </c>
      <c r="P2" s="72"/>
      <c r="Q2" s="74" t="str">
        <f>"DDR BW = " &amp;VLOOKUP(Q3,$U$2:$AU$44,26,0)</f>
        <v>DDR BW = 95</v>
      </c>
      <c r="R2" s="74" t="str">
        <f>"OCMC BW = " &amp;VLOOKUP(Q3,$U$2:$AU$44,27,0)</f>
        <v>OCMC BW = 0</v>
      </c>
      <c r="T2" s="63" t="s">
        <v>39</v>
      </c>
      <c r="U2" s="8" t="s">
        <v>31</v>
      </c>
      <c r="V2" s="64" t="s">
        <v>37</v>
      </c>
      <c r="W2" s="63" t="s">
        <v>2</v>
      </c>
      <c r="X2" s="8" t="s">
        <v>3</v>
      </c>
      <c r="Y2" s="8" t="s">
        <v>16</v>
      </c>
      <c r="Z2" s="8" t="s">
        <v>35</v>
      </c>
      <c r="AA2" s="8" t="s">
        <v>45</v>
      </c>
      <c r="AB2" s="8" t="s">
        <v>38</v>
      </c>
      <c r="AC2" s="8" t="s">
        <v>40</v>
      </c>
      <c r="AD2" s="8" t="s">
        <v>41</v>
      </c>
      <c r="AE2" s="67" t="s">
        <v>32</v>
      </c>
      <c r="AF2" s="92" t="s">
        <v>144</v>
      </c>
      <c r="AG2" s="93" t="s">
        <v>145</v>
      </c>
      <c r="AH2" s="93" t="s">
        <v>147</v>
      </c>
      <c r="AI2" s="93" t="s">
        <v>148</v>
      </c>
      <c r="AJ2" s="93" t="s">
        <v>149</v>
      </c>
      <c r="AK2" s="93" t="s">
        <v>150</v>
      </c>
      <c r="AL2" s="93" t="s">
        <v>140</v>
      </c>
      <c r="AM2" s="93" t="s">
        <v>139</v>
      </c>
      <c r="AN2" s="93" t="s">
        <v>164</v>
      </c>
      <c r="AO2" s="93" t="s">
        <v>165</v>
      </c>
      <c r="AP2" s="93" t="s">
        <v>151</v>
      </c>
      <c r="AQ2" s="93" t="s">
        <v>152</v>
      </c>
      <c r="AR2" s="93" t="s">
        <v>153</v>
      </c>
      <c r="AS2" s="93" t="s">
        <v>154</v>
      </c>
      <c r="AT2" s="93" t="s">
        <v>155</v>
      </c>
      <c r="AU2" s="94" t="s">
        <v>156</v>
      </c>
    </row>
    <row r="3" spans="2:47" ht="12.75" customHeight="1">
      <c r="B3" s="76" t="s">
        <v>124</v>
      </c>
      <c r="C3" s="77">
        <v>128</v>
      </c>
      <c r="E3" s="156" t="s">
        <v>166</v>
      </c>
      <c r="F3" s="157"/>
      <c r="G3" s="72"/>
      <c r="H3" s="156" t="s">
        <v>17</v>
      </c>
      <c r="I3" s="157"/>
      <c r="J3" s="72"/>
      <c r="K3" s="156" t="s">
        <v>33</v>
      </c>
      <c r="L3" s="157"/>
      <c r="M3" s="72"/>
      <c r="N3" s="156" t="s">
        <v>29</v>
      </c>
      <c r="O3" s="157"/>
      <c r="P3" s="72"/>
      <c r="Q3" s="156" t="s">
        <v>34</v>
      </c>
      <c r="R3" s="157"/>
      <c r="T3" s="4">
        <v>1</v>
      </c>
      <c r="U3" s="3" t="s">
        <v>263</v>
      </c>
      <c r="V3" s="5">
        <f>CUBE_SIZE</f>
        <v>1572864</v>
      </c>
      <c r="W3" s="65">
        <v>0</v>
      </c>
      <c r="X3" s="10">
        <v>0</v>
      </c>
      <c r="Y3" s="3">
        <f t="shared" ref="Y3" si="0">16*W3</f>
        <v>0</v>
      </c>
      <c r="Z3" s="10" t="s">
        <v>2</v>
      </c>
      <c r="AA3" s="3">
        <f t="shared" ref="AA3" si="1">VLOOKUP(Z3,$B$25:$C$28,2,0)</f>
        <v>500</v>
      </c>
      <c r="AB3" s="3">
        <f t="shared" ref="AB3:AB15" si="2">HLOOKUP(Z3,$W$2:$Y$16,T3+1,0)*(1+$C$11)</f>
        <v>0</v>
      </c>
      <c r="AC3" s="10">
        <f t="shared" ref="AC3" si="3">(AB3*V3)/MEGA</f>
        <v>0</v>
      </c>
      <c r="AD3" s="10">
        <f t="shared" ref="AD3" si="4">AC3*$C$6</f>
        <v>0</v>
      </c>
      <c r="AE3" s="61">
        <f t="shared" ref="AE3" si="5">AD3/AA3</f>
        <v>0</v>
      </c>
      <c r="AF3" s="4">
        <f t="shared" ref="AF3" si="6">V3*SAMPLE_SIZE</f>
        <v>6291456</v>
      </c>
      <c r="AG3" s="3">
        <f t="shared" ref="AG3" si="7">V4*SAMPLE_SIZE</f>
        <v>6291456</v>
      </c>
      <c r="AH3" s="3">
        <v>1</v>
      </c>
      <c r="AI3" s="3">
        <f t="shared" ref="AI3" si="8">IF(Z4=Z3,0,1)</f>
        <v>0</v>
      </c>
      <c r="AJ3" s="3" t="b">
        <f t="shared" ref="AJ3:AJ11" si="9">OR(AH3,AI3)</f>
        <v>1</v>
      </c>
      <c r="AK3" s="68">
        <v>0</v>
      </c>
      <c r="AL3" s="3">
        <f t="shared" ref="AL3" si="10">AG3*AJ3*Frames_per_sec/MEGA</f>
        <v>94.371840000000006</v>
      </c>
      <c r="AM3" s="3">
        <f t="shared" ref="AM3" si="11">AF3*AK3*Frames_per_sec/MEGA</f>
        <v>0</v>
      </c>
      <c r="AN3" s="87" t="str">
        <f t="shared" ref="AN3" si="12">IF((AG3/(1024*N_Anteenas)) &lt; (OCMC_SIZE-32),"OCMC","DDR")</f>
        <v>DDR</v>
      </c>
      <c r="AO3" s="3" t="str">
        <f>IF(AN1="OCMC","OCMC","DDR")</f>
        <v>DDR</v>
      </c>
      <c r="AP3" s="10">
        <f>IF(AN3="DDR",AL3,0)</f>
        <v>94.371840000000006</v>
      </c>
      <c r="AQ3" s="10">
        <f>IF(AO3="DDR",AM3,0)</f>
        <v>0</v>
      </c>
      <c r="AR3" s="10">
        <f t="shared" ref="AR3" si="13">AL3-AP3</f>
        <v>0</v>
      </c>
      <c r="AS3" s="10">
        <f t="shared" ref="AS3" si="14">AM3-AQ3</f>
        <v>0</v>
      </c>
      <c r="AT3" s="10">
        <f t="shared" ref="AT3" si="15">ROUNDUP(AP3+AQ3,0)</f>
        <v>95</v>
      </c>
      <c r="AU3" s="11">
        <f t="shared" ref="AU3" si="16">ROUNDUP(AR3+AS3,0)</f>
        <v>0</v>
      </c>
    </row>
    <row r="4" spans="2:47" ht="12.75" customHeight="1">
      <c r="B4" s="76" t="s">
        <v>10</v>
      </c>
      <c r="C4" s="77">
        <v>4</v>
      </c>
      <c r="E4" s="158"/>
      <c r="F4" s="159"/>
      <c r="G4" s="72"/>
      <c r="H4" s="158"/>
      <c r="I4" s="159"/>
      <c r="J4" s="72"/>
      <c r="K4" s="158"/>
      <c r="L4" s="159"/>
      <c r="M4" s="72"/>
      <c r="N4" s="158"/>
      <c r="O4" s="159"/>
      <c r="P4" s="72"/>
      <c r="Q4" s="158"/>
      <c r="R4" s="159"/>
      <c r="T4" s="4">
        <v>2</v>
      </c>
      <c r="U4" s="3" t="s">
        <v>166</v>
      </c>
      <c r="V4" s="5">
        <f>CUBE_SIZE</f>
        <v>1572864</v>
      </c>
      <c r="W4" s="65">
        <f>'ProcessingBlocks-EVE'!D2</f>
        <v>0.125</v>
      </c>
      <c r="X4" s="10">
        <v>0.75</v>
      </c>
      <c r="Y4" s="3">
        <f t="shared" ref="Y4:Y11" si="17">16*W4</f>
        <v>2</v>
      </c>
      <c r="Z4" s="10" t="str">
        <f>E6</f>
        <v>EVE</v>
      </c>
      <c r="AA4" s="3">
        <f t="shared" ref="AA4:AA11" si="18">VLOOKUP(Z4,$B$25:$C$28,2,0)</f>
        <v>500</v>
      </c>
      <c r="AB4" s="3">
        <f t="shared" si="2"/>
        <v>0.13125000000000001</v>
      </c>
      <c r="AC4" s="10">
        <f t="shared" ref="AC4:AC11" si="19">(AB4*V4)/MEGA</f>
        <v>0.20643840000000002</v>
      </c>
      <c r="AD4" s="10">
        <f t="shared" ref="AD4:AD11" si="20">AC4*$C$6</f>
        <v>3.0965760000000002</v>
      </c>
      <c r="AE4" s="61">
        <f t="shared" ref="AE4:AE11" si="21">AD4/AA4</f>
        <v>6.1931520000000004E-3</v>
      </c>
      <c r="AF4" s="4">
        <f t="shared" ref="AF4:AF11" si="22">V4*SAMPLE_SIZE</f>
        <v>6291456</v>
      </c>
      <c r="AG4" s="3">
        <f t="shared" ref="AG4:AG9" si="23">V5*SAMPLE_SIZE</f>
        <v>6291456</v>
      </c>
      <c r="AH4" s="3">
        <v>0</v>
      </c>
      <c r="AI4" s="3">
        <f t="shared" ref="AI4:AI10" si="24">IF(Z5=Z4,0,1)</f>
        <v>0</v>
      </c>
      <c r="AJ4" s="3" t="b">
        <f t="shared" si="9"/>
        <v>0</v>
      </c>
      <c r="AK4" s="68">
        <v>1</v>
      </c>
      <c r="AL4" s="3">
        <f t="shared" ref="AL4:AL11" si="25">AG4*AJ4*Frames_per_sec/MEGA</f>
        <v>0</v>
      </c>
      <c r="AM4" s="3">
        <f t="shared" ref="AM4:AM11" si="26">AF4*AK4*Frames_per_sec/MEGA</f>
        <v>94.371840000000006</v>
      </c>
      <c r="AN4" s="87" t="str">
        <f t="shared" ref="AN4:AN9" si="27">IF((AG4/(1024*N_Anteenas)) &lt; (OCMC_SIZE-32),"OCMC","DDR")</f>
        <v>DDR</v>
      </c>
      <c r="AO4" s="3" t="str">
        <f>IF(AN2="OCMC","OCMC","DDR")</f>
        <v>DDR</v>
      </c>
      <c r="AP4" s="10">
        <f>IF(AN4="DDR",AL4,0)</f>
        <v>0</v>
      </c>
      <c r="AQ4" s="10">
        <f>IF(AO4="DDR",AM4,0)</f>
        <v>94.371840000000006</v>
      </c>
      <c r="AR4" s="10">
        <f t="shared" ref="AR4:AR11" si="28">AL4-AP4</f>
        <v>0</v>
      </c>
      <c r="AS4" s="10">
        <f t="shared" ref="AS4:AS11" si="29">AM4-AQ4</f>
        <v>0</v>
      </c>
      <c r="AT4" s="10">
        <f t="shared" ref="AT4:AT11" si="30">ROUNDUP(AP4+AQ4,0)</f>
        <v>95</v>
      </c>
      <c r="AU4" s="11">
        <f t="shared" ref="AU4:AU11" si="31">ROUNDUP(AR4+AS4,0)</f>
        <v>0</v>
      </c>
    </row>
    <row r="5" spans="2:47" ht="13.5" customHeight="1" thickBot="1">
      <c r="B5" s="76" t="s">
        <v>11</v>
      </c>
      <c r="C5" s="77">
        <v>3</v>
      </c>
      <c r="E5" s="160"/>
      <c r="F5" s="161"/>
      <c r="G5" s="72"/>
      <c r="H5" s="160"/>
      <c r="I5" s="161"/>
      <c r="J5" s="72"/>
      <c r="K5" s="160"/>
      <c r="L5" s="161"/>
      <c r="M5" s="72"/>
      <c r="N5" s="160"/>
      <c r="O5" s="161"/>
      <c r="P5" s="72"/>
      <c r="Q5" s="160"/>
      <c r="R5" s="161"/>
      <c r="T5" s="4">
        <v>3</v>
      </c>
      <c r="U5" s="3" t="s">
        <v>17</v>
      </c>
      <c r="V5" s="5">
        <f t="shared" ref="V5:V12" si="32">CUBE_SIZE</f>
        <v>1572864</v>
      </c>
      <c r="W5" s="65">
        <f>DC_offset_CPS</f>
        <v>0.25</v>
      </c>
      <c r="X5" s="10">
        <f>2*W5</f>
        <v>0.5</v>
      </c>
      <c r="Y5" s="3">
        <f t="shared" si="17"/>
        <v>4</v>
      </c>
      <c r="Z5" s="10" t="str">
        <f>H6</f>
        <v>EVE</v>
      </c>
      <c r="AA5" s="3">
        <f t="shared" si="18"/>
        <v>500</v>
      </c>
      <c r="AB5" s="3">
        <f t="shared" si="2"/>
        <v>0.26250000000000001</v>
      </c>
      <c r="AC5" s="10">
        <f t="shared" si="19"/>
        <v>0.41287680000000004</v>
      </c>
      <c r="AD5" s="10">
        <f t="shared" si="20"/>
        <v>6.1931520000000004</v>
      </c>
      <c r="AE5" s="61">
        <f t="shared" si="21"/>
        <v>1.2386304000000001E-2</v>
      </c>
      <c r="AF5" s="4">
        <f t="shared" si="22"/>
        <v>6291456</v>
      </c>
      <c r="AG5" s="3">
        <f t="shared" si="23"/>
        <v>6291456</v>
      </c>
      <c r="AH5" s="3">
        <v>0</v>
      </c>
      <c r="AI5" s="3">
        <f t="shared" si="24"/>
        <v>0</v>
      </c>
      <c r="AJ5" s="3" t="b">
        <f t="shared" si="9"/>
        <v>0</v>
      </c>
      <c r="AK5" s="3">
        <v>0</v>
      </c>
      <c r="AL5" s="3">
        <f t="shared" si="25"/>
        <v>0</v>
      </c>
      <c r="AM5" s="3">
        <f t="shared" si="26"/>
        <v>0</v>
      </c>
      <c r="AN5" s="87" t="str">
        <f t="shared" si="27"/>
        <v>DDR</v>
      </c>
      <c r="AO5" s="3" t="str">
        <f>IF(AN4="OCMC","OCMC","DDR")</f>
        <v>DDR</v>
      </c>
      <c r="AP5" s="10">
        <f t="shared" ref="AP5:AP11" si="33">IF(AN5="DDR",AL5,0)</f>
        <v>0</v>
      </c>
      <c r="AQ5" s="10">
        <f t="shared" ref="AQ5:AQ11" si="34">IF(AO5="DDR",AM5,0)</f>
        <v>0</v>
      </c>
      <c r="AR5" s="10">
        <f t="shared" si="28"/>
        <v>0</v>
      </c>
      <c r="AS5" s="10">
        <f t="shared" si="29"/>
        <v>0</v>
      </c>
      <c r="AT5" s="10">
        <f t="shared" si="30"/>
        <v>0</v>
      </c>
      <c r="AU5" s="11">
        <f t="shared" si="31"/>
        <v>0</v>
      </c>
    </row>
    <row r="6" spans="2:47" ht="15.6">
      <c r="B6" s="76" t="s">
        <v>36</v>
      </c>
      <c r="C6" s="77">
        <v>15</v>
      </c>
      <c r="E6" s="75" t="s">
        <v>2</v>
      </c>
      <c r="F6" s="98">
        <f>VLOOKUP(E3,$U$2:$AE$16,11,0)</f>
        <v>6.1931520000000004E-3</v>
      </c>
      <c r="G6" s="72"/>
      <c r="H6" s="75" t="s">
        <v>2</v>
      </c>
      <c r="I6" s="98">
        <f>VLOOKUP(H3,$U$2:$AE$16,11,0)</f>
        <v>1.2386304000000001E-2</v>
      </c>
      <c r="J6" s="72"/>
      <c r="K6" s="75" t="s">
        <v>2</v>
      </c>
      <c r="L6" s="98">
        <f>VLOOKUP(K3,$U$2:$AE$16,11,0)</f>
        <v>0</v>
      </c>
      <c r="M6" s="72"/>
      <c r="N6" s="75" t="s">
        <v>2</v>
      </c>
      <c r="O6" s="98">
        <f>VLOOKUP(N3,$U$2:$AE$16,11,0)</f>
        <v>0.11692670976</v>
      </c>
      <c r="P6" s="72"/>
      <c r="Q6" s="75" t="s">
        <v>2</v>
      </c>
      <c r="R6" s="98">
        <f>VLOOKUP(Q3,$U$2:$AE$16,11,0)</f>
        <v>0</v>
      </c>
      <c r="T6" s="4">
        <v>4</v>
      </c>
      <c r="U6" s="3" t="s">
        <v>33</v>
      </c>
      <c r="V6" s="5">
        <f t="shared" si="32"/>
        <v>1572864</v>
      </c>
      <c r="W6" s="65">
        <f>Windowing_CPS</f>
        <v>0</v>
      </c>
      <c r="X6" s="10">
        <f>RWIND_DSP_CPS</f>
        <v>0.6640625</v>
      </c>
      <c r="Y6" s="3">
        <f t="shared" si="17"/>
        <v>0</v>
      </c>
      <c r="Z6" s="10" t="str">
        <f>K6</f>
        <v>EVE</v>
      </c>
      <c r="AA6" s="3">
        <f t="shared" si="18"/>
        <v>500</v>
      </c>
      <c r="AB6" s="3">
        <f t="shared" si="2"/>
        <v>0</v>
      </c>
      <c r="AC6" s="10">
        <f t="shared" si="19"/>
        <v>0</v>
      </c>
      <c r="AD6" s="10">
        <f t="shared" si="20"/>
        <v>0</v>
      </c>
      <c r="AE6" s="61">
        <f t="shared" si="21"/>
        <v>0</v>
      </c>
      <c r="AF6" s="4">
        <f t="shared" si="22"/>
        <v>6291456</v>
      </c>
      <c r="AG6" s="3">
        <f t="shared" si="23"/>
        <v>6291456</v>
      </c>
      <c r="AH6" s="3">
        <v>0</v>
      </c>
      <c r="AI6" s="3">
        <f t="shared" si="24"/>
        <v>0</v>
      </c>
      <c r="AJ6" s="3" t="b">
        <f t="shared" si="9"/>
        <v>0</v>
      </c>
      <c r="AK6" s="3">
        <f>IF(Z5=Z6,0,1)</f>
        <v>0</v>
      </c>
      <c r="AL6" s="3">
        <f t="shared" si="25"/>
        <v>0</v>
      </c>
      <c r="AM6" s="3">
        <f t="shared" si="26"/>
        <v>0</v>
      </c>
      <c r="AN6" s="87" t="str">
        <f t="shared" si="27"/>
        <v>DDR</v>
      </c>
      <c r="AO6" s="3" t="str">
        <f t="shared" ref="AO6:AO11" si="35">IF(AN5="OCMC","OCMC","DDR")</f>
        <v>DDR</v>
      </c>
      <c r="AP6" s="10">
        <f t="shared" si="33"/>
        <v>0</v>
      </c>
      <c r="AQ6" s="10">
        <f t="shared" si="34"/>
        <v>0</v>
      </c>
      <c r="AR6" s="10">
        <f t="shared" si="28"/>
        <v>0</v>
      </c>
      <c r="AS6" s="10">
        <f t="shared" si="29"/>
        <v>0</v>
      </c>
      <c r="AT6" s="10">
        <f t="shared" si="30"/>
        <v>0</v>
      </c>
      <c r="AU6" s="11">
        <f t="shared" si="31"/>
        <v>0</v>
      </c>
    </row>
    <row r="7" spans="2:47" ht="13.2">
      <c r="B7" s="76" t="s">
        <v>103</v>
      </c>
      <c r="C7" s="77" t="s">
        <v>105</v>
      </c>
      <c r="E7" s="72"/>
      <c r="F7" s="72"/>
      <c r="G7" s="72"/>
      <c r="H7" s="72"/>
      <c r="I7" s="72"/>
      <c r="J7" s="72"/>
      <c r="K7" s="72"/>
      <c r="L7" s="72"/>
      <c r="M7" s="72"/>
      <c r="N7" s="72"/>
      <c r="O7" s="72"/>
      <c r="P7" s="72"/>
      <c r="Q7" s="72"/>
      <c r="R7" s="72"/>
      <c r="T7" s="4">
        <v>5</v>
      </c>
      <c r="U7" s="69" t="s">
        <v>29</v>
      </c>
      <c r="V7" s="5">
        <f t="shared" si="32"/>
        <v>1572864</v>
      </c>
      <c r="W7" s="65">
        <f>RFFT_EVE_CPS</f>
        <v>2.36</v>
      </c>
      <c r="X7" s="10">
        <f>RFFT_DSP_CPS</f>
        <v>4.1171875</v>
      </c>
      <c r="Y7" s="3">
        <f t="shared" si="17"/>
        <v>37.76</v>
      </c>
      <c r="Z7" s="10" t="str">
        <f>N6</f>
        <v>EVE</v>
      </c>
      <c r="AA7" s="3">
        <f t="shared" si="18"/>
        <v>500</v>
      </c>
      <c r="AB7" s="3">
        <f t="shared" si="2"/>
        <v>2.4779999999999998</v>
      </c>
      <c r="AC7" s="10">
        <f t="shared" si="19"/>
        <v>3.8975569919999997</v>
      </c>
      <c r="AD7" s="10">
        <f t="shared" si="20"/>
        <v>58.463354879999997</v>
      </c>
      <c r="AE7" s="61">
        <f t="shared" si="21"/>
        <v>0.11692670976</v>
      </c>
      <c r="AF7" s="4">
        <f t="shared" si="22"/>
        <v>6291456</v>
      </c>
      <c r="AG7" s="3">
        <f t="shared" si="23"/>
        <v>6291456</v>
      </c>
      <c r="AH7" s="3">
        <v>1</v>
      </c>
      <c r="AI7" s="3">
        <f t="shared" si="24"/>
        <v>0</v>
      </c>
      <c r="AJ7" s="3" t="b">
        <f t="shared" si="9"/>
        <v>1</v>
      </c>
      <c r="AK7" s="3">
        <f>IF(Z6=Z7,0,1)</f>
        <v>0</v>
      </c>
      <c r="AL7" s="3">
        <f t="shared" si="25"/>
        <v>94.371840000000006</v>
      </c>
      <c r="AM7" s="3">
        <f t="shared" si="26"/>
        <v>0</v>
      </c>
      <c r="AN7" s="87" t="str">
        <f t="shared" si="27"/>
        <v>DDR</v>
      </c>
      <c r="AO7" s="3" t="str">
        <f t="shared" si="35"/>
        <v>DDR</v>
      </c>
      <c r="AP7" s="10">
        <f t="shared" si="33"/>
        <v>94.371840000000006</v>
      </c>
      <c r="AQ7" s="10">
        <f t="shared" si="34"/>
        <v>0</v>
      </c>
      <c r="AR7" s="10">
        <f t="shared" si="28"/>
        <v>0</v>
      </c>
      <c r="AS7" s="10">
        <f t="shared" si="29"/>
        <v>0</v>
      </c>
      <c r="AT7" s="10">
        <f t="shared" si="30"/>
        <v>95</v>
      </c>
      <c r="AU7" s="11">
        <f t="shared" si="31"/>
        <v>0</v>
      </c>
    </row>
    <row r="8" spans="2:47" ht="13.2">
      <c r="B8" s="76" t="s">
        <v>22</v>
      </c>
      <c r="C8" s="77" t="s">
        <v>24</v>
      </c>
      <c r="E8" s="72"/>
      <c r="F8" s="72"/>
      <c r="G8" s="72"/>
      <c r="H8" s="72"/>
      <c r="I8" s="72"/>
      <c r="J8" s="72"/>
      <c r="K8" s="72"/>
      <c r="L8" s="72"/>
      <c r="M8" s="72"/>
      <c r="N8" s="72"/>
      <c r="O8" s="72"/>
      <c r="P8" s="72"/>
      <c r="Q8" s="72"/>
      <c r="R8" s="72"/>
      <c r="T8" s="4">
        <v>6</v>
      </c>
      <c r="U8" s="3" t="s">
        <v>34</v>
      </c>
      <c r="V8" s="5">
        <f t="shared" si="32"/>
        <v>1572864</v>
      </c>
      <c r="W8" s="65">
        <f>Windowing_CPS</f>
        <v>0</v>
      </c>
      <c r="X8" s="10">
        <f>DWIN_DSP_CPS</f>
        <v>1.1484375</v>
      </c>
      <c r="Y8" s="3">
        <f t="shared" si="17"/>
        <v>0</v>
      </c>
      <c r="Z8" s="10" t="str">
        <f>Q6</f>
        <v>EVE</v>
      </c>
      <c r="AA8" s="3">
        <f t="shared" si="18"/>
        <v>500</v>
      </c>
      <c r="AB8" s="3">
        <f t="shared" si="2"/>
        <v>0</v>
      </c>
      <c r="AC8" s="10">
        <f t="shared" si="19"/>
        <v>0</v>
      </c>
      <c r="AD8" s="10">
        <f t="shared" si="20"/>
        <v>0</v>
      </c>
      <c r="AE8" s="61">
        <f t="shared" si="21"/>
        <v>0</v>
      </c>
      <c r="AF8" s="4">
        <f t="shared" si="22"/>
        <v>6291456</v>
      </c>
      <c r="AG8" s="3">
        <f t="shared" si="23"/>
        <v>6291456</v>
      </c>
      <c r="AH8" s="3">
        <v>0</v>
      </c>
      <c r="AI8" s="3">
        <f t="shared" si="24"/>
        <v>0</v>
      </c>
      <c r="AJ8" s="3" t="b">
        <f t="shared" si="9"/>
        <v>0</v>
      </c>
      <c r="AK8" s="68">
        <v>1</v>
      </c>
      <c r="AL8" s="3">
        <f t="shared" si="25"/>
        <v>0</v>
      </c>
      <c r="AM8" s="3">
        <f t="shared" si="26"/>
        <v>94.371840000000006</v>
      </c>
      <c r="AN8" s="87" t="str">
        <f t="shared" si="27"/>
        <v>DDR</v>
      </c>
      <c r="AO8" s="3" t="str">
        <f t="shared" si="35"/>
        <v>DDR</v>
      </c>
      <c r="AP8" s="10">
        <f t="shared" si="33"/>
        <v>0</v>
      </c>
      <c r="AQ8" s="10">
        <f t="shared" si="34"/>
        <v>94.371840000000006</v>
      </c>
      <c r="AR8" s="10">
        <f t="shared" si="28"/>
        <v>0</v>
      </c>
      <c r="AS8" s="10">
        <f t="shared" si="29"/>
        <v>0</v>
      </c>
      <c r="AT8" s="10">
        <f t="shared" si="30"/>
        <v>95</v>
      </c>
      <c r="AU8" s="11">
        <f t="shared" si="31"/>
        <v>0</v>
      </c>
    </row>
    <row r="9" spans="2:47" ht="13.8" thickBot="1">
      <c r="B9" s="76" t="s">
        <v>12</v>
      </c>
      <c r="C9" s="77">
        <v>20</v>
      </c>
      <c r="E9" s="74" t="str">
        <f>"DDR BW = " &amp;VLOOKUP(E10,$U$2:$AU$44,26,0)</f>
        <v>DDR BW = 0</v>
      </c>
      <c r="F9" s="74" t="str">
        <f>"OCMC BW = " &amp;VLOOKUP(E10,$U$2:$AU$44,27,0)</f>
        <v>OCMC BW = 0</v>
      </c>
      <c r="G9" s="72"/>
      <c r="H9" s="74" t="str">
        <f>"DDR BW = " &amp;VLOOKUP(H10,$U$2:$AU$44,26,0)</f>
        <v>DDR BW = 95</v>
      </c>
      <c r="I9" s="74" t="str">
        <f>"OCMC BW = " &amp;VLOOKUP(H10,$U$2:$AU$44,27,0)</f>
        <v>OCMC BW = 0</v>
      </c>
      <c r="J9" s="72"/>
      <c r="K9" s="74" t="str">
        <f>"DDR BW = " &amp;VLOOKUP(K10,$U$2:$AU$44,26,0)</f>
        <v>DDR BW = 0</v>
      </c>
      <c r="L9" s="74" t="str">
        <f>"OCMC BW = " &amp;VLOOKUP(K10,$U$2:$AU$44,27,0)</f>
        <v>OCMC BW = 0</v>
      </c>
      <c r="M9" s="72"/>
      <c r="N9" s="74" t="str">
        <f>"DDR BW = " &amp;VLOOKUP(N10,$U$2:$AU$44,26,0)</f>
        <v>DDR BW = 8</v>
      </c>
      <c r="O9" s="74" t="str">
        <f>"OCMC BW = " &amp;VLOOKUP(N10,$U$2:$AU$44,27,0)</f>
        <v>OCMC BW = 0</v>
      </c>
      <c r="P9" s="72"/>
      <c r="Q9" s="74" t="str">
        <f>"DDR BW = " &amp;VLOOKUP(Q10,$U$2:$AU$44,26,0)</f>
        <v>DDR BW = 9</v>
      </c>
      <c r="R9" s="74" t="str">
        <f>"OCMC BW = " &amp;VLOOKUP(Q10,$U$2:$AU$44,27,0)</f>
        <v>OCMC BW = 0</v>
      </c>
      <c r="T9" s="4">
        <v>7</v>
      </c>
      <c r="U9" s="3" t="s">
        <v>30</v>
      </c>
      <c r="V9" s="5">
        <f t="shared" si="32"/>
        <v>1572864</v>
      </c>
      <c r="W9" s="65">
        <f>DFFT_EVE_CPS</f>
        <v>2.2799999999999998</v>
      </c>
      <c r="X9" s="10">
        <f>DFFT_DSP_CPS</f>
        <v>4.03125</v>
      </c>
      <c r="Y9" s="3">
        <f t="shared" si="17"/>
        <v>36.479999999999997</v>
      </c>
      <c r="Z9" s="10" t="str">
        <f>E14</f>
        <v>EVE</v>
      </c>
      <c r="AA9" s="3">
        <f t="shared" si="18"/>
        <v>500</v>
      </c>
      <c r="AB9" s="3">
        <f t="shared" si="2"/>
        <v>2.3939999999999997</v>
      </c>
      <c r="AC9" s="10">
        <f t="shared" si="19"/>
        <v>3.7654364159999991</v>
      </c>
      <c r="AD9" s="10">
        <f t="shared" si="20"/>
        <v>56.481546239999986</v>
      </c>
      <c r="AE9" s="61">
        <f t="shared" si="21"/>
        <v>0.11296309247999997</v>
      </c>
      <c r="AF9" s="4">
        <f t="shared" si="22"/>
        <v>6291456</v>
      </c>
      <c r="AG9" s="3">
        <f t="shared" si="23"/>
        <v>6291456</v>
      </c>
      <c r="AH9" s="3">
        <v>0</v>
      </c>
      <c r="AI9" s="3">
        <f t="shared" si="24"/>
        <v>0</v>
      </c>
      <c r="AJ9" s="3" t="b">
        <f t="shared" si="9"/>
        <v>0</v>
      </c>
      <c r="AK9" s="3">
        <f>IF(Z8=Z9,0,1)</f>
        <v>0</v>
      </c>
      <c r="AL9" s="3">
        <f t="shared" si="25"/>
        <v>0</v>
      </c>
      <c r="AM9" s="3">
        <f t="shared" si="26"/>
        <v>0</v>
      </c>
      <c r="AN9" s="87" t="str">
        <f t="shared" si="27"/>
        <v>DDR</v>
      </c>
      <c r="AO9" s="3" t="str">
        <f t="shared" si="35"/>
        <v>DDR</v>
      </c>
      <c r="AP9" s="10">
        <f t="shared" si="33"/>
        <v>0</v>
      </c>
      <c r="AQ9" s="10">
        <f t="shared" si="34"/>
        <v>0</v>
      </c>
      <c r="AR9" s="10">
        <f t="shared" si="28"/>
        <v>0</v>
      </c>
      <c r="AS9" s="10">
        <f t="shared" si="29"/>
        <v>0</v>
      </c>
      <c r="AT9" s="10">
        <f t="shared" si="30"/>
        <v>0</v>
      </c>
      <c r="AU9" s="11">
        <f t="shared" si="31"/>
        <v>0</v>
      </c>
    </row>
    <row r="10" spans="2:47" ht="12.75" customHeight="1">
      <c r="B10" s="76" t="s">
        <v>262</v>
      </c>
      <c r="C10" s="77">
        <v>120</v>
      </c>
      <c r="E10" s="156" t="s">
        <v>30</v>
      </c>
      <c r="F10" s="157"/>
      <c r="G10" s="72"/>
      <c r="H10" s="156" t="s">
        <v>18</v>
      </c>
      <c r="I10" s="157"/>
      <c r="J10" s="72"/>
      <c r="K10" s="156" t="s">
        <v>254</v>
      </c>
      <c r="L10" s="157"/>
      <c r="M10" s="72"/>
      <c r="N10" s="156" t="s">
        <v>20</v>
      </c>
      <c r="O10" s="157"/>
      <c r="P10" s="72"/>
      <c r="Q10" s="156" t="str">
        <f>C8 &amp; " Detection"</f>
        <v>CFAR-CA Detection</v>
      </c>
      <c r="R10" s="157"/>
      <c r="T10" s="4">
        <v>8</v>
      </c>
      <c r="U10" s="69" t="s">
        <v>18</v>
      </c>
      <c r="V10" s="5">
        <f t="shared" si="32"/>
        <v>1572864</v>
      </c>
      <c r="W10" s="65">
        <f>Doppler_corr_CPS</f>
        <v>0</v>
      </c>
      <c r="X10" s="10">
        <f>2*W10</f>
        <v>0</v>
      </c>
      <c r="Y10" s="3">
        <f t="shared" si="17"/>
        <v>0</v>
      </c>
      <c r="Z10" s="10" t="str">
        <f>H14</f>
        <v>EVE</v>
      </c>
      <c r="AA10" s="3">
        <f t="shared" si="18"/>
        <v>500</v>
      </c>
      <c r="AB10" s="3">
        <f t="shared" si="2"/>
        <v>0</v>
      </c>
      <c r="AC10" s="10">
        <f t="shared" si="19"/>
        <v>0</v>
      </c>
      <c r="AD10" s="10">
        <f t="shared" si="20"/>
        <v>0</v>
      </c>
      <c r="AE10" s="61">
        <f t="shared" si="21"/>
        <v>0</v>
      </c>
      <c r="AF10" s="4">
        <f t="shared" si="22"/>
        <v>6291456</v>
      </c>
      <c r="AG10" s="3">
        <f>IF(C7="No",AF10,V11*SAMPLE_SIZE)</f>
        <v>6291456</v>
      </c>
      <c r="AH10" s="3">
        <v>1</v>
      </c>
      <c r="AI10" s="3">
        <f t="shared" si="24"/>
        <v>0</v>
      </c>
      <c r="AJ10" s="3" t="b">
        <f t="shared" si="9"/>
        <v>1</v>
      </c>
      <c r="AK10" s="3">
        <f>IF(Z9=Z10,0,1)</f>
        <v>0</v>
      </c>
      <c r="AL10" s="3">
        <f t="shared" si="25"/>
        <v>94.371840000000006</v>
      </c>
      <c r="AM10" s="3">
        <f t="shared" si="26"/>
        <v>0</v>
      </c>
      <c r="AN10" s="87" t="str">
        <f t="shared" ref="AN10:AN11" si="36">IF((AG10/(1024)) &lt; (OCMC_SIZE-32),"OCMC","DDR")</f>
        <v>DDR</v>
      </c>
      <c r="AO10" s="3" t="str">
        <f t="shared" si="35"/>
        <v>DDR</v>
      </c>
      <c r="AP10" s="10">
        <f t="shared" si="33"/>
        <v>94.371840000000006</v>
      </c>
      <c r="AQ10" s="10">
        <f t="shared" si="34"/>
        <v>0</v>
      </c>
      <c r="AR10" s="10">
        <f t="shared" si="28"/>
        <v>0</v>
      </c>
      <c r="AS10" s="10">
        <f t="shared" si="29"/>
        <v>0</v>
      </c>
      <c r="AT10" s="10">
        <f t="shared" si="30"/>
        <v>95</v>
      </c>
      <c r="AU10" s="11">
        <f t="shared" si="31"/>
        <v>0</v>
      </c>
    </row>
    <row r="11" spans="2:47" ht="12.75" customHeight="1">
      <c r="B11" s="76" t="s">
        <v>13</v>
      </c>
      <c r="C11" s="78">
        <v>0.05</v>
      </c>
      <c r="E11" s="158"/>
      <c r="F11" s="159"/>
      <c r="G11" s="72"/>
      <c r="H11" s="158"/>
      <c r="I11" s="159"/>
      <c r="J11" s="72"/>
      <c r="K11" s="158"/>
      <c r="L11" s="159"/>
      <c r="M11" s="72"/>
      <c r="N11" s="158"/>
      <c r="O11" s="159"/>
      <c r="P11" s="72"/>
      <c r="Q11" s="158"/>
      <c r="R11" s="159"/>
      <c r="T11" s="4">
        <v>9</v>
      </c>
      <c r="U11" s="3" t="s">
        <v>19</v>
      </c>
      <c r="V11" s="5">
        <f>IF(1,CUBE_SIZE,0)</f>
        <v>1572864</v>
      </c>
      <c r="W11" s="65">
        <f>TxDecoding_CPS</f>
        <v>0</v>
      </c>
      <c r="X11" s="10">
        <f>2*W11</f>
        <v>0</v>
      </c>
      <c r="Y11" s="3">
        <f t="shared" si="17"/>
        <v>0</v>
      </c>
      <c r="Z11" s="10" t="str">
        <f>K14</f>
        <v>EVE</v>
      </c>
      <c r="AA11" s="3">
        <f t="shared" si="18"/>
        <v>500</v>
      </c>
      <c r="AB11" s="3">
        <f t="shared" si="2"/>
        <v>0</v>
      </c>
      <c r="AC11" s="10">
        <f t="shared" si="19"/>
        <v>0</v>
      </c>
      <c r="AD11" s="10">
        <f t="shared" si="20"/>
        <v>0</v>
      </c>
      <c r="AE11" s="61">
        <f t="shared" si="21"/>
        <v>0</v>
      </c>
      <c r="AF11" s="4">
        <f t="shared" si="22"/>
        <v>6291456</v>
      </c>
      <c r="AG11" s="3">
        <f>V13*SAMPLE_SIZE</f>
        <v>524288</v>
      </c>
      <c r="AH11" s="3">
        <v>0</v>
      </c>
      <c r="AI11" s="3">
        <f>IF(Z13=Z11,0,1)</f>
        <v>0</v>
      </c>
      <c r="AJ11" s="3" t="b">
        <f t="shared" si="9"/>
        <v>0</v>
      </c>
      <c r="AK11" s="68">
        <v>1</v>
      </c>
      <c r="AL11" s="3">
        <f t="shared" si="25"/>
        <v>0</v>
      </c>
      <c r="AM11" s="3">
        <f t="shared" si="26"/>
        <v>94.371840000000006</v>
      </c>
      <c r="AN11" s="87" t="str">
        <f t="shared" si="36"/>
        <v>DDR</v>
      </c>
      <c r="AO11" s="3" t="str">
        <f t="shared" si="35"/>
        <v>DDR</v>
      </c>
      <c r="AP11" s="10">
        <f t="shared" si="33"/>
        <v>0</v>
      </c>
      <c r="AQ11" s="10">
        <f t="shared" si="34"/>
        <v>94.371840000000006</v>
      </c>
      <c r="AR11" s="10">
        <f t="shared" si="28"/>
        <v>0</v>
      </c>
      <c r="AS11" s="10">
        <f t="shared" si="29"/>
        <v>0</v>
      </c>
      <c r="AT11" s="10">
        <f t="shared" si="30"/>
        <v>95</v>
      </c>
      <c r="AU11" s="11">
        <f t="shared" si="31"/>
        <v>0</v>
      </c>
    </row>
    <row r="12" spans="2:47" ht="12.75" customHeight="1">
      <c r="B12" s="3" t="s">
        <v>125</v>
      </c>
      <c r="C12" s="3">
        <f>C4*C5</f>
        <v>12</v>
      </c>
      <c r="E12" s="158"/>
      <c r="F12" s="159"/>
      <c r="G12" s="72"/>
      <c r="H12" s="158"/>
      <c r="I12" s="159"/>
      <c r="J12" s="72"/>
      <c r="K12" s="158"/>
      <c r="L12" s="159"/>
      <c r="M12" s="72"/>
      <c r="N12" s="158"/>
      <c r="O12" s="159"/>
      <c r="P12" s="72"/>
      <c r="Q12" s="158"/>
      <c r="R12" s="159"/>
      <c r="T12" s="4">
        <v>10</v>
      </c>
      <c r="U12" s="3" t="s">
        <v>254</v>
      </c>
      <c r="V12" s="5">
        <f t="shared" si="32"/>
        <v>1572864</v>
      </c>
      <c r="W12" s="65">
        <f>Energy_SUM_CPS</f>
        <v>0.8</v>
      </c>
      <c r="X12" s="10">
        <f>LogMag_Sum_DSP_CPS</f>
        <v>4</v>
      </c>
      <c r="Y12" s="3">
        <f>16*W12</f>
        <v>12.8</v>
      </c>
      <c r="Z12" s="10" t="str">
        <f>K14</f>
        <v>EVE</v>
      </c>
      <c r="AA12" s="3">
        <f>VLOOKUP(Z12,$B$25:$C$28,2,0)</f>
        <v>500</v>
      </c>
      <c r="AB12" s="3">
        <f t="shared" si="2"/>
        <v>0.84000000000000008</v>
      </c>
      <c r="AC12" s="10">
        <f>(AB12*V12)/MEGA</f>
        <v>1.3212057600000002</v>
      </c>
      <c r="AD12" s="10">
        <f>AC12*$C$6</f>
        <v>19.818086400000002</v>
      </c>
      <c r="AE12" s="61">
        <f>AD12/AA12</f>
        <v>3.9636172800000001E-2</v>
      </c>
      <c r="AF12" s="4">
        <f>V12*SAMPLE_SIZE</f>
        <v>6291456</v>
      </c>
      <c r="AG12" s="3">
        <f>V13*4</f>
        <v>524288</v>
      </c>
      <c r="AH12" s="3">
        <v>0</v>
      </c>
      <c r="AI12" s="3">
        <f>IF(Z13=Z12,0,1)</f>
        <v>0</v>
      </c>
      <c r="AJ12" s="3" t="b">
        <f>OR(AH12,AI12)</f>
        <v>0</v>
      </c>
      <c r="AK12" s="3">
        <f>IF(Z10=Z12,0,1)</f>
        <v>0</v>
      </c>
      <c r="AL12" s="3">
        <f>AG12*AJ12*Frames_per_sec/MEGA</f>
        <v>0</v>
      </c>
      <c r="AM12" s="3">
        <f>AF12*AK12*Frames_per_sec/MEGA</f>
        <v>0</v>
      </c>
      <c r="AN12" s="87" t="str">
        <f>IF((AG12/(1024)) &lt; (OCMC_SIZE-32),"OCMC","DDR")</f>
        <v>DDR</v>
      </c>
      <c r="AO12" s="3" t="str">
        <f>IF(AN10="OCMC","OCMC","DDR")</f>
        <v>DDR</v>
      </c>
      <c r="AP12" s="10">
        <f t="shared" ref="AP12:AQ16" si="37">IF(AN12="DDR",AL12,0)</f>
        <v>0</v>
      </c>
      <c r="AQ12" s="10">
        <f t="shared" si="37"/>
        <v>0</v>
      </c>
      <c r="AR12" s="10">
        <f t="shared" ref="AR12:AS16" si="38">AL12-AP12</f>
        <v>0</v>
      </c>
      <c r="AS12" s="10">
        <f t="shared" si="38"/>
        <v>0</v>
      </c>
      <c r="AT12" s="10">
        <f>ROUNDUP(AP12+AQ12,0)</f>
        <v>0</v>
      </c>
      <c r="AU12" s="11">
        <f>ROUNDUP(AR12+AS12,0)</f>
        <v>0</v>
      </c>
    </row>
    <row r="13" spans="2:47" ht="12" customHeight="1" thickBot="1">
      <c r="B13" s="3" t="s">
        <v>107</v>
      </c>
      <c r="C13" s="3">
        <f>C2*C3*C12</f>
        <v>1572864</v>
      </c>
      <c r="E13" s="160"/>
      <c r="F13" s="161"/>
      <c r="G13" s="72"/>
      <c r="H13" s="160"/>
      <c r="I13" s="161"/>
      <c r="J13" s="72"/>
      <c r="K13" s="160"/>
      <c r="L13" s="161"/>
      <c r="M13" s="72"/>
      <c r="N13" s="160"/>
      <c r="O13" s="161"/>
      <c r="P13" s="72"/>
      <c r="Q13" s="160"/>
      <c r="R13" s="161"/>
      <c r="T13" s="4">
        <v>11</v>
      </c>
      <c r="U13" s="3" t="s">
        <v>20</v>
      </c>
      <c r="V13" s="5">
        <f>PLANE_SIZE</f>
        <v>131072</v>
      </c>
      <c r="W13" s="65">
        <f>LogMag_CPS</f>
        <v>0.4</v>
      </c>
      <c r="X13" s="10">
        <v>0</v>
      </c>
      <c r="Y13" s="3">
        <f>16*W13</f>
        <v>6.4</v>
      </c>
      <c r="Z13" s="10" t="str">
        <f>N14</f>
        <v>EVE</v>
      </c>
      <c r="AA13" s="3">
        <f>VLOOKUP(Z13,$B$25:$C$28,2,0)</f>
        <v>500</v>
      </c>
      <c r="AB13" s="3">
        <f t="shared" si="2"/>
        <v>0.42000000000000004</v>
      </c>
      <c r="AC13" s="10">
        <f>(AB13*V13)/MEGA</f>
        <v>5.5050240000000007E-2</v>
      </c>
      <c r="AD13" s="10">
        <f>AC13*$C$6</f>
        <v>0.82575360000000009</v>
      </c>
      <c r="AE13" s="61">
        <f>AD13/AA13</f>
        <v>1.6515072000000003E-3</v>
      </c>
      <c r="AF13" s="4">
        <f>V13*SAMPLE_SIZE</f>
        <v>524288</v>
      </c>
      <c r="AG13" s="3">
        <f>V14*4</f>
        <v>524288</v>
      </c>
      <c r="AH13" s="3">
        <v>1</v>
      </c>
      <c r="AI13" s="3">
        <f>IF(Z14=Z13,0,1)</f>
        <v>0</v>
      </c>
      <c r="AJ13" s="3" t="b">
        <f>OR(AH13,AI13)</f>
        <v>1</v>
      </c>
      <c r="AK13" s="3">
        <f>IF(Z11=Z13,0,1)</f>
        <v>0</v>
      </c>
      <c r="AL13" s="3">
        <f>AG13*AJ13*Frames_per_sec/MEGA</f>
        <v>7.8643200000000002</v>
      </c>
      <c r="AM13" s="3">
        <f>AF13*AK13*Frames_per_sec/MEGA</f>
        <v>0</v>
      </c>
      <c r="AN13" s="87" t="str">
        <f>IF((AG13/(1024)) &lt; (OCMC_SIZE-32),"OCMC","DDR")</f>
        <v>DDR</v>
      </c>
      <c r="AO13" s="3" t="str">
        <f>IF(AN11="OCMC","OCMC","DDR")</f>
        <v>DDR</v>
      </c>
      <c r="AP13" s="10">
        <f t="shared" si="37"/>
        <v>7.8643200000000002</v>
      </c>
      <c r="AQ13" s="10">
        <f t="shared" si="37"/>
        <v>0</v>
      </c>
      <c r="AR13" s="10">
        <f t="shared" si="38"/>
        <v>0</v>
      </c>
      <c r="AS13" s="10">
        <f t="shared" si="38"/>
        <v>0</v>
      </c>
      <c r="AT13" s="10">
        <f>ROUNDUP(AP13+AQ13,0)</f>
        <v>8</v>
      </c>
      <c r="AU13" s="11">
        <f>ROUNDUP(AR13+AS13,0)</f>
        <v>0</v>
      </c>
    </row>
    <row r="14" spans="2:47" ht="15.6">
      <c r="B14" s="3" t="s">
        <v>108</v>
      </c>
      <c r="C14" s="3">
        <f>C2*C3</f>
        <v>131072</v>
      </c>
      <c r="E14" s="75" t="s">
        <v>2</v>
      </c>
      <c r="F14" s="98">
        <f>VLOOKUP(E10,$U$2:$AE$16,11,0)</f>
        <v>0.11296309247999997</v>
      </c>
      <c r="G14" s="72"/>
      <c r="H14" s="75" t="s">
        <v>2</v>
      </c>
      <c r="I14" s="98">
        <f>VLOOKUP(H10,$U$2:$AE$16,11,0)</f>
        <v>0</v>
      </c>
      <c r="J14" s="72"/>
      <c r="K14" s="75" t="s">
        <v>2</v>
      </c>
      <c r="L14" s="73">
        <f>VLOOKUP(K10,$U$2:$AE$16,11,0)</f>
        <v>3.9636172800000001E-2</v>
      </c>
      <c r="M14" s="72"/>
      <c r="N14" s="75" t="s">
        <v>2</v>
      </c>
      <c r="O14" s="73">
        <f>VLOOKUP(N10,$U$2:$AE$16,11,0)</f>
        <v>1.6515072000000003E-3</v>
      </c>
      <c r="P14" s="72"/>
      <c r="Q14" s="75" t="s">
        <v>2</v>
      </c>
      <c r="R14" s="73">
        <f>VLOOKUP(Q10,$U$2:$AE$16,11,0)</f>
        <v>4.7109242880000006E-3</v>
      </c>
      <c r="T14" s="4">
        <v>12</v>
      </c>
      <c r="U14" s="3" t="s">
        <v>21</v>
      </c>
      <c r="V14" s="5">
        <f>PLANE_SIZE</f>
        <v>131072</v>
      </c>
      <c r="W14" s="65">
        <f>CFAR_CA_CELLSUM_CPS+CFAR_CA_TH_CPS+CFAR_CA_Bin2_List_CPS</f>
        <v>1.141</v>
      </c>
      <c r="X14" s="10">
        <f>'ProcessingBlocks-DSP'!J11</f>
        <v>4.2578125</v>
      </c>
      <c r="Y14" s="3">
        <f>16*W14</f>
        <v>18.256</v>
      </c>
      <c r="Z14" s="10" t="str">
        <f>Q14</f>
        <v>EVE</v>
      </c>
      <c r="AA14" s="3">
        <f>VLOOKUP(Z14,$B$25:$C$28,2,0)</f>
        <v>500</v>
      </c>
      <c r="AB14" s="3">
        <f t="shared" si="2"/>
        <v>1.1980500000000001</v>
      </c>
      <c r="AC14" s="10">
        <f>(AB14*V14)/MEGA</f>
        <v>0.15703080960000002</v>
      </c>
      <c r="AD14" s="10">
        <f>AC14*$C$6</f>
        <v>2.3554621440000001</v>
      </c>
      <c r="AE14" s="61">
        <f>AD14/AA14</f>
        <v>4.7109242880000006E-3</v>
      </c>
      <c r="AF14" s="4">
        <f>V14*SAMPLE_SIZE</f>
        <v>524288</v>
      </c>
      <c r="AG14" s="3">
        <f>(AF14/8) + Detection_per_dwell*N_Anteenas*4</f>
        <v>66496</v>
      </c>
      <c r="AH14" s="3">
        <v>1</v>
      </c>
      <c r="AI14" s="3">
        <f>IF(Z15=Z14,0,1)</f>
        <v>0</v>
      </c>
      <c r="AJ14" s="3" t="b">
        <f>OR(AH14,AI14)</f>
        <v>1</v>
      </c>
      <c r="AK14" s="68">
        <v>1</v>
      </c>
      <c r="AL14" s="3">
        <f>AG14*AJ14*Frames_per_sec/MEGA</f>
        <v>0.99743999999999999</v>
      </c>
      <c r="AM14" s="3">
        <f>AF14*AK14*Frames_per_sec/MEGA</f>
        <v>7.8643200000000002</v>
      </c>
      <c r="AN14" s="87" t="str">
        <f>IF((AG14/(1024)) &lt; (OCMC_SIZE-32),"OCMC","DDR")</f>
        <v>DDR</v>
      </c>
      <c r="AO14" s="3" t="str">
        <f>IF(AN13="OCMC","OCMC","DDR")</f>
        <v>DDR</v>
      </c>
      <c r="AP14" s="10">
        <f t="shared" si="37"/>
        <v>0.99743999999999999</v>
      </c>
      <c r="AQ14" s="10">
        <f t="shared" si="37"/>
        <v>7.8643200000000002</v>
      </c>
      <c r="AR14" s="10">
        <f t="shared" si="38"/>
        <v>0</v>
      </c>
      <c r="AS14" s="10">
        <f t="shared" si="38"/>
        <v>0</v>
      </c>
      <c r="AT14" s="10">
        <f>ROUNDUP(AP14+AQ14,0)</f>
        <v>9</v>
      </c>
      <c r="AU14" s="11">
        <f>ROUNDUP(AR14+AS14,0)</f>
        <v>0</v>
      </c>
    </row>
    <row r="15" spans="2:47">
      <c r="B15" s="3" t="s">
        <v>48</v>
      </c>
      <c r="C15" s="3">
        <f>C9*C12</f>
        <v>240</v>
      </c>
      <c r="E15" s="72"/>
      <c r="F15" s="72"/>
      <c r="G15" s="72"/>
      <c r="H15" s="72"/>
      <c r="I15" s="72"/>
      <c r="J15" s="72"/>
      <c r="K15" s="72"/>
      <c r="L15" s="72"/>
      <c r="M15" s="72"/>
      <c r="N15" s="72"/>
      <c r="O15" s="72"/>
      <c r="P15" s="72"/>
      <c r="Q15" s="72"/>
      <c r="R15" s="72"/>
      <c r="T15" s="4">
        <v>13</v>
      </c>
      <c r="U15" s="3" t="s">
        <v>26</v>
      </c>
      <c r="V15" s="5">
        <f>Detection_per_dwell*BF_COLSIZE*N_Anteenas</f>
        <v>28800</v>
      </c>
      <c r="W15" s="65">
        <f>(BF_MATMPY_CPS+((BF_ENERGY_CPS+BF_MAX_CPS)/N_Anteenas))</f>
        <v>0.32343749999999999</v>
      </c>
      <c r="X15" s="10">
        <f>'ProcessingBlocks-DSP'!J10</f>
        <v>1.1796875</v>
      </c>
      <c r="Y15" s="3">
        <f>16*W15</f>
        <v>5.1749999999999998</v>
      </c>
      <c r="Z15" s="10" t="str">
        <f>E21</f>
        <v>EVE</v>
      </c>
      <c r="AA15" s="3">
        <f>VLOOKUP(Z15,$B$25:$C$28,2,0)</f>
        <v>500</v>
      </c>
      <c r="AB15" s="3">
        <f t="shared" si="2"/>
        <v>0.33960937499999999</v>
      </c>
      <c r="AC15" s="10">
        <f>(AB15*V15)/MEGA</f>
        <v>9.7807499999999995E-3</v>
      </c>
      <c r="AD15" s="10">
        <f>AC15*$C$6</f>
        <v>0.14671124999999999</v>
      </c>
      <c r="AE15" s="61">
        <f>AD15/AA15</f>
        <v>2.9342249999999995E-4</v>
      </c>
      <c r="AF15" s="4">
        <f>(V15*SAMPLE_SIZE)/BF_COLSIZE</f>
        <v>960</v>
      </c>
      <c r="AG15" s="3">
        <f>(V15*SAMPLE_SIZE)/BF_COLSIZE</f>
        <v>960</v>
      </c>
      <c r="AH15" s="3">
        <v>1</v>
      </c>
      <c r="AI15" s="3">
        <f>IF(Z4=Z15,0,1)</f>
        <v>0</v>
      </c>
      <c r="AJ15" s="3" t="b">
        <f>OR(AH15,AI15)</f>
        <v>1</v>
      </c>
      <c r="AK15" s="68">
        <v>1</v>
      </c>
      <c r="AL15" s="3">
        <f>AG15*AJ15*Frames_per_sec/MEGA</f>
        <v>1.44E-2</v>
      </c>
      <c r="AM15" s="3">
        <f>AF15*AK15*Frames_per_sec/MEGA</f>
        <v>1.44E-2</v>
      </c>
      <c r="AN15" s="87" t="str">
        <f>IF((AG15/(1024)) &lt; (OCMC_SIZE-32),"OCMC","DDR")</f>
        <v>DDR</v>
      </c>
      <c r="AO15" s="3" t="str">
        <f>IF(AN14="OCMC","OCMC","DDR")</f>
        <v>DDR</v>
      </c>
      <c r="AP15" s="10">
        <f t="shared" si="37"/>
        <v>1.44E-2</v>
      </c>
      <c r="AQ15" s="10">
        <f t="shared" si="37"/>
        <v>1.44E-2</v>
      </c>
      <c r="AR15" s="10">
        <f t="shared" si="38"/>
        <v>0</v>
      </c>
      <c r="AS15" s="10">
        <f t="shared" si="38"/>
        <v>0</v>
      </c>
      <c r="AT15" s="10">
        <f>ROUNDUP(AP15+AQ15,0)</f>
        <v>1</v>
      </c>
      <c r="AU15" s="11">
        <f>ROUNDUP(AR15+AS15,0)</f>
        <v>0</v>
      </c>
    </row>
    <row r="16" spans="2:47">
      <c r="B16" s="3" t="s">
        <v>126</v>
      </c>
      <c r="C16" s="3">
        <f>C10</f>
        <v>120</v>
      </c>
      <c r="E16" s="72"/>
      <c r="F16" s="72"/>
      <c r="G16" s="72"/>
      <c r="H16" s="72"/>
      <c r="I16" s="72"/>
      <c r="J16" s="72"/>
      <c r="K16" s="72"/>
      <c r="L16" s="72"/>
      <c r="M16" s="72"/>
      <c r="N16" s="72"/>
      <c r="O16" s="72"/>
      <c r="P16" s="72"/>
      <c r="Q16" s="72"/>
      <c r="R16" s="72"/>
      <c r="T16" s="4">
        <v>14</v>
      </c>
      <c r="U16" s="3" t="s">
        <v>28</v>
      </c>
      <c r="V16" s="5">
        <f>Detection_per_dwell</f>
        <v>20</v>
      </c>
      <c r="W16" s="65">
        <v>4000</v>
      </c>
      <c r="X16" s="10">
        <f>W16/2</f>
        <v>2000</v>
      </c>
      <c r="Y16" s="3">
        <f>4*X16</f>
        <v>8000</v>
      </c>
      <c r="Z16" s="10" t="str">
        <f>H21</f>
        <v>C66x</v>
      </c>
      <c r="AA16" s="3">
        <f>VLOOKUP(Z16,$B$25:$C$28,2,0)</f>
        <v>500</v>
      </c>
      <c r="AB16" s="3">
        <f>HLOOKUP(Z16,$W$2:$Y$16,T15+1,0)*(1+$C$11)</f>
        <v>1.2386718750000001</v>
      </c>
      <c r="AC16" s="10">
        <f>(AB16*V16)/MEGA</f>
        <v>2.4773437500000002E-5</v>
      </c>
      <c r="AD16" s="10">
        <f>AC16*$C$6</f>
        <v>3.7160156250000002E-4</v>
      </c>
      <c r="AE16" s="61">
        <f>AD16/AA16</f>
        <v>7.4320312500000004E-7</v>
      </c>
      <c r="AF16" s="4">
        <f>V16</f>
        <v>20</v>
      </c>
      <c r="AG16" s="3">
        <v>0</v>
      </c>
      <c r="AH16" s="3">
        <v>1</v>
      </c>
      <c r="AI16" s="3">
        <f>IF(Z17=Z16,0,1)</f>
        <v>1</v>
      </c>
      <c r="AJ16" s="3" t="b">
        <f>OR(AH16,AI16)</f>
        <v>1</v>
      </c>
      <c r="AK16" s="68">
        <v>1</v>
      </c>
      <c r="AL16" s="3">
        <f>AG16*AJ16*Frames_per_sec/MEGA</f>
        <v>0</v>
      </c>
      <c r="AM16" s="3">
        <f>AF16*AK16*Frames_per_sec/MEGA</f>
        <v>2.9999999999999997E-4</v>
      </c>
      <c r="AN16" s="87" t="str">
        <f>IF((AG16/(1024)) &lt; (OCMC_SIZE-32),"OCMC","DDR")</f>
        <v>DDR</v>
      </c>
      <c r="AO16" s="3" t="str">
        <f>IF(AN4="OCMC","OCMC","DDR")</f>
        <v>DDR</v>
      </c>
      <c r="AP16" s="10">
        <f t="shared" si="37"/>
        <v>0</v>
      </c>
      <c r="AQ16" s="10">
        <f t="shared" si="37"/>
        <v>2.9999999999999997E-4</v>
      </c>
      <c r="AR16" s="10">
        <f t="shared" si="38"/>
        <v>0</v>
      </c>
      <c r="AS16" s="10">
        <f t="shared" si="38"/>
        <v>0</v>
      </c>
      <c r="AT16" s="10">
        <f>ROUNDUP(AP16+AQ16,0)</f>
        <v>1</v>
      </c>
      <c r="AU16" s="11">
        <f>ROUNDUP(AR16+AS16,0)</f>
        <v>0</v>
      </c>
    </row>
    <row r="17" spans="1:47" ht="10.8" thickBot="1">
      <c r="B17" s="3" t="s">
        <v>146</v>
      </c>
      <c r="C17" s="3">
        <v>4</v>
      </c>
      <c r="E17" s="74" t="str">
        <f>"DDR BW = " &amp;VLOOKUP(E18,$U$2:$AU$44,26,0)</f>
        <v>DDR BW = 1</v>
      </c>
      <c r="F17" s="74" t="str">
        <f>"OCMC BW = " &amp;VLOOKUP(E18,$U$2:$AU$44,27,0)</f>
        <v>OCMC BW = 0</v>
      </c>
      <c r="G17" s="72"/>
      <c r="H17" s="74" t="str">
        <f>"DDR BW = " &amp;VLOOKUP(H18,$U$2:$AU$44,26,0)</f>
        <v>DDR BW = 1</v>
      </c>
      <c r="I17" s="74" t="str">
        <f>"OCMC BW = " &amp;VLOOKUP(H18,$U$2:$AU$44,27,0)</f>
        <v>OCMC BW = 0</v>
      </c>
      <c r="J17" s="72"/>
      <c r="K17" s="72"/>
      <c r="L17" s="72"/>
      <c r="M17" s="72"/>
      <c r="N17" s="72"/>
      <c r="O17" s="72"/>
      <c r="P17" s="72"/>
      <c r="Q17" s="72"/>
      <c r="R17" s="72"/>
      <c r="T17" s="4"/>
      <c r="U17" s="3"/>
      <c r="V17" s="5"/>
      <c r="W17" s="65"/>
      <c r="X17" s="3"/>
      <c r="Y17" s="3"/>
      <c r="Z17" s="3" t="s">
        <v>16</v>
      </c>
      <c r="AA17" s="3"/>
      <c r="AB17" s="3"/>
      <c r="AC17" s="10"/>
      <c r="AD17" s="10"/>
      <c r="AE17" s="61"/>
      <c r="AF17" s="4"/>
      <c r="AG17" s="3"/>
      <c r="AH17" s="3"/>
      <c r="AI17" s="3"/>
      <c r="AJ17" s="3"/>
      <c r="AK17" s="3"/>
      <c r="AL17" s="3"/>
      <c r="AM17" s="3"/>
      <c r="AN17" s="3"/>
      <c r="AO17" s="3"/>
      <c r="AP17" s="10"/>
      <c r="AQ17" s="10"/>
      <c r="AR17" s="10"/>
      <c r="AS17" s="10"/>
      <c r="AT17" s="10"/>
      <c r="AU17" s="11"/>
    </row>
    <row r="18" spans="1:47" ht="12" customHeight="1" thickBot="1">
      <c r="E18" s="156" t="s">
        <v>26</v>
      </c>
      <c r="F18" s="157"/>
      <c r="G18" s="72"/>
      <c r="H18" s="156" t="s">
        <v>28</v>
      </c>
      <c r="I18" s="157"/>
      <c r="J18" s="72"/>
      <c r="K18" s="166" t="s">
        <v>167</v>
      </c>
      <c r="L18" s="168" t="s">
        <v>2</v>
      </c>
      <c r="M18" s="170" t="s">
        <v>3</v>
      </c>
      <c r="N18" s="164" t="s">
        <v>16</v>
      </c>
      <c r="O18" s="72"/>
      <c r="P18" s="72"/>
      <c r="Q18" s="72"/>
      <c r="R18" s="72"/>
      <c r="T18" s="6"/>
      <c r="U18" s="9"/>
      <c r="V18" s="7"/>
      <c r="W18" s="66"/>
      <c r="X18" s="9"/>
      <c r="Y18" s="9"/>
      <c r="Z18" s="9"/>
      <c r="AA18" s="9"/>
      <c r="AB18" s="9"/>
      <c r="AC18" s="12"/>
      <c r="AD18" s="12"/>
      <c r="AE18" s="62"/>
      <c r="AF18" s="6"/>
      <c r="AG18" s="9"/>
      <c r="AH18" s="9"/>
      <c r="AI18" s="9"/>
      <c r="AJ18" s="9"/>
      <c r="AK18" s="9"/>
      <c r="AL18" s="9"/>
      <c r="AM18" s="9"/>
      <c r="AN18" s="9"/>
      <c r="AO18" s="9"/>
      <c r="AP18" s="12"/>
      <c r="AQ18" s="12"/>
      <c r="AR18" s="12"/>
      <c r="AS18" s="12"/>
      <c r="AT18" s="12"/>
      <c r="AU18" s="13"/>
    </row>
    <row r="19" spans="1:47" ht="11.25" customHeight="1" thickBot="1">
      <c r="E19" s="158"/>
      <c r="F19" s="159"/>
      <c r="G19" s="72"/>
      <c r="H19" s="158"/>
      <c r="I19" s="159"/>
      <c r="J19" s="72"/>
      <c r="K19" s="167"/>
      <c r="L19" s="169"/>
      <c r="M19" s="171"/>
      <c r="N19" s="165"/>
      <c r="O19" s="72"/>
      <c r="P19" s="72"/>
      <c r="Q19" s="72"/>
      <c r="R19" s="72"/>
      <c r="AE19" s="14"/>
      <c r="AF19" s="14"/>
      <c r="AG19" s="14"/>
      <c r="AH19" s="14"/>
      <c r="AI19" s="14"/>
      <c r="AJ19" s="14"/>
      <c r="AK19" s="14"/>
      <c r="AL19" s="70">
        <f>SUM(AL3:AL18)*(1+$C$11)</f>
        <v>306.59126400000002</v>
      </c>
      <c r="AM19" s="70">
        <f>SUM(AM3:AM18)*(1+$C$11)</f>
        <v>305.54426700000005</v>
      </c>
      <c r="AN19" s="14"/>
      <c r="AO19" s="14"/>
      <c r="AP19" s="71">
        <f>SUM(AP3:AP18)</f>
        <v>291.99168000000003</v>
      </c>
      <c r="AQ19" s="71">
        <f>SUM(AQ3:AQ18)</f>
        <v>290.99454000000003</v>
      </c>
      <c r="AR19" s="71">
        <f>SUM(AR5:AR18)</f>
        <v>0</v>
      </c>
      <c r="AS19" s="71">
        <f>SUM(AS5:AS18)</f>
        <v>0</v>
      </c>
      <c r="AT19" s="71">
        <f>SUM(AT3:AT18)*(1+$C$11)</f>
        <v>618.45000000000005</v>
      </c>
      <c r="AU19" s="71">
        <f>SUM(AU4:AU18)*(1+$C$11)</f>
        <v>0</v>
      </c>
    </row>
    <row r="20" spans="1:47" ht="12" customHeight="1" thickBot="1">
      <c r="E20" s="160"/>
      <c r="F20" s="161"/>
      <c r="G20" s="72"/>
      <c r="H20" s="160"/>
      <c r="I20" s="161"/>
      <c r="J20" s="72"/>
      <c r="K20" s="72"/>
      <c r="L20" s="72"/>
      <c r="M20" s="72"/>
      <c r="N20" s="72"/>
      <c r="O20" s="72"/>
      <c r="P20" s="72"/>
      <c r="Q20" s="72"/>
      <c r="R20" s="72"/>
    </row>
    <row r="21" spans="1:47" ht="15.6">
      <c r="E21" s="75" t="s">
        <v>2</v>
      </c>
      <c r="F21" s="73">
        <f>VLOOKUP(E18,$U$2:$AE$16,11,0)</f>
        <v>2.9342249999999995E-4</v>
      </c>
      <c r="G21" s="72"/>
      <c r="H21" s="75" t="s">
        <v>3</v>
      </c>
      <c r="I21" s="73">
        <f>VLOOKUP(H18,$U$2:$AE$16,11,0)</f>
        <v>7.4320312500000004E-7</v>
      </c>
      <c r="J21" s="72"/>
      <c r="K21" s="72"/>
      <c r="L21" s="72"/>
      <c r="M21" s="72"/>
      <c r="N21" s="72"/>
      <c r="O21" s="72"/>
      <c r="P21" s="72"/>
      <c r="Q21" s="72"/>
      <c r="R21" s="72"/>
    </row>
    <row r="23" spans="1:47" ht="10.8" thickBot="1">
      <c r="Z23" s="107"/>
    </row>
    <row r="24" spans="1:47" ht="16.2" thickBot="1">
      <c r="B24" s="144" t="s">
        <v>160</v>
      </c>
      <c r="C24" s="145"/>
      <c r="D24" s="145"/>
      <c r="E24" s="146"/>
    </row>
    <row r="25" spans="1:47" ht="18.75" customHeight="1">
      <c r="A25" s="2" t="s">
        <v>236</v>
      </c>
      <c r="B25" s="79" t="s">
        <v>158</v>
      </c>
      <c r="C25" s="80" t="s">
        <v>42</v>
      </c>
      <c r="D25" s="80" t="s">
        <v>46</v>
      </c>
      <c r="E25" s="81" t="s">
        <v>47</v>
      </c>
    </row>
    <row r="26" spans="1:47" ht="18.75" customHeight="1">
      <c r="A26" s="2" t="str">
        <f>D26&amp;" * "&amp;B26</f>
        <v>1 * EVE</v>
      </c>
      <c r="B26" s="82" t="s">
        <v>2</v>
      </c>
      <c r="C26" s="77">
        <v>500</v>
      </c>
      <c r="D26" s="77">
        <v>1</v>
      </c>
      <c r="E26" s="83">
        <f ca="1">SUMIF($Z$4:$AE$18,B26,$AE$4:$AE$18)/D26</f>
        <v>0.29476128502799998</v>
      </c>
    </row>
    <row r="27" spans="1:47" ht="18.75" customHeight="1">
      <c r="A27" s="2" t="str">
        <f>D27&amp;" * "&amp;B27</f>
        <v>2 * C66x</v>
      </c>
      <c r="B27" s="82" t="s">
        <v>3</v>
      </c>
      <c r="C27" s="77">
        <v>500</v>
      </c>
      <c r="D27" s="77">
        <v>2</v>
      </c>
      <c r="E27" s="83">
        <f ca="1">SUMIF($Z$4:$AE$18,B27,$AE$4:$AE$18)/D27</f>
        <v>3.7160156250000002E-7</v>
      </c>
    </row>
    <row r="28" spans="1:47" ht="18.75" customHeight="1">
      <c r="A28" s="2" t="str">
        <f>D28&amp;" * "&amp;B28</f>
        <v>1 * M4</v>
      </c>
      <c r="B28" s="82" t="s">
        <v>16</v>
      </c>
      <c r="C28" s="77">
        <v>212</v>
      </c>
      <c r="D28" s="77">
        <v>1</v>
      </c>
      <c r="E28" s="83">
        <f ca="1">SUMIF($Z$4:$AE$18,B28,$AE$4:$AE$18)/D28 + 0.3</f>
        <v>0.3</v>
      </c>
    </row>
    <row r="29" spans="1:47" ht="18.75" customHeight="1">
      <c r="A29" s="2" t="str">
        <f>D29&amp;" * "&amp;B29</f>
        <v>1 * DDR3 BW</v>
      </c>
      <c r="B29" s="82" t="s">
        <v>228</v>
      </c>
      <c r="C29" s="77">
        <v>532</v>
      </c>
      <c r="D29" s="77">
        <v>1</v>
      </c>
      <c r="E29" s="83">
        <f>(TOTAL_DDRBW/(4*2*C29*0.6))/D29</f>
        <v>0.24218750000000003</v>
      </c>
    </row>
    <row r="30" spans="1:47" ht="18.75" customHeight="1" thickBot="1">
      <c r="A30" s="2" t="str">
        <f>D30&amp;" * "&amp;B30</f>
        <v>1 * OCMC BW</v>
      </c>
      <c r="B30" s="84" t="s">
        <v>157</v>
      </c>
      <c r="C30" s="85">
        <v>266</v>
      </c>
      <c r="D30" s="85">
        <v>1</v>
      </c>
      <c r="E30" s="86">
        <f>(TOTAL_OCMC_BW/(8*2*C30*0.6))/D30</f>
        <v>0</v>
      </c>
    </row>
    <row r="32" spans="1:47" ht="12.75" customHeight="1">
      <c r="B32" s="82" t="s">
        <v>159</v>
      </c>
      <c r="C32" s="77">
        <v>0</v>
      </c>
    </row>
    <row r="35" spans="2:2">
      <c r="B35" s="1" t="s">
        <v>138</v>
      </c>
    </row>
    <row r="36" spans="2:2">
      <c r="B36" s="60" t="s">
        <v>137</v>
      </c>
    </row>
  </sheetData>
  <mergeCells count="21">
    <mergeCell ref="N18:N19"/>
    <mergeCell ref="E10:F13"/>
    <mergeCell ref="K18:K19"/>
    <mergeCell ref="L18:L19"/>
    <mergeCell ref="M18:M19"/>
    <mergeCell ref="B24:E24"/>
    <mergeCell ref="W1:AE1"/>
    <mergeCell ref="T1:V1"/>
    <mergeCell ref="AF1:AU1"/>
    <mergeCell ref="H10:I13"/>
    <mergeCell ref="K10:L13"/>
    <mergeCell ref="N10:O13"/>
    <mergeCell ref="Q10:R13"/>
    <mergeCell ref="E18:F20"/>
    <mergeCell ref="H18:I20"/>
    <mergeCell ref="N3:O5"/>
    <mergeCell ref="Q3:R5"/>
    <mergeCell ref="B1:C1"/>
    <mergeCell ref="E3:F5"/>
    <mergeCell ref="H3:I5"/>
    <mergeCell ref="K3:L5"/>
  </mergeCells>
  <conditionalFormatting sqref="E3:F3 H3:I3 H18:I18">
    <cfRule type="expression" dxfId="65" priority="115">
      <formula>E6="M4"</formula>
    </cfRule>
    <cfRule type="expression" dxfId="64" priority="116">
      <formula>E6="C66x"</formula>
    </cfRule>
    <cfRule type="expression" dxfId="63" priority="117">
      <formula>E6="EVE"</formula>
    </cfRule>
  </conditionalFormatting>
  <conditionalFormatting sqref="E4:F5 H4:I5">
    <cfRule type="expression" dxfId="62" priority="121">
      <formula>E8="M4"</formula>
    </cfRule>
    <cfRule type="expression" dxfId="61" priority="122">
      <formula>E8="C66x"</formula>
    </cfRule>
    <cfRule type="expression" dxfId="60" priority="123">
      <formula>E8="EVE"</formula>
    </cfRule>
  </conditionalFormatting>
  <conditionalFormatting sqref="H19:I20">
    <cfRule type="expression" dxfId="59" priority="124">
      <formula>Q15="M4"</formula>
    </cfRule>
    <cfRule type="expression" dxfId="58" priority="125">
      <formula>Q15="C66x"</formula>
    </cfRule>
    <cfRule type="expression" dxfId="57" priority="126">
      <formula>Q15="EVE"</formula>
    </cfRule>
  </conditionalFormatting>
  <conditionalFormatting sqref="E26:E28">
    <cfRule type="cellIs" dxfId="56" priority="77" operator="lessThan">
      <formula>0.9</formula>
    </cfRule>
    <cfRule type="cellIs" dxfId="55" priority="78" operator="greaterThan">
      <formula>0.9</formula>
    </cfRule>
  </conditionalFormatting>
  <conditionalFormatting sqref="E29">
    <cfRule type="cellIs" dxfId="54" priority="75" operator="lessThan">
      <formula>0.9</formula>
    </cfRule>
    <cfRule type="cellIs" dxfId="53" priority="76" operator="greaterThan">
      <formula>0.9</formula>
    </cfRule>
  </conditionalFormatting>
  <conditionalFormatting sqref="E30">
    <cfRule type="cellIs" dxfId="52" priority="73" operator="lessThan">
      <formula>0.9</formula>
    </cfRule>
    <cfRule type="cellIs" dxfId="51" priority="74" operator="greaterThan">
      <formula>0.9</formula>
    </cfRule>
  </conditionalFormatting>
  <conditionalFormatting sqref="K10:L11">
    <cfRule type="expression" dxfId="50" priority="37">
      <formula>K14="M4"</formula>
    </cfRule>
    <cfRule type="expression" dxfId="49" priority="38">
      <formula>K14="C66x"</formula>
    </cfRule>
    <cfRule type="expression" dxfId="48" priority="39">
      <formula>K14="EVE"</formula>
    </cfRule>
  </conditionalFormatting>
  <conditionalFormatting sqref="E18:F18">
    <cfRule type="expression" dxfId="47" priority="55">
      <formula>E21="M4"</formula>
    </cfRule>
    <cfRule type="expression" dxfId="46" priority="56">
      <formula>E21="C66x"</formula>
    </cfRule>
    <cfRule type="expression" dxfId="45" priority="57">
      <formula>E21="EVE"</formula>
    </cfRule>
  </conditionalFormatting>
  <conditionalFormatting sqref="E19:F20">
    <cfRule type="expression" dxfId="44" priority="58">
      <formula>XFC22="M4"</formula>
    </cfRule>
    <cfRule type="expression" dxfId="43" priority="59">
      <formula>XFC22="C66x"</formula>
    </cfRule>
    <cfRule type="expression" dxfId="42" priority="60">
      <formula>XFC22="EVE"</formula>
    </cfRule>
  </conditionalFormatting>
  <conditionalFormatting sqref="N10:O11">
    <cfRule type="expression" dxfId="41" priority="43">
      <formula>N14="M4"</formula>
    </cfRule>
    <cfRule type="expression" dxfId="40" priority="44">
      <formula>N14="C66x"</formula>
    </cfRule>
    <cfRule type="expression" dxfId="39" priority="45">
      <formula>N14="EVE"</formula>
    </cfRule>
  </conditionalFormatting>
  <conditionalFormatting sqref="N12:O13">
    <cfRule type="expression" dxfId="38" priority="46">
      <formula>H15="M4"</formula>
    </cfRule>
    <cfRule type="expression" dxfId="37" priority="47">
      <formula>H15="C66x"</formula>
    </cfRule>
    <cfRule type="expression" dxfId="36" priority="48">
      <formula>H15="EVE"</formula>
    </cfRule>
  </conditionalFormatting>
  <conditionalFormatting sqref="H10:I11">
    <cfRule type="expression" dxfId="35" priority="31">
      <formula>H14="M4"</formula>
    </cfRule>
    <cfRule type="expression" dxfId="34" priority="32">
      <formula>H14="C66x"</formula>
    </cfRule>
    <cfRule type="expression" dxfId="33" priority="33">
      <formula>H14="EVE"</formula>
    </cfRule>
  </conditionalFormatting>
  <conditionalFormatting sqref="H12:I13">
    <cfRule type="expression" dxfId="32" priority="34">
      <formula>Q8="M4"</formula>
    </cfRule>
    <cfRule type="expression" dxfId="31" priority="35">
      <formula>Q8="C66x"</formula>
    </cfRule>
    <cfRule type="expression" dxfId="30" priority="36">
      <formula>Q8="EVE"</formula>
    </cfRule>
  </conditionalFormatting>
  <conditionalFormatting sqref="E10:F11">
    <cfRule type="expression" dxfId="29" priority="25">
      <formula>E14="M4"</formula>
    </cfRule>
    <cfRule type="expression" dxfId="28" priority="26">
      <formula>E14="C66x"</formula>
    </cfRule>
    <cfRule type="expression" dxfId="27" priority="27">
      <formula>E14="EVE"</formula>
    </cfRule>
  </conditionalFormatting>
  <conditionalFormatting sqref="E12:F13">
    <cfRule type="expression" dxfId="26" priority="28">
      <formula>E16="M4"</formula>
    </cfRule>
    <cfRule type="expression" dxfId="25" priority="29">
      <formula>E16="C66x"</formula>
    </cfRule>
    <cfRule type="expression" dxfId="24" priority="30">
      <formula>E16="EVE"</formula>
    </cfRule>
  </conditionalFormatting>
  <conditionalFormatting sqref="Q3:R3">
    <cfRule type="expression" dxfId="23" priority="19">
      <formula>Q6="M4"</formula>
    </cfRule>
    <cfRule type="expression" dxfId="22" priority="20">
      <formula>Q6="C66x"</formula>
    </cfRule>
    <cfRule type="expression" dxfId="21" priority="21">
      <formula>Q6="EVE"</formula>
    </cfRule>
  </conditionalFormatting>
  <conditionalFormatting sqref="Q4:R5">
    <cfRule type="expression" dxfId="20" priority="22">
      <formula>Q8="M4"</formula>
    </cfRule>
    <cfRule type="expression" dxfId="19" priority="23">
      <formula>Q8="C66x"</formula>
    </cfRule>
    <cfRule type="expression" dxfId="18" priority="24">
      <formula>Q8="EVE"</formula>
    </cfRule>
  </conditionalFormatting>
  <conditionalFormatting sqref="N3:O3">
    <cfRule type="expression" dxfId="17" priority="13">
      <formula>N6="M4"</formula>
    </cfRule>
    <cfRule type="expression" dxfId="16" priority="14">
      <formula>N6="C66x"</formula>
    </cfRule>
    <cfRule type="expression" dxfId="15" priority="15">
      <formula>N6="EVE"</formula>
    </cfRule>
  </conditionalFormatting>
  <conditionalFormatting sqref="N4:O5">
    <cfRule type="expression" dxfId="14" priority="16">
      <formula>N8="M4"</formula>
    </cfRule>
    <cfRule type="expression" dxfId="13" priority="17">
      <formula>N8="C66x"</formula>
    </cfRule>
    <cfRule type="expression" dxfId="12" priority="18">
      <formula>N8="EVE"</formula>
    </cfRule>
  </conditionalFormatting>
  <conditionalFormatting sqref="K3:L3">
    <cfRule type="expression" dxfId="11" priority="7">
      <formula>K6="M4"</formula>
    </cfRule>
    <cfRule type="expression" dxfId="10" priority="8">
      <formula>K6="C66x"</formula>
    </cfRule>
    <cfRule type="expression" dxfId="9" priority="9">
      <formula>K6="EVE"</formula>
    </cfRule>
  </conditionalFormatting>
  <conditionalFormatting sqref="K4:L5">
    <cfRule type="expression" dxfId="8" priority="10">
      <formula>K8="M4"</formula>
    </cfRule>
    <cfRule type="expression" dxfId="7" priority="11">
      <formula>K8="C66x"</formula>
    </cfRule>
    <cfRule type="expression" dxfId="6" priority="12">
      <formula>K8="EVE"</formula>
    </cfRule>
  </conditionalFormatting>
  <conditionalFormatting sqref="Q10:R11">
    <cfRule type="expression" dxfId="5" priority="1">
      <formula>Q14="M4"</formula>
    </cfRule>
    <cfRule type="expression" dxfId="4" priority="2">
      <formula>Q14="C66x"</formula>
    </cfRule>
    <cfRule type="expression" dxfId="3" priority="3">
      <formula>Q14="EVE"</formula>
    </cfRule>
  </conditionalFormatting>
  <conditionalFormatting sqref="K12:L13 Q12:R13">
    <cfRule type="expression" dxfId="2" priority="127">
      <formula>T9="M4"</formula>
    </cfRule>
    <cfRule type="expression" dxfId="1" priority="128">
      <formula>T9="C66x"</formula>
    </cfRule>
    <cfRule type="expression" dxfId="0" priority="129">
      <formula>T9="EVE"</formula>
    </cfRule>
  </conditionalFormatting>
  <dataValidations count="4">
    <dataValidation type="list" allowBlank="1" showInputMessage="1" showErrorMessage="1" sqref="C2:C3">
      <formula1>FFT_LIST</formula1>
    </dataValidation>
    <dataValidation type="list" allowBlank="1" showInputMessage="1" showErrorMessage="1" sqref="E6:E7 H6:H7 K6:K7 K14 N14 Q14 H21 N6:N7 H14 Q6:Q7 E14 E21">
      <formula1>PROC_LIST</formula1>
    </dataValidation>
    <dataValidation type="list" allowBlank="1" showInputMessage="1" showErrorMessage="1" sqref="C8">
      <formula1>DET_METHOD</formula1>
    </dataValidation>
    <dataValidation type="list" allowBlank="1" showInputMessage="1" showErrorMessage="1" sqref="C7">
      <formula1>binary</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7"/>
  <sheetViews>
    <sheetView topLeftCell="A2" workbookViewId="0">
      <selection activeCell="I30" sqref="I30"/>
    </sheetView>
  </sheetViews>
  <sheetFormatPr defaultRowHeight="13.8"/>
  <cols>
    <col min="1" max="1" width="20.59765625" bestFit="1" customWidth="1"/>
    <col min="2" max="2" width="15.8984375" customWidth="1"/>
  </cols>
  <sheetData>
    <row r="1" spans="1:2">
      <c r="A1" s="55" t="s">
        <v>35</v>
      </c>
      <c r="B1" t="s">
        <v>225</v>
      </c>
    </row>
    <row r="3" spans="1:2">
      <c r="A3" s="55" t="s">
        <v>91</v>
      </c>
      <c r="B3" t="s">
        <v>93</v>
      </c>
    </row>
    <row r="4" spans="1:2">
      <c r="A4" s="56" t="s">
        <v>26</v>
      </c>
      <c r="B4" s="57">
        <v>1.0437119999999999E-2</v>
      </c>
    </row>
    <row r="5" spans="1:2">
      <c r="A5" s="56" t="s">
        <v>21</v>
      </c>
      <c r="B5" s="57">
        <v>3.3484800000000002E-2</v>
      </c>
    </row>
    <row r="6" spans="1:2">
      <c r="A6" s="56" t="s">
        <v>17</v>
      </c>
      <c r="B6" s="57">
        <v>2.359296E-2</v>
      </c>
    </row>
    <row r="7" spans="1:2">
      <c r="A7" s="56" t="s">
        <v>18</v>
      </c>
      <c r="B7" s="57">
        <v>2.359296E-2</v>
      </c>
    </row>
    <row r="8" spans="1:2">
      <c r="A8" s="56" t="s">
        <v>30</v>
      </c>
      <c r="B8" s="57">
        <v>0.18874368</v>
      </c>
    </row>
    <row r="9" spans="1:2">
      <c r="A9" s="56" t="s">
        <v>34</v>
      </c>
      <c r="B9" s="57">
        <v>1.179648E-2</v>
      </c>
    </row>
    <row r="10" spans="1:2">
      <c r="A10" s="56" t="s">
        <v>28</v>
      </c>
      <c r="B10" s="57">
        <v>6.1439999999999995E-2</v>
      </c>
    </row>
    <row r="11" spans="1:2">
      <c r="A11" s="56" t="s">
        <v>29</v>
      </c>
      <c r="B11" s="57">
        <v>0.18874368</v>
      </c>
    </row>
    <row r="12" spans="1:2">
      <c r="A12" s="56" t="s">
        <v>33</v>
      </c>
      <c r="B12" s="57">
        <v>1.179648E-2</v>
      </c>
    </row>
    <row r="13" spans="1:2">
      <c r="A13" s="56" t="s">
        <v>19</v>
      </c>
      <c r="B13" s="57">
        <v>4.7185919999999999E-2</v>
      </c>
    </row>
    <row r="14" spans="1:2">
      <c r="A14" s="56" t="s">
        <v>224</v>
      </c>
      <c r="B14" s="57"/>
    </row>
    <row r="15" spans="1:2">
      <c r="A15" s="56" t="s">
        <v>141</v>
      </c>
      <c r="B15" s="57">
        <v>0.37748735999999999</v>
      </c>
    </row>
    <row r="16" spans="1:2">
      <c r="A16" s="56" t="s">
        <v>166</v>
      </c>
      <c r="B16" s="57">
        <v>1.179648E-2</v>
      </c>
    </row>
    <row r="17" spans="1:2">
      <c r="A17" s="56" t="s">
        <v>92</v>
      </c>
      <c r="B17" s="57">
        <v>0.99009792000000008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8"/>
  <sheetViews>
    <sheetView workbookViewId="0">
      <selection activeCell="M25" sqref="M25"/>
    </sheetView>
  </sheetViews>
  <sheetFormatPr defaultRowHeight="13.8"/>
  <cols>
    <col min="1" max="1" width="15" bestFit="1" customWidth="1"/>
    <col min="2" max="2" width="1.3984375" customWidth="1"/>
    <col min="3" max="3" width="13.09765625" bestFit="1" customWidth="1"/>
    <col min="4" max="4" width="1.296875" customWidth="1"/>
    <col min="5" max="5" width="16.8984375" bestFit="1" customWidth="1"/>
    <col min="6" max="6" width="1.69921875" customWidth="1"/>
    <col min="7" max="7" width="6.59765625" bestFit="1" customWidth="1"/>
    <col min="8" max="8" width="1.59765625" customWidth="1"/>
    <col min="9" max="9" width="6.296875" bestFit="1" customWidth="1"/>
    <col min="10" max="10" width="8" bestFit="1" customWidth="1"/>
  </cols>
  <sheetData>
    <row r="1" spans="1:10">
      <c r="A1" s="89" t="s">
        <v>14</v>
      </c>
      <c r="C1" s="89" t="s">
        <v>15</v>
      </c>
      <c r="E1" s="89" t="s">
        <v>23</v>
      </c>
      <c r="G1" s="89" t="s">
        <v>104</v>
      </c>
      <c r="I1" s="88" t="s">
        <v>44</v>
      </c>
      <c r="J1" s="88">
        <f>POWER(10,3)</f>
        <v>1000</v>
      </c>
    </row>
    <row r="2" spans="1:10">
      <c r="A2" s="88">
        <v>64</v>
      </c>
      <c r="C2" s="88" t="s">
        <v>2</v>
      </c>
      <c r="E2" s="88" t="s">
        <v>24</v>
      </c>
      <c r="G2" s="88" t="s">
        <v>105</v>
      </c>
      <c r="I2" s="88" t="s">
        <v>43</v>
      </c>
      <c r="J2" s="88">
        <f>POWER(10,6)</f>
        <v>1000000</v>
      </c>
    </row>
    <row r="3" spans="1:10">
      <c r="A3" s="88">
        <v>128</v>
      </c>
      <c r="C3" s="88" t="s">
        <v>3</v>
      </c>
      <c r="E3" s="88" t="s">
        <v>25</v>
      </c>
      <c r="G3" s="88" t="s">
        <v>106</v>
      </c>
    </row>
    <row r="4" spans="1:10">
      <c r="A4" s="88">
        <v>256</v>
      </c>
      <c r="C4" s="88" t="s">
        <v>16</v>
      </c>
      <c r="E4" s="88"/>
    </row>
    <row r="5" spans="1:10">
      <c r="A5" s="88">
        <v>512</v>
      </c>
      <c r="C5" s="88"/>
      <c r="E5" s="88"/>
    </row>
    <row r="6" spans="1:10">
      <c r="A6" s="88">
        <v>1024</v>
      </c>
      <c r="C6" s="88"/>
      <c r="E6" s="88"/>
    </row>
    <row r="7" spans="1:10">
      <c r="A7" s="88"/>
      <c r="C7" s="88"/>
    </row>
    <row r="8" spans="1:10">
      <c r="A8" s="88"/>
      <c r="C8" s="8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103"/>
  <sheetViews>
    <sheetView workbookViewId="0"/>
  </sheetViews>
  <sheetFormatPr defaultColWidth="9.09765625" defaultRowHeight="13.8"/>
  <cols>
    <col min="1" max="1" width="84.3984375" style="90" customWidth="1"/>
    <col min="2" max="16384" width="9.09765625" style="90"/>
  </cols>
  <sheetData>
    <row r="1" spans="1:1">
      <c r="A1" s="95"/>
    </row>
    <row r="7" spans="1:1">
      <c r="A7" s="95"/>
    </row>
    <row r="8" spans="1:1">
      <c r="A8" s="95"/>
    </row>
    <row r="9" spans="1:1">
      <c r="A9" s="95"/>
    </row>
    <row r="12" spans="1:1">
      <c r="A12" s="95"/>
    </row>
    <row r="13" spans="1:1">
      <c r="A13" s="95"/>
    </row>
    <row r="100" spans="1:2">
      <c r="A100" s="96" t="s">
        <v>110</v>
      </c>
      <c r="B100" s="97" t="s">
        <v>161</v>
      </c>
    </row>
    <row r="101" spans="1:2">
      <c r="A101" s="96" t="s">
        <v>114</v>
      </c>
      <c r="B101" s="97" t="s">
        <v>162</v>
      </c>
    </row>
    <row r="102" spans="1:2" ht="27.6">
      <c r="A102" s="96" t="s">
        <v>111</v>
      </c>
      <c r="B102" s="97"/>
    </row>
    <row r="103" spans="1:2" ht="27.6">
      <c r="A103" s="96" t="s">
        <v>112</v>
      </c>
      <c r="B103" s="97" t="s">
        <v>163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E31"/>
  <sheetViews>
    <sheetView topLeftCell="A6" zoomScale="90" zoomScaleNormal="90" workbookViewId="0">
      <selection activeCell="B12" sqref="B12"/>
    </sheetView>
  </sheetViews>
  <sheetFormatPr defaultColWidth="9.09765625" defaultRowHeight="13.8"/>
  <cols>
    <col min="1" max="1" width="20.09765625" style="100" customWidth="1"/>
    <col min="2" max="2" width="62.3984375" style="100" customWidth="1"/>
    <col min="3" max="3" width="35.3984375" style="100" customWidth="1"/>
    <col min="4" max="4" width="14.09765625" style="100" customWidth="1"/>
    <col min="5" max="5" width="43" style="100" bestFit="1" customWidth="1"/>
    <col min="6" max="6" width="8.09765625" style="100" bestFit="1" customWidth="1"/>
    <col min="7" max="7" width="9.09765625" style="100"/>
    <col min="8" max="8" width="11" style="100" customWidth="1"/>
    <col min="9" max="9" width="11.09765625" style="100" customWidth="1"/>
    <col min="10" max="16384" width="9.09765625" style="100"/>
  </cols>
  <sheetData>
    <row r="1" spans="1:5">
      <c r="A1" s="99" t="s">
        <v>0</v>
      </c>
      <c r="B1" s="99" t="s">
        <v>1</v>
      </c>
      <c r="C1" s="99" t="s">
        <v>99</v>
      </c>
      <c r="D1" s="99" t="s">
        <v>38</v>
      </c>
      <c r="E1" s="99" t="s">
        <v>4</v>
      </c>
    </row>
    <row r="2" spans="1:5" ht="39.6">
      <c r="A2" s="101" t="s">
        <v>27</v>
      </c>
      <c r="B2" s="101" t="s">
        <v>168</v>
      </c>
      <c r="C2" s="100" t="s">
        <v>170</v>
      </c>
      <c r="D2" s="102">
        <f>2/16</f>
        <v>0.125</v>
      </c>
      <c r="E2" s="101" t="s">
        <v>169</v>
      </c>
    </row>
    <row r="3" spans="1:5" ht="39.6">
      <c r="A3" s="101" t="s">
        <v>17</v>
      </c>
      <c r="B3" s="101" t="s">
        <v>94</v>
      </c>
      <c r="C3" s="101" t="s">
        <v>95</v>
      </c>
      <c r="D3" s="102">
        <f>(2/16)*2</f>
        <v>0.25</v>
      </c>
      <c r="E3" s="101"/>
    </row>
    <row r="4" spans="1:5" ht="26.4">
      <c r="A4" s="101" t="s">
        <v>96</v>
      </c>
      <c r="B4" s="101" t="s">
        <v>97</v>
      </c>
      <c r="C4" s="101" t="s">
        <v>98</v>
      </c>
      <c r="D4" s="102">
        <f>IF(1,0,2/16)</f>
        <v>0</v>
      </c>
      <c r="E4" s="101" t="s">
        <v>245</v>
      </c>
    </row>
    <row r="5" spans="1:5" ht="26.4">
      <c r="A5" s="101" t="s">
        <v>243</v>
      </c>
      <c r="B5" s="101" t="s">
        <v>5</v>
      </c>
      <c r="C5" s="101"/>
      <c r="D5" s="102">
        <f>D23</f>
        <v>2.36</v>
      </c>
      <c r="E5" s="101" t="s">
        <v>7</v>
      </c>
    </row>
    <row r="6" spans="1:5" ht="26.4">
      <c r="A6" s="101" t="s">
        <v>244</v>
      </c>
      <c r="B6" s="101" t="s">
        <v>5</v>
      </c>
      <c r="C6" s="101"/>
      <c r="D6" s="102">
        <f>E23</f>
        <v>2.2799999999999998</v>
      </c>
      <c r="E6" s="101" t="s">
        <v>7</v>
      </c>
    </row>
    <row r="7" spans="1:5" ht="26.4">
      <c r="A7" s="101" t="s">
        <v>18</v>
      </c>
      <c r="B7" s="101" t="s">
        <v>100</v>
      </c>
      <c r="C7" s="101" t="s">
        <v>101</v>
      </c>
      <c r="D7" s="102">
        <f>IF(1,0,4/16)</f>
        <v>0</v>
      </c>
      <c r="E7" s="101" t="s">
        <v>246</v>
      </c>
    </row>
    <row r="8" spans="1:5" ht="39.6">
      <c r="A8" s="101" t="s">
        <v>19</v>
      </c>
      <c r="B8" s="101" t="s">
        <v>102</v>
      </c>
      <c r="C8" s="101" t="s">
        <v>101</v>
      </c>
      <c r="D8" s="102">
        <f>IF(1,0,4/16)</f>
        <v>0</v>
      </c>
      <c r="E8" s="101" t="s">
        <v>260</v>
      </c>
    </row>
    <row r="9" spans="1:5">
      <c r="A9" s="101" t="s">
        <v>115</v>
      </c>
      <c r="B9" s="101" t="s">
        <v>249</v>
      </c>
      <c r="C9" s="101" t="s">
        <v>250</v>
      </c>
      <c r="D9" s="102">
        <f>IF(1,4/5,2/8)</f>
        <v>0.8</v>
      </c>
      <c r="E9" s="101" t="s">
        <v>252</v>
      </c>
    </row>
    <row r="10" spans="1:5" ht="237.6">
      <c r="A10" s="101" t="s">
        <v>20</v>
      </c>
      <c r="B10" s="101" t="s">
        <v>113</v>
      </c>
      <c r="C10" s="101" t="s">
        <v>251</v>
      </c>
      <c r="D10" s="102">
        <f>IF(1,2/5,(4/16) + (1/8) + (2/16))</f>
        <v>0.4</v>
      </c>
      <c r="E10" s="101" t="s">
        <v>261</v>
      </c>
    </row>
    <row r="11" spans="1:5" ht="26.4">
      <c r="A11" s="101" t="s">
        <v>116</v>
      </c>
      <c r="B11" s="101" t="s">
        <v>117</v>
      </c>
      <c r="C11" s="101" t="s">
        <v>118</v>
      </c>
      <c r="D11" s="102">
        <f>(2/16)*1.4</f>
        <v>0.17499999999999999</v>
      </c>
      <c r="E11" s="101" t="s">
        <v>119</v>
      </c>
    </row>
    <row r="12" spans="1:5" ht="66">
      <c r="A12" s="101" t="s">
        <v>120</v>
      </c>
      <c r="B12" s="101"/>
      <c r="C12" s="101" t="s">
        <v>253</v>
      </c>
      <c r="D12" s="102">
        <f>0.19*1.4</f>
        <v>0.26599999999999996</v>
      </c>
      <c r="E12" s="101" t="s">
        <v>119</v>
      </c>
    </row>
    <row r="13" spans="1:5" ht="26.4">
      <c r="A13" s="101" t="s">
        <v>121</v>
      </c>
      <c r="B13" s="101"/>
      <c r="C13" s="101" t="s">
        <v>122</v>
      </c>
      <c r="D13" s="102">
        <f>0.5*1.4</f>
        <v>0.7</v>
      </c>
      <c r="E13" s="101" t="s">
        <v>123</v>
      </c>
    </row>
    <row r="14" spans="1:5" ht="52.8">
      <c r="A14" s="101" t="s">
        <v>127</v>
      </c>
      <c r="B14" s="101" t="s">
        <v>128</v>
      </c>
      <c r="C14" s="101" t="s">
        <v>101</v>
      </c>
      <c r="D14" s="102">
        <f>(4/16)*1.15</f>
        <v>0.28749999999999998</v>
      </c>
      <c r="E14" s="101" t="s">
        <v>133</v>
      </c>
    </row>
    <row r="15" spans="1:5" ht="26.4">
      <c r="A15" s="101" t="s">
        <v>129</v>
      </c>
      <c r="B15" s="101" t="s">
        <v>130</v>
      </c>
      <c r="C15" s="101" t="s">
        <v>131</v>
      </c>
      <c r="D15" s="102">
        <f>(2/16)*1.15</f>
        <v>0.14374999999999999</v>
      </c>
      <c r="E15" s="101" t="s">
        <v>132</v>
      </c>
    </row>
    <row r="16" spans="1:5">
      <c r="A16" s="101" t="s">
        <v>134</v>
      </c>
      <c r="B16" s="101" t="s">
        <v>135</v>
      </c>
      <c r="C16" s="101" t="s">
        <v>136</v>
      </c>
      <c r="D16" s="102">
        <f>(4/16)*1.15</f>
        <v>0.28749999999999998</v>
      </c>
      <c r="E16" s="101" t="s">
        <v>132</v>
      </c>
    </row>
    <row r="17" spans="1:5">
      <c r="A17" s="101" t="s">
        <v>28</v>
      </c>
      <c r="B17" s="101"/>
      <c r="C17" s="101"/>
      <c r="D17" s="102"/>
      <c r="E17" s="101"/>
    </row>
    <row r="19" spans="1:5">
      <c r="A19" s="103"/>
      <c r="B19" s="103"/>
      <c r="C19" s="103"/>
      <c r="D19" s="104"/>
      <c r="E19" s="103"/>
    </row>
    <row r="20" spans="1:5">
      <c r="A20" s="103"/>
      <c r="B20" s="103"/>
      <c r="C20" s="103"/>
      <c r="D20" s="104"/>
      <c r="E20" s="103"/>
    </row>
    <row r="22" spans="1:5" ht="27.6">
      <c r="A22" s="101" t="s">
        <v>238</v>
      </c>
      <c r="B22" s="101" t="s">
        <v>239</v>
      </c>
      <c r="C22" s="101" t="s">
        <v>240</v>
      </c>
      <c r="D22" s="105" t="s">
        <v>247</v>
      </c>
      <c r="E22" s="105" t="s">
        <v>248</v>
      </c>
    </row>
    <row r="23" spans="1:5">
      <c r="A23" s="101">
        <v>64</v>
      </c>
      <c r="B23" s="101" t="s">
        <v>241</v>
      </c>
      <c r="C23" s="101">
        <v>1.83</v>
      </c>
      <c r="D23" s="106">
        <f>VLOOKUP(Range_DIM,A23:C27,3)</f>
        <v>2.36</v>
      </c>
      <c r="E23" s="105">
        <f>VLOOKUP(Doppler_DIM,A28:C31,3)</f>
        <v>2.2799999999999998</v>
      </c>
    </row>
    <row r="24" spans="1:5">
      <c r="A24" s="101">
        <v>128</v>
      </c>
      <c r="B24" s="101" t="s">
        <v>241</v>
      </c>
      <c r="C24" s="101">
        <v>1.93</v>
      </c>
    </row>
    <row r="25" spans="1:5">
      <c r="A25" s="101">
        <v>256</v>
      </c>
      <c r="B25" s="101" t="s">
        <v>241</v>
      </c>
      <c r="C25" s="101">
        <v>2.02</v>
      </c>
    </row>
    <row r="26" spans="1:5">
      <c r="A26" s="101">
        <v>512</v>
      </c>
      <c r="B26" s="101" t="s">
        <v>241</v>
      </c>
      <c r="C26" s="101">
        <v>2.25</v>
      </c>
    </row>
    <row r="27" spans="1:5">
      <c r="A27" s="101">
        <v>1024</v>
      </c>
      <c r="B27" s="101" t="s">
        <v>241</v>
      </c>
      <c r="C27" s="101">
        <v>2.36</v>
      </c>
    </row>
    <row r="28" spans="1:5">
      <c r="A28" s="101">
        <v>64</v>
      </c>
      <c r="B28" s="101" t="s">
        <v>242</v>
      </c>
      <c r="C28" s="101">
        <v>2.06</v>
      </c>
    </row>
    <row r="29" spans="1:5">
      <c r="A29" s="101">
        <v>128</v>
      </c>
      <c r="B29" s="101" t="s">
        <v>242</v>
      </c>
      <c r="C29" s="101">
        <v>2.2799999999999998</v>
      </c>
    </row>
    <row r="30" spans="1:5">
      <c r="A30" s="101">
        <v>256</v>
      </c>
      <c r="B30" s="101" t="s">
        <v>242</v>
      </c>
      <c r="C30" s="101">
        <v>2.2799999999999998</v>
      </c>
    </row>
    <row r="31" spans="1:5">
      <c r="A31" s="101">
        <v>512</v>
      </c>
      <c r="B31" s="101" t="s">
        <v>242</v>
      </c>
      <c r="C31" s="101">
        <v>2.85</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J13"/>
  <sheetViews>
    <sheetView topLeftCell="A5" workbookViewId="0">
      <selection activeCell="C20" sqref="C20"/>
    </sheetView>
  </sheetViews>
  <sheetFormatPr defaultColWidth="9.09765625" defaultRowHeight="13.8"/>
  <cols>
    <col min="1" max="1" width="32.3984375" style="110" customWidth="1"/>
    <col min="2" max="2" width="35.09765625" style="110" customWidth="1"/>
    <col min="3" max="3" width="15.8984375" style="110" bestFit="1" customWidth="1"/>
    <col min="4" max="4" width="13.09765625" style="110" customWidth="1"/>
    <col min="5" max="5" width="24.69921875" style="110" bestFit="1" customWidth="1"/>
    <col min="6" max="6" width="8" style="110" bestFit="1" customWidth="1"/>
    <col min="7" max="7" width="9" style="110" bestFit="1" customWidth="1"/>
    <col min="8" max="16384" width="9.09765625" style="110"/>
  </cols>
  <sheetData>
    <row r="1" spans="1:10" ht="14.4" thickBot="1">
      <c r="A1" s="108" t="s">
        <v>171</v>
      </c>
      <c r="B1" s="109" t="s">
        <v>172</v>
      </c>
      <c r="C1" s="172" t="s">
        <v>173</v>
      </c>
      <c r="D1" s="172"/>
      <c r="E1" s="173"/>
      <c r="F1" s="179" t="s">
        <v>197</v>
      </c>
      <c r="G1" s="179"/>
    </row>
    <row r="2" spans="1:10" ht="27.6">
      <c r="A2" s="174" t="s">
        <v>174</v>
      </c>
      <c r="B2" s="111" t="s">
        <v>175</v>
      </c>
      <c r="C2" s="112" t="s">
        <v>176</v>
      </c>
      <c r="D2" s="112" t="s">
        <v>177</v>
      </c>
      <c r="E2" s="113" t="s">
        <v>178</v>
      </c>
      <c r="F2" s="110" t="s">
        <v>6</v>
      </c>
      <c r="G2" s="110" t="s">
        <v>198</v>
      </c>
      <c r="I2" s="110" t="s">
        <v>199</v>
      </c>
      <c r="J2" s="110">
        <f>VLOOKUP(Range_DIM,$B$3:$G$7,6)</f>
        <v>0.6640625</v>
      </c>
    </row>
    <row r="3" spans="1:10">
      <c r="A3" s="175"/>
      <c r="B3" s="114">
        <v>64</v>
      </c>
      <c r="C3" s="115">
        <v>240</v>
      </c>
      <c r="D3" s="115">
        <v>108</v>
      </c>
      <c r="E3" s="116">
        <f>C3+D3</f>
        <v>348</v>
      </c>
      <c r="F3" s="110">
        <f>C3/$B3</f>
        <v>3.75</v>
      </c>
      <c r="G3" s="110">
        <f>D3/$B3</f>
        <v>1.6875</v>
      </c>
      <c r="I3" s="110" t="s">
        <v>200</v>
      </c>
      <c r="J3" s="110">
        <f>VLOOKUP(Range_DIM,$B$3:$G$7,5)</f>
        <v>4.1171875</v>
      </c>
    </row>
    <row r="4" spans="1:10">
      <c r="A4" s="176"/>
      <c r="B4" s="117">
        <v>128</v>
      </c>
      <c r="C4" s="117">
        <v>516</v>
      </c>
      <c r="D4" s="117">
        <v>147</v>
      </c>
      <c r="E4" s="118">
        <f>C4+D4</f>
        <v>663</v>
      </c>
      <c r="F4" s="110">
        <f t="shared" ref="F4:F7" si="0">C4/$B4</f>
        <v>4.03125</v>
      </c>
      <c r="G4" s="110">
        <f t="shared" ref="G4:G7" si="1">D4/$B4</f>
        <v>1.1484375</v>
      </c>
      <c r="I4" s="110" t="s">
        <v>201</v>
      </c>
      <c r="J4" s="110">
        <f>VLOOKUP(Doppler_DIM,$B$3:$G$7,6)</f>
        <v>1.1484375</v>
      </c>
    </row>
    <row r="5" spans="1:10">
      <c r="A5" s="176"/>
      <c r="B5" s="117">
        <v>256</v>
      </c>
      <c r="C5" s="117">
        <v>932</v>
      </c>
      <c r="D5" s="117">
        <v>223</v>
      </c>
      <c r="E5" s="118">
        <f>C5+D5</f>
        <v>1155</v>
      </c>
      <c r="F5" s="110">
        <f t="shared" si="0"/>
        <v>3.640625</v>
      </c>
      <c r="G5" s="110">
        <f t="shared" si="1"/>
        <v>0.87109375</v>
      </c>
      <c r="I5" s="110" t="s">
        <v>202</v>
      </c>
      <c r="J5" s="110">
        <f>VLOOKUP(Doppler_DIM,$B$3:$G$7,5)</f>
        <v>4.03125</v>
      </c>
    </row>
    <row r="6" spans="1:10">
      <c r="A6" s="176"/>
      <c r="B6" s="117">
        <v>512</v>
      </c>
      <c r="C6" s="117">
        <v>2168</v>
      </c>
      <c r="D6" s="117">
        <v>375</v>
      </c>
      <c r="E6" s="118">
        <f>C6+D6</f>
        <v>2543</v>
      </c>
      <c r="F6" s="110">
        <f t="shared" si="0"/>
        <v>4.234375</v>
      </c>
      <c r="G6" s="110">
        <f t="shared" si="1"/>
        <v>0.732421875</v>
      </c>
    </row>
    <row r="7" spans="1:10" ht="14.4" thickBot="1">
      <c r="A7" s="177"/>
      <c r="B7" s="119">
        <v>1024</v>
      </c>
      <c r="C7" s="119">
        <v>4216</v>
      </c>
      <c r="D7" s="119">
        <v>680</v>
      </c>
      <c r="E7" s="120">
        <f>C7+D7</f>
        <v>4896</v>
      </c>
      <c r="F7" s="110">
        <f t="shared" si="0"/>
        <v>4.1171875</v>
      </c>
      <c r="G7" s="110">
        <f t="shared" si="1"/>
        <v>0.6640625</v>
      </c>
    </row>
    <row r="8" spans="1:10">
      <c r="A8" s="174" t="s">
        <v>179</v>
      </c>
      <c r="B8" s="111" t="s">
        <v>180</v>
      </c>
      <c r="C8" s="111" t="s">
        <v>181</v>
      </c>
      <c r="D8" s="111" t="s">
        <v>182</v>
      </c>
      <c r="E8" s="113" t="s">
        <v>183</v>
      </c>
    </row>
    <row r="9" spans="1:10" ht="28.2" thickBot="1">
      <c r="A9" s="178"/>
      <c r="B9" s="121" t="s">
        <v>184</v>
      </c>
      <c r="C9" s="122">
        <v>3.5</v>
      </c>
      <c r="D9" s="122">
        <v>68</v>
      </c>
      <c r="E9" s="123" t="s">
        <v>185</v>
      </c>
      <c r="I9" s="110" t="s">
        <v>203</v>
      </c>
      <c r="J9" s="110">
        <f>3.5+0.5</f>
        <v>4</v>
      </c>
    </row>
    <row r="10" spans="1:10" ht="55.8" thickBot="1">
      <c r="A10" s="124" t="s">
        <v>186</v>
      </c>
      <c r="B10" s="125" t="s">
        <v>187</v>
      </c>
      <c r="C10" s="126">
        <v>151</v>
      </c>
      <c r="D10" s="126">
        <v>0</v>
      </c>
      <c r="E10" s="127" t="s">
        <v>188</v>
      </c>
      <c r="I10" s="110" t="s">
        <v>205</v>
      </c>
      <c r="J10" s="110">
        <f>C10/128</f>
        <v>1.1796875</v>
      </c>
    </row>
    <row r="11" spans="1:10" ht="28.2" thickBot="1">
      <c r="A11" s="128" t="s">
        <v>189</v>
      </c>
      <c r="B11" s="129" t="s">
        <v>190</v>
      </c>
      <c r="C11" s="130">
        <v>3</v>
      </c>
      <c r="D11" s="130">
        <v>161</v>
      </c>
      <c r="E11" s="131" t="s">
        <v>191</v>
      </c>
      <c r="I11" s="110" t="s">
        <v>24</v>
      </c>
      <c r="J11" s="110">
        <f>3+161/Doppler_DIM</f>
        <v>4.2578125</v>
      </c>
    </row>
    <row r="12" spans="1:10" ht="55.8" thickBot="1">
      <c r="A12" s="132" t="s">
        <v>192</v>
      </c>
      <c r="B12" s="133" t="s">
        <v>190</v>
      </c>
      <c r="C12" s="109">
        <f>2*32</f>
        <v>64</v>
      </c>
      <c r="D12" s="109">
        <f>-C12*C12/4</f>
        <v>-1024</v>
      </c>
      <c r="E12" s="134" t="s">
        <v>193</v>
      </c>
    </row>
    <row r="13" spans="1:10" ht="42" thickBot="1">
      <c r="A13" s="124" t="s">
        <v>194</v>
      </c>
      <c r="B13" s="135" t="s">
        <v>195</v>
      </c>
      <c r="C13" s="136">
        <v>0.75</v>
      </c>
      <c r="D13" s="136">
        <v>36</v>
      </c>
      <c r="E13" s="137" t="s">
        <v>196</v>
      </c>
      <c r="I13" s="110" t="s">
        <v>204</v>
      </c>
      <c r="J13" s="110">
        <f>C13</f>
        <v>0.75</v>
      </c>
    </row>
  </sheetData>
  <mergeCells count="4">
    <mergeCell ref="C1:E1"/>
    <mergeCell ref="A2:A7"/>
    <mergeCell ref="A8:A9"/>
    <mergeCell ref="F1:G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41</vt:i4>
      </vt:variant>
    </vt:vector>
  </HeadingPairs>
  <TitlesOfParts>
    <vt:vector size="48" baseType="lpstr">
      <vt:lpstr>Cover</vt:lpstr>
      <vt:lpstr>How-to-use</vt:lpstr>
      <vt:lpstr>Processing Chain</vt:lpstr>
      <vt:lpstr>Main-Summary</vt:lpstr>
      <vt:lpstr>Analysis</vt:lpstr>
      <vt:lpstr>List</vt:lpstr>
      <vt:lpstr>notes</vt:lpstr>
      <vt:lpstr>BF_COLSIZE</vt:lpstr>
      <vt:lpstr>BF_ENERGY_CPS</vt:lpstr>
      <vt:lpstr>BF_MATMPY_CPS</vt:lpstr>
      <vt:lpstr>BF_MAX_CPS</vt:lpstr>
      <vt:lpstr>binary</vt:lpstr>
      <vt:lpstr>CFAR_CA_Bin2_List_CPS</vt:lpstr>
      <vt:lpstr>CFAR_CA_CELLSUM_CPS</vt:lpstr>
      <vt:lpstr>CFAR_CA_TH_CPS</vt:lpstr>
      <vt:lpstr>CUBE_SIZE</vt:lpstr>
      <vt:lpstr>DC_offset_CPS</vt:lpstr>
      <vt:lpstr>DET_METHOD</vt:lpstr>
      <vt:lpstr>Detection_per_dwell</vt:lpstr>
      <vt:lpstr>DFFT_DSP_CPS</vt:lpstr>
      <vt:lpstr>DFFT_EVE_CPS</vt:lpstr>
      <vt:lpstr>Doppler_corr_CPS</vt:lpstr>
      <vt:lpstr>Doppler_DIM</vt:lpstr>
      <vt:lpstr>DWIN_DSP_CPS</vt:lpstr>
      <vt:lpstr>Energy_SUM_CPS</vt:lpstr>
      <vt:lpstr>FFT_LIST</vt:lpstr>
      <vt:lpstr>Frames_per_sec</vt:lpstr>
      <vt:lpstr>INTER_DSP_CPS</vt:lpstr>
      <vt:lpstr>INTER_ZEROOUT_CPS</vt:lpstr>
      <vt:lpstr>KILO</vt:lpstr>
      <vt:lpstr>LogMag_CPS</vt:lpstr>
      <vt:lpstr>LogMag_Sum_DSP_CPS</vt:lpstr>
      <vt:lpstr>MEGA</vt:lpstr>
      <vt:lpstr>N_Anteenas</vt:lpstr>
      <vt:lpstr>N_Rx</vt:lpstr>
      <vt:lpstr>N_Tx</vt:lpstr>
      <vt:lpstr>OCMC_SIZE</vt:lpstr>
      <vt:lpstr>PLANE_SIZE</vt:lpstr>
      <vt:lpstr>PROC_LIST</vt:lpstr>
      <vt:lpstr>Range_DIM</vt:lpstr>
      <vt:lpstr>RFFT_DSP_CPS</vt:lpstr>
      <vt:lpstr>RFFT_EVE_CPS</vt:lpstr>
      <vt:lpstr>RWIND_DSP_CPS</vt:lpstr>
      <vt:lpstr>SAMPLE_SIZE</vt:lpstr>
      <vt:lpstr>TOTAL_DDRBW</vt:lpstr>
      <vt:lpstr>TOTAL_OCMC_BW</vt:lpstr>
      <vt:lpstr>TxDecoding_CPS</vt:lpstr>
      <vt:lpstr>Windowing_CPS</vt:lpstr>
    </vt:vector>
  </TitlesOfParts>
  <Company>Texas Instruments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 Pramod</dc:creator>
  <cp:lastModifiedBy>Windows User</cp:lastModifiedBy>
  <dcterms:created xsi:type="dcterms:W3CDTF">2016-07-05T15:12:29Z</dcterms:created>
  <dcterms:modified xsi:type="dcterms:W3CDTF">2018-01-19T04:28:08Z</dcterms:modified>
</cp:coreProperties>
</file>